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20400" yWindow="2070" windowWidth="29040" windowHeight="15060" tabRatio="938"/>
  </bookViews>
  <sheets>
    <sheet name="Structure" sheetId="99" r:id="rId1"/>
    <sheet name="Val. Assets" sheetId="115" r:id="rId2"/>
    <sheet name="Val. Company" sheetId="118" r:id="rId3"/>
    <sheet name="Val. singledrinks.com" sheetId="116" r:id="rId4"/>
    <sheet name="Investors" sheetId="114" r:id="rId5"/>
    <sheet name="Bond" sheetId="32" r:id="rId6"/>
    <sheet name="RCF-F" sheetId="97" r:id="rId7"/>
    <sheet name="RCF-FS" sheetId="98" r:id="rId8"/>
    <sheet name="EN" sheetId="96" r:id="rId9"/>
    <sheet name="RCV" sheetId="55" r:id="rId10"/>
    <sheet name="RCE" sheetId="102" r:id="rId11"/>
    <sheet name="RCE PP&amp;E" sheetId="79" r:id="rId12"/>
    <sheet name="Depr. PP&amp;E" sheetId="74" r:id="rId13"/>
    <sheet name="Sale" sheetId="104" r:id="rId14"/>
    <sheet name="Price" sheetId="91" r:id="rId15"/>
    <sheet name="Capex" sheetId="76" r:id="rId16"/>
    <sheet name="Opex" sheetId="93" r:id="rId17"/>
    <sheet name="Prod info" sheetId="84" r:id="rId18"/>
    <sheet name="Costprice" sheetId="110" r:id="rId19"/>
    <sheet name="Inv. wine" sheetId="109" r:id="rId20"/>
    <sheet name="Inv. start wine" sheetId="113" r:id="rId21"/>
    <sheet name="Inv. mat" sheetId="112" r:id="rId22"/>
    <sheet name="Inv. start" sheetId="94" r:id="rId23"/>
    <sheet name="Loan" sheetId="107" r:id="rId24"/>
  </sheets>
  <externalReferences>
    <externalReference r:id="rId25"/>
    <externalReference r:id="rId26"/>
    <externalReference r:id="rId27"/>
    <externalReference r:id="rId28"/>
  </externalReferences>
  <definedNames>
    <definedName name="_xlnm.Print_Area" localSheetId="5">Bond!$A$1:$M$17</definedName>
    <definedName name="_xlnm.Print_Area" localSheetId="15">Capex!$A$1:$O$82</definedName>
    <definedName name="_xlnm.Print_Area" localSheetId="8">EN!$C$55</definedName>
    <definedName name="_xlnm.Print_Area" localSheetId="23">Loan!$A$1:$N$43</definedName>
    <definedName name="_xlnm.Print_Area" localSheetId="10">RCE!$A$1:$W$52</definedName>
    <definedName name="_xlnm.Print_Area" localSheetId="6">'RCF-F'!$A$1:$K$74</definedName>
    <definedName name="_xlnm.Print_Area" localSheetId="7">'RCF-FS'!$A$1:$U$51</definedName>
    <definedName name="_xlnm.Print_Area" localSheetId="9">RCV!$A$1:$W$52</definedName>
    <definedName name="FiscalYearStartDate" localSheetId="15">#REF!</definedName>
    <definedName name="FiscalYearStartDate" localSheetId="12">#REF!</definedName>
    <definedName name="FiscalYearStartDate" localSheetId="8">#REF!</definedName>
    <definedName name="FiscalYearStartDate" localSheetId="20">#REF!</definedName>
    <definedName name="FiscalYearStartDate" localSheetId="4">#REF!</definedName>
    <definedName name="FiscalYearStartDate" localSheetId="23">#REF!</definedName>
    <definedName name="FiscalYearStartDate" localSheetId="10">#REF!</definedName>
    <definedName name="FiscalYearStartDate" localSheetId="11">#REF!</definedName>
    <definedName name="FiscalYearStartDate" localSheetId="6">#REF!</definedName>
    <definedName name="FiscalYearStartDate" localSheetId="7">#REF!</definedName>
    <definedName name="FiscalYearStartDate" localSheetId="9">#REF!</definedName>
    <definedName name="FiscalYearStartDate" localSheetId="1">#REF!</definedName>
    <definedName name="FiscalYearStartDate" localSheetId="2">#REF!</definedName>
    <definedName name="FiscalYearStartDate" localSheetId="3">#REF!</definedName>
    <definedName name="FiscalYearStartDate">#REF!</definedName>
    <definedName name="StartDate" localSheetId="15">'[1]Cashflow 2017'!$B$4</definedName>
    <definedName name="StartDate" localSheetId="12">'[1]Cashflow 2017'!$B$4</definedName>
    <definedName name="StartDate" localSheetId="20">'[2]Cashflow 2017'!$B$4</definedName>
    <definedName name="StartDate" localSheetId="11">'[3]Cashflow 2017'!$B$4</definedName>
    <definedName name="StartDate">'[2]Cashflow 2017'!$B$4</definedName>
  </definedNames>
  <calcPr calcId="145621"/>
  <fileRecoveryPr repairLoad="1"/>
</workbook>
</file>

<file path=xl/calcChain.xml><?xml version="1.0" encoding="utf-8"?>
<calcChain xmlns="http://schemas.openxmlformats.org/spreadsheetml/2006/main">
  <c r="AT60" i="107" l="1"/>
  <c r="AS60" i="107"/>
  <c r="AR60" i="107"/>
  <c r="AQ60" i="107"/>
  <c r="AO60" i="107"/>
  <c r="AK60" i="107"/>
  <c r="AJ60" i="107"/>
  <c r="AI60" i="107"/>
  <c r="AH60" i="107"/>
  <c r="AF60" i="107"/>
  <c r="AT59" i="107"/>
  <c r="AS59" i="107"/>
  <c r="AR59" i="107"/>
  <c r="AQ59" i="107"/>
  <c r="AO59" i="107"/>
  <c r="AK59" i="107"/>
  <c r="AJ59" i="107"/>
  <c r="AI59" i="107"/>
  <c r="AH59" i="107"/>
  <c r="AF59" i="107"/>
  <c r="AT58" i="107"/>
  <c r="AS58" i="107"/>
  <c r="AR58" i="107"/>
  <c r="AQ58" i="107"/>
  <c r="AO58" i="107"/>
  <c r="AK58" i="107"/>
  <c r="AJ58" i="107"/>
  <c r="AI58" i="107"/>
  <c r="AH58" i="107"/>
  <c r="AF58" i="107"/>
  <c r="AT57" i="107"/>
  <c r="AS57" i="107"/>
  <c r="AR57" i="107"/>
  <c r="AQ57" i="107"/>
  <c r="AO57" i="107"/>
  <c r="AK57" i="107"/>
  <c r="AJ57" i="107"/>
  <c r="AI57" i="107"/>
  <c r="AH57" i="107"/>
  <c r="AF57" i="107"/>
  <c r="AT56" i="107"/>
  <c r="AS56" i="107"/>
  <c r="AR56" i="107"/>
  <c r="AQ56" i="107"/>
  <c r="AO56" i="107"/>
  <c r="AK56" i="107"/>
  <c r="AJ56" i="107"/>
  <c r="AI56" i="107"/>
  <c r="AH56" i="107"/>
  <c r="AF56" i="107"/>
  <c r="AT55" i="107"/>
  <c r="AS55" i="107"/>
  <c r="AR55" i="107"/>
  <c r="AQ55" i="107"/>
  <c r="AO55" i="107"/>
  <c r="AK55" i="107"/>
  <c r="AJ55" i="107"/>
  <c r="AI55" i="107"/>
  <c r="AH55" i="107"/>
  <c r="AF55" i="107"/>
  <c r="AT54" i="107"/>
  <c r="AS54" i="107"/>
  <c r="AR54" i="107"/>
  <c r="AQ54" i="107"/>
  <c r="AO54" i="107"/>
  <c r="AK54" i="107"/>
  <c r="AJ54" i="107"/>
  <c r="AI54" i="107"/>
  <c r="AH54" i="107"/>
  <c r="AF54" i="107"/>
  <c r="AT53" i="107"/>
  <c r="AS53" i="107"/>
  <c r="AR53" i="107"/>
  <c r="AQ53" i="107"/>
  <c r="AO53" i="107"/>
  <c r="AK53" i="107"/>
  <c r="AJ53" i="107"/>
  <c r="AI53" i="107"/>
  <c r="AH53" i="107"/>
  <c r="AF53" i="107"/>
  <c r="AT52" i="107"/>
  <c r="AS52" i="107"/>
  <c r="AR52" i="107"/>
  <c r="AQ52" i="107"/>
  <c r="AO52" i="107"/>
  <c r="AK52" i="107"/>
  <c r="AJ52" i="107"/>
  <c r="AI52" i="107"/>
  <c r="AH52" i="107"/>
  <c r="AF52" i="107"/>
  <c r="AT51" i="107"/>
  <c r="AS51" i="107"/>
  <c r="AR51" i="107"/>
  <c r="AQ51" i="107"/>
  <c r="AO51" i="107"/>
  <c r="AK51" i="107"/>
  <c r="AJ51" i="107"/>
  <c r="AI51" i="107"/>
  <c r="AH51" i="107"/>
  <c r="AF51" i="107"/>
  <c r="T51" i="107"/>
  <c r="AT50" i="107"/>
  <c r="AS50" i="107"/>
  <c r="AR50" i="107"/>
  <c r="AQ50" i="107"/>
  <c r="AO50" i="107"/>
  <c r="AK50" i="107"/>
  <c r="AJ50" i="107"/>
  <c r="AI50" i="107"/>
  <c r="AH50" i="107"/>
  <c r="AF50" i="107"/>
  <c r="AT49" i="107"/>
  <c r="AS49" i="107"/>
  <c r="AR49" i="107"/>
  <c r="AQ49" i="107"/>
  <c r="AO49" i="107"/>
  <c r="AK49" i="107"/>
  <c r="AJ49" i="107"/>
  <c r="AI49" i="107"/>
  <c r="AH49" i="107"/>
  <c r="AF49" i="107"/>
  <c r="AT48" i="107"/>
  <c r="AS48" i="107"/>
  <c r="AR48" i="107"/>
  <c r="AQ48" i="107"/>
  <c r="AO48" i="107"/>
  <c r="AK48" i="107"/>
  <c r="AJ48" i="107"/>
  <c r="AI48" i="107"/>
  <c r="AH48" i="107"/>
  <c r="AF48" i="107"/>
  <c r="AT47" i="107"/>
  <c r="AS47" i="107"/>
  <c r="AR47" i="107"/>
  <c r="AQ47" i="107"/>
  <c r="AO47" i="107"/>
  <c r="AK47" i="107"/>
  <c r="AJ47" i="107"/>
  <c r="AI47" i="107"/>
  <c r="AH47" i="107"/>
  <c r="AF47" i="107"/>
  <c r="AT46" i="107"/>
  <c r="AS46" i="107"/>
  <c r="AR46" i="107"/>
  <c r="AQ46" i="107"/>
  <c r="AO46" i="107"/>
  <c r="AK46" i="107"/>
  <c r="AJ46" i="107"/>
  <c r="AI46" i="107"/>
  <c r="AH46" i="107"/>
  <c r="AF46" i="107"/>
  <c r="AT45" i="107"/>
  <c r="AS45" i="107"/>
  <c r="AR45" i="107"/>
  <c r="AQ45" i="107"/>
  <c r="AO45" i="107"/>
  <c r="AK45" i="107"/>
  <c r="AJ45" i="107"/>
  <c r="AI45" i="107"/>
  <c r="AH45" i="107"/>
  <c r="AF45" i="107"/>
  <c r="AT44" i="107"/>
  <c r="AS44" i="107"/>
  <c r="AR44" i="107"/>
  <c r="AQ44" i="107"/>
  <c r="AO44" i="107"/>
  <c r="AK44" i="107"/>
  <c r="AJ44" i="107"/>
  <c r="AI44" i="107"/>
  <c r="AH44" i="107"/>
  <c r="AF44" i="107"/>
  <c r="AT43" i="107"/>
  <c r="AS43" i="107"/>
  <c r="AR43" i="107"/>
  <c r="AQ43" i="107"/>
  <c r="AO43" i="107"/>
  <c r="AK43" i="107"/>
  <c r="AJ43" i="107"/>
  <c r="AI43" i="107"/>
  <c r="AH43" i="107"/>
  <c r="AF43" i="107"/>
  <c r="AT42" i="107"/>
  <c r="AS42" i="107"/>
  <c r="AR42" i="107"/>
  <c r="AQ42" i="107"/>
  <c r="AO42" i="107"/>
  <c r="AK42" i="107"/>
  <c r="AJ42" i="107"/>
  <c r="AI42" i="107"/>
  <c r="AH42" i="107"/>
  <c r="AF42" i="107"/>
  <c r="AT41" i="107"/>
  <c r="AS41" i="107"/>
  <c r="AR41" i="107"/>
  <c r="AQ41" i="107"/>
  <c r="AO41" i="107"/>
  <c r="AK41" i="107"/>
  <c r="AJ41" i="107"/>
  <c r="AI41" i="107"/>
  <c r="AH41" i="107"/>
  <c r="AF41" i="107"/>
  <c r="AT40" i="107"/>
  <c r="AS40" i="107"/>
  <c r="AR40" i="107"/>
  <c r="AQ40" i="107"/>
  <c r="AO40" i="107"/>
  <c r="AK40" i="107"/>
  <c r="AJ40" i="107"/>
  <c r="AI40" i="107"/>
  <c r="AH40" i="107"/>
  <c r="AF40" i="107"/>
  <c r="AT39" i="107"/>
  <c r="AS39" i="107"/>
  <c r="AR39" i="107"/>
  <c r="AQ39" i="107"/>
  <c r="AO39" i="107"/>
  <c r="AK39" i="107"/>
  <c r="AJ39" i="107"/>
  <c r="AI39" i="107"/>
  <c r="AH39" i="107"/>
  <c r="AF39" i="107"/>
  <c r="T39" i="107"/>
  <c r="Q39" i="107"/>
  <c r="P39" i="107"/>
  <c r="O39" i="107"/>
  <c r="N39" i="107"/>
  <c r="M39" i="107"/>
  <c r="L39" i="107"/>
  <c r="K39" i="107"/>
  <c r="J39" i="107"/>
  <c r="I39" i="107"/>
  <c r="H39" i="107"/>
  <c r="G39" i="107"/>
  <c r="AT38" i="107"/>
  <c r="AS38" i="107"/>
  <c r="AR38" i="107"/>
  <c r="AQ38" i="107"/>
  <c r="AO38" i="107"/>
  <c r="AK38" i="107"/>
  <c r="AJ38" i="107"/>
  <c r="AI38" i="107"/>
  <c r="AH38" i="107"/>
  <c r="AF38" i="107"/>
  <c r="AT37" i="107"/>
  <c r="AS37" i="107"/>
  <c r="AR37" i="107"/>
  <c r="AQ37" i="107"/>
  <c r="AO37" i="107"/>
  <c r="AK37" i="107"/>
  <c r="AJ37" i="107"/>
  <c r="AI37" i="107"/>
  <c r="AH37" i="107"/>
  <c r="AF37" i="107"/>
  <c r="Q37" i="107"/>
  <c r="P37" i="107"/>
  <c r="O37" i="107"/>
  <c r="N37" i="107"/>
  <c r="M37" i="107"/>
  <c r="L37" i="107"/>
  <c r="K37" i="107"/>
  <c r="J37" i="107"/>
  <c r="I37" i="107"/>
  <c r="H37" i="107"/>
  <c r="G37" i="107"/>
  <c r="AT36" i="107"/>
  <c r="AS36" i="107"/>
  <c r="AR36" i="107"/>
  <c r="AQ36" i="107"/>
  <c r="AO36" i="107"/>
  <c r="AK36" i="107"/>
  <c r="AJ36" i="107"/>
  <c r="AI36" i="107"/>
  <c r="AH36" i="107"/>
  <c r="AF36" i="107"/>
  <c r="Q36" i="107"/>
  <c r="P36" i="107"/>
  <c r="O36" i="107"/>
  <c r="N36" i="107"/>
  <c r="M36" i="107"/>
  <c r="L36" i="107"/>
  <c r="K36" i="107"/>
  <c r="J36" i="107"/>
  <c r="I36" i="107"/>
  <c r="H36" i="107"/>
  <c r="G36" i="107"/>
  <c r="B36" i="107"/>
  <c r="AT35" i="107"/>
  <c r="AS35" i="107"/>
  <c r="AR35" i="107"/>
  <c r="AQ35" i="107"/>
  <c r="AO35" i="107"/>
  <c r="AK35" i="107"/>
  <c r="AJ35" i="107"/>
  <c r="AI35" i="107"/>
  <c r="AH35" i="107"/>
  <c r="AF35" i="107"/>
  <c r="Q35" i="107"/>
  <c r="P35" i="107"/>
  <c r="O35" i="107"/>
  <c r="N35" i="107"/>
  <c r="M35" i="107"/>
  <c r="L35" i="107"/>
  <c r="K35" i="107"/>
  <c r="J35" i="107"/>
  <c r="I35" i="107"/>
  <c r="H35" i="107"/>
  <c r="G35" i="107"/>
  <c r="B35" i="107"/>
  <c r="AT34" i="107"/>
  <c r="AS34" i="107"/>
  <c r="AR34" i="107"/>
  <c r="AQ34" i="107"/>
  <c r="AO34" i="107"/>
  <c r="AK34" i="107"/>
  <c r="AJ34" i="107"/>
  <c r="AI34" i="107"/>
  <c r="AH34" i="107"/>
  <c r="AF34" i="107"/>
  <c r="Q34" i="107"/>
  <c r="P34" i="107"/>
  <c r="O34" i="107"/>
  <c r="N34" i="107"/>
  <c r="M34" i="107"/>
  <c r="L34" i="107"/>
  <c r="K34" i="107"/>
  <c r="J34" i="107"/>
  <c r="I34" i="107"/>
  <c r="H34" i="107"/>
  <c r="G34" i="107"/>
  <c r="AT33" i="107"/>
  <c r="AS33" i="107"/>
  <c r="AR33" i="107"/>
  <c r="AQ33" i="107"/>
  <c r="AO33" i="107"/>
  <c r="AK33" i="107"/>
  <c r="AJ33" i="107"/>
  <c r="AI33" i="107"/>
  <c r="AH33" i="107"/>
  <c r="AF33" i="107"/>
  <c r="AT32" i="107"/>
  <c r="AS32" i="107"/>
  <c r="AR32" i="107"/>
  <c r="AQ32" i="107"/>
  <c r="AO32" i="107"/>
  <c r="AK32" i="107"/>
  <c r="AJ32" i="107"/>
  <c r="AI32" i="107"/>
  <c r="AH32" i="107"/>
  <c r="AF32" i="107"/>
  <c r="B32" i="107"/>
  <c r="AT31" i="107"/>
  <c r="AS31" i="107"/>
  <c r="AR31" i="107"/>
  <c r="AQ31" i="107"/>
  <c r="AO31" i="107"/>
  <c r="AK31" i="107"/>
  <c r="AJ31" i="107"/>
  <c r="AI31" i="107"/>
  <c r="AH31" i="107"/>
  <c r="AF31" i="107"/>
  <c r="B31" i="107"/>
  <c r="AT30" i="107"/>
  <c r="AS30" i="107"/>
  <c r="AR30" i="107"/>
  <c r="AQ30" i="107"/>
  <c r="AO30" i="107"/>
  <c r="AK30" i="107"/>
  <c r="AJ30" i="107"/>
  <c r="AI30" i="107"/>
  <c r="AH30" i="107"/>
  <c r="AF30" i="107"/>
  <c r="B30" i="107"/>
  <c r="AT29" i="107"/>
  <c r="AS29" i="107"/>
  <c r="AR29" i="107"/>
  <c r="AQ29" i="107"/>
  <c r="AO29" i="107"/>
  <c r="AK29" i="107"/>
  <c r="AJ29" i="107"/>
  <c r="AI29" i="107"/>
  <c r="AH29" i="107"/>
  <c r="AF29" i="107"/>
  <c r="Q29" i="107"/>
  <c r="P29" i="107"/>
  <c r="O29" i="107"/>
  <c r="N29" i="107"/>
  <c r="M29" i="107"/>
  <c r="L29" i="107"/>
  <c r="K29" i="107"/>
  <c r="J29" i="107"/>
  <c r="I29" i="107"/>
  <c r="H29" i="107"/>
  <c r="G29" i="107"/>
  <c r="AT28" i="107"/>
  <c r="AS28" i="107"/>
  <c r="AR28" i="107"/>
  <c r="AQ28" i="107"/>
  <c r="AO28" i="107"/>
  <c r="AK28" i="107"/>
  <c r="AJ28" i="107"/>
  <c r="AI28" i="107"/>
  <c r="AH28" i="107"/>
  <c r="AF28" i="107"/>
  <c r="AT27" i="107"/>
  <c r="AS27" i="107"/>
  <c r="AR27" i="107"/>
  <c r="AQ27" i="107"/>
  <c r="AO27" i="107"/>
  <c r="AK27" i="107"/>
  <c r="AJ27" i="107"/>
  <c r="AI27" i="107"/>
  <c r="AH27" i="107"/>
  <c r="AF27" i="107"/>
  <c r="T27" i="107"/>
  <c r="Q27" i="107"/>
  <c r="P27" i="107"/>
  <c r="O27" i="107"/>
  <c r="N27" i="107"/>
  <c r="M27" i="107"/>
  <c r="L27" i="107"/>
  <c r="K27" i="107"/>
  <c r="J27" i="107"/>
  <c r="I27" i="107"/>
  <c r="H27" i="107"/>
  <c r="G27" i="107"/>
  <c r="AT26" i="107"/>
  <c r="AS26" i="107"/>
  <c r="AR26" i="107"/>
  <c r="AQ26" i="107"/>
  <c r="AO26" i="107"/>
  <c r="AK26" i="107"/>
  <c r="AJ26" i="107"/>
  <c r="AI26" i="107"/>
  <c r="AH26" i="107"/>
  <c r="AF26" i="107"/>
  <c r="Q26" i="107"/>
  <c r="P26" i="107"/>
  <c r="O26" i="107"/>
  <c r="N26" i="107"/>
  <c r="M26" i="107"/>
  <c r="L26" i="107"/>
  <c r="K26" i="107"/>
  <c r="J26" i="107"/>
  <c r="I26" i="107"/>
  <c r="H26" i="107"/>
  <c r="G26" i="107"/>
  <c r="AT25" i="107"/>
  <c r="AS25" i="107"/>
  <c r="AR25" i="107"/>
  <c r="AQ25" i="107"/>
  <c r="AO25" i="107"/>
  <c r="AK25" i="107"/>
  <c r="AJ25" i="107"/>
  <c r="AI25" i="107"/>
  <c r="AH25" i="107"/>
  <c r="AF25" i="107"/>
  <c r="Q25" i="107"/>
  <c r="P25" i="107"/>
  <c r="O25" i="107"/>
  <c r="N25" i="107"/>
  <c r="M25" i="107"/>
  <c r="L25" i="107"/>
  <c r="K25" i="107"/>
  <c r="J25" i="107"/>
  <c r="I25" i="107"/>
  <c r="H25" i="107"/>
  <c r="G25" i="107"/>
  <c r="B25" i="107"/>
  <c r="AT24" i="107"/>
  <c r="AS24" i="107"/>
  <c r="AR24" i="107"/>
  <c r="AQ24" i="107"/>
  <c r="AO24" i="107"/>
  <c r="AK24" i="107"/>
  <c r="AJ24" i="107"/>
  <c r="AI24" i="107"/>
  <c r="AH24" i="107"/>
  <c r="AF24" i="107"/>
  <c r="Q24" i="107"/>
  <c r="P24" i="107"/>
  <c r="O24" i="107"/>
  <c r="N24" i="107"/>
  <c r="M24" i="107"/>
  <c r="L24" i="107"/>
  <c r="K24" i="107"/>
  <c r="J24" i="107"/>
  <c r="I24" i="107"/>
  <c r="H24" i="107"/>
  <c r="G24" i="107"/>
  <c r="B24" i="107"/>
  <c r="AT23" i="107"/>
  <c r="AS23" i="107"/>
  <c r="AR23" i="107"/>
  <c r="AQ23" i="107"/>
  <c r="AO23" i="107"/>
  <c r="AK23" i="107"/>
  <c r="AJ23" i="107"/>
  <c r="AI23" i="107"/>
  <c r="AH23" i="107"/>
  <c r="AF23" i="107"/>
  <c r="AT22" i="107"/>
  <c r="AS22" i="107"/>
  <c r="AR22" i="107"/>
  <c r="AQ22" i="107"/>
  <c r="AO22" i="107"/>
  <c r="AK22" i="107"/>
  <c r="AJ22" i="107"/>
  <c r="AI22" i="107"/>
  <c r="AH22" i="107"/>
  <c r="AF22" i="107"/>
  <c r="AT21" i="107"/>
  <c r="AS21" i="107"/>
  <c r="AR21" i="107"/>
  <c r="AQ21" i="107"/>
  <c r="AO21" i="107"/>
  <c r="AK21" i="107"/>
  <c r="AJ21" i="107"/>
  <c r="AI21" i="107"/>
  <c r="AH21" i="107"/>
  <c r="AF21" i="107"/>
  <c r="B21" i="107"/>
  <c r="AT20" i="107"/>
  <c r="AS20" i="107"/>
  <c r="AR20" i="107"/>
  <c r="AQ20" i="107"/>
  <c r="AO20" i="107"/>
  <c r="AK20" i="107"/>
  <c r="AJ20" i="107"/>
  <c r="AI20" i="107"/>
  <c r="AH20" i="107"/>
  <c r="AF20" i="107"/>
  <c r="B20" i="107"/>
  <c r="AT19" i="107"/>
  <c r="AS19" i="107"/>
  <c r="AR19" i="107"/>
  <c r="AQ19" i="107"/>
  <c r="AO19" i="107"/>
  <c r="AK19" i="107"/>
  <c r="AJ19" i="107"/>
  <c r="AI19" i="107"/>
  <c r="AH19" i="107"/>
  <c r="AF19" i="107"/>
  <c r="Q19" i="107"/>
  <c r="P19" i="107"/>
  <c r="O19" i="107"/>
  <c r="N19" i="107"/>
  <c r="M19" i="107"/>
  <c r="L19" i="107"/>
  <c r="K19" i="107"/>
  <c r="J19" i="107"/>
  <c r="I19" i="107"/>
  <c r="H19" i="107"/>
  <c r="G19" i="107"/>
  <c r="B19" i="107"/>
  <c r="AT18" i="107"/>
  <c r="AS18" i="107"/>
  <c r="AR18" i="107"/>
  <c r="AQ18" i="107"/>
  <c r="AO18" i="107"/>
  <c r="AK18" i="107"/>
  <c r="AJ18" i="107"/>
  <c r="AI18" i="107"/>
  <c r="AH18" i="107"/>
  <c r="AF18" i="107"/>
  <c r="B18" i="107"/>
  <c r="AT17" i="107"/>
  <c r="AS17" i="107"/>
  <c r="AR17" i="107"/>
  <c r="AQ17" i="107"/>
  <c r="AO17" i="107"/>
  <c r="AK17" i="107"/>
  <c r="AJ17" i="107"/>
  <c r="AI17" i="107"/>
  <c r="AH17" i="107"/>
  <c r="AF17" i="107"/>
  <c r="AT16" i="107"/>
  <c r="AS16" i="107"/>
  <c r="AR16" i="107"/>
  <c r="AQ16" i="107"/>
  <c r="AO16" i="107"/>
  <c r="AK16" i="107"/>
  <c r="AJ16" i="107"/>
  <c r="AI16" i="107"/>
  <c r="AH16" i="107"/>
  <c r="AF16" i="107"/>
  <c r="Q16" i="107"/>
  <c r="P16" i="107"/>
  <c r="N16" i="107"/>
  <c r="M16" i="107"/>
  <c r="L16" i="107"/>
  <c r="K16" i="107"/>
  <c r="J16" i="107"/>
  <c r="I16" i="107"/>
  <c r="H16" i="107"/>
  <c r="G16" i="107"/>
  <c r="AT15" i="107"/>
  <c r="AS15" i="107"/>
  <c r="AR15" i="107"/>
  <c r="AQ15" i="107"/>
  <c r="AO15" i="107"/>
  <c r="AK15" i="107"/>
  <c r="AJ15" i="107"/>
  <c r="AI15" i="107"/>
  <c r="AH15" i="107"/>
  <c r="AF15" i="107"/>
  <c r="T15" i="107"/>
  <c r="AT14" i="107"/>
  <c r="AS14" i="107"/>
  <c r="AR14" i="107"/>
  <c r="AQ14" i="107"/>
  <c r="AO14" i="107"/>
  <c r="AK14" i="107"/>
  <c r="AJ14" i="107"/>
  <c r="AI14" i="107"/>
  <c r="AH14" i="107"/>
  <c r="AF14" i="107"/>
  <c r="AT13" i="107"/>
  <c r="AS13" i="107"/>
  <c r="AR13" i="107"/>
  <c r="AQ13" i="107"/>
  <c r="AO13" i="107"/>
  <c r="AK13" i="107"/>
  <c r="AJ13" i="107"/>
  <c r="AI13" i="107"/>
  <c r="AH13" i="107"/>
  <c r="AF13" i="107"/>
  <c r="AT12" i="107"/>
  <c r="AS12" i="107"/>
  <c r="AR12" i="107"/>
  <c r="AQ12" i="107"/>
  <c r="AO12" i="107"/>
  <c r="AK12" i="107"/>
  <c r="AJ12" i="107"/>
  <c r="AI12" i="107"/>
  <c r="AH12" i="107"/>
  <c r="AF12" i="107"/>
  <c r="AT11" i="107"/>
  <c r="AS11" i="107"/>
  <c r="AR11" i="107"/>
  <c r="AQ11" i="107"/>
  <c r="AO11" i="107"/>
  <c r="AK11" i="107"/>
  <c r="AJ11" i="107"/>
  <c r="AI11" i="107"/>
  <c r="AH11" i="107"/>
  <c r="AF11" i="107"/>
  <c r="AT10" i="107"/>
  <c r="AS10" i="107"/>
  <c r="AR10" i="107"/>
  <c r="AQ10" i="107"/>
  <c r="AO10" i="107"/>
  <c r="AK10" i="107"/>
  <c r="AJ10" i="107"/>
  <c r="AI10" i="107"/>
  <c r="AH10" i="107"/>
  <c r="AF10" i="107"/>
  <c r="B10" i="107"/>
  <c r="AT9" i="107"/>
  <c r="AS9" i="107"/>
  <c r="AR9" i="107"/>
  <c r="AQ9" i="107"/>
  <c r="AO9" i="107"/>
  <c r="AK9" i="107"/>
  <c r="AJ9" i="107"/>
  <c r="AI9" i="107"/>
  <c r="AH9" i="107"/>
  <c r="AF9" i="107"/>
  <c r="Q9" i="107"/>
  <c r="P9" i="107"/>
  <c r="O9" i="107"/>
  <c r="N9" i="107"/>
  <c r="M9" i="107"/>
  <c r="L9" i="107"/>
  <c r="K9" i="107"/>
  <c r="J9" i="107"/>
  <c r="I9" i="107"/>
  <c r="H9" i="107"/>
  <c r="G9" i="107"/>
  <c r="B9" i="107"/>
  <c r="AT8" i="107"/>
  <c r="AS8" i="107"/>
  <c r="AR8" i="107"/>
  <c r="AQ8" i="107"/>
  <c r="AO8" i="107"/>
  <c r="AK8" i="107"/>
  <c r="AJ8" i="107"/>
  <c r="AI8" i="107"/>
  <c r="AH8" i="107"/>
  <c r="AF8" i="107"/>
  <c r="Q8" i="107"/>
  <c r="P8" i="107"/>
  <c r="O8" i="107"/>
  <c r="N8" i="107"/>
  <c r="M8" i="107"/>
  <c r="L8" i="107"/>
  <c r="K8" i="107"/>
  <c r="J8" i="107"/>
  <c r="I8" i="107"/>
  <c r="H8" i="107"/>
  <c r="G8" i="107"/>
  <c r="AT7" i="107"/>
  <c r="AS7" i="107"/>
  <c r="AR7" i="107"/>
  <c r="AQ7" i="107"/>
  <c r="AO7" i="107"/>
  <c r="AK7" i="107"/>
  <c r="AJ7" i="107"/>
  <c r="AI7" i="107"/>
  <c r="AH7" i="107"/>
  <c r="AF7" i="107"/>
  <c r="AT6" i="107"/>
  <c r="AS6" i="107"/>
  <c r="AR6" i="107"/>
  <c r="AQ6" i="107"/>
  <c r="AO6" i="107"/>
  <c r="AK6" i="107"/>
  <c r="AJ6" i="107"/>
  <c r="AI6" i="107"/>
  <c r="AH6" i="107"/>
  <c r="AF6" i="107"/>
  <c r="AT5" i="107"/>
  <c r="AS5" i="107"/>
  <c r="AR5" i="107"/>
  <c r="AQ5" i="107"/>
  <c r="AO5" i="107"/>
  <c r="AK5" i="107"/>
  <c r="AJ5" i="107"/>
  <c r="AI5" i="107"/>
  <c r="AH5" i="107"/>
  <c r="AF5" i="107"/>
  <c r="AT4" i="107"/>
  <c r="AS4" i="107"/>
  <c r="AR4" i="107"/>
  <c r="AQ4" i="107"/>
  <c r="AO4" i="107"/>
  <c r="AK4" i="107"/>
  <c r="AJ4" i="107"/>
  <c r="AI4" i="107"/>
  <c r="AH4" i="107"/>
  <c r="AF4" i="107"/>
  <c r="AQ3" i="107"/>
  <c r="AH3" i="107"/>
  <c r="Q3" i="107"/>
  <c r="P3" i="107"/>
  <c r="O3" i="107"/>
  <c r="N3" i="107"/>
  <c r="M3" i="107"/>
  <c r="L3" i="107"/>
  <c r="K3" i="107"/>
  <c r="J3" i="107"/>
  <c r="I3" i="107"/>
  <c r="H3" i="107"/>
  <c r="G3" i="107"/>
  <c r="F189" i="94"/>
  <c r="F186" i="94"/>
  <c r="A184" i="94"/>
  <c r="A183" i="94"/>
  <c r="A180" i="94"/>
  <c r="A174" i="94"/>
  <c r="A173" i="94"/>
  <c r="A172" i="94"/>
  <c r="A171" i="94"/>
  <c r="A170" i="94"/>
  <c r="E169" i="94"/>
  <c r="D169" i="94"/>
  <c r="B169" i="94"/>
  <c r="A166" i="94"/>
  <c r="A165" i="94"/>
  <c r="A164" i="94"/>
  <c r="A163" i="94"/>
  <c r="A162" i="94"/>
  <c r="E161" i="94"/>
  <c r="D161" i="94"/>
  <c r="B161" i="94"/>
  <c r="A158" i="94"/>
  <c r="A157" i="94"/>
  <c r="A156" i="94"/>
  <c r="A155" i="94"/>
  <c r="A154" i="94"/>
  <c r="E153" i="94"/>
  <c r="D153" i="94"/>
  <c r="B153" i="94"/>
  <c r="A151" i="94"/>
  <c r="A150" i="94"/>
  <c r="A149" i="94"/>
  <c r="A148" i="94"/>
  <c r="A147" i="94"/>
  <c r="E146" i="94"/>
  <c r="D146" i="94"/>
  <c r="B146" i="94"/>
  <c r="F144" i="94"/>
  <c r="E144" i="94"/>
  <c r="D144" i="94"/>
  <c r="C144" i="94"/>
  <c r="B144" i="94"/>
  <c r="F143" i="94"/>
  <c r="E143" i="94"/>
  <c r="D143" i="94"/>
  <c r="C143" i="94"/>
  <c r="B143" i="94"/>
  <c r="A143" i="94"/>
  <c r="F142" i="94"/>
  <c r="E142" i="94"/>
  <c r="D142" i="94"/>
  <c r="C142" i="94"/>
  <c r="B142" i="94"/>
  <c r="A142" i="94"/>
  <c r="F141" i="94"/>
  <c r="E141" i="94"/>
  <c r="D141" i="94"/>
  <c r="C141" i="94"/>
  <c r="B141" i="94"/>
  <c r="A141" i="94"/>
  <c r="F140" i="94"/>
  <c r="E140" i="94"/>
  <c r="D140" i="94"/>
  <c r="C140" i="94"/>
  <c r="B140" i="94"/>
  <c r="A140" i="94"/>
  <c r="F139" i="94"/>
  <c r="E139" i="94"/>
  <c r="D139" i="94"/>
  <c r="C139" i="94"/>
  <c r="B139" i="94"/>
  <c r="A139" i="94"/>
  <c r="E138" i="94"/>
  <c r="D138" i="94"/>
  <c r="C138" i="94"/>
  <c r="B138" i="94"/>
  <c r="F136" i="94"/>
  <c r="E136" i="94"/>
  <c r="D136" i="94"/>
  <c r="C136" i="94"/>
  <c r="B136" i="94"/>
  <c r="F135" i="94"/>
  <c r="A135" i="94"/>
  <c r="F134" i="94"/>
  <c r="A134" i="94"/>
  <c r="F133" i="94"/>
  <c r="A133" i="94"/>
  <c r="F132" i="94"/>
  <c r="D132" i="94"/>
  <c r="A132" i="94"/>
  <c r="F131" i="94"/>
  <c r="D131" i="94"/>
  <c r="C131" i="94"/>
  <c r="A131" i="94"/>
  <c r="E130" i="94"/>
  <c r="D130" i="94"/>
  <c r="C130" i="94"/>
  <c r="B130" i="94"/>
  <c r="F128" i="94"/>
  <c r="E128" i="94"/>
  <c r="D128" i="94"/>
  <c r="C128" i="94"/>
  <c r="B128" i="94"/>
  <c r="F127" i="94"/>
  <c r="D127" i="94"/>
  <c r="C127" i="94"/>
  <c r="B127" i="94"/>
  <c r="A127" i="94"/>
  <c r="F126" i="94"/>
  <c r="D126" i="94"/>
  <c r="C126" i="94"/>
  <c r="B126" i="94"/>
  <c r="A126" i="94"/>
  <c r="F125" i="94"/>
  <c r="D125" i="94"/>
  <c r="C125" i="94"/>
  <c r="B125" i="94"/>
  <c r="A125" i="94"/>
  <c r="F124" i="94"/>
  <c r="D124" i="94"/>
  <c r="C124" i="94"/>
  <c r="B124" i="94"/>
  <c r="A124" i="94"/>
  <c r="F123" i="94"/>
  <c r="E123" i="94"/>
  <c r="D123" i="94"/>
  <c r="C123" i="94"/>
  <c r="B123" i="94"/>
  <c r="A123" i="94"/>
  <c r="E122" i="94"/>
  <c r="D122" i="94"/>
  <c r="C122" i="94"/>
  <c r="B122" i="94"/>
  <c r="A116" i="94"/>
  <c r="A115" i="94"/>
  <c r="A114" i="94"/>
  <c r="A113" i="94"/>
  <c r="A112" i="94"/>
  <c r="E111" i="94"/>
  <c r="D111" i="94"/>
  <c r="A108" i="94"/>
  <c r="A107" i="94"/>
  <c r="A106" i="94"/>
  <c r="A105" i="94"/>
  <c r="A104" i="94"/>
  <c r="E103" i="94"/>
  <c r="D103" i="94"/>
  <c r="A100" i="94"/>
  <c r="A99" i="94"/>
  <c r="A98" i="94"/>
  <c r="A97" i="94"/>
  <c r="A96" i="94"/>
  <c r="E95" i="94"/>
  <c r="D95" i="94"/>
  <c r="A92" i="94"/>
  <c r="A91" i="94"/>
  <c r="A90" i="94"/>
  <c r="A89" i="94"/>
  <c r="A88" i="94"/>
  <c r="E87" i="94"/>
  <c r="D87" i="94"/>
  <c r="F85" i="94"/>
  <c r="E85" i="94"/>
  <c r="D85" i="94"/>
  <c r="C85" i="94"/>
  <c r="F84" i="94"/>
  <c r="E84" i="94"/>
  <c r="D84" i="94"/>
  <c r="C84" i="94"/>
  <c r="A84" i="94"/>
  <c r="F83" i="94"/>
  <c r="E83" i="94"/>
  <c r="D83" i="94"/>
  <c r="C83" i="94"/>
  <c r="A83" i="94"/>
  <c r="F82" i="94"/>
  <c r="E82" i="94"/>
  <c r="D82" i="94"/>
  <c r="C82" i="94"/>
  <c r="A82" i="94"/>
  <c r="F81" i="94"/>
  <c r="E81" i="94"/>
  <c r="D81" i="94"/>
  <c r="C81" i="94"/>
  <c r="A81" i="94"/>
  <c r="F80" i="94"/>
  <c r="E80" i="94"/>
  <c r="D80" i="94"/>
  <c r="C80" i="94"/>
  <c r="A80" i="94"/>
  <c r="E79" i="94"/>
  <c r="D79" i="94"/>
  <c r="F77" i="94"/>
  <c r="E77" i="94"/>
  <c r="D77" i="94"/>
  <c r="C77" i="94"/>
  <c r="F76" i="94"/>
  <c r="A76" i="94"/>
  <c r="F75" i="94"/>
  <c r="A75" i="94"/>
  <c r="F74" i="94"/>
  <c r="A74" i="94"/>
  <c r="F73" i="94"/>
  <c r="E73" i="94"/>
  <c r="D73" i="94"/>
  <c r="C73" i="94"/>
  <c r="A73" i="94"/>
  <c r="F72" i="94"/>
  <c r="E72" i="94"/>
  <c r="D72" i="94"/>
  <c r="C72" i="94"/>
  <c r="A72" i="94"/>
  <c r="E71" i="94"/>
  <c r="D71" i="94"/>
  <c r="A71" i="94"/>
  <c r="F69" i="94"/>
  <c r="E69" i="94"/>
  <c r="D69" i="94"/>
  <c r="C69" i="94"/>
  <c r="F68" i="94"/>
  <c r="A68" i="94"/>
  <c r="F67" i="94"/>
  <c r="E67" i="94"/>
  <c r="D67" i="94"/>
  <c r="A67" i="94"/>
  <c r="F66" i="94"/>
  <c r="D66" i="94"/>
  <c r="C66" i="94"/>
  <c r="A66" i="94"/>
  <c r="F65" i="94"/>
  <c r="A65" i="94"/>
  <c r="F64" i="94"/>
  <c r="E63" i="94"/>
  <c r="D63" i="94"/>
  <c r="C63" i="94"/>
  <c r="A59" i="94"/>
  <c r="A58" i="94"/>
  <c r="A57" i="94"/>
  <c r="A56" i="94"/>
  <c r="A55" i="94"/>
  <c r="E54" i="94"/>
  <c r="D54" i="94"/>
  <c r="A51" i="94"/>
  <c r="A50" i="94"/>
  <c r="A49" i="94"/>
  <c r="A48" i="94"/>
  <c r="A47" i="94"/>
  <c r="E46" i="94"/>
  <c r="D46" i="94"/>
  <c r="M44" i="94"/>
  <c r="M43" i="94"/>
  <c r="H43" i="94"/>
  <c r="A43" i="94"/>
  <c r="M42" i="94"/>
  <c r="H42" i="94"/>
  <c r="A42" i="94"/>
  <c r="M41" i="94"/>
  <c r="H41" i="94"/>
  <c r="A41" i="94"/>
  <c r="M40" i="94"/>
  <c r="H40" i="94"/>
  <c r="A40" i="94"/>
  <c r="M39" i="94"/>
  <c r="H39" i="94"/>
  <c r="A39" i="94"/>
  <c r="E38" i="94"/>
  <c r="D38" i="94"/>
  <c r="J36" i="94"/>
  <c r="I36" i="94"/>
  <c r="H36" i="94"/>
  <c r="M35" i="94"/>
  <c r="J35" i="94"/>
  <c r="I35" i="94"/>
  <c r="H35" i="94"/>
  <c r="A35" i="94"/>
  <c r="M34" i="94"/>
  <c r="J34" i="94"/>
  <c r="I34" i="94"/>
  <c r="H34" i="94"/>
  <c r="A34" i="94"/>
  <c r="J33" i="94"/>
  <c r="I33" i="94"/>
  <c r="H33" i="94"/>
  <c r="A33" i="94"/>
  <c r="J32" i="94"/>
  <c r="I32" i="94"/>
  <c r="H32" i="94"/>
  <c r="A32" i="94"/>
  <c r="A31" i="94"/>
  <c r="E30" i="94"/>
  <c r="D30" i="94"/>
  <c r="M29" i="94"/>
  <c r="J29" i="94"/>
  <c r="I29" i="94"/>
  <c r="H29" i="94"/>
  <c r="M28" i="94"/>
  <c r="J28" i="94"/>
  <c r="I28" i="94"/>
  <c r="F28" i="94"/>
  <c r="E28" i="94"/>
  <c r="D28" i="94"/>
  <c r="C28" i="94"/>
  <c r="M27" i="94"/>
  <c r="J27" i="94"/>
  <c r="I27" i="94"/>
  <c r="H27" i="94"/>
  <c r="F27" i="94"/>
  <c r="E27" i="94"/>
  <c r="D27" i="94"/>
  <c r="C27" i="94"/>
  <c r="A27" i="94"/>
  <c r="M26" i="94"/>
  <c r="J26" i="94"/>
  <c r="I26" i="94"/>
  <c r="H26" i="94"/>
  <c r="F26" i="94"/>
  <c r="E26" i="94"/>
  <c r="D26" i="94"/>
  <c r="C26" i="94"/>
  <c r="A26" i="94"/>
  <c r="M25" i="94"/>
  <c r="J25" i="94"/>
  <c r="I25" i="94"/>
  <c r="H25" i="94"/>
  <c r="F25" i="94"/>
  <c r="E25" i="94"/>
  <c r="D25" i="94"/>
  <c r="C25" i="94"/>
  <c r="A25" i="94"/>
  <c r="F24" i="94"/>
  <c r="E24" i="94"/>
  <c r="D24" i="94"/>
  <c r="C24" i="94"/>
  <c r="A24" i="94"/>
  <c r="F23" i="94"/>
  <c r="E23" i="94"/>
  <c r="D23" i="94"/>
  <c r="C23" i="94"/>
  <c r="A23" i="94"/>
  <c r="M22" i="94"/>
  <c r="K22" i="94"/>
  <c r="J22" i="94"/>
  <c r="I22" i="94"/>
  <c r="E22" i="94"/>
  <c r="D22" i="94"/>
  <c r="C22" i="94"/>
  <c r="M20" i="94"/>
  <c r="J20" i="94"/>
  <c r="I20" i="94"/>
  <c r="H20" i="94"/>
  <c r="F20" i="94"/>
  <c r="E20" i="94"/>
  <c r="D20" i="94"/>
  <c r="C20" i="94"/>
  <c r="M19" i="94"/>
  <c r="J19" i="94"/>
  <c r="I19" i="94"/>
  <c r="H19" i="94"/>
  <c r="F19" i="94"/>
  <c r="A19" i="94"/>
  <c r="M18" i="94"/>
  <c r="J18" i="94"/>
  <c r="I18" i="94"/>
  <c r="H18" i="94"/>
  <c r="F18" i="94"/>
  <c r="A18" i="94"/>
  <c r="M17" i="94"/>
  <c r="J17" i="94"/>
  <c r="I17" i="94"/>
  <c r="H17" i="94"/>
  <c r="F17" i="94"/>
  <c r="A17" i="94"/>
  <c r="M16" i="94"/>
  <c r="J16" i="94"/>
  <c r="I16" i="94"/>
  <c r="H16" i="94"/>
  <c r="F16" i="94"/>
  <c r="D16" i="94"/>
  <c r="C16" i="94"/>
  <c r="A16" i="94"/>
  <c r="F15" i="94"/>
  <c r="D15" i="94"/>
  <c r="C15" i="94"/>
  <c r="A15" i="94"/>
  <c r="E14" i="94"/>
  <c r="D14" i="94"/>
  <c r="C14" i="94"/>
  <c r="M13" i="94"/>
  <c r="J13" i="94"/>
  <c r="I13" i="94"/>
  <c r="H13" i="94"/>
  <c r="M12" i="94"/>
  <c r="J12" i="94"/>
  <c r="I12" i="94"/>
  <c r="H12" i="94"/>
  <c r="F12" i="94"/>
  <c r="E12" i="94"/>
  <c r="D12" i="94"/>
  <c r="C12" i="94"/>
  <c r="M11" i="94"/>
  <c r="J11" i="94"/>
  <c r="I11" i="94"/>
  <c r="H11" i="94"/>
  <c r="F11" i="94"/>
  <c r="A11" i="94"/>
  <c r="M10" i="94"/>
  <c r="J10" i="94"/>
  <c r="I10" i="94"/>
  <c r="H10" i="94"/>
  <c r="F10" i="94"/>
  <c r="D10" i="94"/>
  <c r="A10" i="94"/>
  <c r="M9" i="94"/>
  <c r="J9" i="94"/>
  <c r="I9" i="94"/>
  <c r="F9" i="94"/>
  <c r="D9" i="94"/>
  <c r="C9" i="94"/>
  <c r="A9" i="94"/>
  <c r="F8" i="94"/>
  <c r="E8" i="94"/>
  <c r="A8" i="94"/>
  <c r="F7" i="94"/>
  <c r="E7" i="94"/>
  <c r="A7" i="94"/>
  <c r="E6" i="94"/>
  <c r="D6" i="94"/>
  <c r="BM159" i="112"/>
  <c r="BL159" i="112"/>
  <c r="BK159" i="112"/>
  <c r="BJ159" i="112"/>
  <c r="BI159" i="112"/>
  <c r="BH159" i="112"/>
  <c r="BG159" i="112"/>
  <c r="AV159" i="112"/>
  <c r="AQ159" i="112"/>
  <c r="AP159" i="112"/>
  <c r="AO159" i="112"/>
  <c r="AN159" i="112"/>
  <c r="AM159" i="112"/>
  <c r="AL159" i="112"/>
  <c r="AK159" i="112"/>
  <c r="AF159" i="112"/>
  <c r="AE159" i="112"/>
  <c r="AD159" i="112"/>
  <c r="AC159" i="112"/>
  <c r="AB159" i="112"/>
  <c r="AA159" i="112"/>
  <c r="Z159" i="112"/>
  <c r="U159" i="112"/>
  <c r="T159" i="112"/>
  <c r="S159" i="112"/>
  <c r="R159" i="112"/>
  <c r="Q159" i="112"/>
  <c r="P159" i="112"/>
  <c r="O159" i="112"/>
  <c r="BM158" i="112"/>
  <c r="BL158" i="112"/>
  <c r="BK158" i="112"/>
  <c r="BJ158" i="112"/>
  <c r="BI158" i="112"/>
  <c r="BH158" i="112"/>
  <c r="BG158" i="112"/>
  <c r="BD158" i="112"/>
  <c r="AV158" i="112"/>
  <c r="AS158" i="112"/>
  <c r="AQ158" i="112"/>
  <c r="AP158" i="112"/>
  <c r="AO158" i="112"/>
  <c r="AN158" i="112"/>
  <c r="AM158" i="112"/>
  <c r="AL158" i="112"/>
  <c r="AK158" i="112"/>
  <c r="AH158" i="112"/>
  <c r="AF158" i="112"/>
  <c r="AE158" i="112"/>
  <c r="AD158" i="112"/>
  <c r="AC158" i="112"/>
  <c r="AB158" i="112"/>
  <c r="AA158" i="112"/>
  <c r="Z158" i="112"/>
  <c r="W158" i="112"/>
  <c r="U158" i="112"/>
  <c r="T158" i="112"/>
  <c r="S158" i="112"/>
  <c r="R158" i="112"/>
  <c r="Q158" i="112"/>
  <c r="P158" i="112"/>
  <c r="O158" i="112"/>
  <c r="L158" i="112"/>
  <c r="BM156" i="112"/>
  <c r="BL156" i="112"/>
  <c r="BK156" i="112"/>
  <c r="BJ156" i="112"/>
  <c r="BI156" i="112"/>
  <c r="BH156" i="112"/>
  <c r="BG156" i="112"/>
  <c r="BD156" i="112"/>
  <c r="AV156" i="112"/>
  <c r="AS156" i="112"/>
  <c r="AQ156" i="112"/>
  <c r="AP156" i="112"/>
  <c r="AO156" i="112"/>
  <c r="AN156" i="112"/>
  <c r="AM156" i="112"/>
  <c r="AL156" i="112"/>
  <c r="AK156" i="112"/>
  <c r="AH156" i="112"/>
  <c r="AF156" i="112"/>
  <c r="AE156" i="112"/>
  <c r="AD156" i="112"/>
  <c r="AC156" i="112"/>
  <c r="AB156" i="112"/>
  <c r="AA156" i="112"/>
  <c r="Z156" i="112"/>
  <c r="W156" i="112"/>
  <c r="U156" i="112"/>
  <c r="T156" i="112"/>
  <c r="S156" i="112"/>
  <c r="R156" i="112"/>
  <c r="Q156" i="112"/>
  <c r="P156" i="112"/>
  <c r="O156" i="112"/>
  <c r="L156" i="112"/>
  <c r="BM155" i="112"/>
  <c r="BL155" i="112"/>
  <c r="BK155" i="112"/>
  <c r="BJ155" i="112"/>
  <c r="BI155" i="112"/>
  <c r="BH155" i="112"/>
  <c r="BG155" i="112"/>
  <c r="BD155" i="112"/>
  <c r="AV155" i="112"/>
  <c r="AS155" i="112"/>
  <c r="AQ155" i="112"/>
  <c r="AP155" i="112"/>
  <c r="AO155" i="112"/>
  <c r="AN155" i="112"/>
  <c r="AM155" i="112"/>
  <c r="AL155" i="112"/>
  <c r="AK155" i="112"/>
  <c r="AH155" i="112"/>
  <c r="AF155" i="112"/>
  <c r="AE155" i="112"/>
  <c r="AD155" i="112"/>
  <c r="AC155" i="112"/>
  <c r="AB155" i="112"/>
  <c r="AA155" i="112"/>
  <c r="Z155" i="112"/>
  <c r="W155" i="112"/>
  <c r="U155" i="112"/>
  <c r="T155" i="112"/>
  <c r="S155" i="112"/>
  <c r="R155" i="112"/>
  <c r="Q155" i="112"/>
  <c r="P155" i="112"/>
  <c r="O155" i="112"/>
  <c r="L155" i="112"/>
  <c r="BM153" i="112"/>
  <c r="BL153" i="112"/>
  <c r="BK153" i="112"/>
  <c r="BJ153" i="112"/>
  <c r="BI153" i="112"/>
  <c r="BH153" i="112"/>
  <c r="BG153" i="112"/>
  <c r="AV153" i="112"/>
  <c r="AQ153" i="112"/>
  <c r="AP153" i="112"/>
  <c r="AO153" i="112"/>
  <c r="AN153" i="112"/>
  <c r="AM153" i="112"/>
  <c r="AL153" i="112"/>
  <c r="AK153" i="112"/>
  <c r="AF153" i="112"/>
  <c r="AE153" i="112"/>
  <c r="AD153" i="112"/>
  <c r="AC153" i="112"/>
  <c r="AB153" i="112"/>
  <c r="AA153" i="112"/>
  <c r="Z153" i="112"/>
  <c r="U153" i="112"/>
  <c r="T153" i="112"/>
  <c r="S153" i="112"/>
  <c r="R153" i="112"/>
  <c r="Q153" i="112"/>
  <c r="P153" i="112"/>
  <c r="O153" i="112"/>
  <c r="BM152" i="112"/>
  <c r="BL152" i="112"/>
  <c r="BK152" i="112"/>
  <c r="BJ152" i="112"/>
  <c r="BI152" i="112"/>
  <c r="BH152" i="112"/>
  <c r="BG152" i="112"/>
  <c r="AV152" i="112"/>
  <c r="AQ152" i="112"/>
  <c r="AP152" i="112"/>
  <c r="AO152" i="112"/>
  <c r="AN152" i="112"/>
  <c r="AM152" i="112"/>
  <c r="AL152" i="112"/>
  <c r="AK152" i="112"/>
  <c r="AF152" i="112"/>
  <c r="AE152" i="112"/>
  <c r="AD152" i="112"/>
  <c r="AC152" i="112"/>
  <c r="AB152" i="112"/>
  <c r="AA152" i="112"/>
  <c r="Z152" i="112"/>
  <c r="U152" i="112"/>
  <c r="T152" i="112"/>
  <c r="S152" i="112"/>
  <c r="R152" i="112"/>
  <c r="Q152" i="112"/>
  <c r="P152" i="112"/>
  <c r="O152" i="112"/>
  <c r="BM151" i="112"/>
  <c r="BL151" i="112"/>
  <c r="BK151" i="112"/>
  <c r="BJ151" i="112"/>
  <c r="BI151" i="112"/>
  <c r="BH151" i="112"/>
  <c r="BG151" i="112"/>
  <c r="AV151" i="112"/>
  <c r="AQ151" i="112"/>
  <c r="AP151" i="112"/>
  <c r="AO151" i="112"/>
  <c r="AN151" i="112"/>
  <c r="AM151" i="112"/>
  <c r="AL151" i="112"/>
  <c r="AK151" i="112"/>
  <c r="AF151" i="112"/>
  <c r="AE151" i="112"/>
  <c r="AD151" i="112"/>
  <c r="AC151" i="112"/>
  <c r="AB151" i="112"/>
  <c r="AA151" i="112"/>
  <c r="Z151" i="112"/>
  <c r="U151" i="112"/>
  <c r="T151" i="112"/>
  <c r="S151" i="112"/>
  <c r="R151" i="112"/>
  <c r="Q151" i="112"/>
  <c r="P151" i="112"/>
  <c r="O151" i="112"/>
  <c r="BM150" i="112"/>
  <c r="BL150" i="112"/>
  <c r="BK150" i="112"/>
  <c r="BJ150" i="112"/>
  <c r="BI150" i="112"/>
  <c r="BH150" i="112"/>
  <c r="BG150" i="112"/>
  <c r="AW150" i="112"/>
  <c r="AV150" i="112"/>
  <c r="AQ150" i="112"/>
  <c r="AP150" i="112"/>
  <c r="AO150" i="112"/>
  <c r="AN150" i="112"/>
  <c r="AM150" i="112"/>
  <c r="AL150" i="112"/>
  <c r="AK150" i="112"/>
  <c r="AF150" i="112"/>
  <c r="AE150" i="112"/>
  <c r="AD150" i="112"/>
  <c r="AC150" i="112"/>
  <c r="AB150" i="112"/>
  <c r="AA150" i="112"/>
  <c r="Z150" i="112"/>
  <c r="U150" i="112"/>
  <c r="T150" i="112"/>
  <c r="S150" i="112"/>
  <c r="R150" i="112"/>
  <c r="Q150" i="112"/>
  <c r="P150" i="112"/>
  <c r="O150" i="112"/>
  <c r="BM148" i="112"/>
  <c r="BL148" i="112"/>
  <c r="BK148" i="112"/>
  <c r="BJ148" i="112"/>
  <c r="BI148" i="112"/>
  <c r="BH148" i="112"/>
  <c r="BG148" i="112"/>
  <c r="AV148" i="112"/>
  <c r="AQ148" i="112"/>
  <c r="AP148" i="112"/>
  <c r="AO148" i="112"/>
  <c r="AN148" i="112"/>
  <c r="AM148" i="112"/>
  <c r="AL148" i="112"/>
  <c r="AK148" i="112"/>
  <c r="AF148" i="112"/>
  <c r="AE148" i="112"/>
  <c r="AD148" i="112"/>
  <c r="AC148" i="112"/>
  <c r="AB148" i="112"/>
  <c r="AA148" i="112"/>
  <c r="Z148" i="112"/>
  <c r="U148" i="112"/>
  <c r="T148" i="112"/>
  <c r="S148" i="112"/>
  <c r="R148" i="112"/>
  <c r="Q148" i="112"/>
  <c r="P148" i="112"/>
  <c r="O148" i="112"/>
  <c r="BM147" i="112"/>
  <c r="BL147" i="112"/>
  <c r="BK147" i="112"/>
  <c r="BJ147" i="112"/>
  <c r="BI147" i="112"/>
  <c r="BH147" i="112"/>
  <c r="BG147" i="112"/>
  <c r="AV147" i="112"/>
  <c r="AQ147" i="112"/>
  <c r="AP147" i="112"/>
  <c r="AO147" i="112"/>
  <c r="AN147" i="112"/>
  <c r="AM147" i="112"/>
  <c r="AL147" i="112"/>
  <c r="AK147" i="112"/>
  <c r="AF147" i="112"/>
  <c r="AE147" i="112"/>
  <c r="AD147" i="112"/>
  <c r="AC147" i="112"/>
  <c r="AB147" i="112"/>
  <c r="AA147" i="112"/>
  <c r="Z147" i="112"/>
  <c r="U147" i="112"/>
  <c r="T147" i="112"/>
  <c r="S147" i="112"/>
  <c r="R147" i="112"/>
  <c r="Q147" i="112"/>
  <c r="P147" i="112"/>
  <c r="O147" i="112"/>
  <c r="BM145" i="112"/>
  <c r="BL145" i="112"/>
  <c r="BK145" i="112"/>
  <c r="BJ145" i="112"/>
  <c r="BI145" i="112"/>
  <c r="BH145" i="112"/>
  <c r="BG145" i="112"/>
  <c r="AV145" i="112"/>
  <c r="AQ145" i="112"/>
  <c r="AP145" i="112"/>
  <c r="AO145" i="112"/>
  <c r="AN145" i="112"/>
  <c r="AM145" i="112"/>
  <c r="AL145" i="112"/>
  <c r="AK145" i="112"/>
  <c r="AF145" i="112"/>
  <c r="AE145" i="112"/>
  <c r="AD145" i="112"/>
  <c r="AC145" i="112"/>
  <c r="AB145" i="112"/>
  <c r="AA145" i="112"/>
  <c r="Z145" i="112"/>
  <c r="U145" i="112"/>
  <c r="T145" i="112"/>
  <c r="S145" i="112"/>
  <c r="R145" i="112"/>
  <c r="Q145" i="112"/>
  <c r="P145" i="112"/>
  <c r="O145" i="112"/>
  <c r="BM144" i="112"/>
  <c r="BL144" i="112"/>
  <c r="BK144" i="112"/>
  <c r="BJ144" i="112"/>
  <c r="BI144" i="112"/>
  <c r="BH144" i="112"/>
  <c r="BG144" i="112"/>
  <c r="AV144" i="112"/>
  <c r="AQ144" i="112"/>
  <c r="AP144" i="112"/>
  <c r="AO144" i="112"/>
  <c r="AN144" i="112"/>
  <c r="AM144" i="112"/>
  <c r="AL144" i="112"/>
  <c r="AK144" i="112"/>
  <c r="AF144" i="112"/>
  <c r="AE144" i="112"/>
  <c r="AD144" i="112"/>
  <c r="AC144" i="112"/>
  <c r="AB144" i="112"/>
  <c r="AA144" i="112"/>
  <c r="Z144" i="112"/>
  <c r="U144" i="112"/>
  <c r="T144" i="112"/>
  <c r="S144" i="112"/>
  <c r="R144" i="112"/>
  <c r="Q144" i="112"/>
  <c r="P144" i="112"/>
  <c r="O144" i="112"/>
  <c r="BM143" i="112"/>
  <c r="BL143" i="112"/>
  <c r="BK143" i="112"/>
  <c r="BJ143" i="112"/>
  <c r="BI143" i="112"/>
  <c r="BH143" i="112"/>
  <c r="BG143" i="112"/>
  <c r="AW143" i="112"/>
  <c r="AV143" i="112"/>
  <c r="AQ143" i="112"/>
  <c r="AP143" i="112"/>
  <c r="AO143" i="112"/>
  <c r="AN143" i="112"/>
  <c r="AM143" i="112"/>
  <c r="AL143" i="112"/>
  <c r="AK143" i="112"/>
  <c r="AF143" i="112"/>
  <c r="AE143" i="112"/>
  <c r="AD143" i="112"/>
  <c r="AC143" i="112"/>
  <c r="AB143" i="112"/>
  <c r="AA143" i="112"/>
  <c r="U143" i="112"/>
  <c r="T143" i="112"/>
  <c r="S143" i="112"/>
  <c r="R143" i="112"/>
  <c r="Q143" i="112"/>
  <c r="P143" i="112"/>
  <c r="BM142" i="112"/>
  <c r="BL142" i="112"/>
  <c r="BK142" i="112"/>
  <c r="BJ142" i="112"/>
  <c r="BI142" i="112"/>
  <c r="BH142" i="112"/>
  <c r="BG142" i="112"/>
  <c r="AV142" i="112"/>
  <c r="AQ142" i="112"/>
  <c r="AP142" i="112"/>
  <c r="AO142" i="112"/>
  <c r="AN142" i="112"/>
  <c r="AM142" i="112"/>
  <c r="AL142" i="112"/>
  <c r="AK142" i="112"/>
  <c r="AF142" i="112"/>
  <c r="AE142" i="112"/>
  <c r="AD142" i="112"/>
  <c r="AC142" i="112"/>
  <c r="AB142" i="112"/>
  <c r="AA142" i="112"/>
  <c r="Z142" i="112"/>
  <c r="U142" i="112"/>
  <c r="T142" i="112"/>
  <c r="S142" i="112"/>
  <c r="R142" i="112"/>
  <c r="Q142" i="112"/>
  <c r="P142" i="112"/>
  <c r="O142" i="112"/>
  <c r="BM141" i="112"/>
  <c r="BL141" i="112"/>
  <c r="BK141" i="112"/>
  <c r="BJ141" i="112"/>
  <c r="BI141" i="112"/>
  <c r="BH141" i="112"/>
  <c r="BG141" i="112"/>
  <c r="AV141" i="112"/>
  <c r="AQ141" i="112"/>
  <c r="AP141" i="112"/>
  <c r="AO141" i="112"/>
  <c r="AN141" i="112"/>
  <c r="AM141" i="112"/>
  <c r="AL141" i="112"/>
  <c r="AK141" i="112"/>
  <c r="AF141" i="112"/>
  <c r="AE141" i="112"/>
  <c r="AD141" i="112"/>
  <c r="AC141" i="112"/>
  <c r="AB141" i="112"/>
  <c r="AA141" i="112"/>
  <c r="Z141" i="112"/>
  <c r="U141" i="112"/>
  <c r="T141" i="112"/>
  <c r="S141" i="112"/>
  <c r="R141" i="112"/>
  <c r="Q141" i="112"/>
  <c r="P141" i="112"/>
  <c r="O141" i="112"/>
  <c r="BD139" i="112"/>
  <c r="AS139" i="112"/>
  <c r="AH139" i="112"/>
  <c r="W139" i="112"/>
  <c r="L139" i="112"/>
  <c r="W138" i="112"/>
  <c r="BM137" i="112"/>
  <c r="BL137" i="112"/>
  <c r="BK137" i="112"/>
  <c r="BJ137" i="112"/>
  <c r="BI137" i="112"/>
  <c r="BH137" i="112"/>
  <c r="BG137" i="112"/>
  <c r="AV137" i="112"/>
  <c r="AQ137" i="112"/>
  <c r="AP137" i="112"/>
  <c r="AO137" i="112"/>
  <c r="AN137" i="112"/>
  <c r="AM137" i="112"/>
  <c r="AL137" i="112"/>
  <c r="AK137" i="112"/>
  <c r="AF137" i="112"/>
  <c r="AE137" i="112"/>
  <c r="AD137" i="112"/>
  <c r="AC137" i="112"/>
  <c r="AB137" i="112"/>
  <c r="AA137" i="112"/>
  <c r="Z137" i="112"/>
  <c r="U137" i="112"/>
  <c r="T137" i="112"/>
  <c r="S137" i="112"/>
  <c r="R137" i="112"/>
  <c r="Q137" i="112"/>
  <c r="P137" i="112"/>
  <c r="O137" i="112"/>
  <c r="BM136" i="112"/>
  <c r="BL136" i="112"/>
  <c r="BK136" i="112"/>
  <c r="BJ136" i="112"/>
  <c r="BI136" i="112"/>
  <c r="BH136" i="112"/>
  <c r="BG136" i="112"/>
  <c r="BD136" i="112"/>
  <c r="AV136" i="112"/>
  <c r="AS136" i="112"/>
  <c r="AQ136" i="112"/>
  <c r="AP136" i="112"/>
  <c r="AO136" i="112"/>
  <c r="AN136" i="112"/>
  <c r="AM136" i="112"/>
  <c r="AL136" i="112"/>
  <c r="AK136" i="112"/>
  <c r="AH136" i="112"/>
  <c r="AF136" i="112"/>
  <c r="AE136" i="112"/>
  <c r="AD136" i="112"/>
  <c r="AC136" i="112"/>
  <c r="AB136" i="112"/>
  <c r="AA136" i="112"/>
  <c r="Z136" i="112"/>
  <c r="W136" i="112"/>
  <c r="U136" i="112"/>
  <c r="T136" i="112"/>
  <c r="S136" i="112"/>
  <c r="R136" i="112"/>
  <c r="Q136" i="112"/>
  <c r="P136" i="112"/>
  <c r="O136" i="112"/>
  <c r="L136" i="112"/>
  <c r="BM134" i="112"/>
  <c r="BL134" i="112"/>
  <c r="BK134" i="112"/>
  <c r="BJ134" i="112"/>
  <c r="BI134" i="112"/>
  <c r="BH134" i="112"/>
  <c r="BG134" i="112"/>
  <c r="BD134" i="112"/>
  <c r="AV134" i="112"/>
  <c r="AS134" i="112"/>
  <c r="AQ134" i="112"/>
  <c r="AP134" i="112"/>
  <c r="AO134" i="112"/>
  <c r="AN134" i="112"/>
  <c r="AM134" i="112"/>
  <c r="AL134" i="112"/>
  <c r="AK134" i="112"/>
  <c r="AH134" i="112"/>
  <c r="AF134" i="112"/>
  <c r="AE134" i="112"/>
  <c r="AD134" i="112"/>
  <c r="AC134" i="112"/>
  <c r="AB134" i="112"/>
  <c r="AA134" i="112"/>
  <c r="Z134" i="112"/>
  <c r="W134" i="112"/>
  <c r="U134" i="112"/>
  <c r="T134" i="112"/>
  <c r="S134" i="112"/>
  <c r="R134" i="112"/>
  <c r="Q134" i="112"/>
  <c r="P134" i="112"/>
  <c r="O134" i="112"/>
  <c r="L134" i="112"/>
  <c r="BM133" i="112"/>
  <c r="BL133" i="112"/>
  <c r="BK133" i="112"/>
  <c r="BJ133" i="112"/>
  <c r="BI133" i="112"/>
  <c r="BH133" i="112"/>
  <c r="BG133" i="112"/>
  <c r="BD133" i="112"/>
  <c r="AV133" i="112"/>
  <c r="AS133" i="112"/>
  <c r="AQ133" i="112"/>
  <c r="AP133" i="112"/>
  <c r="AO133" i="112"/>
  <c r="AN133" i="112"/>
  <c r="AM133" i="112"/>
  <c r="AL133" i="112"/>
  <c r="AK133" i="112"/>
  <c r="AH133" i="112"/>
  <c r="AF133" i="112"/>
  <c r="AE133" i="112"/>
  <c r="AD133" i="112"/>
  <c r="AC133" i="112"/>
  <c r="AB133" i="112"/>
  <c r="AA133" i="112"/>
  <c r="Z133" i="112"/>
  <c r="W133" i="112"/>
  <c r="U133" i="112"/>
  <c r="T133" i="112"/>
  <c r="S133" i="112"/>
  <c r="R133" i="112"/>
  <c r="Q133" i="112"/>
  <c r="P133" i="112"/>
  <c r="O133" i="112"/>
  <c r="L133" i="112"/>
  <c r="BM131" i="112"/>
  <c r="BL131" i="112"/>
  <c r="BK131" i="112"/>
  <c r="BJ131" i="112"/>
  <c r="BI131" i="112"/>
  <c r="BH131" i="112"/>
  <c r="BG131" i="112"/>
  <c r="AV131" i="112"/>
  <c r="AQ131" i="112"/>
  <c r="AP131" i="112"/>
  <c r="AO131" i="112"/>
  <c r="AN131" i="112"/>
  <c r="AM131" i="112"/>
  <c r="AL131" i="112"/>
  <c r="AK131" i="112"/>
  <c r="AF131" i="112"/>
  <c r="AE131" i="112"/>
  <c r="AD131" i="112"/>
  <c r="AC131" i="112"/>
  <c r="AB131" i="112"/>
  <c r="AA131" i="112"/>
  <c r="Z131" i="112"/>
  <c r="U131" i="112"/>
  <c r="T131" i="112"/>
  <c r="S131" i="112"/>
  <c r="R131" i="112"/>
  <c r="Q131" i="112"/>
  <c r="P131" i="112"/>
  <c r="O131" i="112"/>
  <c r="BM130" i="112"/>
  <c r="BL130" i="112"/>
  <c r="BK130" i="112"/>
  <c r="BJ130" i="112"/>
  <c r="BI130" i="112"/>
  <c r="BH130" i="112"/>
  <c r="BG130" i="112"/>
  <c r="AV130" i="112"/>
  <c r="AQ130" i="112"/>
  <c r="AP130" i="112"/>
  <c r="AO130" i="112"/>
  <c r="AN130" i="112"/>
  <c r="AM130" i="112"/>
  <c r="AL130" i="112"/>
  <c r="AK130" i="112"/>
  <c r="AF130" i="112"/>
  <c r="AE130" i="112"/>
  <c r="AD130" i="112"/>
  <c r="AC130" i="112"/>
  <c r="AB130" i="112"/>
  <c r="AA130" i="112"/>
  <c r="Z130" i="112"/>
  <c r="U130" i="112"/>
  <c r="T130" i="112"/>
  <c r="S130" i="112"/>
  <c r="R130" i="112"/>
  <c r="Q130" i="112"/>
  <c r="P130" i="112"/>
  <c r="O130" i="112"/>
  <c r="BM129" i="112"/>
  <c r="BL129" i="112"/>
  <c r="BK129" i="112"/>
  <c r="BJ129" i="112"/>
  <c r="BI129" i="112"/>
  <c r="BH129" i="112"/>
  <c r="BG129" i="112"/>
  <c r="AV129" i="112"/>
  <c r="AQ129" i="112"/>
  <c r="AP129" i="112"/>
  <c r="AO129" i="112"/>
  <c r="AN129" i="112"/>
  <c r="AM129" i="112"/>
  <c r="AL129" i="112"/>
  <c r="AK129" i="112"/>
  <c r="AF129" i="112"/>
  <c r="AE129" i="112"/>
  <c r="AD129" i="112"/>
  <c r="AC129" i="112"/>
  <c r="AB129" i="112"/>
  <c r="AA129" i="112"/>
  <c r="Z129" i="112"/>
  <c r="U129" i="112"/>
  <c r="T129" i="112"/>
  <c r="S129" i="112"/>
  <c r="R129" i="112"/>
  <c r="Q129" i="112"/>
  <c r="P129" i="112"/>
  <c r="O129" i="112"/>
  <c r="BM128" i="112"/>
  <c r="BL128" i="112"/>
  <c r="BK128" i="112"/>
  <c r="BJ128" i="112"/>
  <c r="BI128" i="112"/>
  <c r="BH128" i="112"/>
  <c r="BG128" i="112"/>
  <c r="AW128" i="112"/>
  <c r="AV128" i="112"/>
  <c r="AQ128" i="112"/>
  <c r="AP128" i="112"/>
  <c r="AO128" i="112"/>
  <c r="AN128" i="112"/>
  <c r="AM128" i="112"/>
  <c r="AL128" i="112"/>
  <c r="AK128" i="112"/>
  <c r="AF128" i="112"/>
  <c r="AE128" i="112"/>
  <c r="AD128" i="112"/>
  <c r="AC128" i="112"/>
  <c r="AB128" i="112"/>
  <c r="AA128" i="112"/>
  <c r="Z128" i="112"/>
  <c r="U128" i="112"/>
  <c r="T128" i="112"/>
  <c r="S128" i="112"/>
  <c r="R128" i="112"/>
  <c r="Q128" i="112"/>
  <c r="P128" i="112"/>
  <c r="O128" i="112"/>
  <c r="BM126" i="112"/>
  <c r="BL126" i="112"/>
  <c r="BK126" i="112"/>
  <c r="BJ126" i="112"/>
  <c r="BI126" i="112"/>
  <c r="BH126" i="112"/>
  <c r="BG126" i="112"/>
  <c r="AV126" i="112"/>
  <c r="AQ126" i="112"/>
  <c r="AP126" i="112"/>
  <c r="AO126" i="112"/>
  <c r="AN126" i="112"/>
  <c r="AM126" i="112"/>
  <c r="AL126" i="112"/>
  <c r="AK126" i="112"/>
  <c r="AF126" i="112"/>
  <c r="AE126" i="112"/>
  <c r="AD126" i="112"/>
  <c r="AC126" i="112"/>
  <c r="AB126" i="112"/>
  <c r="AA126" i="112"/>
  <c r="Z126" i="112"/>
  <c r="U126" i="112"/>
  <c r="T126" i="112"/>
  <c r="S126" i="112"/>
  <c r="R126" i="112"/>
  <c r="Q126" i="112"/>
  <c r="P126" i="112"/>
  <c r="O126" i="112"/>
  <c r="BM125" i="112"/>
  <c r="BL125" i="112"/>
  <c r="BK125" i="112"/>
  <c r="BJ125" i="112"/>
  <c r="BI125" i="112"/>
  <c r="BH125" i="112"/>
  <c r="BG125" i="112"/>
  <c r="AV125" i="112"/>
  <c r="AQ125" i="112"/>
  <c r="AP125" i="112"/>
  <c r="AO125" i="112"/>
  <c r="AN125" i="112"/>
  <c r="AM125" i="112"/>
  <c r="AL125" i="112"/>
  <c r="AK125" i="112"/>
  <c r="AF125" i="112"/>
  <c r="AE125" i="112"/>
  <c r="AD125" i="112"/>
  <c r="AC125" i="112"/>
  <c r="AB125" i="112"/>
  <c r="AA125" i="112"/>
  <c r="Z125" i="112"/>
  <c r="U125" i="112"/>
  <c r="T125" i="112"/>
  <c r="S125" i="112"/>
  <c r="R125" i="112"/>
  <c r="Q125" i="112"/>
  <c r="P125" i="112"/>
  <c r="O125" i="112"/>
  <c r="BM123" i="112"/>
  <c r="BL123" i="112"/>
  <c r="BK123" i="112"/>
  <c r="BJ123" i="112"/>
  <c r="BI123" i="112"/>
  <c r="BH123" i="112"/>
  <c r="BG123" i="112"/>
  <c r="AV123" i="112"/>
  <c r="AQ123" i="112"/>
  <c r="AP123" i="112"/>
  <c r="AO123" i="112"/>
  <c r="AN123" i="112"/>
  <c r="AM123" i="112"/>
  <c r="AL123" i="112"/>
  <c r="AK123" i="112"/>
  <c r="AF123" i="112"/>
  <c r="AE123" i="112"/>
  <c r="AD123" i="112"/>
  <c r="AC123" i="112"/>
  <c r="AB123" i="112"/>
  <c r="AA123" i="112"/>
  <c r="Z123" i="112"/>
  <c r="U123" i="112"/>
  <c r="T123" i="112"/>
  <c r="S123" i="112"/>
  <c r="R123" i="112"/>
  <c r="Q123" i="112"/>
  <c r="P123" i="112"/>
  <c r="O123" i="112"/>
  <c r="BM122" i="112"/>
  <c r="BL122" i="112"/>
  <c r="BK122" i="112"/>
  <c r="BJ122" i="112"/>
  <c r="BI122" i="112"/>
  <c r="BH122" i="112"/>
  <c r="BG122" i="112"/>
  <c r="AV122" i="112"/>
  <c r="AQ122" i="112"/>
  <c r="AP122" i="112"/>
  <c r="AO122" i="112"/>
  <c r="AN122" i="112"/>
  <c r="AM122" i="112"/>
  <c r="AL122" i="112"/>
  <c r="AK122" i="112"/>
  <c r="AF122" i="112"/>
  <c r="AE122" i="112"/>
  <c r="AD122" i="112"/>
  <c r="AC122" i="112"/>
  <c r="AB122" i="112"/>
  <c r="AA122" i="112"/>
  <c r="Z122" i="112"/>
  <c r="U122" i="112"/>
  <c r="T122" i="112"/>
  <c r="S122" i="112"/>
  <c r="R122" i="112"/>
  <c r="Q122" i="112"/>
  <c r="P122" i="112"/>
  <c r="O122" i="112"/>
  <c r="D122" i="112"/>
  <c r="B122" i="112"/>
  <c r="BM121" i="112"/>
  <c r="BL121" i="112"/>
  <c r="BK121" i="112"/>
  <c r="BJ121" i="112"/>
  <c r="BI121" i="112"/>
  <c r="BH121" i="112"/>
  <c r="AW121" i="112"/>
  <c r="AQ121" i="112"/>
  <c r="AP121" i="112"/>
  <c r="AO121" i="112"/>
  <c r="AN121" i="112"/>
  <c r="AM121" i="112"/>
  <c r="AL121" i="112"/>
  <c r="AF121" i="112"/>
  <c r="AE121" i="112"/>
  <c r="AD121" i="112"/>
  <c r="AC121" i="112"/>
  <c r="AB121" i="112"/>
  <c r="AA121" i="112"/>
  <c r="U121" i="112"/>
  <c r="T121" i="112"/>
  <c r="S121" i="112"/>
  <c r="R121" i="112"/>
  <c r="Q121" i="112"/>
  <c r="P121" i="112"/>
  <c r="D121" i="112"/>
  <c r="B121" i="112"/>
  <c r="BM120" i="112"/>
  <c r="BL120" i="112"/>
  <c r="BK120" i="112"/>
  <c r="BJ120" i="112"/>
  <c r="BI120" i="112"/>
  <c r="BH120" i="112"/>
  <c r="BG120" i="112"/>
  <c r="AV120" i="112"/>
  <c r="AQ120" i="112"/>
  <c r="AP120" i="112"/>
  <c r="AO120" i="112"/>
  <c r="AN120" i="112"/>
  <c r="AM120" i="112"/>
  <c r="AL120" i="112"/>
  <c r="AK120" i="112"/>
  <c r="AF120" i="112"/>
  <c r="AE120" i="112"/>
  <c r="AD120" i="112"/>
  <c r="AC120" i="112"/>
  <c r="AB120" i="112"/>
  <c r="AA120" i="112"/>
  <c r="Z120" i="112"/>
  <c r="U120" i="112"/>
  <c r="T120" i="112"/>
  <c r="S120" i="112"/>
  <c r="R120" i="112"/>
  <c r="Q120" i="112"/>
  <c r="P120" i="112"/>
  <c r="O120" i="112"/>
  <c r="D120" i="112"/>
  <c r="E119" i="112"/>
  <c r="D119" i="112"/>
  <c r="BD118" i="112"/>
  <c r="AS118" i="112"/>
  <c r="AH118" i="112"/>
  <c r="W118" i="112"/>
  <c r="L118" i="112"/>
  <c r="BD117" i="112"/>
  <c r="AS117" i="112"/>
  <c r="AH117" i="112"/>
  <c r="W117" i="112"/>
  <c r="L117" i="112"/>
  <c r="D117" i="112"/>
  <c r="B117" i="112"/>
  <c r="BM116" i="112"/>
  <c r="BL116" i="112"/>
  <c r="BK116" i="112"/>
  <c r="BJ116" i="112"/>
  <c r="BI116" i="112"/>
  <c r="BH116" i="112"/>
  <c r="BG116" i="112"/>
  <c r="AV116" i="112"/>
  <c r="AQ116" i="112"/>
  <c r="AP116" i="112"/>
  <c r="AO116" i="112"/>
  <c r="AN116" i="112"/>
  <c r="AM116" i="112"/>
  <c r="AL116" i="112"/>
  <c r="AK116" i="112"/>
  <c r="AF116" i="112"/>
  <c r="AE116" i="112"/>
  <c r="AD116" i="112"/>
  <c r="AC116" i="112"/>
  <c r="AB116" i="112"/>
  <c r="AA116" i="112"/>
  <c r="Z116" i="112"/>
  <c r="U116" i="112"/>
  <c r="T116" i="112"/>
  <c r="S116" i="112"/>
  <c r="R116" i="112"/>
  <c r="Q116" i="112"/>
  <c r="P116" i="112"/>
  <c r="O116" i="112"/>
  <c r="D116" i="112"/>
  <c r="B116" i="112"/>
  <c r="BM115" i="112"/>
  <c r="BL115" i="112"/>
  <c r="BK115" i="112"/>
  <c r="BJ115" i="112"/>
  <c r="BI115" i="112"/>
  <c r="BH115" i="112"/>
  <c r="BG115" i="112"/>
  <c r="BD115" i="112"/>
  <c r="AV115" i="112"/>
  <c r="AS115" i="112"/>
  <c r="AQ115" i="112"/>
  <c r="AP115" i="112"/>
  <c r="AO115" i="112"/>
  <c r="AN115" i="112"/>
  <c r="AM115" i="112"/>
  <c r="AL115" i="112"/>
  <c r="AK115" i="112"/>
  <c r="AH115" i="112"/>
  <c r="AF115" i="112"/>
  <c r="AE115" i="112"/>
  <c r="AD115" i="112"/>
  <c r="AC115" i="112"/>
  <c r="AB115" i="112"/>
  <c r="AA115" i="112"/>
  <c r="Z115" i="112"/>
  <c r="W115" i="112"/>
  <c r="U115" i="112"/>
  <c r="T115" i="112"/>
  <c r="S115" i="112"/>
  <c r="R115" i="112"/>
  <c r="Q115" i="112"/>
  <c r="P115" i="112"/>
  <c r="O115" i="112"/>
  <c r="L115" i="112"/>
  <c r="D115" i="112"/>
  <c r="B115" i="112"/>
  <c r="E114" i="112"/>
  <c r="D114" i="112"/>
  <c r="B114" i="112"/>
  <c r="BM113" i="112"/>
  <c r="BL113" i="112"/>
  <c r="BK113" i="112"/>
  <c r="BJ113" i="112"/>
  <c r="BI113" i="112"/>
  <c r="BH113" i="112"/>
  <c r="BG113" i="112"/>
  <c r="BD113" i="112"/>
  <c r="AV113" i="112"/>
  <c r="AS113" i="112"/>
  <c r="AQ113" i="112"/>
  <c r="AP113" i="112"/>
  <c r="AO113" i="112"/>
  <c r="AN113" i="112"/>
  <c r="AM113" i="112"/>
  <c r="AL113" i="112"/>
  <c r="AK113" i="112"/>
  <c r="AH113" i="112"/>
  <c r="AF113" i="112"/>
  <c r="AE113" i="112"/>
  <c r="AD113" i="112"/>
  <c r="AC113" i="112"/>
  <c r="AB113" i="112"/>
  <c r="AA113" i="112"/>
  <c r="Z113" i="112"/>
  <c r="W113" i="112"/>
  <c r="U113" i="112"/>
  <c r="T113" i="112"/>
  <c r="S113" i="112"/>
  <c r="R113" i="112"/>
  <c r="Q113" i="112"/>
  <c r="P113" i="112"/>
  <c r="O113" i="112"/>
  <c r="L113" i="112"/>
  <c r="D113" i="112"/>
  <c r="B113" i="112"/>
  <c r="BM112" i="112"/>
  <c r="BL112" i="112"/>
  <c r="BK112" i="112"/>
  <c r="BJ112" i="112"/>
  <c r="BI112" i="112"/>
  <c r="BH112" i="112"/>
  <c r="BG112" i="112"/>
  <c r="BD112" i="112"/>
  <c r="AV112" i="112"/>
  <c r="AS112" i="112"/>
  <c r="AQ112" i="112"/>
  <c r="AP112" i="112"/>
  <c r="AO112" i="112"/>
  <c r="AN112" i="112"/>
  <c r="AM112" i="112"/>
  <c r="AL112" i="112"/>
  <c r="AK112" i="112"/>
  <c r="AH112" i="112"/>
  <c r="AF112" i="112"/>
  <c r="AE112" i="112"/>
  <c r="AD112" i="112"/>
  <c r="AC112" i="112"/>
  <c r="AB112" i="112"/>
  <c r="AA112" i="112"/>
  <c r="Z112" i="112"/>
  <c r="W112" i="112"/>
  <c r="U112" i="112"/>
  <c r="T112" i="112"/>
  <c r="S112" i="112"/>
  <c r="R112" i="112"/>
  <c r="Q112" i="112"/>
  <c r="P112" i="112"/>
  <c r="O112" i="112"/>
  <c r="L112" i="112"/>
  <c r="D111" i="112"/>
  <c r="B111" i="112"/>
  <c r="BM110" i="112"/>
  <c r="BL110" i="112"/>
  <c r="BK110" i="112"/>
  <c r="BJ110" i="112"/>
  <c r="BI110" i="112"/>
  <c r="BH110" i="112"/>
  <c r="BG110" i="112"/>
  <c r="AV110" i="112"/>
  <c r="AQ110" i="112"/>
  <c r="AP110" i="112"/>
  <c r="AO110" i="112"/>
  <c r="AN110" i="112"/>
  <c r="AM110" i="112"/>
  <c r="AL110" i="112"/>
  <c r="AK110" i="112"/>
  <c r="AF110" i="112"/>
  <c r="AE110" i="112"/>
  <c r="AD110" i="112"/>
  <c r="AC110" i="112"/>
  <c r="AB110" i="112"/>
  <c r="AA110" i="112"/>
  <c r="Z110" i="112"/>
  <c r="U110" i="112"/>
  <c r="T110" i="112"/>
  <c r="S110" i="112"/>
  <c r="R110" i="112"/>
  <c r="Q110" i="112"/>
  <c r="P110" i="112"/>
  <c r="O110" i="112"/>
  <c r="D110" i="112"/>
  <c r="B110" i="112"/>
  <c r="BM109" i="112"/>
  <c r="BL109" i="112"/>
  <c r="BK109" i="112"/>
  <c r="BJ109" i="112"/>
  <c r="BI109" i="112"/>
  <c r="BH109" i="112"/>
  <c r="BG109" i="112"/>
  <c r="AV109" i="112"/>
  <c r="AQ109" i="112"/>
  <c r="AP109" i="112"/>
  <c r="AO109" i="112"/>
  <c r="AN109" i="112"/>
  <c r="AM109" i="112"/>
  <c r="AL109" i="112"/>
  <c r="AK109" i="112"/>
  <c r="AF109" i="112"/>
  <c r="AE109" i="112"/>
  <c r="AD109" i="112"/>
  <c r="AC109" i="112"/>
  <c r="AB109" i="112"/>
  <c r="AA109" i="112"/>
  <c r="Z109" i="112"/>
  <c r="U109" i="112"/>
  <c r="T109" i="112"/>
  <c r="S109" i="112"/>
  <c r="R109" i="112"/>
  <c r="Q109" i="112"/>
  <c r="P109" i="112"/>
  <c r="O109" i="112"/>
  <c r="D109" i="112"/>
  <c r="B109" i="112"/>
  <c r="BM108" i="112"/>
  <c r="BL108" i="112"/>
  <c r="BK108" i="112"/>
  <c r="BJ108" i="112"/>
  <c r="BI108" i="112"/>
  <c r="BH108" i="112"/>
  <c r="BG108" i="112"/>
  <c r="AV108" i="112"/>
  <c r="AQ108" i="112"/>
  <c r="AP108" i="112"/>
  <c r="AO108" i="112"/>
  <c r="AN108" i="112"/>
  <c r="AM108" i="112"/>
  <c r="AL108" i="112"/>
  <c r="AK108" i="112"/>
  <c r="AF108" i="112"/>
  <c r="AE108" i="112"/>
  <c r="AD108" i="112"/>
  <c r="AC108" i="112"/>
  <c r="AB108" i="112"/>
  <c r="AA108" i="112"/>
  <c r="Z108" i="112"/>
  <c r="U108" i="112"/>
  <c r="T108" i="112"/>
  <c r="S108" i="112"/>
  <c r="R108" i="112"/>
  <c r="Q108" i="112"/>
  <c r="P108" i="112"/>
  <c r="O108" i="112"/>
  <c r="E108" i="112"/>
  <c r="D108" i="112"/>
  <c r="B108" i="112"/>
  <c r="BM107" i="112"/>
  <c r="BL107" i="112"/>
  <c r="BK107" i="112"/>
  <c r="BJ107" i="112"/>
  <c r="BI107" i="112"/>
  <c r="BH107" i="112"/>
  <c r="BG107" i="112"/>
  <c r="AW107" i="112"/>
  <c r="AV107" i="112"/>
  <c r="AQ107" i="112"/>
  <c r="AP107" i="112"/>
  <c r="AO107" i="112"/>
  <c r="AN107" i="112"/>
  <c r="AM107" i="112"/>
  <c r="AL107" i="112"/>
  <c r="AK107" i="112"/>
  <c r="AF107" i="112"/>
  <c r="AE107" i="112"/>
  <c r="AD107" i="112"/>
  <c r="AC107" i="112"/>
  <c r="AB107" i="112"/>
  <c r="AA107" i="112"/>
  <c r="Z107" i="112"/>
  <c r="U107" i="112"/>
  <c r="T107" i="112"/>
  <c r="S107" i="112"/>
  <c r="R107" i="112"/>
  <c r="Q107" i="112"/>
  <c r="P107" i="112"/>
  <c r="O107" i="112"/>
  <c r="D107" i="112"/>
  <c r="B107" i="112"/>
  <c r="BM105" i="112"/>
  <c r="BL105" i="112"/>
  <c r="BK105" i="112"/>
  <c r="BJ105" i="112"/>
  <c r="BI105" i="112"/>
  <c r="BH105" i="112"/>
  <c r="BG105" i="112"/>
  <c r="AV105" i="112"/>
  <c r="AQ105" i="112"/>
  <c r="AP105" i="112"/>
  <c r="AO105" i="112"/>
  <c r="AN105" i="112"/>
  <c r="AM105" i="112"/>
  <c r="AL105" i="112"/>
  <c r="AK105" i="112"/>
  <c r="AF105" i="112"/>
  <c r="AE105" i="112"/>
  <c r="AD105" i="112"/>
  <c r="AC105" i="112"/>
  <c r="AB105" i="112"/>
  <c r="AA105" i="112"/>
  <c r="Z105" i="112"/>
  <c r="U105" i="112"/>
  <c r="T105" i="112"/>
  <c r="S105" i="112"/>
  <c r="R105" i="112"/>
  <c r="Q105" i="112"/>
  <c r="P105" i="112"/>
  <c r="O105" i="112"/>
  <c r="D105" i="112"/>
  <c r="B105" i="112"/>
  <c r="BM104" i="112"/>
  <c r="BL104" i="112"/>
  <c r="BK104" i="112"/>
  <c r="BJ104" i="112"/>
  <c r="BI104" i="112"/>
  <c r="BH104" i="112"/>
  <c r="BG104" i="112"/>
  <c r="AV104" i="112"/>
  <c r="AQ104" i="112"/>
  <c r="AP104" i="112"/>
  <c r="AO104" i="112"/>
  <c r="AN104" i="112"/>
  <c r="AM104" i="112"/>
  <c r="AL104" i="112"/>
  <c r="AK104" i="112"/>
  <c r="AF104" i="112"/>
  <c r="AE104" i="112"/>
  <c r="AD104" i="112"/>
  <c r="AC104" i="112"/>
  <c r="AB104" i="112"/>
  <c r="AA104" i="112"/>
  <c r="Z104" i="112"/>
  <c r="U104" i="112"/>
  <c r="T104" i="112"/>
  <c r="S104" i="112"/>
  <c r="R104" i="112"/>
  <c r="Q104" i="112"/>
  <c r="P104" i="112"/>
  <c r="O104" i="112"/>
  <c r="D104" i="112"/>
  <c r="B104" i="112"/>
  <c r="D103" i="112"/>
  <c r="B103" i="112"/>
  <c r="BM102" i="112"/>
  <c r="BL102" i="112"/>
  <c r="BK102" i="112"/>
  <c r="BJ102" i="112"/>
  <c r="BI102" i="112"/>
  <c r="BH102" i="112"/>
  <c r="BG102" i="112"/>
  <c r="AV102" i="112"/>
  <c r="AQ102" i="112"/>
  <c r="AP102" i="112"/>
  <c r="AO102" i="112"/>
  <c r="AN102" i="112"/>
  <c r="AM102" i="112"/>
  <c r="AL102" i="112"/>
  <c r="AK102" i="112"/>
  <c r="AF102" i="112"/>
  <c r="AE102" i="112"/>
  <c r="AD102" i="112"/>
  <c r="AC102" i="112"/>
  <c r="AB102" i="112"/>
  <c r="AA102" i="112"/>
  <c r="Z102" i="112"/>
  <c r="U102" i="112"/>
  <c r="T102" i="112"/>
  <c r="S102" i="112"/>
  <c r="R102" i="112"/>
  <c r="Q102" i="112"/>
  <c r="P102" i="112"/>
  <c r="O102" i="112"/>
  <c r="E102" i="112"/>
  <c r="D102" i="112"/>
  <c r="B102" i="112"/>
  <c r="BM101" i="112"/>
  <c r="BL101" i="112"/>
  <c r="BK101" i="112"/>
  <c r="BJ101" i="112"/>
  <c r="BI101" i="112"/>
  <c r="BH101" i="112"/>
  <c r="BG101" i="112"/>
  <c r="AV101" i="112"/>
  <c r="AQ101" i="112"/>
  <c r="AP101" i="112"/>
  <c r="AO101" i="112"/>
  <c r="AN101" i="112"/>
  <c r="AM101" i="112"/>
  <c r="AL101" i="112"/>
  <c r="AK101" i="112"/>
  <c r="AF101" i="112"/>
  <c r="AE101" i="112"/>
  <c r="AD101" i="112"/>
  <c r="AC101" i="112"/>
  <c r="AB101" i="112"/>
  <c r="AA101" i="112"/>
  <c r="Z101" i="112"/>
  <c r="U101" i="112"/>
  <c r="T101" i="112"/>
  <c r="S101" i="112"/>
  <c r="R101" i="112"/>
  <c r="Q101" i="112"/>
  <c r="P101" i="112"/>
  <c r="O101" i="112"/>
  <c r="D101" i="112"/>
  <c r="B101" i="112"/>
  <c r="BM100" i="112"/>
  <c r="BL100" i="112"/>
  <c r="BK100" i="112"/>
  <c r="BJ100" i="112"/>
  <c r="BI100" i="112"/>
  <c r="BH100" i="112"/>
  <c r="BG100" i="112"/>
  <c r="AW100" i="112"/>
  <c r="AV100" i="112"/>
  <c r="AQ100" i="112"/>
  <c r="AP100" i="112"/>
  <c r="AO100" i="112"/>
  <c r="AN100" i="112"/>
  <c r="AM100" i="112"/>
  <c r="AL100" i="112"/>
  <c r="AK100" i="112"/>
  <c r="AF100" i="112"/>
  <c r="AE100" i="112"/>
  <c r="AD100" i="112"/>
  <c r="AC100" i="112"/>
  <c r="AB100" i="112"/>
  <c r="AA100" i="112"/>
  <c r="Z100" i="112"/>
  <c r="U100" i="112"/>
  <c r="T100" i="112"/>
  <c r="S100" i="112"/>
  <c r="R100" i="112"/>
  <c r="Q100" i="112"/>
  <c r="P100" i="112"/>
  <c r="O100" i="112"/>
  <c r="BM99" i="112"/>
  <c r="BL99" i="112"/>
  <c r="BK99" i="112"/>
  <c r="BJ99" i="112"/>
  <c r="BI99" i="112"/>
  <c r="BH99" i="112"/>
  <c r="BG99" i="112"/>
  <c r="AV99" i="112"/>
  <c r="AQ99" i="112"/>
  <c r="AP99" i="112"/>
  <c r="AO99" i="112"/>
  <c r="AN99" i="112"/>
  <c r="AM99" i="112"/>
  <c r="AL99" i="112"/>
  <c r="AK99" i="112"/>
  <c r="AF99" i="112"/>
  <c r="AE99" i="112"/>
  <c r="AD99" i="112"/>
  <c r="AC99" i="112"/>
  <c r="AB99" i="112"/>
  <c r="AA99" i="112"/>
  <c r="Z99" i="112"/>
  <c r="U99" i="112"/>
  <c r="T99" i="112"/>
  <c r="S99" i="112"/>
  <c r="R99" i="112"/>
  <c r="Q99" i="112"/>
  <c r="P99" i="112"/>
  <c r="O99" i="112"/>
  <c r="D99" i="112"/>
  <c r="B99" i="112"/>
  <c r="D98" i="112"/>
  <c r="B98" i="112"/>
  <c r="BD97" i="112"/>
  <c r="AS97" i="112"/>
  <c r="AH97" i="112"/>
  <c r="W97" i="112"/>
  <c r="L97" i="112"/>
  <c r="D97" i="112"/>
  <c r="B97" i="112"/>
  <c r="BD96" i="112"/>
  <c r="AS96" i="112"/>
  <c r="AH96" i="112"/>
  <c r="W96" i="112"/>
  <c r="L96" i="112"/>
  <c r="E96" i="112"/>
  <c r="D96" i="112"/>
  <c r="B96" i="112"/>
  <c r="BM95" i="112"/>
  <c r="BL95" i="112"/>
  <c r="BK95" i="112"/>
  <c r="BJ95" i="112"/>
  <c r="BI95" i="112"/>
  <c r="BH95" i="112"/>
  <c r="BG95" i="112"/>
  <c r="AV95" i="112"/>
  <c r="AQ95" i="112"/>
  <c r="AP95" i="112"/>
  <c r="AO95" i="112"/>
  <c r="AN95" i="112"/>
  <c r="AM95" i="112"/>
  <c r="AL95" i="112"/>
  <c r="AK95" i="112"/>
  <c r="AF95" i="112"/>
  <c r="AE95" i="112"/>
  <c r="AD95" i="112"/>
  <c r="AC95" i="112"/>
  <c r="AB95" i="112"/>
  <c r="AA95" i="112"/>
  <c r="Z95" i="112"/>
  <c r="U95" i="112"/>
  <c r="T95" i="112"/>
  <c r="S95" i="112"/>
  <c r="R95" i="112"/>
  <c r="Q95" i="112"/>
  <c r="P95" i="112"/>
  <c r="O95" i="112"/>
  <c r="D95" i="112"/>
  <c r="B95" i="112"/>
  <c r="BM94" i="112"/>
  <c r="BL94" i="112"/>
  <c r="BK94" i="112"/>
  <c r="BJ94" i="112"/>
  <c r="BI94" i="112"/>
  <c r="BH94" i="112"/>
  <c r="BG94" i="112"/>
  <c r="BD94" i="112"/>
  <c r="AV94" i="112"/>
  <c r="AS94" i="112"/>
  <c r="AQ94" i="112"/>
  <c r="AP94" i="112"/>
  <c r="AO94" i="112"/>
  <c r="AN94" i="112"/>
  <c r="AM94" i="112"/>
  <c r="AL94" i="112"/>
  <c r="AK94" i="112"/>
  <c r="AH94" i="112"/>
  <c r="AF94" i="112"/>
  <c r="AE94" i="112"/>
  <c r="AD94" i="112"/>
  <c r="AC94" i="112"/>
  <c r="AB94" i="112"/>
  <c r="AA94" i="112"/>
  <c r="Z94" i="112"/>
  <c r="W94" i="112"/>
  <c r="U94" i="112"/>
  <c r="T94" i="112"/>
  <c r="S94" i="112"/>
  <c r="R94" i="112"/>
  <c r="Q94" i="112"/>
  <c r="P94" i="112"/>
  <c r="O94" i="112"/>
  <c r="L94" i="112"/>
  <c r="D93" i="112"/>
  <c r="B93" i="112"/>
  <c r="BM92" i="112"/>
  <c r="BL92" i="112"/>
  <c r="BK92" i="112"/>
  <c r="BJ92" i="112"/>
  <c r="BI92" i="112"/>
  <c r="BH92" i="112"/>
  <c r="BG92" i="112"/>
  <c r="BD92" i="112"/>
  <c r="AV92" i="112"/>
  <c r="AS92" i="112"/>
  <c r="AQ92" i="112"/>
  <c r="AP92" i="112"/>
  <c r="AO92" i="112"/>
  <c r="AN92" i="112"/>
  <c r="AM92" i="112"/>
  <c r="AL92" i="112"/>
  <c r="AK92" i="112"/>
  <c r="AH92" i="112"/>
  <c r="AF92" i="112"/>
  <c r="AE92" i="112"/>
  <c r="AD92" i="112"/>
  <c r="AC92" i="112"/>
  <c r="AB92" i="112"/>
  <c r="AA92" i="112"/>
  <c r="Z92" i="112"/>
  <c r="W92" i="112"/>
  <c r="U92" i="112"/>
  <c r="T92" i="112"/>
  <c r="S92" i="112"/>
  <c r="R92" i="112"/>
  <c r="Q92" i="112"/>
  <c r="P92" i="112"/>
  <c r="O92" i="112"/>
  <c r="L92" i="112"/>
  <c r="D92" i="112"/>
  <c r="B92" i="112"/>
  <c r="BM91" i="112"/>
  <c r="BL91" i="112"/>
  <c r="BK91" i="112"/>
  <c r="BJ91" i="112"/>
  <c r="BI91" i="112"/>
  <c r="BH91" i="112"/>
  <c r="BG91" i="112"/>
  <c r="BD91" i="112"/>
  <c r="AV91" i="112"/>
  <c r="AS91" i="112"/>
  <c r="AQ91" i="112"/>
  <c r="AP91" i="112"/>
  <c r="AO91" i="112"/>
  <c r="AN91" i="112"/>
  <c r="AM91" i="112"/>
  <c r="AL91" i="112"/>
  <c r="AK91" i="112"/>
  <c r="AH91" i="112"/>
  <c r="AF91" i="112"/>
  <c r="AE91" i="112"/>
  <c r="AD91" i="112"/>
  <c r="AC91" i="112"/>
  <c r="AB91" i="112"/>
  <c r="AA91" i="112"/>
  <c r="Z91" i="112"/>
  <c r="W91" i="112"/>
  <c r="U91" i="112"/>
  <c r="T91" i="112"/>
  <c r="S91" i="112"/>
  <c r="R91" i="112"/>
  <c r="Q91" i="112"/>
  <c r="P91" i="112"/>
  <c r="O91" i="112"/>
  <c r="L91" i="112"/>
  <c r="D91" i="112"/>
  <c r="B91" i="112"/>
  <c r="E90" i="112"/>
  <c r="D90" i="112"/>
  <c r="B90" i="112"/>
  <c r="BM89" i="112"/>
  <c r="BL89" i="112"/>
  <c r="BK89" i="112"/>
  <c r="BJ89" i="112"/>
  <c r="BI89" i="112"/>
  <c r="BH89" i="112"/>
  <c r="BG89" i="112"/>
  <c r="AV89" i="112"/>
  <c r="AQ89" i="112"/>
  <c r="AP89" i="112"/>
  <c r="AO89" i="112"/>
  <c r="AN89" i="112"/>
  <c r="AM89" i="112"/>
  <c r="AL89" i="112"/>
  <c r="AK89" i="112"/>
  <c r="AF89" i="112"/>
  <c r="AE89" i="112"/>
  <c r="AD89" i="112"/>
  <c r="AC89" i="112"/>
  <c r="AB89" i="112"/>
  <c r="AA89" i="112"/>
  <c r="Z89" i="112"/>
  <c r="U89" i="112"/>
  <c r="T89" i="112"/>
  <c r="S89" i="112"/>
  <c r="R89" i="112"/>
  <c r="Q89" i="112"/>
  <c r="P89" i="112"/>
  <c r="O89" i="112"/>
  <c r="D89" i="112"/>
  <c r="B89" i="112"/>
  <c r="BM88" i="112"/>
  <c r="BL88" i="112"/>
  <c r="BK88" i="112"/>
  <c r="BJ88" i="112"/>
  <c r="BI88" i="112"/>
  <c r="BH88" i="112"/>
  <c r="BG88" i="112"/>
  <c r="AV88" i="112"/>
  <c r="AQ88" i="112"/>
  <c r="AP88" i="112"/>
  <c r="AO88" i="112"/>
  <c r="AN88" i="112"/>
  <c r="AM88" i="112"/>
  <c r="AL88" i="112"/>
  <c r="AK88" i="112"/>
  <c r="AF88" i="112"/>
  <c r="AE88" i="112"/>
  <c r="AD88" i="112"/>
  <c r="AC88" i="112"/>
  <c r="AB88" i="112"/>
  <c r="AA88" i="112"/>
  <c r="Z88" i="112"/>
  <c r="U88" i="112"/>
  <c r="T88" i="112"/>
  <c r="S88" i="112"/>
  <c r="R88" i="112"/>
  <c r="Q88" i="112"/>
  <c r="P88" i="112"/>
  <c r="O88" i="112"/>
  <c r="BM87" i="112"/>
  <c r="BL87" i="112"/>
  <c r="BK87" i="112"/>
  <c r="BJ87" i="112"/>
  <c r="BI87" i="112"/>
  <c r="BH87" i="112"/>
  <c r="BG87" i="112"/>
  <c r="AV87" i="112"/>
  <c r="AQ87" i="112"/>
  <c r="AP87" i="112"/>
  <c r="AO87" i="112"/>
  <c r="AN87" i="112"/>
  <c r="AM87" i="112"/>
  <c r="AL87" i="112"/>
  <c r="AK87" i="112"/>
  <c r="AF87" i="112"/>
  <c r="AE87" i="112"/>
  <c r="AD87" i="112"/>
  <c r="AC87" i="112"/>
  <c r="AB87" i="112"/>
  <c r="AA87" i="112"/>
  <c r="Z87" i="112"/>
  <c r="U87" i="112"/>
  <c r="T87" i="112"/>
  <c r="S87" i="112"/>
  <c r="R87" i="112"/>
  <c r="Q87" i="112"/>
  <c r="P87" i="112"/>
  <c r="O87" i="112"/>
  <c r="D87" i="112"/>
  <c r="BM86" i="112"/>
  <c r="BL86" i="112"/>
  <c r="BK86" i="112"/>
  <c r="BJ86" i="112"/>
  <c r="BI86" i="112"/>
  <c r="BH86" i="112"/>
  <c r="BG86" i="112"/>
  <c r="AW86" i="112"/>
  <c r="AV86" i="112"/>
  <c r="AQ86" i="112"/>
  <c r="AP86" i="112"/>
  <c r="AO86" i="112"/>
  <c r="AN86" i="112"/>
  <c r="AM86" i="112"/>
  <c r="AL86" i="112"/>
  <c r="AK86" i="112"/>
  <c r="AF86" i="112"/>
  <c r="AE86" i="112"/>
  <c r="AD86" i="112"/>
  <c r="AC86" i="112"/>
  <c r="AB86" i="112"/>
  <c r="AA86" i="112"/>
  <c r="Z86" i="112"/>
  <c r="U86" i="112"/>
  <c r="T86" i="112"/>
  <c r="S86" i="112"/>
  <c r="R86" i="112"/>
  <c r="Q86" i="112"/>
  <c r="P86" i="112"/>
  <c r="O86" i="112"/>
  <c r="D86" i="112"/>
  <c r="D85" i="112"/>
  <c r="BM84" i="112"/>
  <c r="BL84" i="112"/>
  <c r="BK84" i="112"/>
  <c r="BJ84" i="112"/>
  <c r="BI84" i="112"/>
  <c r="BH84" i="112"/>
  <c r="BG84" i="112"/>
  <c r="AV84" i="112"/>
  <c r="AQ84" i="112"/>
  <c r="AP84" i="112"/>
  <c r="AO84" i="112"/>
  <c r="AN84" i="112"/>
  <c r="AM84" i="112"/>
  <c r="AL84" i="112"/>
  <c r="AK84" i="112"/>
  <c r="AF84" i="112"/>
  <c r="AE84" i="112"/>
  <c r="AD84" i="112"/>
  <c r="AC84" i="112"/>
  <c r="AB84" i="112"/>
  <c r="AA84" i="112"/>
  <c r="Z84" i="112"/>
  <c r="U84" i="112"/>
  <c r="T84" i="112"/>
  <c r="S84" i="112"/>
  <c r="R84" i="112"/>
  <c r="Q84" i="112"/>
  <c r="P84" i="112"/>
  <c r="O84" i="112"/>
  <c r="E84" i="112"/>
  <c r="D84" i="112"/>
  <c r="BM83" i="112"/>
  <c r="BL83" i="112"/>
  <c r="BK83" i="112"/>
  <c r="BJ83" i="112"/>
  <c r="BI83" i="112"/>
  <c r="BH83" i="112"/>
  <c r="BG83" i="112"/>
  <c r="AV83" i="112"/>
  <c r="AQ83" i="112"/>
  <c r="AP83" i="112"/>
  <c r="AO83" i="112"/>
  <c r="AN83" i="112"/>
  <c r="AM83" i="112"/>
  <c r="AL83" i="112"/>
  <c r="AK83" i="112"/>
  <c r="AF83" i="112"/>
  <c r="AE83" i="112"/>
  <c r="AD83" i="112"/>
  <c r="AC83" i="112"/>
  <c r="AB83" i="112"/>
  <c r="AA83" i="112"/>
  <c r="Z83" i="112"/>
  <c r="U83" i="112"/>
  <c r="T83" i="112"/>
  <c r="S83" i="112"/>
  <c r="R83" i="112"/>
  <c r="Q83" i="112"/>
  <c r="P83" i="112"/>
  <c r="O83" i="112"/>
  <c r="D83" i="112"/>
  <c r="B83" i="112"/>
  <c r="BM81" i="112"/>
  <c r="BL81" i="112"/>
  <c r="BK81" i="112"/>
  <c r="BJ81" i="112"/>
  <c r="BI81" i="112"/>
  <c r="BH81" i="112"/>
  <c r="BG81" i="112"/>
  <c r="AV81" i="112"/>
  <c r="AQ81" i="112"/>
  <c r="AP81" i="112"/>
  <c r="AO81" i="112"/>
  <c r="AN81" i="112"/>
  <c r="AM81" i="112"/>
  <c r="AL81" i="112"/>
  <c r="AK81" i="112"/>
  <c r="AF81" i="112"/>
  <c r="AE81" i="112"/>
  <c r="AD81" i="112"/>
  <c r="AC81" i="112"/>
  <c r="AB81" i="112"/>
  <c r="AA81" i="112"/>
  <c r="Z81" i="112"/>
  <c r="U81" i="112"/>
  <c r="T81" i="112"/>
  <c r="S81" i="112"/>
  <c r="R81" i="112"/>
  <c r="Q81" i="112"/>
  <c r="P81" i="112"/>
  <c r="O81" i="112"/>
  <c r="D81" i="112"/>
  <c r="BM80" i="112"/>
  <c r="BL80" i="112"/>
  <c r="BK80" i="112"/>
  <c r="BJ80" i="112"/>
  <c r="BI80" i="112"/>
  <c r="BH80" i="112"/>
  <c r="BG80" i="112"/>
  <c r="AV80" i="112"/>
  <c r="AQ80" i="112"/>
  <c r="AP80" i="112"/>
  <c r="AO80" i="112"/>
  <c r="AN80" i="112"/>
  <c r="AM80" i="112"/>
  <c r="AL80" i="112"/>
  <c r="AK80" i="112"/>
  <c r="AF80" i="112"/>
  <c r="AE80" i="112"/>
  <c r="AD80" i="112"/>
  <c r="AC80" i="112"/>
  <c r="AB80" i="112"/>
  <c r="AA80" i="112"/>
  <c r="Z80" i="112"/>
  <c r="U80" i="112"/>
  <c r="T80" i="112"/>
  <c r="S80" i="112"/>
  <c r="R80" i="112"/>
  <c r="Q80" i="112"/>
  <c r="P80" i="112"/>
  <c r="O80" i="112"/>
  <c r="D80" i="112"/>
  <c r="BM79" i="112"/>
  <c r="BL79" i="112"/>
  <c r="BK79" i="112"/>
  <c r="BJ79" i="112"/>
  <c r="BI79" i="112"/>
  <c r="BH79" i="112"/>
  <c r="AW79" i="112"/>
  <c r="AQ79" i="112"/>
  <c r="AP79" i="112"/>
  <c r="AO79" i="112"/>
  <c r="AN79" i="112"/>
  <c r="AM79" i="112"/>
  <c r="AL79" i="112"/>
  <c r="AF79" i="112"/>
  <c r="AE79" i="112"/>
  <c r="AD79" i="112"/>
  <c r="AC79" i="112"/>
  <c r="AB79" i="112"/>
  <c r="AA79" i="112"/>
  <c r="U79" i="112"/>
  <c r="T79" i="112"/>
  <c r="S79" i="112"/>
  <c r="R79" i="112"/>
  <c r="Q79" i="112"/>
  <c r="P79" i="112"/>
  <c r="D79" i="112"/>
  <c r="BM78" i="112"/>
  <c r="BL78" i="112"/>
  <c r="BK78" i="112"/>
  <c r="BJ78" i="112"/>
  <c r="BI78" i="112"/>
  <c r="BH78" i="112"/>
  <c r="BG78" i="112"/>
  <c r="AV78" i="112"/>
  <c r="AQ78" i="112"/>
  <c r="AP78" i="112"/>
  <c r="AO78" i="112"/>
  <c r="AN78" i="112"/>
  <c r="AM78" i="112"/>
  <c r="AL78" i="112"/>
  <c r="AK78" i="112"/>
  <c r="AF78" i="112"/>
  <c r="AE78" i="112"/>
  <c r="AD78" i="112"/>
  <c r="AC78" i="112"/>
  <c r="AB78" i="112"/>
  <c r="AA78" i="112"/>
  <c r="Z78" i="112"/>
  <c r="U78" i="112"/>
  <c r="T78" i="112"/>
  <c r="S78" i="112"/>
  <c r="R78" i="112"/>
  <c r="Q78" i="112"/>
  <c r="P78" i="112"/>
  <c r="O78" i="112"/>
  <c r="E78" i="112"/>
  <c r="D78" i="112"/>
  <c r="D77" i="112"/>
  <c r="B77" i="112"/>
  <c r="BD76" i="112"/>
  <c r="AS76" i="112"/>
  <c r="AH76" i="112"/>
  <c r="W76" i="112"/>
  <c r="L76" i="112"/>
  <c r="BD75" i="112"/>
  <c r="AS75" i="112"/>
  <c r="AH75" i="112"/>
  <c r="W75" i="112"/>
  <c r="L75" i="112"/>
  <c r="BM74" i="112"/>
  <c r="BL74" i="112"/>
  <c r="BK74" i="112"/>
  <c r="BJ74" i="112"/>
  <c r="BI74" i="112"/>
  <c r="BH74" i="112"/>
  <c r="BG74" i="112"/>
  <c r="AV74" i="112"/>
  <c r="AQ74" i="112"/>
  <c r="AP74" i="112"/>
  <c r="AO74" i="112"/>
  <c r="AN74" i="112"/>
  <c r="AM74" i="112"/>
  <c r="AL74" i="112"/>
  <c r="AK74" i="112"/>
  <c r="AF74" i="112"/>
  <c r="AE74" i="112"/>
  <c r="AD74" i="112"/>
  <c r="AC74" i="112"/>
  <c r="AB74" i="112"/>
  <c r="AA74" i="112"/>
  <c r="Z74" i="112"/>
  <c r="U74" i="112"/>
  <c r="T74" i="112"/>
  <c r="S74" i="112"/>
  <c r="R74" i="112"/>
  <c r="Q74" i="112"/>
  <c r="P74" i="112"/>
  <c r="O74" i="112"/>
  <c r="BM73" i="112"/>
  <c r="BL73" i="112"/>
  <c r="BK73" i="112"/>
  <c r="BJ73" i="112"/>
  <c r="BI73" i="112"/>
  <c r="BH73" i="112"/>
  <c r="BG73" i="112"/>
  <c r="BD73" i="112"/>
  <c r="AV73" i="112"/>
  <c r="AS73" i="112"/>
  <c r="AQ73" i="112"/>
  <c r="AP73" i="112"/>
  <c r="AO73" i="112"/>
  <c r="AN73" i="112"/>
  <c r="AM73" i="112"/>
  <c r="AL73" i="112"/>
  <c r="AK73" i="112"/>
  <c r="AH73" i="112"/>
  <c r="AF73" i="112"/>
  <c r="AE73" i="112"/>
  <c r="AD73" i="112"/>
  <c r="AC73" i="112"/>
  <c r="AB73" i="112"/>
  <c r="AA73" i="112"/>
  <c r="Z73" i="112"/>
  <c r="W73" i="112"/>
  <c r="U73" i="112"/>
  <c r="T73" i="112"/>
  <c r="S73" i="112"/>
  <c r="R73" i="112"/>
  <c r="Q73" i="112"/>
  <c r="P73" i="112"/>
  <c r="O73" i="112"/>
  <c r="L73" i="112"/>
  <c r="D73" i="112"/>
  <c r="BM71" i="112"/>
  <c r="BL71" i="112"/>
  <c r="BK71" i="112"/>
  <c r="BJ71" i="112"/>
  <c r="BI71" i="112"/>
  <c r="BH71" i="112"/>
  <c r="BG71" i="112"/>
  <c r="BD71" i="112"/>
  <c r="AV71" i="112"/>
  <c r="AS71" i="112"/>
  <c r="AQ71" i="112"/>
  <c r="AP71" i="112"/>
  <c r="AO71" i="112"/>
  <c r="AN71" i="112"/>
  <c r="AM71" i="112"/>
  <c r="AL71" i="112"/>
  <c r="AK71" i="112"/>
  <c r="AH71" i="112"/>
  <c r="AF71" i="112"/>
  <c r="AE71" i="112"/>
  <c r="AD71" i="112"/>
  <c r="AC71" i="112"/>
  <c r="AB71" i="112"/>
  <c r="AA71" i="112"/>
  <c r="Z71" i="112"/>
  <c r="W71" i="112"/>
  <c r="U71" i="112"/>
  <c r="T71" i="112"/>
  <c r="S71" i="112"/>
  <c r="R71" i="112"/>
  <c r="Q71" i="112"/>
  <c r="P71" i="112"/>
  <c r="O71" i="112"/>
  <c r="L71" i="112"/>
  <c r="J71" i="112"/>
  <c r="I71" i="112"/>
  <c r="H71" i="112"/>
  <c r="G71" i="112"/>
  <c r="F71" i="112"/>
  <c r="E71" i="112"/>
  <c r="D71" i="112"/>
  <c r="B71" i="112"/>
  <c r="BM70" i="112"/>
  <c r="BL70" i="112"/>
  <c r="BK70" i="112"/>
  <c r="BJ70" i="112"/>
  <c r="BI70" i="112"/>
  <c r="BH70" i="112"/>
  <c r="BG70" i="112"/>
  <c r="BD70" i="112"/>
  <c r="AV70" i="112"/>
  <c r="AS70" i="112"/>
  <c r="AQ70" i="112"/>
  <c r="AP70" i="112"/>
  <c r="AO70" i="112"/>
  <c r="AN70" i="112"/>
  <c r="AM70" i="112"/>
  <c r="AL70" i="112"/>
  <c r="AK70" i="112"/>
  <c r="AH70" i="112"/>
  <c r="AF70" i="112"/>
  <c r="AE70" i="112"/>
  <c r="AD70" i="112"/>
  <c r="AC70" i="112"/>
  <c r="AB70" i="112"/>
  <c r="AA70" i="112"/>
  <c r="Z70" i="112"/>
  <c r="W70" i="112"/>
  <c r="U70" i="112"/>
  <c r="T70" i="112"/>
  <c r="S70" i="112"/>
  <c r="R70" i="112"/>
  <c r="Q70" i="112"/>
  <c r="P70" i="112"/>
  <c r="O70" i="112"/>
  <c r="L70" i="112"/>
  <c r="J70" i="112"/>
  <c r="I70" i="112"/>
  <c r="H70" i="112"/>
  <c r="G70" i="112"/>
  <c r="F70" i="112"/>
  <c r="E70" i="112"/>
  <c r="D70" i="112"/>
  <c r="B70" i="112"/>
  <c r="J69" i="112"/>
  <c r="I69" i="112"/>
  <c r="H69" i="112"/>
  <c r="G69" i="112"/>
  <c r="F69" i="112"/>
  <c r="E69" i="112"/>
  <c r="D69" i="112"/>
  <c r="B69" i="112"/>
  <c r="BM68" i="112"/>
  <c r="BL68" i="112"/>
  <c r="BK68" i="112"/>
  <c r="BJ68" i="112"/>
  <c r="BI68" i="112"/>
  <c r="BH68" i="112"/>
  <c r="BG68" i="112"/>
  <c r="AV68" i="112"/>
  <c r="AQ68" i="112"/>
  <c r="AP68" i="112"/>
  <c r="AO68" i="112"/>
  <c r="AN68" i="112"/>
  <c r="AM68" i="112"/>
  <c r="AL68" i="112"/>
  <c r="AK68" i="112"/>
  <c r="AF68" i="112"/>
  <c r="AE68" i="112"/>
  <c r="AD68" i="112"/>
  <c r="AC68" i="112"/>
  <c r="AB68" i="112"/>
  <c r="AA68" i="112"/>
  <c r="Z68" i="112"/>
  <c r="U68" i="112"/>
  <c r="T68" i="112"/>
  <c r="S68" i="112"/>
  <c r="R68" i="112"/>
  <c r="Q68" i="112"/>
  <c r="P68" i="112"/>
  <c r="O68" i="112"/>
  <c r="J68" i="112"/>
  <c r="I68" i="112"/>
  <c r="H68" i="112"/>
  <c r="G68" i="112"/>
  <c r="F68" i="112"/>
  <c r="E68" i="112"/>
  <c r="D68" i="112"/>
  <c r="B68" i="112"/>
  <c r="BM67" i="112"/>
  <c r="BL67" i="112"/>
  <c r="BK67" i="112"/>
  <c r="BJ67" i="112"/>
  <c r="BI67" i="112"/>
  <c r="BH67" i="112"/>
  <c r="BG67" i="112"/>
  <c r="AV67" i="112"/>
  <c r="AQ67" i="112"/>
  <c r="AP67" i="112"/>
  <c r="AO67" i="112"/>
  <c r="AN67" i="112"/>
  <c r="AM67" i="112"/>
  <c r="AL67" i="112"/>
  <c r="AK67" i="112"/>
  <c r="AF67" i="112"/>
  <c r="AE67" i="112"/>
  <c r="AD67" i="112"/>
  <c r="AC67" i="112"/>
  <c r="AB67" i="112"/>
  <c r="AA67" i="112"/>
  <c r="Z67" i="112"/>
  <c r="U67" i="112"/>
  <c r="T67" i="112"/>
  <c r="S67" i="112"/>
  <c r="R67" i="112"/>
  <c r="Q67" i="112"/>
  <c r="P67" i="112"/>
  <c r="O67" i="112"/>
  <c r="J67" i="112"/>
  <c r="I67" i="112"/>
  <c r="H67" i="112"/>
  <c r="G67" i="112"/>
  <c r="F67" i="112"/>
  <c r="E67" i="112"/>
  <c r="D67" i="112"/>
  <c r="B67" i="112"/>
  <c r="BM66" i="112"/>
  <c r="BL66" i="112"/>
  <c r="BK66" i="112"/>
  <c r="BJ66" i="112"/>
  <c r="BI66" i="112"/>
  <c r="BH66" i="112"/>
  <c r="BG66" i="112"/>
  <c r="AV66" i="112"/>
  <c r="AQ66" i="112"/>
  <c r="AP66" i="112"/>
  <c r="AO66" i="112"/>
  <c r="AN66" i="112"/>
  <c r="AM66" i="112"/>
  <c r="AL66" i="112"/>
  <c r="AK66" i="112"/>
  <c r="AF66" i="112"/>
  <c r="AE66" i="112"/>
  <c r="AD66" i="112"/>
  <c r="AC66" i="112"/>
  <c r="AB66" i="112"/>
  <c r="AA66" i="112"/>
  <c r="Z66" i="112"/>
  <c r="U66" i="112"/>
  <c r="T66" i="112"/>
  <c r="S66" i="112"/>
  <c r="R66" i="112"/>
  <c r="Q66" i="112"/>
  <c r="P66" i="112"/>
  <c r="O66" i="112"/>
  <c r="J66" i="112"/>
  <c r="I66" i="112"/>
  <c r="H66" i="112"/>
  <c r="G66" i="112"/>
  <c r="F66" i="112"/>
  <c r="E66" i="112"/>
  <c r="D66" i="112"/>
  <c r="B66" i="112"/>
  <c r="BM65" i="112"/>
  <c r="BL65" i="112"/>
  <c r="BK65" i="112"/>
  <c r="BJ65" i="112"/>
  <c r="BI65" i="112"/>
  <c r="BH65" i="112"/>
  <c r="BG65" i="112"/>
  <c r="AW65" i="112"/>
  <c r="AV65" i="112"/>
  <c r="AQ65" i="112"/>
  <c r="AP65" i="112"/>
  <c r="AO65" i="112"/>
  <c r="AN65" i="112"/>
  <c r="AM65" i="112"/>
  <c r="AL65" i="112"/>
  <c r="AK65" i="112"/>
  <c r="AF65" i="112"/>
  <c r="AE65" i="112"/>
  <c r="AD65" i="112"/>
  <c r="AC65" i="112"/>
  <c r="AB65" i="112"/>
  <c r="AA65" i="112"/>
  <c r="Z65" i="112"/>
  <c r="U65" i="112"/>
  <c r="T65" i="112"/>
  <c r="S65" i="112"/>
  <c r="R65" i="112"/>
  <c r="Q65" i="112"/>
  <c r="P65" i="112"/>
  <c r="O65" i="112"/>
  <c r="J65" i="112"/>
  <c r="I65" i="112"/>
  <c r="H65" i="112"/>
  <c r="G65" i="112"/>
  <c r="F65" i="112"/>
  <c r="E65" i="112"/>
  <c r="D65" i="112"/>
  <c r="B65" i="112"/>
  <c r="J64" i="112"/>
  <c r="I64" i="112"/>
  <c r="H64" i="112"/>
  <c r="G64" i="112"/>
  <c r="F64" i="112"/>
  <c r="E64" i="112"/>
  <c r="D64" i="112"/>
  <c r="B64" i="112"/>
  <c r="BM63" i="112"/>
  <c r="BL63" i="112"/>
  <c r="BK63" i="112"/>
  <c r="BJ63" i="112"/>
  <c r="BI63" i="112"/>
  <c r="BH63" i="112"/>
  <c r="BG63" i="112"/>
  <c r="AV63" i="112"/>
  <c r="AQ63" i="112"/>
  <c r="AP63" i="112"/>
  <c r="AO63" i="112"/>
  <c r="AN63" i="112"/>
  <c r="AM63" i="112"/>
  <c r="AL63" i="112"/>
  <c r="AK63" i="112"/>
  <c r="AF63" i="112"/>
  <c r="AE63" i="112"/>
  <c r="AD63" i="112"/>
  <c r="AC63" i="112"/>
  <c r="AB63" i="112"/>
  <c r="AA63" i="112"/>
  <c r="Z63" i="112"/>
  <c r="U63" i="112"/>
  <c r="T63" i="112"/>
  <c r="S63" i="112"/>
  <c r="R63" i="112"/>
  <c r="Q63" i="112"/>
  <c r="P63" i="112"/>
  <c r="O63" i="112"/>
  <c r="B63" i="112"/>
  <c r="BM62" i="112"/>
  <c r="BL62" i="112"/>
  <c r="BK62" i="112"/>
  <c r="BJ62" i="112"/>
  <c r="BI62" i="112"/>
  <c r="BH62" i="112"/>
  <c r="BG62" i="112"/>
  <c r="AV62" i="112"/>
  <c r="AQ62" i="112"/>
  <c r="AP62" i="112"/>
  <c r="AO62" i="112"/>
  <c r="AN62" i="112"/>
  <c r="AM62" i="112"/>
  <c r="AL62" i="112"/>
  <c r="AK62" i="112"/>
  <c r="AF62" i="112"/>
  <c r="AE62" i="112"/>
  <c r="AD62" i="112"/>
  <c r="AC62" i="112"/>
  <c r="AB62" i="112"/>
  <c r="AA62" i="112"/>
  <c r="Z62" i="112"/>
  <c r="U62" i="112"/>
  <c r="T62" i="112"/>
  <c r="S62" i="112"/>
  <c r="R62" i="112"/>
  <c r="Q62" i="112"/>
  <c r="P62" i="112"/>
  <c r="O62" i="112"/>
  <c r="D61" i="112"/>
  <c r="B61" i="112"/>
  <c r="BM60" i="112"/>
  <c r="BL60" i="112"/>
  <c r="BK60" i="112"/>
  <c r="BJ60" i="112"/>
  <c r="BI60" i="112"/>
  <c r="BH60" i="112"/>
  <c r="BG60" i="112"/>
  <c r="AV60" i="112"/>
  <c r="AQ60" i="112"/>
  <c r="AP60" i="112"/>
  <c r="AO60" i="112"/>
  <c r="AN60" i="112"/>
  <c r="AM60" i="112"/>
  <c r="AL60" i="112"/>
  <c r="AK60" i="112"/>
  <c r="AF60" i="112"/>
  <c r="AE60" i="112"/>
  <c r="AD60" i="112"/>
  <c r="AC60" i="112"/>
  <c r="AB60" i="112"/>
  <c r="AA60" i="112"/>
  <c r="Z60" i="112"/>
  <c r="U60" i="112"/>
  <c r="T60" i="112"/>
  <c r="S60" i="112"/>
  <c r="R60" i="112"/>
  <c r="Q60" i="112"/>
  <c r="P60" i="112"/>
  <c r="O60" i="112"/>
  <c r="D60" i="112"/>
  <c r="B60" i="112"/>
  <c r="BM59" i="112"/>
  <c r="BL59" i="112"/>
  <c r="BK59" i="112"/>
  <c r="BJ59" i="112"/>
  <c r="BI59" i="112"/>
  <c r="BH59" i="112"/>
  <c r="BG59" i="112"/>
  <c r="AV59" i="112"/>
  <c r="AQ59" i="112"/>
  <c r="AP59" i="112"/>
  <c r="AO59" i="112"/>
  <c r="AN59" i="112"/>
  <c r="AM59" i="112"/>
  <c r="AL59" i="112"/>
  <c r="AK59" i="112"/>
  <c r="AF59" i="112"/>
  <c r="AE59" i="112"/>
  <c r="AD59" i="112"/>
  <c r="AC59" i="112"/>
  <c r="AB59" i="112"/>
  <c r="AA59" i="112"/>
  <c r="Z59" i="112"/>
  <c r="U59" i="112"/>
  <c r="T59" i="112"/>
  <c r="S59" i="112"/>
  <c r="R59" i="112"/>
  <c r="Q59" i="112"/>
  <c r="P59" i="112"/>
  <c r="O59" i="112"/>
  <c r="D59" i="112"/>
  <c r="B59" i="112"/>
  <c r="BM58" i="112"/>
  <c r="BL58" i="112"/>
  <c r="BK58" i="112"/>
  <c r="BJ58" i="112"/>
  <c r="BI58" i="112"/>
  <c r="BH58" i="112"/>
  <c r="BG58" i="112"/>
  <c r="AW58" i="112"/>
  <c r="AV58" i="112"/>
  <c r="AQ58" i="112"/>
  <c r="AP58" i="112"/>
  <c r="AO58" i="112"/>
  <c r="AN58" i="112"/>
  <c r="AM58" i="112"/>
  <c r="AL58" i="112"/>
  <c r="AK58" i="112"/>
  <c r="AF58" i="112"/>
  <c r="AE58" i="112"/>
  <c r="AD58" i="112"/>
  <c r="AC58" i="112"/>
  <c r="AB58" i="112"/>
  <c r="AA58" i="112"/>
  <c r="Z58" i="112"/>
  <c r="U58" i="112"/>
  <c r="T58" i="112"/>
  <c r="S58" i="112"/>
  <c r="R58" i="112"/>
  <c r="Q58" i="112"/>
  <c r="P58" i="112"/>
  <c r="O58" i="112"/>
  <c r="D58" i="112"/>
  <c r="B58" i="112"/>
  <c r="BM57" i="112"/>
  <c r="BL57" i="112"/>
  <c r="BK57" i="112"/>
  <c r="BJ57" i="112"/>
  <c r="BI57" i="112"/>
  <c r="BH57" i="112"/>
  <c r="BG57" i="112"/>
  <c r="AV57" i="112"/>
  <c r="AQ57" i="112"/>
  <c r="AP57" i="112"/>
  <c r="AO57" i="112"/>
  <c r="AN57" i="112"/>
  <c r="AM57" i="112"/>
  <c r="AL57" i="112"/>
  <c r="AK57" i="112"/>
  <c r="AF57" i="112"/>
  <c r="AE57" i="112"/>
  <c r="AD57" i="112"/>
  <c r="AC57" i="112"/>
  <c r="AB57" i="112"/>
  <c r="AA57" i="112"/>
  <c r="Z57" i="112"/>
  <c r="U57" i="112"/>
  <c r="T57" i="112"/>
  <c r="S57" i="112"/>
  <c r="R57" i="112"/>
  <c r="Q57" i="112"/>
  <c r="P57" i="112"/>
  <c r="O57" i="112"/>
  <c r="D57" i="112"/>
  <c r="B57" i="112"/>
  <c r="D56" i="112"/>
  <c r="B56" i="112"/>
  <c r="BD55" i="112"/>
  <c r="AS55" i="112"/>
  <c r="AH55" i="112"/>
  <c r="W55" i="112"/>
  <c r="L55" i="112"/>
  <c r="D55" i="112"/>
  <c r="B55" i="112"/>
  <c r="BD54" i="112"/>
  <c r="AS54" i="112"/>
  <c r="AH54" i="112"/>
  <c r="W54" i="112"/>
  <c r="L54" i="112"/>
  <c r="D54" i="112"/>
  <c r="B54" i="112"/>
  <c r="BM53" i="112"/>
  <c r="BL53" i="112"/>
  <c r="BK53" i="112"/>
  <c r="BJ53" i="112"/>
  <c r="BI53" i="112"/>
  <c r="BH53" i="112"/>
  <c r="BG53" i="112"/>
  <c r="AV53" i="112"/>
  <c r="AQ53" i="112"/>
  <c r="AP53" i="112"/>
  <c r="AO53" i="112"/>
  <c r="AN53" i="112"/>
  <c r="AM53" i="112"/>
  <c r="AL53" i="112"/>
  <c r="AK53" i="112"/>
  <c r="AF53" i="112"/>
  <c r="AE53" i="112"/>
  <c r="AD53" i="112"/>
  <c r="AC53" i="112"/>
  <c r="AB53" i="112"/>
  <c r="AA53" i="112"/>
  <c r="Z53" i="112"/>
  <c r="U53" i="112"/>
  <c r="T53" i="112"/>
  <c r="S53" i="112"/>
  <c r="R53" i="112"/>
  <c r="Q53" i="112"/>
  <c r="P53" i="112"/>
  <c r="O53" i="112"/>
  <c r="B53" i="112"/>
  <c r="BM52" i="112"/>
  <c r="BL52" i="112"/>
  <c r="BK52" i="112"/>
  <c r="BJ52" i="112"/>
  <c r="BI52" i="112"/>
  <c r="BH52" i="112"/>
  <c r="BG52" i="112"/>
  <c r="BD52" i="112"/>
  <c r="AV52" i="112"/>
  <c r="AS52" i="112"/>
  <c r="AQ52" i="112"/>
  <c r="AP52" i="112"/>
  <c r="AO52" i="112"/>
  <c r="AN52" i="112"/>
  <c r="AM52" i="112"/>
  <c r="AL52" i="112"/>
  <c r="AK52" i="112"/>
  <c r="AH52" i="112"/>
  <c r="AF52" i="112"/>
  <c r="AE52" i="112"/>
  <c r="AD52" i="112"/>
  <c r="AC52" i="112"/>
  <c r="AB52" i="112"/>
  <c r="AA52" i="112"/>
  <c r="Z52" i="112"/>
  <c r="W52" i="112"/>
  <c r="U52" i="112"/>
  <c r="T52" i="112"/>
  <c r="S52" i="112"/>
  <c r="R52" i="112"/>
  <c r="Q52" i="112"/>
  <c r="P52" i="112"/>
  <c r="O52" i="112"/>
  <c r="L52" i="112"/>
  <c r="J51" i="112"/>
  <c r="I51" i="112"/>
  <c r="H51" i="112"/>
  <c r="G51" i="112"/>
  <c r="F51" i="112"/>
  <c r="E51" i="112"/>
  <c r="D51" i="112"/>
  <c r="B51" i="112"/>
  <c r="BM50" i="112"/>
  <c r="BL50" i="112"/>
  <c r="BK50" i="112"/>
  <c r="BJ50" i="112"/>
  <c r="BI50" i="112"/>
  <c r="BH50" i="112"/>
  <c r="BG50" i="112"/>
  <c r="BD50" i="112"/>
  <c r="AV50" i="112"/>
  <c r="AS50" i="112"/>
  <c r="AQ50" i="112"/>
  <c r="AP50" i="112"/>
  <c r="AO50" i="112"/>
  <c r="AN50" i="112"/>
  <c r="AM50" i="112"/>
  <c r="AL50" i="112"/>
  <c r="AK50" i="112"/>
  <c r="AH50" i="112"/>
  <c r="AF50" i="112"/>
  <c r="AE50" i="112"/>
  <c r="AD50" i="112"/>
  <c r="AC50" i="112"/>
  <c r="AB50" i="112"/>
  <c r="AA50" i="112"/>
  <c r="Z50" i="112"/>
  <c r="W50" i="112"/>
  <c r="U50" i="112"/>
  <c r="T50" i="112"/>
  <c r="S50" i="112"/>
  <c r="R50" i="112"/>
  <c r="Q50" i="112"/>
  <c r="P50" i="112"/>
  <c r="O50" i="112"/>
  <c r="L50" i="112"/>
  <c r="J50" i="112"/>
  <c r="I50" i="112"/>
  <c r="H50" i="112"/>
  <c r="G50" i="112"/>
  <c r="F50" i="112"/>
  <c r="E50" i="112"/>
  <c r="D50" i="112"/>
  <c r="B50" i="112"/>
  <c r="BM49" i="112"/>
  <c r="BL49" i="112"/>
  <c r="BK49" i="112"/>
  <c r="BJ49" i="112"/>
  <c r="BI49" i="112"/>
  <c r="BH49" i="112"/>
  <c r="BG49" i="112"/>
  <c r="BD49" i="112"/>
  <c r="AV49" i="112"/>
  <c r="AS49" i="112"/>
  <c r="AQ49" i="112"/>
  <c r="AP49" i="112"/>
  <c r="AO49" i="112"/>
  <c r="AN49" i="112"/>
  <c r="AM49" i="112"/>
  <c r="AL49" i="112"/>
  <c r="AK49" i="112"/>
  <c r="AH49" i="112"/>
  <c r="AF49" i="112"/>
  <c r="AE49" i="112"/>
  <c r="AD49" i="112"/>
  <c r="AC49" i="112"/>
  <c r="AB49" i="112"/>
  <c r="AA49" i="112"/>
  <c r="Z49" i="112"/>
  <c r="W49" i="112"/>
  <c r="U49" i="112"/>
  <c r="T49" i="112"/>
  <c r="S49" i="112"/>
  <c r="R49" i="112"/>
  <c r="Q49" i="112"/>
  <c r="P49" i="112"/>
  <c r="O49" i="112"/>
  <c r="L49" i="112"/>
  <c r="J49" i="112"/>
  <c r="I49" i="112"/>
  <c r="H49" i="112"/>
  <c r="G49" i="112"/>
  <c r="F49" i="112"/>
  <c r="E49" i="112"/>
  <c r="D49" i="112"/>
  <c r="B49" i="112"/>
  <c r="J48" i="112"/>
  <c r="I48" i="112"/>
  <c r="H48" i="112"/>
  <c r="G48" i="112"/>
  <c r="F48" i="112"/>
  <c r="E48" i="112"/>
  <c r="D48" i="112"/>
  <c r="B48" i="112"/>
  <c r="BM47" i="112"/>
  <c r="BL47" i="112"/>
  <c r="BK47" i="112"/>
  <c r="BJ47" i="112"/>
  <c r="BI47" i="112"/>
  <c r="BH47" i="112"/>
  <c r="BG47" i="112"/>
  <c r="AV47" i="112"/>
  <c r="AQ47" i="112"/>
  <c r="AP47" i="112"/>
  <c r="AO47" i="112"/>
  <c r="AN47" i="112"/>
  <c r="AM47" i="112"/>
  <c r="AL47" i="112"/>
  <c r="AK47" i="112"/>
  <c r="AF47" i="112"/>
  <c r="AE47" i="112"/>
  <c r="AD47" i="112"/>
  <c r="AC47" i="112"/>
  <c r="AB47" i="112"/>
  <c r="AA47" i="112"/>
  <c r="Z47" i="112"/>
  <c r="U47" i="112"/>
  <c r="T47" i="112"/>
  <c r="S47" i="112"/>
  <c r="R47" i="112"/>
  <c r="Q47" i="112"/>
  <c r="P47" i="112"/>
  <c r="O47" i="112"/>
  <c r="J47" i="112"/>
  <c r="I47" i="112"/>
  <c r="H47" i="112"/>
  <c r="G47" i="112"/>
  <c r="F47" i="112"/>
  <c r="E47" i="112"/>
  <c r="D47" i="112"/>
  <c r="B47" i="112"/>
  <c r="BM46" i="112"/>
  <c r="BL46" i="112"/>
  <c r="BK46" i="112"/>
  <c r="BJ46" i="112"/>
  <c r="BI46" i="112"/>
  <c r="BH46" i="112"/>
  <c r="BG46" i="112"/>
  <c r="AV46" i="112"/>
  <c r="AQ46" i="112"/>
  <c r="AP46" i="112"/>
  <c r="AO46" i="112"/>
  <c r="AN46" i="112"/>
  <c r="AM46" i="112"/>
  <c r="AL46" i="112"/>
  <c r="AK46" i="112"/>
  <c r="AF46" i="112"/>
  <c r="AE46" i="112"/>
  <c r="AD46" i="112"/>
  <c r="AC46" i="112"/>
  <c r="AB46" i="112"/>
  <c r="AA46" i="112"/>
  <c r="Z46" i="112"/>
  <c r="U46" i="112"/>
  <c r="T46" i="112"/>
  <c r="S46" i="112"/>
  <c r="R46" i="112"/>
  <c r="Q46" i="112"/>
  <c r="P46" i="112"/>
  <c r="O46" i="112"/>
  <c r="J46" i="112"/>
  <c r="I46" i="112"/>
  <c r="H46" i="112"/>
  <c r="G46" i="112"/>
  <c r="F46" i="112"/>
  <c r="E46" i="112"/>
  <c r="D46" i="112"/>
  <c r="B46" i="112"/>
  <c r="BM45" i="112"/>
  <c r="BL45" i="112"/>
  <c r="BK45" i="112"/>
  <c r="BJ45" i="112"/>
  <c r="BI45" i="112"/>
  <c r="BH45" i="112"/>
  <c r="BG45" i="112"/>
  <c r="AV45" i="112"/>
  <c r="AQ45" i="112"/>
  <c r="AP45" i="112"/>
  <c r="AO45" i="112"/>
  <c r="AN45" i="112"/>
  <c r="AM45" i="112"/>
  <c r="AL45" i="112"/>
  <c r="AK45" i="112"/>
  <c r="AF45" i="112"/>
  <c r="AE45" i="112"/>
  <c r="AD45" i="112"/>
  <c r="AC45" i="112"/>
  <c r="AB45" i="112"/>
  <c r="AA45" i="112"/>
  <c r="Z45" i="112"/>
  <c r="U45" i="112"/>
  <c r="T45" i="112"/>
  <c r="S45" i="112"/>
  <c r="R45" i="112"/>
  <c r="Q45" i="112"/>
  <c r="P45" i="112"/>
  <c r="O45" i="112"/>
  <c r="J45" i="112"/>
  <c r="I45" i="112"/>
  <c r="H45" i="112"/>
  <c r="G45" i="112"/>
  <c r="F45" i="112"/>
  <c r="E45" i="112"/>
  <c r="D45" i="112"/>
  <c r="B45" i="112"/>
  <c r="BM44" i="112"/>
  <c r="BL44" i="112"/>
  <c r="BK44" i="112"/>
  <c r="BJ44" i="112"/>
  <c r="BI44" i="112"/>
  <c r="BH44" i="112"/>
  <c r="BG44" i="112"/>
  <c r="AW44" i="112"/>
  <c r="AV44" i="112"/>
  <c r="AQ44" i="112"/>
  <c r="AP44" i="112"/>
  <c r="AO44" i="112"/>
  <c r="AN44" i="112"/>
  <c r="AM44" i="112"/>
  <c r="AL44" i="112"/>
  <c r="AK44" i="112"/>
  <c r="AF44" i="112"/>
  <c r="AE44" i="112"/>
  <c r="AD44" i="112"/>
  <c r="AC44" i="112"/>
  <c r="AB44" i="112"/>
  <c r="AA44" i="112"/>
  <c r="Z44" i="112"/>
  <c r="U44" i="112"/>
  <c r="T44" i="112"/>
  <c r="S44" i="112"/>
  <c r="R44" i="112"/>
  <c r="Q44" i="112"/>
  <c r="P44" i="112"/>
  <c r="O44" i="112"/>
  <c r="J44" i="112"/>
  <c r="I44" i="112"/>
  <c r="H44" i="112"/>
  <c r="G44" i="112"/>
  <c r="F44" i="112"/>
  <c r="E44" i="112"/>
  <c r="D44" i="112"/>
  <c r="B44" i="112"/>
  <c r="B43" i="112"/>
  <c r="BM42" i="112"/>
  <c r="BL42" i="112"/>
  <c r="BK42" i="112"/>
  <c r="BJ42" i="112"/>
  <c r="BI42" i="112"/>
  <c r="BH42" i="112"/>
  <c r="BG42" i="112"/>
  <c r="AV42" i="112"/>
  <c r="AQ42" i="112"/>
  <c r="AP42" i="112"/>
  <c r="AO42" i="112"/>
  <c r="AN42" i="112"/>
  <c r="AM42" i="112"/>
  <c r="AL42" i="112"/>
  <c r="AK42" i="112"/>
  <c r="AF42" i="112"/>
  <c r="AE42" i="112"/>
  <c r="AD42" i="112"/>
  <c r="AC42" i="112"/>
  <c r="AB42" i="112"/>
  <c r="AA42" i="112"/>
  <c r="Z42" i="112"/>
  <c r="U42" i="112"/>
  <c r="T42" i="112"/>
  <c r="S42" i="112"/>
  <c r="R42" i="112"/>
  <c r="Q42" i="112"/>
  <c r="P42" i="112"/>
  <c r="O42" i="112"/>
  <c r="BM41" i="112"/>
  <c r="BL41" i="112"/>
  <c r="BK41" i="112"/>
  <c r="BJ41" i="112"/>
  <c r="BI41" i="112"/>
  <c r="BH41" i="112"/>
  <c r="BG41" i="112"/>
  <c r="AV41" i="112"/>
  <c r="AQ41" i="112"/>
  <c r="AP41" i="112"/>
  <c r="AO41" i="112"/>
  <c r="AN41" i="112"/>
  <c r="AM41" i="112"/>
  <c r="AL41" i="112"/>
  <c r="AK41" i="112"/>
  <c r="AF41" i="112"/>
  <c r="AE41" i="112"/>
  <c r="AD41" i="112"/>
  <c r="AC41" i="112"/>
  <c r="AB41" i="112"/>
  <c r="AA41" i="112"/>
  <c r="Z41" i="112"/>
  <c r="U41" i="112"/>
  <c r="T41" i="112"/>
  <c r="S41" i="112"/>
  <c r="R41" i="112"/>
  <c r="Q41" i="112"/>
  <c r="P41" i="112"/>
  <c r="O41" i="112"/>
  <c r="J41" i="112"/>
  <c r="I41" i="112"/>
  <c r="H41" i="112"/>
  <c r="G41" i="112"/>
  <c r="F41" i="112"/>
  <c r="E41" i="112"/>
  <c r="D41" i="112"/>
  <c r="B41" i="112"/>
  <c r="J40" i="112"/>
  <c r="I40" i="112"/>
  <c r="H40" i="112"/>
  <c r="G40" i="112"/>
  <c r="F40" i="112"/>
  <c r="E40" i="112"/>
  <c r="D40" i="112"/>
  <c r="B40" i="112"/>
  <c r="BM39" i="112"/>
  <c r="BL39" i="112"/>
  <c r="BK39" i="112"/>
  <c r="BJ39" i="112"/>
  <c r="BI39" i="112"/>
  <c r="BH39" i="112"/>
  <c r="BG39" i="112"/>
  <c r="AV39" i="112"/>
  <c r="AQ39" i="112"/>
  <c r="AP39" i="112"/>
  <c r="AO39" i="112"/>
  <c r="AN39" i="112"/>
  <c r="AM39" i="112"/>
  <c r="AL39" i="112"/>
  <c r="AK39" i="112"/>
  <c r="AF39" i="112"/>
  <c r="AE39" i="112"/>
  <c r="AD39" i="112"/>
  <c r="AC39" i="112"/>
  <c r="AB39" i="112"/>
  <c r="AA39" i="112"/>
  <c r="Z39" i="112"/>
  <c r="U39" i="112"/>
  <c r="T39" i="112"/>
  <c r="S39" i="112"/>
  <c r="R39" i="112"/>
  <c r="Q39" i="112"/>
  <c r="P39" i="112"/>
  <c r="O39" i="112"/>
  <c r="J39" i="112"/>
  <c r="I39" i="112"/>
  <c r="H39" i="112"/>
  <c r="G39" i="112"/>
  <c r="F39" i="112"/>
  <c r="E39" i="112"/>
  <c r="D39" i="112"/>
  <c r="B39" i="112"/>
  <c r="BM38" i="112"/>
  <c r="BL38" i="112"/>
  <c r="BK38" i="112"/>
  <c r="BJ38" i="112"/>
  <c r="BI38" i="112"/>
  <c r="BH38" i="112"/>
  <c r="BG38" i="112"/>
  <c r="AV38" i="112"/>
  <c r="AQ38" i="112"/>
  <c r="AP38" i="112"/>
  <c r="AO38" i="112"/>
  <c r="AN38" i="112"/>
  <c r="AM38" i="112"/>
  <c r="AL38" i="112"/>
  <c r="AK38" i="112"/>
  <c r="AF38" i="112"/>
  <c r="AE38" i="112"/>
  <c r="AD38" i="112"/>
  <c r="AC38" i="112"/>
  <c r="AB38" i="112"/>
  <c r="AA38" i="112"/>
  <c r="Z38" i="112"/>
  <c r="U38" i="112"/>
  <c r="T38" i="112"/>
  <c r="S38" i="112"/>
  <c r="R38" i="112"/>
  <c r="Q38" i="112"/>
  <c r="P38" i="112"/>
  <c r="O38" i="112"/>
  <c r="J38" i="112"/>
  <c r="I38" i="112"/>
  <c r="H38" i="112"/>
  <c r="G38" i="112"/>
  <c r="F38" i="112"/>
  <c r="E38" i="112"/>
  <c r="D38" i="112"/>
  <c r="B38" i="112"/>
  <c r="BM37" i="112"/>
  <c r="BL37" i="112"/>
  <c r="BK37" i="112"/>
  <c r="BJ37" i="112"/>
  <c r="BI37" i="112"/>
  <c r="BH37" i="112"/>
  <c r="BG37" i="112"/>
  <c r="AW37" i="112"/>
  <c r="AV37" i="112"/>
  <c r="AQ37" i="112"/>
  <c r="AP37" i="112"/>
  <c r="AO37" i="112"/>
  <c r="AN37" i="112"/>
  <c r="AM37" i="112"/>
  <c r="AL37" i="112"/>
  <c r="AK37" i="112"/>
  <c r="AF37" i="112"/>
  <c r="AE37" i="112"/>
  <c r="AD37" i="112"/>
  <c r="AC37" i="112"/>
  <c r="AB37" i="112"/>
  <c r="AA37" i="112"/>
  <c r="Z37" i="112"/>
  <c r="U37" i="112"/>
  <c r="T37" i="112"/>
  <c r="S37" i="112"/>
  <c r="R37" i="112"/>
  <c r="Q37" i="112"/>
  <c r="P37" i="112"/>
  <c r="O37" i="112"/>
  <c r="J37" i="112"/>
  <c r="I37" i="112"/>
  <c r="H37" i="112"/>
  <c r="G37" i="112"/>
  <c r="F37" i="112"/>
  <c r="E37" i="112"/>
  <c r="D37" i="112"/>
  <c r="B37" i="112"/>
  <c r="BM36" i="112"/>
  <c r="BL36" i="112"/>
  <c r="BK36" i="112"/>
  <c r="BJ36" i="112"/>
  <c r="BI36" i="112"/>
  <c r="BH36" i="112"/>
  <c r="BG36" i="112"/>
  <c r="AV36" i="112"/>
  <c r="AQ36" i="112"/>
  <c r="AP36" i="112"/>
  <c r="AO36" i="112"/>
  <c r="AN36" i="112"/>
  <c r="AM36" i="112"/>
  <c r="AL36" i="112"/>
  <c r="AK36" i="112"/>
  <c r="AF36" i="112"/>
  <c r="AE36" i="112"/>
  <c r="AD36" i="112"/>
  <c r="AC36" i="112"/>
  <c r="AB36" i="112"/>
  <c r="AA36" i="112"/>
  <c r="Z36" i="112"/>
  <c r="U36" i="112"/>
  <c r="T36" i="112"/>
  <c r="S36" i="112"/>
  <c r="R36" i="112"/>
  <c r="Q36" i="112"/>
  <c r="P36" i="112"/>
  <c r="O36" i="112"/>
  <c r="J36" i="112"/>
  <c r="I36" i="112"/>
  <c r="H36" i="112"/>
  <c r="G36" i="112"/>
  <c r="F36" i="112"/>
  <c r="E36" i="112"/>
  <c r="D36" i="112"/>
  <c r="B36" i="112"/>
  <c r="J35" i="112"/>
  <c r="I35" i="112"/>
  <c r="H35" i="112"/>
  <c r="G35" i="112"/>
  <c r="F35" i="112"/>
  <c r="E35" i="112"/>
  <c r="D35" i="112"/>
  <c r="B35" i="112"/>
  <c r="BE34" i="112"/>
  <c r="BD34" i="112"/>
  <c r="AT34" i="112"/>
  <c r="AS34" i="112"/>
  <c r="AI34" i="112"/>
  <c r="AH34" i="112"/>
  <c r="X34" i="112"/>
  <c r="W34" i="112"/>
  <c r="L34" i="112"/>
  <c r="J34" i="112"/>
  <c r="I34" i="112"/>
  <c r="H34" i="112"/>
  <c r="G34" i="112"/>
  <c r="F34" i="112"/>
  <c r="E34" i="112"/>
  <c r="D34" i="112"/>
  <c r="B34" i="112"/>
  <c r="BD33" i="112"/>
  <c r="AS33" i="112"/>
  <c r="AH33" i="112"/>
  <c r="W33" i="112"/>
  <c r="L33" i="112"/>
  <c r="B33" i="112"/>
  <c r="BM32" i="112"/>
  <c r="BL32" i="112"/>
  <c r="BK32" i="112"/>
  <c r="BJ32" i="112"/>
  <c r="BI32" i="112"/>
  <c r="BH32" i="112"/>
  <c r="BG32" i="112"/>
  <c r="AV32" i="112"/>
  <c r="AQ32" i="112"/>
  <c r="AP32" i="112"/>
  <c r="AO32" i="112"/>
  <c r="AN32" i="112"/>
  <c r="AM32" i="112"/>
  <c r="AL32" i="112"/>
  <c r="AK32" i="112"/>
  <c r="AF32" i="112"/>
  <c r="AE32" i="112"/>
  <c r="AD32" i="112"/>
  <c r="AC32" i="112"/>
  <c r="AB32" i="112"/>
  <c r="AA32" i="112"/>
  <c r="Z32" i="112"/>
  <c r="U32" i="112"/>
  <c r="T32" i="112"/>
  <c r="S32" i="112"/>
  <c r="R32" i="112"/>
  <c r="Q32" i="112"/>
  <c r="P32" i="112"/>
  <c r="O32" i="112"/>
  <c r="BM31" i="112"/>
  <c r="BL31" i="112"/>
  <c r="BK31" i="112"/>
  <c r="BJ31" i="112"/>
  <c r="BI31" i="112"/>
  <c r="BH31" i="112"/>
  <c r="BG31" i="112"/>
  <c r="BD31" i="112"/>
  <c r="AV31" i="112"/>
  <c r="AS31" i="112"/>
  <c r="AQ31" i="112"/>
  <c r="AP31" i="112"/>
  <c r="AO31" i="112"/>
  <c r="AN31" i="112"/>
  <c r="AM31" i="112"/>
  <c r="AL31" i="112"/>
  <c r="AK31" i="112"/>
  <c r="AH31" i="112"/>
  <c r="AF31" i="112"/>
  <c r="AE31" i="112"/>
  <c r="AD31" i="112"/>
  <c r="AC31" i="112"/>
  <c r="AB31" i="112"/>
  <c r="AA31" i="112"/>
  <c r="Z31" i="112"/>
  <c r="W31" i="112"/>
  <c r="U31" i="112"/>
  <c r="T31" i="112"/>
  <c r="S31" i="112"/>
  <c r="R31" i="112"/>
  <c r="Q31" i="112"/>
  <c r="P31" i="112"/>
  <c r="O31" i="112"/>
  <c r="J31" i="112"/>
  <c r="I31" i="112"/>
  <c r="H31" i="112"/>
  <c r="G31" i="112"/>
  <c r="F31" i="112"/>
  <c r="E31" i="112"/>
  <c r="D31" i="112"/>
  <c r="J30" i="112"/>
  <c r="I30" i="112"/>
  <c r="H30" i="112"/>
  <c r="G30" i="112"/>
  <c r="F30" i="112"/>
  <c r="E30" i="112"/>
  <c r="D30" i="112"/>
  <c r="B30" i="112"/>
  <c r="BM29" i="112"/>
  <c r="BL29" i="112"/>
  <c r="BK29" i="112"/>
  <c r="BJ29" i="112"/>
  <c r="BI29" i="112"/>
  <c r="BH29" i="112"/>
  <c r="BG29" i="112"/>
  <c r="AV29" i="112"/>
  <c r="AQ29" i="112"/>
  <c r="AP29" i="112"/>
  <c r="AO29" i="112"/>
  <c r="AN29" i="112"/>
  <c r="AM29" i="112"/>
  <c r="AL29" i="112"/>
  <c r="AK29" i="112"/>
  <c r="AF29" i="112"/>
  <c r="AE29" i="112"/>
  <c r="AD29" i="112"/>
  <c r="AC29" i="112"/>
  <c r="AB29" i="112"/>
  <c r="AA29" i="112"/>
  <c r="Z29" i="112"/>
  <c r="U29" i="112"/>
  <c r="T29" i="112"/>
  <c r="S29" i="112"/>
  <c r="R29" i="112"/>
  <c r="Q29" i="112"/>
  <c r="P29" i="112"/>
  <c r="O29" i="112"/>
  <c r="J29" i="112"/>
  <c r="I29" i="112"/>
  <c r="H29" i="112"/>
  <c r="G29" i="112"/>
  <c r="F29" i="112"/>
  <c r="E29" i="112"/>
  <c r="D29" i="112"/>
  <c r="B29" i="112"/>
  <c r="BM28" i="112"/>
  <c r="BL28" i="112"/>
  <c r="BK28" i="112"/>
  <c r="BJ28" i="112"/>
  <c r="BI28" i="112"/>
  <c r="BH28" i="112"/>
  <c r="BG28" i="112"/>
  <c r="AV28" i="112"/>
  <c r="AQ28" i="112"/>
  <c r="AP28" i="112"/>
  <c r="AO28" i="112"/>
  <c r="AN28" i="112"/>
  <c r="AM28" i="112"/>
  <c r="AL28" i="112"/>
  <c r="AK28" i="112"/>
  <c r="AF28" i="112"/>
  <c r="AE28" i="112"/>
  <c r="AD28" i="112"/>
  <c r="AC28" i="112"/>
  <c r="AB28" i="112"/>
  <c r="AA28" i="112"/>
  <c r="Z28" i="112"/>
  <c r="U28" i="112"/>
  <c r="T28" i="112"/>
  <c r="S28" i="112"/>
  <c r="R28" i="112"/>
  <c r="Q28" i="112"/>
  <c r="P28" i="112"/>
  <c r="O28" i="112"/>
  <c r="J28" i="112"/>
  <c r="I28" i="112"/>
  <c r="H28" i="112"/>
  <c r="G28" i="112"/>
  <c r="F28" i="112"/>
  <c r="E28" i="112"/>
  <c r="D28" i="112"/>
  <c r="B28" i="112"/>
  <c r="J27" i="112"/>
  <c r="I27" i="112"/>
  <c r="H27" i="112"/>
  <c r="G27" i="112"/>
  <c r="F27" i="112"/>
  <c r="E27" i="112"/>
  <c r="D27" i="112"/>
  <c r="B27" i="112"/>
  <c r="BM26" i="112"/>
  <c r="BL26" i="112"/>
  <c r="BK26" i="112"/>
  <c r="BJ26" i="112"/>
  <c r="BI26" i="112"/>
  <c r="BH26" i="112"/>
  <c r="BG26" i="112"/>
  <c r="AV26" i="112"/>
  <c r="AQ26" i="112"/>
  <c r="AP26" i="112"/>
  <c r="AO26" i="112"/>
  <c r="AN26" i="112"/>
  <c r="AM26" i="112"/>
  <c r="AL26" i="112"/>
  <c r="AK26" i="112"/>
  <c r="AF26" i="112"/>
  <c r="AE26" i="112"/>
  <c r="AD26" i="112"/>
  <c r="AC26" i="112"/>
  <c r="AB26" i="112"/>
  <c r="AA26" i="112"/>
  <c r="Z26" i="112"/>
  <c r="U26" i="112"/>
  <c r="T26" i="112"/>
  <c r="S26" i="112"/>
  <c r="R26" i="112"/>
  <c r="Q26" i="112"/>
  <c r="P26" i="112"/>
  <c r="O26" i="112"/>
  <c r="J26" i="112"/>
  <c r="I26" i="112"/>
  <c r="H26" i="112"/>
  <c r="G26" i="112"/>
  <c r="F26" i="112"/>
  <c r="E26" i="112"/>
  <c r="D26" i="112"/>
  <c r="B26" i="112"/>
  <c r="BM25" i="112"/>
  <c r="BL25" i="112"/>
  <c r="BK25" i="112"/>
  <c r="BJ25" i="112"/>
  <c r="BI25" i="112"/>
  <c r="BH25" i="112"/>
  <c r="BG25" i="112"/>
  <c r="AV25" i="112"/>
  <c r="AQ25" i="112"/>
  <c r="AP25" i="112"/>
  <c r="AO25" i="112"/>
  <c r="AN25" i="112"/>
  <c r="AM25" i="112"/>
  <c r="AL25" i="112"/>
  <c r="AK25" i="112"/>
  <c r="AF25" i="112"/>
  <c r="AE25" i="112"/>
  <c r="AD25" i="112"/>
  <c r="AC25" i="112"/>
  <c r="AB25" i="112"/>
  <c r="AA25" i="112"/>
  <c r="Z25" i="112"/>
  <c r="U25" i="112"/>
  <c r="T25" i="112"/>
  <c r="S25" i="112"/>
  <c r="R25" i="112"/>
  <c r="Q25" i="112"/>
  <c r="P25" i="112"/>
  <c r="O25" i="112"/>
  <c r="J25" i="112"/>
  <c r="I25" i="112"/>
  <c r="H25" i="112"/>
  <c r="G25" i="112"/>
  <c r="F25" i="112"/>
  <c r="E25" i="112"/>
  <c r="D25" i="112"/>
  <c r="B25" i="112"/>
  <c r="BM24" i="112"/>
  <c r="BL24" i="112"/>
  <c r="BK24" i="112"/>
  <c r="BJ24" i="112"/>
  <c r="BI24" i="112"/>
  <c r="BH24" i="112"/>
  <c r="BG24" i="112"/>
  <c r="AV24" i="112"/>
  <c r="AQ24" i="112"/>
  <c r="AP24" i="112"/>
  <c r="AO24" i="112"/>
  <c r="AN24" i="112"/>
  <c r="AM24" i="112"/>
  <c r="AL24" i="112"/>
  <c r="AK24" i="112"/>
  <c r="AF24" i="112"/>
  <c r="AE24" i="112"/>
  <c r="AD24" i="112"/>
  <c r="AC24" i="112"/>
  <c r="AB24" i="112"/>
  <c r="AA24" i="112"/>
  <c r="Z24" i="112"/>
  <c r="U24" i="112"/>
  <c r="T24" i="112"/>
  <c r="S24" i="112"/>
  <c r="R24" i="112"/>
  <c r="Q24" i="112"/>
  <c r="P24" i="112"/>
  <c r="O24" i="112"/>
  <c r="J24" i="112"/>
  <c r="I24" i="112"/>
  <c r="H24" i="112"/>
  <c r="G24" i="112"/>
  <c r="F24" i="112"/>
  <c r="E24" i="112"/>
  <c r="D24" i="112"/>
  <c r="B24" i="112"/>
  <c r="BM23" i="112"/>
  <c r="BL23" i="112"/>
  <c r="BK23" i="112"/>
  <c r="BJ23" i="112"/>
  <c r="BI23" i="112"/>
  <c r="BH23" i="112"/>
  <c r="BG23" i="112"/>
  <c r="AW23" i="112"/>
  <c r="AV23" i="112"/>
  <c r="AQ23" i="112"/>
  <c r="AP23" i="112"/>
  <c r="AO23" i="112"/>
  <c r="AN23" i="112"/>
  <c r="AM23" i="112"/>
  <c r="AL23" i="112"/>
  <c r="AK23" i="112"/>
  <c r="AF23" i="112"/>
  <c r="AE23" i="112"/>
  <c r="AD23" i="112"/>
  <c r="AC23" i="112"/>
  <c r="AB23" i="112"/>
  <c r="AA23" i="112"/>
  <c r="Z23" i="112"/>
  <c r="U23" i="112"/>
  <c r="T23" i="112"/>
  <c r="S23" i="112"/>
  <c r="R23" i="112"/>
  <c r="Q23" i="112"/>
  <c r="P23" i="112"/>
  <c r="O23" i="112"/>
  <c r="BM21" i="112"/>
  <c r="BL21" i="112"/>
  <c r="BK21" i="112"/>
  <c r="BJ21" i="112"/>
  <c r="BI21" i="112"/>
  <c r="BH21" i="112"/>
  <c r="BG21" i="112"/>
  <c r="AV21" i="112"/>
  <c r="AQ21" i="112"/>
  <c r="AP21" i="112"/>
  <c r="AO21" i="112"/>
  <c r="AN21" i="112"/>
  <c r="AM21" i="112"/>
  <c r="AL21" i="112"/>
  <c r="AK21" i="112"/>
  <c r="AF21" i="112"/>
  <c r="AE21" i="112"/>
  <c r="AD21" i="112"/>
  <c r="AC21" i="112"/>
  <c r="AB21" i="112"/>
  <c r="AA21" i="112"/>
  <c r="Z21" i="112"/>
  <c r="U21" i="112"/>
  <c r="T21" i="112"/>
  <c r="S21" i="112"/>
  <c r="R21" i="112"/>
  <c r="Q21" i="112"/>
  <c r="P21" i="112"/>
  <c r="O21" i="112"/>
  <c r="BM20" i="112"/>
  <c r="BL20" i="112"/>
  <c r="BK20" i="112"/>
  <c r="BJ20" i="112"/>
  <c r="BI20" i="112"/>
  <c r="BH20" i="112"/>
  <c r="BG20" i="112"/>
  <c r="AV20" i="112"/>
  <c r="AQ20" i="112"/>
  <c r="AP20" i="112"/>
  <c r="AO20" i="112"/>
  <c r="AN20" i="112"/>
  <c r="AM20" i="112"/>
  <c r="AL20" i="112"/>
  <c r="AK20" i="112"/>
  <c r="AF20" i="112"/>
  <c r="AE20" i="112"/>
  <c r="AD20" i="112"/>
  <c r="AC20" i="112"/>
  <c r="AB20" i="112"/>
  <c r="AA20" i="112"/>
  <c r="Z20" i="112"/>
  <c r="U20" i="112"/>
  <c r="T20" i="112"/>
  <c r="S20" i="112"/>
  <c r="R20" i="112"/>
  <c r="Q20" i="112"/>
  <c r="P20" i="112"/>
  <c r="O20" i="112"/>
  <c r="J20" i="112"/>
  <c r="I20" i="112"/>
  <c r="H20" i="112"/>
  <c r="G20" i="112"/>
  <c r="F20" i="112"/>
  <c r="E20" i="112"/>
  <c r="D20" i="112"/>
  <c r="B20" i="112"/>
  <c r="D19" i="112"/>
  <c r="B19" i="112"/>
  <c r="BM18" i="112"/>
  <c r="BL18" i="112"/>
  <c r="BK18" i="112"/>
  <c r="BJ18" i="112"/>
  <c r="BI18" i="112"/>
  <c r="BH18" i="112"/>
  <c r="BG18" i="112"/>
  <c r="AV18" i="112"/>
  <c r="AQ18" i="112"/>
  <c r="AP18" i="112"/>
  <c r="AO18" i="112"/>
  <c r="AN18" i="112"/>
  <c r="AM18" i="112"/>
  <c r="AL18" i="112"/>
  <c r="AK18" i="112"/>
  <c r="AF18" i="112"/>
  <c r="AE18" i="112"/>
  <c r="AD18" i="112"/>
  <c r="AC18" i="112"/>
  <c r="AB18" i="112"/>
  <c r="AA18" i="112"/>
  <c r="Z18" i="112"/>
  <c r="U18" i="112"/>
  <c r="T18" i="112"/>
  <c r="S18" i="112"/>
  <c r="R18" i="112"/>
  <c r="Q18" i="112"/>
  <c r="P18" i="112"/>
  <c r="O18" i="112"/>
  <c r="J18" i="112"/>
  <c r="I18" i="112"/>
  <c r="H18" i="112"/>
  <c r="G18" i="112"/>
  <c r="F18" i="112"/>
  <c r="E18" i="112"/>
  <c r="D18" i="112"/>
  <c r="B18" i="112"/>
  <c r="BM17" i="112"/>
  <c r="BL17" i="112"/>
  <c r="BK17" i="112"/>
  <c r="BJ17" i="112"/>
  <c r="BI17" i="112"/>
  <c r="BH17" i="112"/>
  <c r="BG17" i="112"/>
  <c r="AV17" i="112"/>
  <c r="AQ17" i="112"/>
  <c r="AP17" i="112"/>
  <c r="AO17" i="112"/>
  <c r="AN17" i="112"/>
  <c r="AM17" i="112"/>
  <c r="AL17" i="112"/>
  <c r="AK17" i="112"/>
  <c r="AF17" i="112"/>
  <c r="AE17" i="112"/>
  <c r="AD17" i="112"/>
  <c r="AC17" i="112"/>
  <c r="AB17" i="112"/>
  <c r="AA17" i="112"/>
  <c r="Z17" i="112"/>
  <c r="U17" i="112"/>
  <c r="T17" i="112"/>
  <c r="S17" i="112"/>
  <c r="R17" i="112"/>
  <c r="Q17" i="112"/>
  <c r="P17" i="112"/>
  <c r="O17" i="112"/>
  <c r="J17" i="112"/>
  <c r="I17" i="112"/>
  <c r="H17" i="112"/>
  <c r="G17" i="112"/>
  <c r="F17" i="112"/>
  <c r="E17" i="112"/>
  <c r="D17" i="112"/>
  <c r="B17" i="112"/>
  <c r="BM16" i="112"/>
  <c r="BL16" i="112"/>
  <c r="BK16" i="112"/>
  <c r="BJ16" i="112"/>
  <c r="BI16" i="112"/>
  <c r="BH16" i="112"/>
  <c r="BG16" i="112"/>
  <c r="AW16" i="112"/>
  <c r="AV16" i="112"/>
  <c r="AQ16" i="112"/>
  <c r="AP16" i="112"/>
  <c r="AO16" i="112"/>
  <c r="AN16" i="112"/>
  <c r="AM16" i="112"/>
  <c r="AL16" i="112"/>
  <c r="AK16" i="112"/>
  <c r="AF16" i="112"/>
  <c r="AE16" i="112"/>
  <c r="AD16" i="112"/>
  <c r="AC16" i="112"/>
  <c r="AB16" i="112"/>
  <c r="AA16" i="112"/>
  <c r="Z16" i="112"/>
  <c r="U16" i="112"/>
  <c r="T16" i="112"/>
  <c r="S16" i="112"/>
  <c r="R16" i="112"/>
  <c r="Q16" i="112"/>
  <c r="P16" i="112"/>
  <c r="O16" i="112"/>
  <c r="J16" i="112"/>
  <c r="I16" i="112"/>
  <c r="H16" i="112"/>
  <c r="G16" i="112"/>
  <c r="F16" i="112"/>
  <c r="E16" i="112"/>
  <c r="D16" i="112"/>
  <c r="B16" i="112"/>
  <c r="BM15" i="112"/>
  <c r="BL15" i="112"/>
  <c r="BK15" i="112"/>
  <c r="BJ15" i="112"/>
  <c r="BI15" i="112"/>
  <c r="BH15" i="112"/>
  <c r="BG15" i="112"/>
  <c r="AV15" i="112"/>
  <c r="AQ15" i="112"/>
  <c r="AP15" i="112"/>
  <c r="AO15" i="112"/>
  <c r="AN15" i="112"/>
  <c r="AM15" i="112"/>
  <c r="AL15" i="112"/>
  <c r="AK15" i="112"/>
  <c r="AF15" i="112"/>
  <c r="AE15" i="112"/>
  <c r="AD15" i="112"/>
  <c r="AC15" i="112"/>
  <c r="AB15" i="112"/>
  <c r="AA15" i="112"/>
  <c r="Z15" i="112"/>
  <c r="U15" i="112"/>
  <c r="T15" i="112"/>
  <c r="S15" i="112"/>
  <c r="R15" i="112"/>
  <c r="Q15" i="112"/>
  <c r="P15" i="112"/>
  <c r="O15" i="112"/>
  <c r="J15" i="112"/>
  <c r="I15" i="112"/>
  <c r="H15" i="112"/>
  <c r="G15" i="112"/>
  <c r="F15" i="112"/>
  <c r="E15" i="112"/>
  <c r="D15" i="112"/>
  <c r="B15" i="112"/>
  <c r="J13" i="112"/>
  <c r="I13" i="112"/>
  <c r="H13" i="112"/>
  <c r="G13" i="112"/>
  <c r="F13" i="112"/>
  <c r="E13" i="112"/>
  <c r="D13" i="112"/>
  <c r="C13" i="112"/>
  <c r="B13" i="112"/>
  <c r="BD12" i="112"/>
  <c r="AS12" i="112"/>
  <c r="AH12" i="112"/>
  <c r="W12" i="112"/>
  <c r="L12" i="112"/>
  <c r="BM11" i="112"/>
  <c r="BL11" i="112"/>
  <c r="BK11" i="112"/>
  <c r="BJ11" i="112"/>
  <c r="BI11" i="112"/>
  <c r="BH11" i="112"/>
  <c r="BG11" i="112"/>
  <c r="AV11" i="112"/>
  <c r="AQ11" i="112"/>
  <c r="AP11" i="112"/>
  <c r="AO11" i="112"/>
  <c r="AN11" i="112"/>
  <c r="AM11" i="112"/>
  <c r="AL11" i="112"/>
  <c r="AK11" i="112"/>
  <c r="AF11" i="112"/>
  <c r="AE11" i="112"/>
  <c r="AD11" i="112"/>
  <c r="AC11" i="112"/>
  <c r="AB11" i="112"/>
  <c r="AA11" i="112"/>
  <c r="Z11" i="112"/>
  <c r="U11" i="112"/>
  <c r="T11" i="112"/>
  <c r="S11" i="112"/>
  <c r="R11" i="112"/>
  <c r="Q11" i="112"/>
  <c r="P11" i="112"/>
  <c r="O11" i="112"/>
  <c r="G11" i="112"/>
  <c r="F11" i="112"/>
  <c r="E11" i="112"/>
  <c r="D11" i="112"/>
  <c r="C11" i="112"/>
  <c r="BM10" i="112"/>
  <c r="BL10" i="112"/>
  <c r="BK10" i="112"/>
  <c r="BJ10" i="112"/>
  <c r="BI10" i="112"/>
  <c r="BH10" i="112"/>
  <c r="BG10" i="112"/>
  <c r="AV10" i="112"/>
  <c r="AQ10" i="112"/>
  <c r="AP10" i="112"/>
  <c r="AO10" i="112"/>
  <c r="AN10" i="112"/>
  <c r="AM10" i="112"/>
  <c r="AL10" i="112"/>
  <c r="AK10" i="112"/>
  <c r="AF10" i="112"/>
  <c r="AE10" i="112"/>
  <c r="AD10" i="112"/>
  <c r="AC10" i="112"/>
  <c r="AB10" i="112"/>
  <c r="AA10" i="112"/>
  <c r="Z10" i="112"/>
  <c r="U10" i="112"/>
  <c r="T10" i="112"/>
  <c r="S10" i="112"/>
  <c r="R10" i="112"/>
  <c r="Q10" i="112"/>
  <c r="P10" i="112"/>
  <c r="O10" i="112"/>
  <c r="G10" i="112"/>
  <c r="F10" i="112"/>
  <c r="E10" i="112"/>
  <c r="D10" i="112"/>
  <c r="C10" i="112"/>
  <c r="B10" i="112"/>
  <c r="G9" i="112"/>
  <c r="F9" i="112"/>
  <c r="E9" i="112"/>
  <c r="D9" i="112"/>
  <c r="C9" i="112"/>
  <c r="B9" i="112"/>
  <c r="BM8" i="112"/>
  <c r="BL8" i="112"/>
  <c r="BK8" i="112"/>
  <c r="BJ8" i="112"/>
  <c r="BI8" i="112"/>
  <c r="BH8" i="112"/>
  <c r="BG8" i="112"/>
  <c r="AV8" i="112"/>
  <c r="AQ8" i="112"/>
  <c r="AP8" i="112"/>
  <c r="AO8" i="112"/>
  <c r="AN8" i="112"/>
  <c r="AM8" i="112"/>
  <c r="AL8" i="112"/>
  <c r="AK8" i="112"/>
  <c r="AF8" i="112"/>
  <c r="AE8" i="112"/>
  <c r="AD8" i="112"/>
  <c r="AC8" i="112"/>
  <c r="AB8" i="112"/>
  <c r="AA8" i="112"/>
  <c r="Z8" i="112"/>
  <c r="U8" i="112"/>
  <c r="T8" i="112"/>
  <c r="S8" i="112"/>
  <c r="R8" i="112"/>
  <c r="Q8" i="112"/>
  <c r="P8" i="112"/>
  <c r="O8" i="112"/>
  <c r="G8" i="112"/>
  <c r="F8" i="112"/>
  <c r="E8" i="112"/>
  <c r="D8" i="112"/>
  <c r="C8" i="112"/>
  <c r="B8" i="112"/>
  <c r="BM7" i="112"/>
  <c r="BL7" i="112"/>
  <c r="BK7" i="112"/>
  <c r="BJ7" i="112"/>
  <c r="BI7" i="112"/>
  <c r="BH7" i="112"/>
  <c r="BG7" i="112"/>
  <c r="AV7" i="112"/>
  <c r="AQ7" i="112"/>
  <c r="AP7" i="112"/>
  <c r="AO7" i="112"/>
  <c r="AN7" i="112"/>
  <c r="AM7" i="112"/>
  <c r="AL7" i="112"/>
  <c r="AK7" i="112"/>
  <c r="AF7" i="112"/>
  <c r="AE7" i="112"/>
  <c r="AD7" i="112"/>
  <c r="AC7" i="112"/>
  <c r="AB7" i="112"/>
  <c r="AA7" i="112"/>
  <c r="Z7" i="112"/>
  <c r="U7" i="112"/>
  <c r="T7" i="112"/>
  <c r="S7" i="112"/>
  <c r="R7" i="112"/>
  <c r="Q7" i="112"/>
  <c r="P7" i="112"/>
  <c r="O7" i="112"/>
  <c r="G7" i="112"/>
  <c r="F7" i="112"/>
  <c r="E7" i="112"/>
  <c r="D7" i="112"/>
  <c r="C7" i="112"/>
  <c r="B7" i="112"/>
  <c r="BG6" i="112"/>
  <c r="AV6" i="112"/>
  <c r="AK6" i="112"/>
  <c r="G6" i="112"/>
  <c r="F6" i="112"/>
  <c r="E6" i="112"/>
  <c r="D6" i="112"/>
  <c r="C6" i="112"/>
  <c r="B6" i="112"/>
  <c r="BM5" i="112"/>
  <c r="BL5" i="112"/>
  <c r="BK5" i="112"/>
  <c r="BJ5" i="112"/>
  <c r="BI5" i="112"/>
  <c r="BH5" i="112"/>
  <c r="BG5" i="112"/>
  <c r="AV5" i="112"/>
  <c r="AQ5" i="112"/>
  <c r="AP5" i="112"/>
  <c r="AO5" i="112"/>
  <c r="AN5" i="112"/>
  <c r="AM5" i="112"/>
  <c r="AL5" i="112"/>
  <c r="AK5" i="112"/>
  <c r="AF5" i="112"/>
  <c r="AE5" i="112"/>
  <c r="AD5" i="112"/>
  <c r="AC5" i="112"/>
  <c r="AB5" i="112"/>
  <c r="AA5" i="112"/>
  <c r="Z5" i="112"/>
  <c r="U5" i="112"/>
  <c r="T5" i="112"/>
  <c r="S5" i="112"/>
  <c r="R5" i="112"/>
  <c r="Q5" i="112"/>
  <c r="P5" i="112"/>
  <c r="O5" i="112"/>
  <c r="G5" i="112"/>
  <c r="F5" i="112"/>
  <c r="E5" i="112"/>
  <c r="D5" i="112"/>
  <c r="C5" i="112"/>
  <c r="B5" i="112"/>
  <c r="G4" i="112"/>
  <c r="F4" i="112"/>
  <c r="E4" i="112"/>
  <c r="D4" i="112"/>
  <c r="C4" i="112"/>
  <c r="BM3" i="112"/>
  <c r="BL3" i="112"/>
  <c r="BK3" i="112"/>
  <c r="BJ3" i="112"/>
  <c r="BI3" i="112"/>
  <c r="BH3" i="112"/>
  <c r="BG3" i="112"/>
  <c r="BD3" i="112"/>
  <c r="BB3" i="112"/>
  <c r="BA3" i="112"/>
  <c r="AZ3" i="112"/>
  <c r="AY3" i="112"/>
  <c r="AX3" i="112"/>
  <c r="AW3" i="112"/>
  <c r="AV3" i="112"/>
  <c r="AS3" i="112"/>
  <c r="AQ3" i="112"/>
  <c r="AP3" i="112"/>
  <c r="AO3" i="112"/>
  <c r="AN3" i="112"/>
  <c r="AM3" i="112"/>
  <c r="AL3" i="112"/>
  <c r="AK3" i="112"/>
  <c r="AH3" i="112"/>
  <c r="AF3" i="112"/>
  <c r="AE3" i="112"/>
  <c r="AD3" i="112"/>
  <c r="AC3" i="112"/>
  <c r="AB3" i="112"/>
  <c r="AA3" i="112"/>
  <c r="Z3" i="112"/>
  <c r="W3" i="112"/>
  <c r="U3" i="112"/>
  <c r="T3" i="112"/>
  <c r="S3" i="112"/>
  <c r="R3" i="112"/>
  <c r="Q3" i="112"/>
  <c r="P3" i="112"/>
  <c r="O3" i="112"/>
  <c r="L3" i="112"/>
  <c r="B3" i="112"/>
  <c r="L216" i="113"/>
  <c r="L215" i="113"/>
  <c r="J215" i="113"/>
  <c r="C215" i="113"/>
  <c r="L214" i="113"/>
  <c r="J214" i="113"/>
  <c r="L213" i="113"/>
  <c r="J213" i="113"/>
  <c r="F213" i="113"/>
  <c r="E213" i="113"/>
  <c r="D213" i="113"/>
  <c r="C213" i="113"/>
  <c r="L212" i="113"/>
  <c r="J212" i="113"/>
  <c r="F212" i="113"/>
  <c r="E212" i="113"/>
  <c r="D212" i="113"/>
  <c r="C212" i="113"/>
  <c r="L211" i="113"/>
  <c r="J211" i="113"/>
  <c r="F211" i="113"/>
  <c r="E211" i="113"/>
  <c r="D211" i="113"/>
  <c r="C211" i="113"/>
  <c r="F210" i="113"/>
  <c r="E210" i="113"/>
  <c r="B210" i="113"/>
  <c r="F209" i="113"/>
  <c r="E209" i="113"/>
  <c r="D209" i="113"/>
  <c r="C209" i="113"/>
  <c r="C206" i="113"/>
  <c r="D205" i="113"/>
  <c r="C205" i="113"/>
  <c r="D204" i="113"/>
  <c r="C204" i="113"/>
  <c r="D203" i="113"/>
  <c r="C203" i="113"/>
  <c r="B203" i="113"/>
  <c r="J202" i="113"/>
  <c r="I202" i="113"/>
  <c r="D202" i="113"/>
  <c r="C202" i="113"/>
  <c r="J201" i="113"/>
  <c r="I201" i="113"/>
  <c r="J200" i="113"/>
  <c r="C199" i="113"/>
  <c r="C198" i="113"/>
  <c r="J197" i="113"/>
  <c r="C197" i="113"/>
  <c r="C196" i="113"/>
  <c r="M195" i="113"/>
  <c r="L195" i="113"/>
  <c r="K195" i="113"/>
  <c r="J195" i="113"/>
  <c r="M194" i="113"/>
  <c r="L194" i="113"/>
  <c r="K194" i="113"/>
  <c r="J194" i="113"/>
  <c r="M193" i="113"/>
  <c r="L193" i="113"/>
  <c r="K193" i="113"/>
  <c r="J193" i="113"/>
  <c r="C193" i="113"/>
  <c r="M192" i="113"/>
  <c r="L192" i="113"/>
  <c r="K192" i="113"/>
  <c r="J192" i="113"/>
  <c r="C192" i="113"/>
  <c r="M191" i="113"/>
  <c r="L191" i="113"/>
  <c r="K191" i="113"/>
  <c r="J191" i="113"/>
  <c r="C191" i="113"/>
  <c r="C190" i="113"/>
  <c r="J188" i="113"/>
  <c r="K187" i="113"/>
  <c r="J187" i="113"/>
  <c r="K186" i="113"/>
  <c r="J186" i="113"/>
  <c r="C186" i="113"/>
  <c r="K185" i="113"/>
  <c r="J185" i="113"/>
  <c r="C185" i="113"/>
  <c r="K184" i="113"/>
  <c r="J184" i="113"/>
  <c r="C184" i="113"/>
  <c r="C183" i="113"/>
  <c r="L181" i="113"/>
  <c r="K181" i="113"/>
  <c r="J181" i="113"/>
  <c r="L180" i="113"/>
  <c r="K180" i="113"/>
  <c r="J180" i="113"/>
  <c r="L179" i="113"/>
  <c r="K179" i="113"/>
  <c r="J179" i="113"/>
  <c r="C179" i="113"/>
  <c r="K178" i="113"/>
  <c r="J178" i="113"/>
  <c r="C178" i="113"/>
  <c r="L177" i="113"/>
  <c r="K177" i="113"/>
  <c r="J177" i="113"/>
  <c r="F176" i="113"/>
  <c r="E176" i="113"/>
  <c r="D176" i="113"/>
  <c r="C176" i="113"/>
  <c r="F175" i="113"/>
  <c r="E175" i="113"/>
  <c r="D175" i="113"/>
  <c r="C175" i="113"/>
  <c r="F174" i="113"/>
  <c r="E174" i="113"/>
  <c r="D174" i="113"/>
  <c r="C174" i="113"/>
  <c r="J173" i="113"/>
  <c r="F173" i="113"/>
  <c r="E173" i="113"/>
  <c r="D173" i="113"/>
  <c r="C173" i="113"/>
  <c r="J172" i="113"/>
  <c r="F172" i="113"/>
  <c r="E172" i="113"/>
  <c r="D172" i="113"/>
  <c r="C172" i="113"/>
  <c r="M170" i="113"/>
  <c r="L170" i="113"/>
  <c r="K170" i="113"/>
  <c r="J170" i="113"/>
  <c r="M169" i="113"/>
  <c r="L169" i="113"/>
  <c r="J169" i="113"/>
  <c r="C169" i="113"/>
  <c r="M168" i="113"/>
  <c r="L168" i="113"/>
  <c r="J168" i="113"/>
  <c r="D168" i="113"/>
  <c r="C168" i="113"/>
  <c r="M167" i="113"/>
  <c r="L167" i="113"/>
  <c r="J167" i="113"/>
  <c r="D167" i="113"/>
  <c r="C167" i="113"/>
  <c r="D166" i="113"/>
  <c r="C166" i="113"/>
  <c r="D165" i="113"/>
  <c r="C165" i="113"/>
  <c r="J164" i="113"/>
  <c r="K163" i="113"/>
  <c r="J163" i="113"/>
  <c r="K162" i="113"/>
  <c r="J162" i="113"/>
  <c r="C162" i="113"/>
  <c r="K161" i="113"/>
  <c r="J161" i="113"/>
  <c r="C161" i="113"/>
  <c r="C160" i="113"/>
  <c r="C159" i="113"/>
  <c r="J158" i="113"/>
  <c r="C158" i="113"/>
  <c r="J157" i="113"/>
  <c r="J156" i="113"/>
  <c r="J155" i="113"/>
  <c r="C155" i="113"/>
  <c r="C154" i="113"/>
  <c r="C153" i="113"/>
  <c r="J152" i="113"/>
  <c r="C152" i="113"/>
  <c r="C151" i="113"/>
  <c r="J146" i="113"/>
  <c r="C146" i="113"/>
  <c r="J145" i="113"/>
  <c r="C145" i="113"/>
  <c r="J144" i="113"/>
  <c r="C144" i="113"/>
  <c r="J143" i="113"/>
  <c r="F138" i="113"/>
  <c r="C138" i="113"/>
  <c r="G137" i="113"/>
  <c r="F137" i="113"/>
  <c r="B137" i="113"/>
  <c r="G136" i="113"/>
  <c r="F136" i="113"/>
  <c r="B136" i="113"/>
  <c r="G135" i="113"/>
  <c r="F135" i="113"/>
  <c r="B135" i="113"/>
  <c r="G133" i="113"/>
  <c r="F133" i="113"/>
  <c r="E133" i="113"/>
  <c r="D133" i="113"/>
  <c r="C133" i="113"/>
  <c r="F132" i="113"/>
  <c r="C132" i="113"/>
  <c r="G131" i="113"/>
  <c r="F131" i="113"/>
  <c r="B131" i="113"/>
  <c r="G130" i="113"/>
  <c r="F130" i="113"/>
  <c r="B130" i="113"/>
  <c r="G129" i="113"/>
  <c r="F129" i="113"/>
  <c r="G127" i="113"/>
  <c r="F127" i="113"/>
  <c r="E127" i="113"/>
  <c r="D127" i="113"/>
  <c r="C127" i="113"/>
  <c r="F126" i="113"/>
  <c r="C126" i="113"/>
  <c r="G125" i="113"/>
  <c r="F125" i="113"/>
  <c r="B125" i="113"/>
  <c r="X124" i="113"/>
  <c r="V124" i="113"/>
  <c r="G124" i="113"/>
  <c r="F124" i="113"/>
  <c r="B124" i="113"/>
  <c r="Y123" i="113"/>
  <c r="X123" i="113"/>
  <c r="V123" i="113"/>
  <c r="U123" i="113"/>
  <c r="Y122" i="113"/>
  <c r="X122" i="113"/>
  <c r="V122" i="113"/>
  <c r="U122" i="113"/>
  <c r="G122" i="113"/>
  <c r="F122" i="113"/>
  <c r="D122" i="113"/>
  <c r="C122" i="113"/>
  <c r="F121" i="113"/>
  <c r="C121" i="113"/>
  <c r="Y120" i="113"/>
  <c r="W120" i="113"/>
  <c r="G120" i="113"/>
  <c r="F120" i="113"/>
  <c r="B120" i="113"/>
  <c r="G119" i="113"/>
  <c r="F119" i="113"/>
  <c r="B119" i="113"/>
  <c r="X117" i="113"/>
  <c r="G117" i="113"/>
  <c r="F117" i="113"/>
  <c r="D117" i="113"/>
  <c r="C117" i="113"/>
  <c r="F116" i="113"/>
  <c r="C116" i="113"/>
  <c r="G115" i="113"/>
  <c r="F115" i="113"/>
  <c r="B115" i="113"/>
  <c r="G114" i="113"/>
  <c r="F114" i="113"/>
  <c r="B114" i="113"/>
  <c r="G113" i="113"/>
  <c r="F113" i="113"/>
  <c r="G112" i="113"/>
  <c r="F112" i="113"/>
  <c r="G110" i="113"/>
  <c r="F110" i="113"/>
  <c r="D110" i="113"/>
  <c r="R109" i="113"/>
  <c r="O109" i="113"/>
  <c r="F109" i="113"/>
  <c r="C109" i="113"/>
  <c r="R108" i="113"/>
  <c r="O108" i="113"/>
  <c r="G108" i="113"/>
  <c r="F108" i="113"/>
  <c r="B108" i="113"/>
  <c r="G107" i="113"/>
  <c r="F107" i="113"/>
  <c r="R106" i="113"/>
  <c r="O106" i="113"/>
  <c r="L106" i="113"/>
  <c r="J106" i="113"/>
  <c r="G106" i="113"/>
  <c r="F106" i="113"/>
  <c r="R105" i="113"/>
  <c r="O105" i="113"/>
  <c r="M105" i="113"/>
  <c r="L105" i="113"/>
  <c r="I105" i="113"/>
  <c r="R104" i="113"/>
  <c r="O104" i="113"/>
  <c r="M104" i="113"/>
  <c r="L104" i="113"/>
  <c r="I104" i="113"/>
  <c r="G104" i="113"/>
  <c r="F104" i="113"/>
  <c r="D104" i="113"/>
  <c r="R102" i="113"/>
  <c r="P102" i="113"/>
  <c r="S101" i="113"/>
  <c r="R101" i="113"/>
  <c r="O101" i="113"/>
  <c r="L101" i="113"/>
  <c r="J101" i="113"/>
  <c r="F101" i="113"/>
  <c r="C101" i="113"/>
  <c r="S100" i="113"/>
  <c r="R100" i="113"/>
  <c r="O100" i="113"/>
  <c r="M100" i="113"/>
  <c r="L100" i="113"/>
  <c r="I100" i="113"/>
  <c r="M99" i="113"/>
  <c r="L99" i="113"/>
  <c r="I99" i="113"/>
  <c r="S98" i="113"/>
  <c r="Q98" i="113"/>
  <c r="O98" i="113"/>
  <c r="L96" i="113"/>
  <c r="J96" i="113"/>
  <c r="F96" i="113"/>
  <c r="C96" i="113"/>
  <c r="R95" i="113"/>
  <c r="M95" i="113"/>
  <c r="L95" i="113"/>
  <c r="I95" i="113"/>
  <c r="M94" i="113"/>
  <c r="L94" i="113"/>
  <c r="I94" i="113"/>
  <c r="L91" i="113"/>
  <c r="J91" i="113"/>
  <c r="M90" i="113"/>
  <c r="L90" i="113"/>
  <c r="I90" i="113"/>
  <c r="M89" i="113"/>
  <c r="L89" i="113"/>
  <c r="I89" i="113"/>
  <c r="F89" i="113"/>
  <c r="C89" i="113"/>
  <c r="L86" i="113"/>
  <c r="J86" i="113"/>
  <c r="M85" i="113"/>
  <c r="L85" i="113"/>
  <c r="I85" i="113"/>
  <c r="M84" i="113"/>
  <c r="L84" i="113"/>
  <c r="I84" i="113"/>
  <c r="L81" i="113"/>
  <c r="J81" i="113"/>
  <c r="M80" i="113"/>
  <c r="L80" i="113"/>
  <c r="I80" i="113"/>
  <c r="F80" i="113"/>
  <c r="E80" i="113"/>
  <c r="M79" i="113"/>
  <c r="L79" i="113"/>
  <c r="I79" i="113"/>
  <c r="L76" i="113"/>
  <c r="J76" i="113"/>
  <c r="M75" i="113"/>
  <c r="L75" i="113"/>
  <c r="I75" i="113"/>
  <c r="E75" i="113"/>
  <c r="M74" i="113"/>
  <c r="L74" i="113"/>
  <c r="I74" i="113"/>
  <c r="M73" i="113"/>
  <c r="L73" i="113"/>
  <c r="I73" i="113"/>
  <c r="F72" i="113"/>
  <c r="E72" i="113"/>
  <c r="F71" i="113"/>
  <c r="L70" i="113"/>
  <c r="J70" i="113"/>
  <c r="F70" i="113"/>
  <c r="M69" i="113"/>
  <c r="L69" i="113"/>
  <c r="I69" i="113"/>
  <c r="F69" i="113"/>
  <c r="M68" i="113"/>
  <c r="L68" i="113"/>
  <c r="I68" i="113"/>
  <c r="E68" i="113"/>
  <c r="M67" i="113"/>
  <c r="L67" i="113"/>
  <c r="I67" i="113"/>
  <c r="F67" i="113"/>
  <c r="L64" i="113"/>
  <c r="J64" i="113"/>
  <c r="M63" i="113"/>
  <c r="L63" i="113"/>
  <c r="I63" i="113"/>
  <c r="F63" i="113"/>
  <c r="E63" i="113"/>
  <c r="M62" i="113"/>
  <c r="L62" i="113"/>
  <c r="I62" i="113"/>
  <c r="F62" i="113"/>
  <c r="B62" i="113"/>
  <c r="M61" i="113"/>
  <c r="L61" i="113"/>
  <c r="I61" i="113"/>
  <c r="E61" i="113"/>
  <c r="B61" i="113"/>
  <c r="F60" i="113"/>
  <c r="B60" i="113"/>
  <c r="F59" i="113"/>
  <c r="L58" i="113"/>
  <c r="J58" i="113"/>
  <c r="F58" i="113"/>
  <c r="M57" i="113"/>
  <c r="L57" i="113"/>
  <c r="I57" i="113"/>
  <c r="M56" i="113"/>
  <c r="L56" i="113"/>
  <c r="I56" i="113"/>
  <c r="M55" i="113"/>
  <c r="L55" i="113"/>
  <c r="I55" i="113"/>
  <c r="F55" i="113"/>
  <c r="E55" i="113"/>
  <c r="E54" i="113"/>
  <c r="F53" i="113"/>
  <c r="L52" i="113"/>
  <c r="J52" i="113"/>
  <c r="E52" i="113"/>
  <c r="M51" i="113"/>
  <c r="L51" i="113"/>
  <c r="I51" i="113"/>
  <c r="F51" i="113"/>
  <c r="M50" i="113"/>
  <c r="L50" i="113"/>
  <c r="F50" i="113"/>
  <c r="M49" i="113"/>
  <c r="L49" i="113"/>
  <c r="L44" i="113"/>
  <c r="E44" i="113"/>
  <c r="E41" i="113"/>
  <c r="E38" i="113"/>
  <c r="E34" i="113"/>
  <c r="T26" i="113"/>
  <c r="S26" i="113"/>
  <c r="R26" i="113"/>
  <c r="Q26" i="113"/>
  <c r="P26" i="113"/>
  <c r="N26" i="113"/>
  <c r="M26" i="113"/>
  <c r="L26" i="113"/>
  <c r="K26" i="113"/>
  <c r="J26" i="113"/>
  <c r="G26" i="113"/>
  <c r="F26" i="113"/>
  <c r="E26" i="113"/>
  <c r="D26" i="113"/>
  <c r="C26" i="113"/>
  <c r="T25" i="113"/>
  <c r="S25" i="113"/>
  <c r="R25" i="113"/>
  <c r="Q25" i="113"/>
  <c r="P25" i="113"/>
  <c r="O25" i="113"/>
  <c r="N25" i="113"/>
  <c r="M25" i="113"/>
  <c r="L25" i="113"/>
  <c r="K25" i="113"/>
  <c r="J25" i="113"/>
  <c r="I25" i="113"/>
  <c r="G25" i="113"/>
  <c r="F25" i="113"/>
  <c r="E25" i="113"/>
  <c r="D25" i="113"/>
  <c r="C25" i="113"/>
  <c r="B25" i="113"/>
  <c r="T24" i="113"/>
  <c r="S24" i="113"/>
  <c r="R24" i="113"/>
  <c r="Q24" i="113"/>
  <c r="P24" i="113"/>
  <c r="O24" i="113"/>
  <c r="N24" i="113"/>
  <c r="M24" i="113"/>
  <c r="L24" i="113"/>
  <c r="K24" i="113"/>
  <c r="J24" i="113"/>
  <c r="I24" i="113"/>
  <c r="G24" i="113"/>
  <c r="F24" i="113"/>
  <c r="E24" i="113"/>
  <c r="D24" i="113"/>
  <c r="C24" i="113"/>
  <c r="B24" i="113"/>
  <c r="T23" i="113"/>
  <c r="S23" i="113"/>
  <c r="R23" i="113"/>
  <c r="Q23" i="113"/>
  <c r="P23" i="113"/>
  <c r="O23" i="113"/>
  <c r="N23" i="113"/>
  <c r="M23" i="113"/>
  <c r="L23" i="113"/>
  <c r="K23" i="113"/>
  <c r="J23" i="113"/>
  <c r="I23" i="113"/>
  <c r="G23" i="113"/>
  <c r="F23" i="113"/>
  <c r="E23" i="113"/>
  <c r="D23" i="113"/>
  <c r="C23" i="113"/>
  <c r="B23" i="113"/>
  <c r="T22" i="113"/>
  <c r="S22" i="113"/>
  <c r="R22" i="113"/>
  <c r="Q22" i="113"/>
  <c r="P22" i="113"/>
  <c r="O22" i="113"/>
  <c r="N22" i="113"/>
  <c r="M22" i="113"/>
  <c r="L22" i="113"/>
  <c r="K22" i="113"/>
  <c r="J22" i="113"/>
  <c r="I22" i="113"/>
  <c r="G22" i="113"/>
  <c r="F22" i="113"/>
  <c r="E22" i="113"/>
  <c r="D22" i="113"/>
  <c r="C22" i="113"/>
  <c r="B22" i="113"/>
  <c r="T21" i="113"/>
  <c r="S21" i="113"/>
  <c r="R21" i="113"/>
  <c r="Q21" i="113"/>
  <c r="P21" i="113"/>
  <c r="O21" i="113"/>
  <c r="N21" i="113"/>
  <c r="M21" i="113"/>
  <c r="L21" i="113"/>
  <c r="K21" i="113"/>
  <c r="J21" i="113"/>
  <c r="I21" i="113"/>
  <c r="G21" i="113"/>
  <c r="F21" i="113"/>
  <c r="E21" i="113"/>
  <c r="D21" i="113"/>
  <c r="C21" i="113"/>
  <c r="B21" i="113"/>
  <c r="S20" i="113"/>
  <c r="R20" i="113"/>
  <c r="Q20" i="113"/>
  <c r="P20" i="113"/>
  <c r="M20" i="113"/>
  <c r="L20" i="113"/>
  <c r="K20" i="113"/>
  <c r="J20" i="113"/>
  <c r="F20" i="113"/>
  <c r="E20" i="113"/>
  <c r="D20" i="113"/>
  <c r="C20" i="113"/>
  <c r="T18" i="113"/>
  <c r="S18" i="113"/>
  <c r="R18" i="113"/>
  <c r="Q18" i="113"/>
  <c r="P18" i="113"/>
  <c r="N18" i="113"/>
  <c r="M18" i="113"/>
  <c r="L18" i="113"/>
  <c r="K18" i="113"/>
  <c r="J18" i="113"/>
  <c r="G18" i="113"/>
  <c r="F18" i="113"/>
  <c r="E18" i="113"/>
  <c r="D18" i="113"/>
  <c r="C18" i="113"/>
  <c r="T17" i="113"/>
  <c r="S17" i="113"/>
  <c r="R17" i="113"/>
  <c r="Q17" i="113"/>
  <c r="P17" i="113"/>
  <c r="O17" i="113"/>
  <c r="N17" i="113"/>
  <c r="I17" i="113"/>
  <c r="G17" i="113"/>
  <c r="B17" i="113"/>
  <c r="T16" i="113"/>
  <c r="S16" i="113"/>
  <c r="R16" i="113"/>
  <c r="Q16" i="113"/>
  <c r="P16" i="113"/>
  <c r="O16" i="113"/>
  <c r="N16" i="113"/>
  <c r="L16" i="113"/>
  <c r="I16" i="113"/>
  <c r="G16" i="113"/>
  <c r="F16" i="113"/>
  <c r="E16" i="113"/>
  <c r="B16" i="113"/>
  <c r="T15" i="113"/>
  <c r="S15" i="113"/>
  <c r="R15" i="113"/>
  <c r="Q15" i="113"/>
  <c r="P15" i="113"/>
  <c r="O15" i="113"/>
  <c r="N15" i="113"/>
  <c r="L15" i="113"/>
  <c r="K15" i="113"/>
  <c r="J15" i="113"/>
  <c r="I15" i="113"/>
  <c r="G15" i="113"/>
  <c r="E15" i="113"/>
  <c r="D15" i="113"/>
  <c r="B15" i="113"/>
  <c r="T14" i="113"/>
  <c r="S14" i="113"/>
  <c r="R14" i="113"/>
  <c r="Q14" i="113"/>
  <c r="P14" i="113"/>
  <c r="O14" i="113"/>
  <c r="N14" i="113"/>
  <c r="M14" i="113"/>
  <c r="L14" i="113"/>
  <c r="K14" i="113"/>
  <c r="J14" i="113"/>
  <c r="I14" i="113"/>
  <c r="G14" i="113"/>
  <c r="F14" i="113"/>
  <c r="B14" i="113"/>
  <c r="T13" i="113"/>
  <c r="S13" i="113"/>
  <c r="R13" i="113"/>
  <c r="Q13" i="113"/>
  <c r="P13" i="113"/>
  <c r="O13" i="113"/>
  <c r="N13" i="113"/>
  <c r="M13" i="113"/>
  <c r="L13" i="113"/>
  <c r="K13" i="113"/>
  <c r="J13" i="113"/>
  <c r="I13" i="113"/>
  <c r="G13" i="113"/>
  <c r="F13" i="113"/>
  <c r="B13" i="113"/>
  <c r="T10" i="113"/>
  <c r="S10" i="113"/>
  <c r="R10" i="113"/>
  <c r="Q10" i="113"/>
  <c r="P10" i="113"/>
  <c r="N10" i="113"/>
  <c r="M10" i="113"/>
  <c r="L10" i="113"/>
  <c r="K10" i="113"/>
  <c r="J10" i="113"/>
  <c r="G10" i="113"/>
  <c r="F10" i="113"/>
  <c r="E10" i="113"/>
  <c r="D10" i="113"/>
  <c r="C10" i="113"/>
  <c r="T9" i="113"/>
  <c r="S9" i="113"/>
  <c r="R9" i="113"/>
  <c r="Q9" i="113"/>
  <c r="P9" i="113"/>
  <c r="O9" i="113"/>
  <c r="N9" i="113"/>
  <c r="M9" i="113"/>
  <c r="L9" i="113"/>
  <c r="K9" i="113"/>
  <c r="J9" i="113"/>
  <c r="I9" i="113"/>
  <c r="G9" i="113"/>
  <c r="E9" i="113"/>
  <c r="D9" i="113"/>
  <c r="C9" i="113"/>
  <c r="B9" i="113"/>
  <c r="T8" i="113"/>
  <c r="S8" i="113"/>
  <c r="R8" i="113"/>
  <c r="Q8" i="113"/>
  <c r="P8" i="113"/>
  <c r="O8" i="113"/>
  <c r="N8" i="113"/>
  <c r="M8" i="113"/>
  <c r="L8" i="113"/>
  <c r="K8" i="113"/>
  <c r="J8" i="113"/>
  <c r="I8" i="113"/>
  <c r="G8" i="113"/>
  <c r="E8" i="113"/>
  <c r="D8" i="113"/>
  <c r="C8" i="113"/>
  <c r="B8" i="113"/>
  <c r="T7" i="113"/>
  <c r="S7" i="113"/>
  <c r="R7" i="113"/>
  <c r="Q7" i="113"/>
  <c r="P7" i="113"/>
  <c r="O7" i="113"/>
  <c r="N7" i="113"/>
  <c r="M7" i="113"/>
  <c r="L7" i="113"/>
  <c r="K7" i="113"/>
  <c r="J7" i="113"/>
  <c r="I7" i="113"/>
  <c r="G7" i="113"/>
  <c r="E7" i="113"/>
  <c r="D7" i="113"/>
  <c r="C7" i="113"/>
  <c r="B7" i="113"/>
  <c r="T6" i="113"/>
  <c r="S6" i="113"/>
  <c r="R6" i="113"/>
  <c r="Q6" i="113"/>
  <c r="P6" i="113"/>
  <c r="N6" i="113"/>
  <c r="M6" i="113"/>
  <c r="L6" i="113"/>
  <c r="K6" i="113"/>
  <c r="J6" i="113"/>
  <c r="G6" i="113"/>
  <c r="D6" i="113"/>
  <c r="C6" i="113"/>
  <c r="T5" i="113"/>
  <c r="S5" i="113"/>
  <c r="R5" i="113"/>
  <c r="Q5" i="113"/>
  <c r="P5" i="113"/>
  <c r="N5" i="113"/>
  <c r="M5" i="113"/>
  <c r="L5" i="113"/>
  <c r="K5" i="113"/>
  <c r="J5" i="113"/>
  <c r="G5" i="113"/>
  <c r="F5" i="113"/>
  <c r="C5" i="113"/>
  <c r="O4" i="113"/>
  <c r="AL275" i="109"/>
  <c r="AL274" i="109"/>
  <c r="AC274" i="109"/>
  <c r="T274" i="109"/>
  <c r="K274" i="109"/>
  <c r="B274" i="109"/>
  <c r="AL273" i="109"/>
  <c r="AC273" i="109"/>
  <c r="T273" i="109"/>
  <c r="K273" i="109"/>
  <c r="B273" i="109"/>
  <c r="AL272" i="109"/>
  <c r="AC272" i="109"/>
  <c r="T272" i="109"/>
  <c r="K272" i="109"/>
  <c r="B272" i="109"/>
  <c r="AL271" i="109"/>
  <c r="AC271" i="109"/>
  <c r="T271" i="109"/>
  <c r="K271" i="109"/>
  <c r="B271" i="109"/>
  <c r="AL270" i="109"/>
  <c r="AC270" i="109"/>
  <c r="T270" i="109"/>
  <c r="K270" i="109"/>
  <c r="B270" i="109"/>
  <c r="AL269" i="109"/>
  <c r="AC269" i="109"/>
  <c r="T269" i="109"/>
  <c r="K269" i="109"/>
  <c r="B269" i="109"/>
  <c r="AL268" i="109"/>
  <c r="AC268" i="109"/>
  <c r="K268" i="109"/>
  <c r="B268" i="109"/>
  <c r="AL267" i="109"/>
  <c r="AC267" i="109"/>
  <c r="T267" i="109"/>
  <c r="K267" i="109"/>
  <c r="B267" i="109"/>
  <c r="AL266" i="109"/>
  <c r="AC266" i="109"/>
  <c r="T266" i="109"/>
  <c r="K266" i="109"/>
  <c r="B266" i="109"/>
  <c r="AC265" i="109"/>
  <c r="T265" i="109"/>
  <c r="K265" i="109"/>
  <c r="AL264" i="109"/>
  <c r="AC264" i="109"/>
  <c r="T264" i="109"/>
  <c r="AS261" i="109"/>
  <c r="AR261" i="109"/>
  <c r="AQ261" i="109"/>
  <c r="AP261" i="109"/>
  <c r="AO261" i="109"/>
  <c r="AN261" i="109"/>
  <c r="AM261" i="109"/>
  <c r="AL261" i="109"/>
  <c r="AS260" i="109"/>
  <c r="AR260" i="109"/>
  <c r="AQ260" i="109"/>
  <c r="AP260" i="109"/>
  <c r="AO260" i="109"/>
  <c r="AN260" i="109"/>
  <c r="AM260" i="109"/>
  <c r="AL260" i="109"/>
  <c r="AI260" i="109"/>
  <c r="AH260" i="109"/>
  <c r="AG260" i="109"/>
  <c r="AF260" i="109"/>
  <c r="AE260" i="109"/>
  <c r="AD260" i="109"/>
  <c r="AC260" i="109"/>
  <c r="AA260" i="109"/>
  <c r="Z260" i="109"/>
  <c r="Y260" i="109"/>
  <c r="X260" i="109"/>
  <c r="W260" i="109"/>
  <c r="V260" i="109"/>
  <c r="U260" i="109"/>
  <c r="T260" i="109"/>
  <c r="R260" i="109"/>
  <c r="Q260" i="109"/>
  <c r="P260" i="109"/>
  <c r="O260" i="109"/>
  <c r="N260" i="109"/>
  <c r="M260" i="109"/>
  <c r="L260" i="109"/>
  <c r="K260" i="109"/>
  <c r="I260" i="109"/>
  <c r="H260" i="109"/>
  <c r="G260" i="109"/>
  <c r="F260" i="109"/>
  <c r="E260" i="109"/>
  <c r="D260" i="109"/>
  <c r="C260" i="109"/>
  <c r="B260" i="109"/>
  <c r="AS259" i="109"/>
  <c r="AR259" i="109"/>
  <c r="AQ259" i="109"/>
  <c r="AP259" i="109"/>
  <c r="AO259" i="109"/>
  <c r="AN259" i="109"/>
  <c r="AM259" i="109"/>
  <c r="AL259" i="109"/>
  <c r="AH259" i="109"/>
  <c r="AG259" i="109"/>
  <c r="AF259" i="109"/>
  <c r="AE259" i="109"/>
  <c r="AD259" i="109"/>
  <c r="AC259" i="109"/>
  <c r="AA259" i="109"/>
  <c r="Z259" i="109"/>
  <c r="Y259" i="109"/>
  <c r="X259" i="109"/>
  <c r="W259" i="109"/>
  <c r="V259" i="109"/>
  <c r="U259" i="109"/>
  <c r="T259" i="109"/>
  <c r="R259" i="109"/>
  <c r="Q259" i="109"/>
  <c r="P259" i="109"/>
  <c r="O259" i="109"/>
  <c r="N259" i="109"/>
  <c r="M259" i="109"/>
  <c r="L259" i="109"/>
  <c r="K259" i="109"/>
  <c r="I259" i="109"/>
  <c r="H259" i="109"/>
  <c r="G259" i="109"/>
  <c r="F259" i="109"/>
  <c r="E259" i="109"/>
  <c r="D259" i="109"/>
  <c r="C259" i="109"/>
  <c r="B259" i="109"/>
  <c r="AS258" i="109"/>
  <c r="AR258" i="109"/>
  <c r="AQ258" i="109"/>
  <c r="AP258" i="109"/>
  <c r="AO258" i="109"/>
  <c r="AN258" i="109"/>
  <c r="AM258" i="109"/>
  <c r="AL258" i="109"/>
  <c r="AG258" i="109"/>
  <c r="AF258" i="109"/>
  <c r="AE258" i="109"/>
  <c r="AD258" i="109"/>
  <c r="AC258" i="109"/>
  <c r="AA258" i="109"/>
  <c r="Z258" i="109"/>
  <c r="Y258" i="109"/>
  <c r="X258" i="109"/>
  <c r="W258" i="109"/>
  <c r="V258" i="109"/>
  <c r="U258" i="109"/>
  <c r="T258" i="109"/>
  <c r="R258" i="109"/>
  <c r="Q258" i="109"/>
  <c r="P258" i="109"/>
  <c r="O258" i="109"/>
  <c r="N258" i="109"/>
  <c r="M258" i="109"/>
  <c r="L258" i="109"/>
  <c r="K258" i="109"/>
  <c r="I258" i="109"/>
  <c r="H258" i="109"/>
  <c r="G258" i="109"/>
  <c r="F258" i="109"/>
  <c r="E258" i="109"/>
  <c r="D258" i="109"/>
  <c r="C258" i="109"/>
  <c r="B258" i="109"/>
  <c r="AS257" i="109"/>
  <c r="AR257" i="109"/>
  <c r="AQ257" i="109"/>
  <c r="AP257" i="109"/>
  <c r="AO257" i="109"/>
  <c r="AN257" i="109"/>
  <c r="AM257" i="109"/>
  <c r="AL257" i="109"/>
  <c r="AF257" i="109"/>
  <c r="AE257" i="109"/>
  <c r="AD257" i="109"/>
  <c r="AC257" i="109"/>
  <c r="AA257" i="109"/>
  <c r="Z257" i="109"/>
  <c r="Y257" i="109"/>
  <c r="X257" i="109"/>
  <c r="W257" i="109"/>
  <c r="V257" i="109"/>
  <c r="U257" i="109"/>
  <c r="T257" i="109"/>
  <c r="R257" i="109"/>
  <c r="Q257" i="109"/>
  <c r="P257" i="109"/>
  <c r="O257" i="109"/>
  <c r="N257" i="109"/>
  <c r="M257" i="109"/>
  <c r="L257" i="109"/>
  <c r="K257" i="109"/>
  <c r="I257" i="109"/>
  <c r="H257" i="109"/>
  <c r="G257" i="109"/>
  <c r="F257" i="109"/>
  <c r="E257" i="109"/>
  <c r="D257" i="109"/>
  <c r="C257" i="109"/>
  <c r="B257" i="109"/>
  <c r="AS256" i="109"/>
  <c r="AR256" i="109"/>
  <c r="AQ256" i="109"/>
  <c r="AP256" i="109"/>
  <c r="AO256" i="109"/>
  <c r="AN256" i="109"/>
  <c r="AM256" i="109"/>
  <c r="AL256" i="109"/>
  <c r="AE256" i="109"/>
  <c r="AD256" i="109"/>
  <c r="AC256" i="109"/>
  <c r="AA256" i="109"/>
  <c r="Z256" i="109"/>
  <c r="Y256" i="109"/>
  <c r="X256" i="109"/>
  <c r="W256" i="109"/>
  <c r="V256" i="109"/>
  <c r="U256" i="109"/>
  <c r="T256" i="109"/>
  <c r="R256" i="109"/>
  <c r="Q256" i="109"/>
  <c r="P256" i="109"/>
  <c r="O256" i="109"/>
  <c r="N256" i="109"/>
  <c r="M256" i="109"/>
  <c r="L256" i="109"/>
  <c r="K256" i="109"/>
  <c r="I256" i="109"/>
  <c r="H256" i="109"/>
  <c r="G256" i="109"/>
  <c r="F256" i="109"/>
  <c r="E256" i="109"/>
  <c r="D256" i="109"/>
  <c r="C256" i="109"/>
  <c r="B256" i="109"/>
  <c r="AS255" i="109"/>
  <c r="AR255" i="109"/>
  <c r="AQ255" i="109"/>
  <c r="AP255" i="109"/>
  <c r="AO255" i="109"/>
  <c r="AN255" i="109"/>
  <c r="AM255" i="109"/>
  <c r="AL255" i="109"/>
  <c r="AE255" i="109"/>
  <c r="AD255" i="109"/>
  <c r="AC255" i="109"/>
  <c r="AA255" i="109"/>
  <c r="Z255" i="109"/>
  <c r="Y255" i="109"/>
  <c r="X255" i="109"/>
  <c r="W255" i="109"/>
  <c r="V255" i="109"/>
  <c r="U255" i="109"/>
  <c r="T255" i="109"/>
  <c r="R255" i="109"/>
  <c r="Q255" i="109"/>
  <c r="P255" i="109"/>
  <c r="O255" i="109"/>
  <c r="N255" i="109"/>
  <c r="M255" i="109"/>
  <c r="L255" i="109"/>
  <c r="K255" i="109"/>
  <c r="I255" i="109"/>
  <c r="H255" i="109"/>
  <c r="G255" i="109"/>
  <c r="F255" i="109"/>
  <c r="E255" i="109"/>
  <c r="D255" i="109"/>
  <c r="C255" i="109"/>
  <c r="B255" i="109"/>
  <c r="AS254" i="109"/>
  <c r="AR254" i="109"/>
  <c r="AQ254" i="109"/>
  <c r="AP254" i="109"/>
  <c r="AO254" i="109"/>
  <c r="AN254" i="109"/>
  <c r="AM254" i="109"/>
  <c r="AL254" i="109"/>
  <c r="AD254" i="109"/>
  <c r="AC254" i="109"/>
  <c r="AA254" i="109"/>
  <c r="Z254" i="109"/>
  <c r="Y254" i="109"/>
  <c r="X254" i="109"/>
  <c r="W254" i="109"/>
  <c r="V254" i="109"/>
  <c r="U254" i="109"/>
  <c r="R254" i="109"/>
  <c r="Q254" i="109"/>
  <c r="P254" i="109"/>
  <c r="O254" i="109"/>
  <c r="N254" i="109"/>
  <c r="M254" i="109"/>
  <c r="L254" i="109"/>
  <c r="K254" i="109"/>
  <c r="I254" i="109"/>
  <c r="H254" i="109"/>
  <c r="G254" i="109"/>
  <c r="F254" i="109"/>
  <c r="E254" i="109"/>
  <c r="D254" i="109"/>
  <c r="C254" i="109"/>
  <c r="B254" i="109"/>
  <c r="AS253" i="109"/>
  <c r="AR253" i="109"/>
  <c r="AQ253" i="109"/>
  <c r="AP253" i="109"/>
  <c r="AO253" i="109"/>
  <c r="AN253" i="109"/>
  <c r="AM253" i="109"/>
  <c r="AL253" i="109"/>
  <c r="AJ253" i="109"/>
  <c r="AI253" i="109"/>
  <c r="AH253" i="109"/>
  <c r="AG253" i="109"/>
  <c r="AF253" i="109"/>
  <c r="AE253" i="109"/>
  <c r="AD253" i="109"/>
  <c r="AC253" i="109"/>
  <c r="U253" i="109"/>
  <c r="T253" i="109"/>
  <c r="R253" i="109"/>
  <c r="Q253" i="109"/>
  <c r="P253" i="109"/>
  <c r="O253" i="109"/>
  <c r="N253" i="109"/>
  <c r="M253" i="109"/>
  <c r="L253" i="109"/>
  <c r="K253" i="109"/>
  <c r="I253" i="109"/>
  <c r="H253" i="109"/>
  <c r="G253" i="109"/>
  <c r="F253" i="109"/>
  <c r="E253" i="109"/>
  <c r="D253" i="109"/>
  <c r="C253" i="109"/>
  <c r="B253" i="109"/>
  <c r="AS252" i="109"/>
  <c r="AR252" i="109"/>
  <c r="AQ252" i="109"/>
  <c r="AP252" i="109"/>
  <c r="AO252" i="109"/>
  <c r="AN252" i="109"/>
  <c r="AM252" i="109"/>
  <c r="AL252" i="109"/>
  <c r="AJ252" i="109"/>
  <c r="AI252" i="109"/>
  <c r="AH252" i="109"/>
  <c r="AG252" i="109"/>
  <c r="AF252" i="109"/>
  <c r="AE252" i="109"/>
  <c r="AD252" i="109"/>
  <c r="AC252" i="109"/>
  <c r="AA252" i="109"/>
  <c r="Z252" i="109"/>
  <c r="Y252" i="109"/>
  <c r="X252" i="109"/>
  <c r="W252" i="109"/>
  <c r="V252" i="109"/>
  <c r="U252" i="109"/>
  <c r="T252" i="109"/>
  <c r="R252" i="109"/>
  <c r="Q252" i="109"/>
  <c r="P252" i="109"/>
  <c r="O252" i="109"/>
  <c r="N252" i="109"/>
  <c r="M252" i="109"/>
  <c r="L252" i="109"/>
  <c r="K252" i="109"/>
  <c r="I252" i="109"/>
  <c r="H252" i="109"/>
  <c r="G252" i="109"/>
  <c r="F252" i="109"/>
  <c r="E252" i="109"/>
  <c r="D252" i="109"/>
  <c r="C252" i="109"/>
  <c r="B252" i="109"/>
  <c r="AS251" i="109"/>
  <c r="AR251" i="109"/>
  <c r="AQ251" i="109"/>
  <c r="AP251" i="109"/>
  <c r="AO251" i="109"/>
  <c r="AN251" i="109"/>
  <c r="AM251" i="109"/>
  <c r="AJ251" i="109"/>
  <c r="AI251" i="109"/>
  <c r="AH251" i="109"/>
  <c r="AG251" i="109"/>
  <c r="AF251" i="109"/>
  <c r="AE251" i="109"/>
  <c r="AD251" i="109"/>
  <c r="AC251" i="109"/>
  <c r="V251" i="109"/>
  <c r="U251" i="109"/>
  <c r="T251" i="109"/>
  <c r="R251" i="109"/>
  <c r="Q251" i="109"/>
  <c r="P251" i="109"/>
  <c r="O251" i="109"/>
  <c r="N251" i="109"/>
  <c r="M251" i="109"/>
  <c r="L251" i="109"/>
  <c r="K251" i="109"/>
  <c r="I251" i="109"/>
  <c r="H251" i="109"/>
  <c r="G251" i="109"/>
  <c r="F251" i="109"/>
  <c r="E251" i="109"/>
  <c r="D251" i="109"/>
  <c r="C251" i="109"/>
  <c r="B251" i="109"/>
  <c r="AS250" i="109"/>
  <c r="AR250" i="109"/>
  <c r="AQ250" i="109"/>
  <c r="AP250" i="109"/>
  <c r="AO250" i="109"/>
  <c r="AN250" i="109"/>
  <c r="AM250" i="109"/>
  <c r="AL250" i="109"/>
  <c r="AJ250" i="109"/>
  <c r="AI250" i="109"/>
  <c r="AH250" i="109"/>
  <c r="AG250" i="109"/>
  <c r="AF250" i="109"/>
  <c r="AE250" i="109"/>
  <c r="AD250" i="109"/>
  <c r="AC250" i="109"/>
  <c r="T250" i="109"/>
  <c r="R250" i="109"/>
  <c r="Q250" i="109"/>
  <c r="P250" i="109"/>
  <c r="O250" i="109"/>
  <c r="N250" i="109"/>
  <c r="M250" i="109"/>
  <c r="L250" i="109"/>
  <c r="I250" i="109"/>
  <c r="H250" i="109"/>
  <c r="G250" i="109"/>
  <c r="F250" i="109"/>
  <c r="E250" i="109"/>
  <c r="D250" i="109"/>
  <c r="C250" i="109"/>
  <c r="AS249" i="109"/>
  <c r="AR249" i="109"/>
  <c r="AQ249" i="109"/>
  <c r="AP249" i="109"/>
  <c r="AO249" i="109"/>
  <c r="AN249" i="109"/>
  <c r="AM249" i="109"/>
  <c r="AJ249" i="109"/>
  <c r="AI249" i="109"/>
  <c r="AH249" i="109"/>
  <c r="AG249" i="109"/>
  <c r="AF249" i="109"/>
  <c r="AE249" i="109"/>
  <c r="AD249" i="109"/>
  <c r="AA249" i="109"/>
  <c r="Z249" i="109"/>
  <c r="Y249" i="109"/>
  <c r="X249" i="109"/>
  <c r="W249" i="109"/>
  <c r="V249" i="109"/>
  <c r="U249" i="109"/>
  <c r="R249" i="109"/>
  <c r="Q249" i="109"/>
  <c r="P249" i="109"/>
  <c r="O249" i="109"/>
  <c r="N249" i="109"/>
  <c r="M249" i="109"/>
  <c r="L249" i="109"/>
  <c r="I249" i="109"/>
  <c r="H249" i="109"/>
  <c r="G249" i="109"/>
  <c r="F249" i="109"/>
  <c r="E249" i="109"/>
  <c r="D249" i="109"/>
  <c r="C249" i="109"/>
  <c r="AL245" i="109"/>
  <c r="AC245" i="109"/>
  <c r="T245" i="109"/>
  <c r="AL244" i="109"/>
  <c r="AC244" i="109"/>
  <c r="T244" i="109"/>
  <c r="K244" i="109"/>
  <c r="B244" i="109"/>
  <c r="AL243" i="109"/>
  <c r="AC243" i="109"/>
  <c r="T243" i="109"/>
  <c r="K243" i="109"/>
  <c r="B243" i="109"/>
  <c r="AL242" i="109"/>
  <c r="AC242" i="109"/>
  <c r="T242" i="109"/>
  <c r="K242" i="109"/>
  <c r="B242" i="109"/>
  <c r="AL241" i="109"/>
  <c r="AC241" i="109"/>
  <c r="T241" i="109"/>
  <c r="K241" i="109"/>
  <c r="B241" i="109"/>
  <c r="AL240" i="109"/>
  <c r="AC240" i="109"/>
  <c r="T240" i="109"/>
  <c r="K240" i="109"/>
  <c r="B240" i="109"/>
  <c r="AL239" i="109"/>
  <c r="T239" i="109"/>
  <c r="K239" i="109"/>
  <c r="B239" i="109"/>
  <c r="AL238" i="109"/>
  <c r="AC238" i="109"/>
  <c r="K238" i="109"/>
  <c r="B238" i="109"/>
  <c r="AL237" i="109"/>
  <c r="AC237" i="109"/>
  <c r="T237" i="109"/>
  <c r="K237" i="109"/>
  <c r="B237" i="109"/>
  <c r="AL236" i="109"/>
  <c r="AC236" i="109"/>
  <c r="T236" i="109"/>
  <c r="K236" i="109"/>
  <c r="B236" i="109"/>
  <c r="AC235" i="109"/>
  <c r="T235" i="109"/>
  <c r="K235" i="109"/>
  <c r="B235" i="109"/>
  <c r="AL234" i="109"/>
  <c r="AC234" i="109"/>
  <c r="T234" i="109"/>
  <c r="B234" i="109"/>
  <c r="T231" i="109"/>
  <c r="AL230" i="109"/>
  <c r="AC230" i="109"/>
  <c r="T230" i="109"/>
  <c r="K230" i="109"/>
  <c r="B230" i="109"/>
  <c r="AL229" i="109"/>
  <c r="AC229" i="109"/>
  <c r="T229" i="109"/>
  <c r="K229" i="109"/>
  <c r="B229" i="109"/>
  <c r="AL228" i="109"/>
  <c r="AC228" i="109"/>
  <c r="T228" i="109"/>
  <c r="K228" i="109"/>
  <c r="B228" i="109"/>
  <c r="AL227" i="109"/>
  <c r="AC227" i="109"/>
  <c r="T227" i="109"/>
  <c r="K227" i="109"/>
  <c r="B227" i="109"/>
  <c r="AL226" i="109"/>
  <c r="AC226" i="109"/>
  <c r="T226" i="109"/>
  <c r="K226" i="109"/>
  <c r="B226" i="109"/>
  <c r="AL225" i="109"/>
  <c r="T225" i="109"/>
  <c r="K225" i="109"/>
  <c r="B225" i="109"/>
  <c r="AL224" i="109"/>
  <c r="AC224" i="109"/>
  <c r="K224" i="109"/>
  <c r="B224" i="109"/>
  <c r="AL223" i="109"/>
  <c r="AC223" i="109"/>
  <c r="T223" i="109"/>
  <c r="K223" i="109"/>
  <c r="B223" i="109"/>
  <c r="AL222" i="109"/>
  <c r="AC222" i="109"/>
  <c r="T222" i="109"/>
  <c r="K222" i="109"/>
  <c r="B222" i="109"/>
  <c r="AC221" i="109"/>
  <c r="T221" i="109"/>
  <c r="K221" i="109"/>
  <c r="B221" i="109"/>
  <c r="AL220" i="109"/>
  <c r="AC220" i="109"/>
  <c r="T220" i="109"/>
  <c r="AL217" i="109"/>
  <c r="AC217" i="109"/>
  <c r="T217" i="109"/>
  <c r="AS216" i="109"/>
  <c r="AR216" i="109"/>
  <c r="AQ216" i="109"/>
  <c r="AP216" i="109"/>
  <c r="AO216" i="109"/>
  <c r="AN216" i="109"/>
  <c r="AM216" i="109"/>
  <c r="AL216" i="109"/>
  <c r="AI216" i="109"/>
  <c r="AH216" i="109"/>
  <c r="AG216" i="109"/>
  <c r="AF216" i="109"/>
  <c r="AE216" i="109"/>
  <c r="AD216" i="109"/>
  <c r="AC216" i="109"/>
  <c r="AA216" i="109"/>
  <c r="Z216" i="109"/>
  <c r="Y216" i="109"/>
  <c r="X216" i="109"/>
  <c r="W216" i="109"/>
  <c r="V216" i="109"/>
  <c r="U216" i="109"/>
  <c r="T216" i="109"/>
  <c r="R216" i="109"/>
  <c r="Q216" i="109"/>
  <c r="P216" i="109"/>
  <c r="O216" i="109"/>
  <c r="N216" i="109"/>
  <c r="M216" i="109"/>
  <c r="L216" i="109"/>
  <c r="K216" i="109"/>
  <c r="I216" i="109"/>
  <c r="H216" i="109"/>
  <c r="G216" i="109"/>
  <c r="F216" i="109"/>
  <c r="E216" i="109"/>
  <c r="D216" i="109"/>
  <c r="C216" i="109"/>
  <c r="B216" i="109"/>
  <c r="AS215" i="109"/>
  <c r="AR215" i="109"/>
  <c r="AQ215" i="109"/>
  <c r="AP215" i="109"/>
  <c r="AO215" i="109"/>
  <c r="AN215" i="109"/>
  <c r="AM215" i="109"/>
  <c r="AL215" i="109"/>
  <c r="AH215" i="109"/>
  <c r="AG215" i="109"/>
  <c r="AF215" i="109"/>
  <c r="AE215" i="109"/>
  <c r="AD215" i="109"/>
  <c r="AC215" i="109"/>
  <c r="AA215" i="109"/>
  <c r="Z215" i="109"/>
  <c r="Y215" i="109"/>
  <c r="X215" i="109"/>
  <c r="W215" i="109"/>
  <c r="V215" i="109"/>
  <c r="U215" i="109"/>
  <c r="T215" i="109"/>
  <c r="R215" i="109"/>
  <c r="Q215" i="109"/>
  <c r="P215" i="109"/>
  <c r="O215" i="109"/>
  <c r="N215" i="109"/>
  <c r="M215" i="109"/>
  <c r="L215" i="109"/>
  <c r="K215" i="109"/>
  <c r="I215" i="109"/>
  <c r="H215" i="109"/>
  <c r="G215" i="109"/>
  <c r="F215" i="109"/>
  <c r="E215" i="109"/>
  <c r="D215" i="109"/>
  <c r="C215" i="109"/>
  <c r="B215" i="109"/>
  <c r="AS214" i="109"/>
  <c r="AR214" i="109"/>
  <c r="AQ214" i="109"/>
  <c r="AP214" i="109"/>
  <c r="AO214" i="109"/>
  <c r="AN214" i="109"/>
  <c r="AM214" i="109"/>
  <c r="AL214" i="109"/>
  <c r="AJ214" i="109"/>
  <c r="AG214" i="109"/>
  <c r="AF214" i="109"/>
  <c r="AE214" i="109"/>
  <c r="AD214" i="109"/>
  <c r="AC214" i="109"/>
  <c r="AA214" i="109"/>
  <c r="Z214" i="109"/>
  <c r="Y214" i="109"/>
  <c r="X214" i="109"/>
  <c r="W214" i="109"/>
  <c r="V214" i="109"/>
  <c r="U214" i="109"/>
  <c r="T214" i="109"/>
  <c r="R214" i="109"/>
  <c r="Q214" i="109"/>
  <c r="P214" i="109"/>
  <c r="O214" i="109"/>
  <c r="N214" i="109"/>
  <c r="M214" i="109"/>
  <c r="L214" i="109"/>
  <c r="K214" i="109"/>
  <c r="I214" i="109"/>
  <c r="H214" i="109"/>
  <c r="G214" i="109"/>
  <c r="F214" i="109"/>
  <c r="E214" i="109"/>
  <c r="D214" i="109"/>
  <c r="C214" i="109"/>
  <c r="B214" i="109"/>
  <c r="AS213" i="109"/>
  <c r="AR213" i="109"/>
  <c r="AQ213" i="109"/>
  <c r="AP213" i="109"/>
  <c r="AO213" i="109"/>
  <c r="AN213" i="109"/>
  <c r="AM213" i="109"/>
  <c r="AL213" i="109"/>
  <c r="AJ213" i="109"/>
  <c r="AI213" i="109"/>
  <c r="AF213" i="109"/>
  <c r="AE213" i="109"/>
  <c r="AD213" i="109"/>
  <c r="AC213" i="109"/>
  <c r="AA213" i="109"/>
  <c r="Z213" i="109"/>
  <c r="Y213" i="109"/>
  <c r="X213" i="109"/>
  <c r="W213" i="109"/>
  <c r="V213" i="109"/>
  <c r="U213" i="109"/>
  <c r="T213" i="109"/>
  <c r="R213" i="109"/>
  <c r="Q213" i="109"/>
  <c r="P213" i="109"/>
  <c r="O213" i="109"/>
  <c r="N213" i="109"/>
  <c r="M213" i="109"/>
  <c r="L213" i="109"/>
  <c r="K213" i="109"/>
  <c r="I213" i="109"/>
  <c r="H213" i="109"/>
  <c r="G213" i="109"/>
  <c r="F213" i="109"/>
  <c r="E213" i="109"/>
  <c r="D213" i="109"/>
  <c r="C213" i="109"/>
  <c r="B213" i="109"/>
  <c r="AS212" i="109"/>
  <c r="AR212" i="109"/>
  <c r="AQ212" i="109"/>
  <c r="AP212" i="109"/>
  <c r="AO212" i="109"/>
  <c r="AN212" i="109"/>
  <c r="AM212" i="109"/>
  <c r="AL212" i="109"/>
  <c r="AJ212" i="109"/>
  <c r="AI212" i="109"/>
  <c r="AH212" i="109"/>
  <c r="AE212" i="109"/>
  <c r="AD212" i="109"/>
  <c r="AC212" i="109"/>
  <c r="AA212" i="109"/>
  <c r="Z212" i="109"/>
  <c r="Y212" i="109"/>
  <c r="X212" i="109"/>
  <c r="W212" i="109"/>
  <c r="V212" i="109"/>
  <c r="U212" i="109"/>
  <c r="T212" i="109"/>
  <c r="R212" i="109"/>
  <c r="Q212" i="109"/>
  <c r="P212" i="109"/>
  <c r="O212" i="109"/>
  <c r="N212" i="109"/>
  <c r="M212" i="109"/>
  <c r="L212" i="109"/>
  <c r="K212" i="109"/>
  <c r="I212" i="109"/>
  <c r="H212" i="109"/>
  <c r="G212" i="109"/>
  <c r="F212" i="109"/>
  <c r="E212" i="109"/>
  <c r="D212" i="109"/>
  <c r="C212" i="109"/>
  <c r="B212" i="109"/>
  <c r="AS211" i="109"/>
  <c r="AR211" i="109"/>
  <c r="AQ211" i="109"/>
  <c r="AP211" i="109"/>
  <c r="AO211" i="109"/>
  <c r="AN211" i="109"/>
  <c r="AM211" i="109"/>
  <c r="AL211" i="109"/>
  <c r="AJ211" i="109"/>
  <c r="AI211" i="109"/>
  <c r="AH211" i="109"/>
  <c r="AG211" i="109"/>
  <c r="AE211" i="109"/>
  <c r="AD211" i="109"/>
  <c r="AA211" i="109"/>
  <c r="Z211" i="109"/>
  <c r="Y211" i="109"/>
  <c r="X211" i="109"/>
  <c r="W211" i="109"/>
  <c r="V211" i="109"/>
  <c r="U211" i="109"/>
  <c r="T211" i="109"/>
  <c r="R211" i="109"/>
  <c r="Q211" i="109"/>
  <c r="P211" i="109"/>
  <c r="O211" i="109"/>
  <c r="N211" i="109"/>
  <c r="M211" i="109"/>
  <c r="L211" i="109"/>
  <c r="K211" i="109"/>
  <c r="I211" i="109"/>
  <c r="H211" i="109"/>
  <c r="G211" i="109"/>
  <c r="F211" i="109"/>
  <c r="E211" i="109"/>
  <c r="D211" i="109"/>
  <c r="C211" i="109"/>
  <c r="B211" i="109"/>
  <c r="AS210" i="109"/>
  <c r="AR210" i="109"/>
  <c r="AQ210" i="109"/>
  <c r="AP210" i="109"/>
  <c r="AO210" i="109"/>
  <c r="AN210" i="109"/>
  <c r="AM210" i="109"/>
  <c r="AL210" i="109"/>
  <c r="AJ210" i="109"/>
  <c r="AI210" i="109"/>
  <c r="AH210" i="109"/>
  <c r="AG210" i="109"/>
  <c r="AF210" i="109"/>
  <c r="AD210" i="109"/>
  <c r="AC210" i="109"/>
  <c r="AA210" i="109"/>
  <c r="Z210" i="109"/>
  <c r="Y210" i="109"/>
  <c r="X210" i="109"/>
  <c r="W210" i="109"/>
  <c r="V210" i="109"/>
  <c r="U210" i="109"/>
  <c r="R210" i="109"/>
  <c r="Q210" i="109"/>
  <c r="P210" i="109"/>
  <c r="O210" i="109"/>
  <c r="N210" i="109"/>
  <c r="K210" i="109"/>
  <c r="I210" i="109"/>
  <c r="H210" i="109"/>
  <c r="G210" i="109"/>
  <c r="F210" i="109"/>
  <c r="E210" i="109"/>
  <c r="D210" i="109"/>
  <c r="C210" i="109"/>
  <c r="B210" i="109"/>
  <c r="AS209" i="109"/>
  <c r="AR209" i="109"/>
  <c r="AQ209" i="109"/>
  <c r="AP209" i="109"/>
  <c r="AO209" i="109"/>
  <c r="AN209" i="109"/>
  <c r="AM209" i="109"/>
  <c r="AL209" i="109"/>
  <c r="AJ209" i="109"/>
  <c r="AI209" i="109"/>
  <c r="AH209" i="109"/>
  <c r="AG209" i="109"/>
  <c r="AF209" i="109"/>
  <c r="AE209" i="109"/>
  <c r="AD209" i="109"/>
  <c r="AC209" i="109"/>
  <c r="AA209" i="109"/>
  <c r="Z209" i="109"/>
  <c r="Y209" i="109"/>
  <c r="X209" i="109"/>
  <c r="W209" i="109"/>
  <c r="U209" i="109"/>
  <c r="T209" i="109"/>
  <c r="R209" i="109"/>
  <c r="Q209" i="109"/>
  <c r="P209" i="109"/>
  <c r="O209" i="109"/>
  <c r="N209" i="109"/>
  <c r="L209" i="109"/>
  <c r="K209" i="109"/>
  <c r="I209" i="109"/>
  <c r="H209" i="109"/>
  <c r="G209" i="109"/>
  <c r="F209" i="109"/>
  <c r="E209" i="109"/>
  <c r="D209" i="109"/>
  <c r="C209" i="109"/>
  <c r="B209" i="109"/>
  <c r="AS208" i="109"/>
  <c r="AR208" i="109"/>
  <c r="AQ208" i="109"/>
  <c r="AP208" i="109"/>
  <c r="AO208" i="109"/>
  <c r="AN208" i="109"/>
  <c r="AM208" i="109"/>
  <c r="AL208" i="109"/>
  <c r="AJ208" i="109"/>
  <c r="AI208" i="109"/>
  <c r="AH208" i="109"/>
  <c r="AG208" i="109"/>
  <c r="AF208" i="109"/>
  <c r="AE208" i="109"/>
  <c r="AD208" i="109"/>
  <c r="AC208" i="109"/>
  <c r="AA208" i="109"/>
  <c r="Z208" i="109"/>
  <c r="Y208" i="109"/>
  <c r="X208" i="109"/>
  <c r="W208" i="109"/>
  <c r="V208" i="109"/>
  <c r="U208" i="109"/>
  <c r="T208" i="109"/>
  <c r="R208" i="109"/>
  <c r="Q208" i="109"/>
  <c r="P208" i="109"/>
  <c r="O208" i="109"/>
  <c r="N208" i="109"/>
  <c r="K208" i="109"/>
  <c r="I208" i="109"/>
  <c r="H208" i="109"/>
  <c r="G208" i="109"/>
  <c r="F208" i="109"/>
  <c r="E208" i="109"/>
  <c r="D208" i="109"/>
  <c r="C208" i="109"/>
  <c r="B208" i="109"/>
  <c r="AS207" i="109"/>
  <c r="AR207" i="109"/>
  <c r="AQ207" i="109"/>
  <c r="AP207" i="109"/>
  <c r="AO207" i="109"/>
  <c r="AN207" i="109"/>
  <c r="AJ207" i="109"/>
  <c r="AI207" i="109"/>
  <c r="AH207" i="109"/>
  <c r="AG207" i="109"/>
  <c r="AF207" i="109"/>
  <c r="AE207" i="109"/>
  <c r="AC207" i="109"/>
  <c r="AA207" i="109"/>
  <c r="V207" i="109"/>
  <c r="U207" i="109"/>
  <c r="T207" i="109"/>
  <c r="R207" i="109"/>
  <c r="Q207" i="109"/>
  <c r="P207" i="109"/>
  <c r="O207" i="109"/>
  <c r="N207" i="109"/>
  <c r="K207" i="109"/>
  <c r="I207" i="109"/>
  <c r="H207" i="109"/>
  <c r="G207" i="109"/>
  <c r="F207" i="109"/>
  <c r="E207" i="109"/>
  <c r="D207" i="109"/>
  <c r="C207" i="109"/>
  <c r="B207" i="109"/>
  <c r="AS206" i="109"/>
  <c r="AR206" i="109"/>
  <c r="AQ206" i="109"/>
  <c r="AP206" i="109"/>
  <c r="AO206" i="109"/>
  <c r="AN206" i="109"/>
  <c r="AL206" i="109"/>
  <c r="AJ206" i="109"/>
  <c r="AI206" i="109"/>
  <c r="AH206" i="109"/>
  <c r="AG206" i="109"/>
  <c r="AF206" i="109"/>
  <c r="AE206" i="109"/>
  <c r="AC206" i="109"/>
  <c r="T206" i="109"/>
  <c r="R206" i="109"/>
  <c r="Q206" i="109"/>
  <c r="P206" i="109"/>
  <c r="O206" i="109"/>
  <c r="N206" i="109"/>
  <c r="D206" i="109"/>
  <c r="C206" i="109"/>
  <c r="AS204" i="109"/>
  <c r="AR204" i="109"/>
  <c r="AQ204" i="109"/>
  <c r="AP204" i="109"/>
  <c r="AO204" i="109"/>
  <c r="AN204" i="109"/>
  <c r="AM204" i="109"/>
  <c r="AJ204" i="109"/>
  <c r="AI204" i="109"/>
  <c r="AH204" i="109"/>
  <c r="AG204" i="109"/>
  <c r="AF204" i="109"/>
  <c r="AE204" i="109"/>
  <c r="AD204" i="109"/>
  <c r="AA204" i="109"/>
  <c r="Z204" i="109"/>
  <c r="Y204" i="109"/>
  <c r="X204" i="109"/>
  <c r="W204" i="109"/>
  <c r="V204" i="109"/>
  <c r="U204" i="109"/>
  <c r="R204" i="109"/>
  <c r="Q204" i="109"/>
  <c r="P204" i="109"/>
  <c r="O204" i="109"/>
  <c r="N204" i="109"/>
  <c r="M204" i="109"/>
  <c r="L204" i="109"/>
  <c r="I204" i="109"/>
  <c r="H204" i="109"/>
  <c r="G204" i="109"/>
  <c r="F204" i="109"/>
  <c r="E204" i="109"/>
  <c r="D204" i="109"/>
  <c r="C204" i="109"/>
  <c r="AL201" i="109"/>
  <c r="AC201" i="109"/>
  <c r="T201" i="109"/>
  <c r="K201" i="109"/>
  <c r="B201" i="109"/>
  <c r="AL200" i="109"/>
  <c r="AC200" i="109"/>
  <c r="T200" i="109"/>
  <c r="K200" i="109"/>
  <c r="B200" i="109"/>
  <c r="AL199" i="109"/>
  <c r="AC199" i="109"/>
  <c r="T199" i="109"/>
  <c r="K199" i="109"/>
  <c r="B199" i="109"/>
  <c r="AL198" i="109"/>
  <c r="AC198" i="109"/>
  <c r="T198" i="109"/>
  <c r="K198" i="109"/>
  <c r="B198" i="109"/>
  <c r="AL197" i="109"/>
  <c r="AC197" i="109"/>
  <c r="T197" i="109"/>
  <c r="K197" i="109"/>
  <c r="B197" i="109"/>
  <c r="AL196" i="109"/>
  <c r="AC196" i="109"/>
  <c r="T196" i="109"/>
  <c r="K196" i="109"/>
  <c r="B196" i="109"/>
  <c r="AL195" i="109"/>
  <c r="T195" i="109"/>
  <c r="K195" i="109"/>
  <c r="B195" i="109"/>
  <c r="AL194" i="109"/>
  <c r="AC194" i="109"/>
  <c r="K194" i="109"/>
  <c r="B194" i="109"/>
  <c r="AL193" i="109"/>
  <c r="AC193" i="109"/>
  <c r="T193" i="109"/>
  <c r="K193" i="109"/>
  <c r="B193" i="109"/>
  <c r="AL192" i="109"/>
  <c r="AC192" i="109"/>
  <c r="T192" i="109"/>
  <c r="K192" i="109"/>
  <c r="B192" i="109"/>
  <c r="AC191" i="109"/>
  <c r="T191" i="109"/>
  <c r="K191" i="109"/>
  <c r="AL190" i="109"/>
  <c r="AC190" i="109"/>
  <c r="T190" i="109"/>
  <c r="K190" i="109"/>
  <c r="B190" i="109"/>
  <c r="AS188" i="109"/>
  <c r="AR188" i="109"/>
  <c r="AQ188" i="109"/>
  <c r="AP188" i="109"/>
  <c r="AO188" i="109"/>
  <c r="AN188" i="109"/>
  <c r="AM188" i="109"/>
  <c r="AJ188" i="109"/>
  <c r="AI188" i="109"/>
  <c r="AH188" i="109"/>
  <c r="AG188" i="109"/>
  <c r="AF188" i="109"/>
  <c r="AE188" i="109"/>
  <c r="AD188" i="109"/>
  <c r="AA188" i="109"/>
  <c r="Z188" i="109"/>
  <c r="Y188" i="109"/>
  <c r="X188" i="109"/>
  <c r="W188" i="109"/>
  <c r="V188" i="109"/>
  <c r="U188" i="109"/>
  <c r="R188" i="109"/>
  <c r="Q188" i="109"/>
  <c r="P188" i="109"/>
  <c r="O188" i="109"/>
  <c r="N188" i="109"/>
  <c r="M188" i="109"/>
  <c r="L188" i="109"/>
  <c r="I188" i="109"/>
  <c r="H188" i="109"/>
  <c r="G188" i="109"/>
  <c r="F188" i="109"/>
  <c r="E188" i="109"/>
  <c r="D188" i="109"/>
  <c r="C188" i="109"/>
  <c r="AL186" i="109"/>
  <c r="AC186" i="109"/>
  <c r="T186" i="109"/>
  <c r="K186" i="109"/>
  <c r="B186" i="109"/>
  <c r="AL185" i="109"/>
  <c r="AC185" i="109"/>
  <c r="T185" i="109"/>
  <c r="K185" i="109"/>
  <c r="B185" i="109"/>
  <c r="AL184" i="109"/>
  <c r="AC184" i="109"/>
  <c r="T184" i="109"/>
  <c r="K184" i="109"/>
  <c r="B184" i="109"/>
  <c r="AL183" i="109"/>
  <c r="AC183" i="109"/>
  <c r="T183" i="109"/>
  <c r="K183" i="109"/>
  <c r="B183" i="109"/>
  <c r="AL182" i="109"/>
  <c r="AC182" i="109"/>
  <c r="T182" i="109"/>
  <c r="K182" i="109"/>
  <c r="B182" i="109"/>
  <c r="AL181" i="109"/>
  <c r="AC181" i="109"/>
  <c r="T181" i="109"/>
  <c r="K181" i="109"/>
  <c r="B181" i="109"/>
  <c r="AL180" i="109"/>
  <c r="AC180" i="109"/>
  <c r="T180" i="109"/>
  <c r="K180" i="109"/>
  <c r="B180" i="109"/>
  <c r="AL179" i="109"/>
  <c r="AC179" i="109"/>
  <c r="K179" i="109"/>
  <c r="B179" i="109"/>
  <c r="AL178" i="109"/>
  <c r="AC178" i="109"/>
  <c r="T178" i="109"/>
  <c r="K178" i="109"/>
  <c r="B178" i="109"/>
  <c r="AL177" i="109"/>
  <c r="AC177" i="109"/>
  <c r="T177" i="109"/>
  <c r="K177" i="109"/>
  <c r="B177" i="109"/>
  <c r="AC176" i="109"/>
  <c r="T176" i="109"/>
  <c r="K176" i="109"/>
  <c r="B176" i="109"/>
  <c r="AL175" i="109"/>
  <c r="AC175" i="109"/>
  <c r="T175" i="109"/>
  <c r="AS173" i="109"/>
  <c r="AR173" i="109"/>
  <c r="AQ173" i="109"/>
  <c r="AP173" i="109"/>
  <c r="AO173" i="109"/>
  <c r="AN173" i="109"/>
  <c r="AM173" i="109"/>
  <c r="AJ173" i="109"/>
  <c r="AI173" i="109"/>
  <c r="AH173" i="109"/>
  <c r="AG173" i="109"/>
  <c r="AF173" i="109"/>
  <c r="AE173" i="109"/>
  <c r="AD173" i="109"/>
  <c r="AA173" i="109"/>
  <c r="Z173" i="109"/>
  <c r="Y173" i="109"/>
  <c r="X173" i="109"/>
  <c r="W173" i="109"/>
  <c r="V173" i="109"/>
  <c r="U173" i="109"/>
  <c r="R173" i="109"/>
  <c r="Q173" i="109"/>
  <c r="P173" i="109"/>
  <c r="O173" i="109"/>
  <c r="N173" i="109"/>
  <c r="M173" i="109"/>
  <c r="L173" i="109"/>
  <c r="I173" i="109"/>
  <c r="H173" i="109"/>
  <c r="G173" i="109"/>
  <c r="F173" i="109"/>
  <c r="E173" i="109"/>
  <c r="D173" i="109"/>
  <c r="C173" i="109"/>
  <c r="AS171" i="109"/>
  <c r="AR171" i="109"/>
  <c r="AQ171" i="109"/>
  <c r="AP171" i="109"/>
  <c r="AO171" i="109"/>
  <c r="AN171" i="109"/>
  <c r="AM171" i="109"/>
  <c r="AA171" i="109"/>
  <c r="Z171" i="109"/>
  <c r="Y171" i="109"/>
  <c r="X171" i="109"/>
  <c r="W171" i="109"/>
  <c r="V171" i="109"/>
  <c r="U171" i="109"/>
  <c r="R171" i="109"/>
  <c r="Q171" i="109"/>
  <c r="P171" i="109"/>
  <c r="O171" i="109"/>
  <c r="N171" i="109"/>
  <c r="M171" i="109"/>
  <c r="L171" i="109"/>
  <c r="I171" i="109"/>
  <c r="H171" i="109"/>
  <c r="G171" i="109"/>
  <c r="F171" i="109"/>
  <c r="E171" i="109"/>
  <c r="D171" i="109"/>
  <c r="C171" i="109"/>
  <c r="AS170" i="109"/>
  <c r="AR170" i="109"/>
  <c r="AQ170" i="109"/>
  <c r="AP170" i="109"/>
  <c r="AO170" i="109"/>
  <c r="AN170" i="109"/>
  <c r="AM170" i="109"/>
  <c r="AL170" i="109"/>
  <c r="AC170" i="109"/>
  <c r="AA170" i="109"/>
  <c r="Z170" i="109"/>
  <c r="Y170" i="109"/>
  <c r="X170" i="109"/>
  <c r="W170" i="109"/>
  <c r="V170" i="109"/>
  <c r="U170" i="109"/>
  <c r="T170" i="109"/>
  <c r="R170" i="109"/>
  <c r="Q170" i="109"/>
  <c r="P170" i="109"/>
  <c r="O170" i="109"/>
  <c r="N170" i="109"/>
  <c r="M170" i="109"/>
  <c r="L170" i="109"/>
  <c r="K170" i="109"/>
  <c r="I170" i="109"/>
  <c r="H170" i="109"/>
  <c r="G170" i="109"/>
  <c r="F170" i="109"/>
  <c r="E170" i="109"/>
  <c r="D170" i="109"/>
  <c r="C170" i="109"/>
  <c r="B170" i="109"/>
  <c r="AS169" i="109"/>
  <c r="AR169" i="109"/>
  <c r="AQ169" i="109"/>
  <c r="AP169" i="109"/>
  <c r="AO169" i="109"/>
  <c r="AN169" i="109"/>
  <c r="AM169" i="109"/>
  <c r="AL169" i="109"/>
  <c r="AC169" i="109"/>
  <c r="AA169" i="109"/>
  <c r="Z169" i="109"/>
  <c r="Y169" i="109"/>
  <c r="X169" i="109"/>
  <c r="W169" i="109"/>
  <c r="V169" i="109"/>
  <c r="U169" i="109"/>
  <c r="T169" i="109"/>
  <c r="R169" i="109"/>
  <c r="Q169" i="109"/>
  <c r="P169" i="109"/>
  <c r="O169" i="109"/>
  <c r="N169" i="109"/>
  <c r="M169" i="109"/>
  <c r="L169" i="109"/>
  <c r="K169" i="109"/>
  <c r="I169" i="109"/>
  <c r="H169" i="109"/>
  <c r="G169" i="109"/>
  <c r="F169" i="109"/>
  <c r="E169" i="109"/>
  <c r="D169" i="109"/>
  <c r="C169" i="109"/>
  <c r="B169" i="109"/>
  <c r="AS168" i="109"/>
  <c r="AR168" i="109"/>
  <c r="AQ168" i="109"/>
  <c r="AP168" i="109"/>
  <c r="AO168" i="109"/>
  <c r="AN168" i="109"/>
  <c r="AM168" i="109"/>
  <c r="AL168" i="109"/>
  <c r="AC168" i="109"/>
  <c r="AA168" i="109"/>
  <c r="Z168" i="109"/>
  <c r="Y168" i="109"/>
  <c r="X168" i="109"/>
  <c r="W168" i="109"/>
  <c r="V168" i="109"/>
  <c r="U168" i="109"/>
  <c r="T168" i="109"/>
  <c r="R168" i="109"/>
  <c r="Q168" i="109"/>
  <c r="P168" i="109"/>
  <c r="O168" i="109"/>
  <c r="N168" i="109"/>
  <c r="M168" i="109"/>
  <c r="L168" i="109"/>
  <c r="K168" i="109"/>
  <c r="I168" i="109"/>
  <c r="H168" i="109"/>
  <c r="G168" i="109"/>
  <c r="F168" i="109"/>
  <c r="E168" i="109"/>
  <c r="D168" i="109"/>
  <c r="C168" i="109"/>
  <c r="B168" i="109"/>
  <c r="AS167" i="109"/>
  <c r="AR167" i="109"/>
  <c r="AQ167" i="109"/>
  <c r="AP167" i="109"/>
  <c r="AO167" i="109"/>
  <c r="AN167" i="109"/>
  <c r="AM167" i="109"/>
  <c r="AL167" i="109"/>
  <c r="AC167" i="109"/>
  <c r="AA167" i="109"/>
  <c r="Z167" i="109"/>
  <c r="Y167" i="109"/>
  <c r="X167" i="109"/>
  <c r="W167" i="109"/>
  <c r="V167" i="109"/>
  <c r="U167" i="109"/>
  <c r="T167" i="109"/>
  <c r="R167" i="109"/>
  <c r="Q167" i="109"/>
  <c r="P167" i="109"/>
  <c r="O167" i="109"/>
  <c r="N167" i="109"/>
  <c r="M167" i="109"/>
  <c r="L167" i="109"/>
  <c r="K167" i="109"/>
  <c r="I167" i="109"/>
  <c r="H167" i="109"/>
  <c r="G167" i="109"/>
  <c r="F167" i="109"/>
  <c r="E167" i="109"/>
  <c r="D167" i="109"/>
  <c r="C167" i="109"/>
  <c r="B167" i="109"/>
  <c r="AS166" i="109"/>
  <c r="AR166" i="109"/>
  <c r="AQ166" i="109"/>
  <c r="AP166" i="109"/>
  <c r="AO166" i="109"/>
  <c r="AN166" i="109"/>
  <c r="AM166" i="109"/>
  <c r="AL166" i="109"/>
  <c r="AC166" i="109"/>
  <c r="AA166" i="109"/>
  <c r="Z166" i="109"/>
  <c r="Y166" i="109"/>
  <c r="X166" i="109"/>
  <c r="W166" i="109"/>
  <c r="V166" i="109"/>
  <c r="U166" i="109"/>
  <c r="T166" i="109"/>
  <c r="R166" i="109"/>
  <c r="Q166" i="109"/>
  <c r="P166" i="109"/>
  <c r="O166" i="109"/>
  <c r="N166" i="109"/>
  <c r="M166" i="109"/>
  <c r="L166" i="109"/>
  <c r="K166" i="109"/>
  <c r="I166" i="109"/>
  <c r="H166" i="109"/>
  <c r="G166" i="109"/>
  <c r="F166" i="109"/>
  <c r="E166" i="109"/>
  <c r="D166" i="109"/>
  <c r="C166" i="109"/>
  <c r="B166" i="109"/>
  <c r="AS165" i="109"/>
  <c r="AR165" i="109"/>
  <c r="AQ165" i="109"/>
  <c r="AP165" i="109"/>
  <c r="AO165" i="109"/>
  <c r="AN165" i="109"/>
  <c r="AM165" i="109"/>
  <c r="AL165" i="109"/>
  <c r="AC165" i="109"/>
  <c r="AA165" i="109"/>
  <c r="Z165" i="109"/>
  <c r="Y165" i="109"/>
  <c r="X165" i="109"/>
  <c r="W165" i="109"/>
  <c r="V165" i="109"/>
  <c r="U165" i="109"/>
  <c r="T165" i="109"/>
  <c r="R165" i="109"/>
  <c r="Q165" i="109"/>
  <c r="P165" i="109"/>
  <c r="O165" i="109"/>
  <c r="N165" i="109"/>
  <c r="M165" i="109"/>
  <c r="L165" i="109"/>
  <c r="K165" i="109"/>
  <c r="I165" i="109"/>
  <c r="H165" i="109"/>
  <c r="G165" i="109"/>
  <c r="F165" i="109"/>
  <c r="E165" i="109"/>
  <c r="D165" i="109"/>
  <c r="C165" i="109"/>
  <c r="B165" i="109"/>
  <c r="AS164" i="109"/>
  <c r="AR164" i="109"/>
  <c r="AQ164" i="109"/>
  <c r="AP164" i="109"/>
  <c r="AO164" i="109"/>
  <c r="AN164" i="109"/>
  <c r="AM164" i="109"/>
  <c r="AL164" i="109"/>
  <c r="AC164" i="109"/>
  <c r="AA164" i="109"/>
  <c r="Z164" i="109"/>
  <c r="Y164" i="109"/>
  <c r="X164" i="109"/>
  <c r="W164" i="109"/>
  <c r="V164" i="109"/>
  <c r="U164" i="109"/>
  <c r="T164" i="109"/>
  <c r="R164" i="109"/>
  <c r="Q164" i="109"/>
  <c r="P164" i="109"/>
  <c r="O164" i="109"/>
  <c r="N164" i="109"/>
  <c r="M164" i="109"/>
  <c r="L164" i="109"/>
  <c r="K164" i="109"/>
  <c r="I164" i="109"/>
  <c r="H164" i="109"/>
  <c r="G164" i="109"/>
  <c r="F164" i="109"/>
  <c r="E164" i="109"/>
  <c r="D164" i="109"/>
  <c r="C164" i="109"/>
  <c r="B164" i="109"/>
  <c r="AS163" i="109"/>
  <c r="AR163" i="109"/>
  <c r="AQ163" i="109"/>
  <c r="AP163" i="109"/>
  <c r="AO163" i="109"/>
  <c r="AN163" i="109"/>
  <c r="AM163" i="109"/>
  <c r="AL163" i="109"/>
  <c r="AC163" i="109"/>
  <c r="AA163" i="109"/>
  <c r="Z163" i="109"/>
  <c r="Y163" i="109"/>
  <c r="X163" i="109"/>
  <c r="W163" i="109"/>
  <c r="V163" i="109"/>
  <c r="U163" i="109"/>
  <c r="R163" i="109"/>
  <c r="Q163" i="109"/>
  <c r="P163" i="109"/>
  <c r="O163" i="109"/>
  <c r="N163" i="109"/>
  <c r="M163" i="109"/>
  <c r="L163" i="109"/>
  <c r="K163" i="109"/>
  <c r="I163" i="109"/>
  <c r="H163" i="109"/>
  <c r="G163" i="109"/>
  <c r="F163" i="109"/>
  <c r="E163" i="109"/>
  <c r="D163" i="109"/>
  <c r="C163" i="109"/>
  <c r="B163" i="109"/>
  <c r="AS162" i="109"/>
  <c r="AR162" i="109"/>
  <c r="AQ162" i="109"/>
  <c r="AP162" i="109"/>
  <c r="AO162" i="109"/>
  <c r="AN162" i="109"/>
  <c r="AM162" i="109"/>
  <c r="AL162" i="109"/>
  <c r="AC162" i="109"/>
  <c r="AA162" i="109"/>
  <c r="Z162" i="109"/>
  <c r="Y162" i="109"/>
  <c r="X162" i="109"/>
  <c r="W162" i="109"/>
  <c r="V162" i="109"/>
  <c r="U162" i="109"/>
  <c r="T162" i="109"/>
  <c r="R162" i="109"/>
  <c r="Q162" i="109"/>
  <c r="P162" i="109"/>
  <c r="O162" i="109"/>
  <c r="N162" i="109"/>
  <c r="M162" i="109"/>
  <c r="L162" i="109"/>
  <c r="K162" i="109"/>
  <c r="I162" i="109"/>
  <c r="H162" i="109"/>
  <c r="G162" i="109"/>
  <c r="F162" i="109"/>
  <c r="E162" i="109"/>
  <c r="D162" i="109"/>
  <c r="C162" i="109"/>
  <c r="B162" i="109"/>
  <c r="AS161" i="109"/>
  <c r="AR161" i="109"/>
  <c r="AQ161" i="109"/>
  <c r="AP161" i="109"/>
  <c r="AO161" i="109"/>
  <c r="AN161" i="109"/>
  <c r="AM161" i="109"/>
  <c r="AL161" i="109"/>
  <c r="AC161" i="109"/>
  <c r="AA161" i="109"/>
  <c r="Z161" i="109"/>
  <c r="Y161" i="109"/>
  <c r="X161" i="109"/>
  <c r="W161" i="109"/>
  <c r="V161" i="109"/>
  <c r="U161" i="109"/>
  <c r="T161" i="109"/>
  <c r="R161" i="109"/>
  <c r="Q161" i="109"/>
  <c r="P161" i="109"/>
  <c r="O161" i="109"/>
  <c r="N161" i="109"/>
  <c r="M161" i="109"/>
  <c r="L161" i="109"/>
  <c r="K161" i="109"/>
  <c r="I161" i="109"/>
  <c r="H161" i="109"/>
  <c r="G161" i="109"/>
  <c r="F161" i="109"/>
  <c r="E161" i="109"/>
  <c r="D161" i="109"/>
  <c r="C161" i="109"/>
  <c r="B161" i="109"/>
  <c r="AL160" i="109"/>
  <c r="AJ160" i="109"/>
  <c r="AI160" i="109"/>
  <c r="AH160" i="109"/>
  <c r="AG160" i="109"/>
  <c r="AF160" i="109"/>
  <c r="AE160" i="109"/>
  <c r="AD160" i="109"/>
  <c r="AC160" i="109"/>
  <c r="AA160" i="109"/>
  <c r="Z160" i="109"/>
  <c r="Y160" i="109"/>
  <c r="X160" i="109"/>
  <c r="W160" i="109"/>
  <c r="V160" i="109"/>
  <c r="U160" i="109"/>
  <c r="T160" i="109"/>
  <c r="R160" i="109"/>
  <c r="Q160" i="109"/>
  <c r="P160" i="109"/>
  <c r="O160" i="109"/>
  <c r="N160" i="109"/>
  <c r="M160" i="109"/>
  <c r="L160" i="109"/>
  <c r="K160" i="109"/>
  <c r="I160" i="109"/>
  <c r="H160" i="109"/>
  <c r="G160" i="109"/>
  <c r="F160" i="109"/>
  <c r="E160" i="109"/>
  <c r="D160" i="109"/>
  <c r="C160" i="109"/>
  <c r="B160" i="109"/>
  <c r="AS159" i="109"/>
  <c r="AR159" i="109"/>
  <c r="AQ159" i="109"/>
  <c r="AP159" i="109"/>
  <c r="AO159" i="109"/>
  <c r="AN159" i="109"/>
  <c r="AM159" i="109"/>
  <c r="AL159" i="109"/>
  <c r="AJ159" i="109"/>
  <c r="AI159" i="109"/>
  <c r="AH159" i="109"/>
  <c r="AG159" i="109"/>
  <c r="AF159" i="109"/>
  <c r="AE159" i="109"/>
  <c r="AD159" i="109"/>
  <c r="AC159" i="109"/>
  <c r="AA159" i="109"/>
  <c r="Z159" i="109"/>
  <c r="Y159" i="109"/>
  <c r="X159" i="109"/>
  <c r="W159" i="109"/>
  <c r="V159" i="109"/>
  <c r="U159" i="109"/>
  <c r="T159" i="109"/>
  <c r="R159" i="109"/>
  <c r="Q159" i="109"/>
  <c r="P159" i="109"/>
  <c r="O159" i="109"/>
  <c r="N159" i="109"/>
  <c r="M159" i="109"/>
  <c r="L159" i="109"/>
  <c r="I159" i="109"/>
  <c r="H159" i="109"/>
  <c r="G159" i="109"/>
  <c r="F159" i="109"/>
  <c r="E159" i="109"/>
  <c r="D159" i="109"/>
  <c r="C159" i="109"/>
  <c r="AS156" i="109"/>
  <c r="AR156" i="109"/>
  <c r="AQ156" i="109"/>
  <c r="AP156" i="109"/>
  <c r="AO156" i="109"/>
  <c r="AN156" i="109"/>
  <c r="AM156" i="109"/>
  <c r="AL156" i="109"/>
  <c r="AC156" i="109"/>
  <c r="AA156" i="109"/>
  <c r="Z156" i="109"/>
  <c r="Y156" i="109"/>
  <c r="X156" i="109"/>
  <c r="W156" i="109"/>
  <c r="V156" i="109"/>
  <c r="U156" i="109"/>
  <c r="T156" i="109"/>
  <c r="R156" i="109"/>
  <c r="Q156" i="109"/>
  <c r="P156" i="109"/>
  <c r="O156" i="109"/>
  <c r="N156" i="109"/>
  <c r="M156" i="109"/>
  <c r="L156" i="109"/>
  <c r="K156" i="109"/>
  <c r="I156" i="109"/>
  <c r="H156" i="109"/>
  <c r="G156" i="109"/>
  <c r="F156" i="109"/>
  <c r="E156" i="109"/>
  <c r="D156" i="109"/>
  <c r="C156" i="109"/>
  <c r="B156" i="109"/>
  <c r="AS155" i="109"/>
  <c r="AR155" i="109"/>
  <c r="AQ155" i="109"/>
  <c r="AP155" i="109"/>
  <c r="AO155" i="109"/>
  <c r="AN155" i="109"/>
  <c r="AM155" i="109"/>
  <c r="AL155" i="109"/>
  <c r="AC155" i="109"/>
  <c r="AA155" i="109"/>
  <c r="Z155" i="109"/>
  <c r="Y155" i="109"/>
  <c r="X155" i="109"/>
  <c r="W155" i="109"/>
  <c r="V155" i="109"/>
  <c r="U155" i="109"/>
  <c r="T155" i="109"/>
  <c r="R155" i="109"/>
  <c r="Q155" i="109"/>
  <c r="P155" i="109"/>
  <c r="O155" i="109"/>
  <c r="N155" i="109"/>
  <c r="M155" i="109"/>
  <c r="L155" i="109"/>
  <c r="K155" i="109"/>
  <c r="I155" i="109"/>
  <c r="H155" i="109"/>
  <c r="G155" i="109"/>
  <c r="F155" i="109"/>
  <c r="E155" i="109"/>
  <c r="D155" i="109"/>
  <c r="C155" i="109"/>
  <c r="B155" i="109"/>
  <c r="AS154" i="109"/>
  <c r="AR154" i="109"/>
  <c r="AQ154" i="109"/>
  <c r="AP154" i="109"/>
  <c r="AO154" i="109"/>
  <c r="AN154" i="109"/>
  <c r="AM154" i="109"/>
  <c r="AL154" i="109"/>
  <c r="AC154" i="109"/>
  <c r="AA154" i="109"/>
  <c r="Z154" i="109"/>
  <c r="Y154" i="109"/>
  <c r="X154" i="109"/>
  <c r="W154" i="109"/>
  <c r="V154" i="109"/>
  <c r="U154" i="109"/>
  <c r="T154" i="109"/>
  <c r="R154" i="109"/>
  <c r="Q154" i="109"/>
  <c r="P154" i="109"/>
  <c r="O154" i="109"/>
  <c r="N154" i="109"/>
  <c r="M154" i="109"/>
  <c r="L154" i="109"/>
  <c r="K154" i="109"/>
  <c r="I154" i="109"/>
  <c r="H154" i="109"/>
  <c r="G154" i="109"/>
  <c r="F154" i="109"/>
  <c r="E154" i="109"/>
  <c r="D154" i="109"/>
  <c r="C154" i="109"/>
  <c r="B154" i="109"/>
  <c r="AS153" i="109"/>
  <c r="AR153" i="109"/>
  <c r="AQ153" i="109"/>
  <c r="AP153" i="109"/>
  <c r="AO153" i="109"/>
  <c r="AN153" i="109"/>
  <c r="AM153" i="109"/>
  <c r="AL153" i="109"/>
  <c r="AC153" i="109"/>
  <c r="AA153" i="109"/>
  <c r="Z153" i="109"/>
  <c r="Y153" i="109"/>
  <c r="X153" i="109"/>
  <c r="W153" i="109"/>
  <c r="V153" i="109"/>
  <c r="U153" i="109"/>
  <c r="T153" i="109"/>
  <c r="R153" i="109"/>
  <c r="Q153" i="109"/>
  <c r="P153" i="109"/>
  <c r="O153" i="109"/>
  <c r="N153" i="109"/>
  <c r="M153" i="109"/>
  <c r="L153" i="109"/>
  <c r="K153" i="109"/>
  <c r="I153" i="109"/>
  <c r="H153" i="109"/>
  <c r="G153" i="109"/>
  <c r="F153" i="109"/>
  <c r="E153" i="109"/>
  <c r="D153" i="109"/>
  <c r="C153" i="109"/>
  <c r="B153" i="109"/>
  <c r="AS152" i="109"/>
  <c r="AR152" i="109"/>
  <c r="AQ152" i="109"/>
  <c r="AP152" i="109"/>
  <c r="AO152" i="109"/>
  <c r="AN152" i="109"/>
  <c r="AM152" i="109"/>
  <c r="AL152" i="109"/>
  <c r="AC152" i="109"/>
  <c r="AA152" i="109"/>
  <c r="Z152" i="109"/>
  <c r="Y152" i="109"/>
  <c r="X152" i="109"/>
  <c r="W152" i="109"/>
  <c r="V152" i="109"/>
  <c r="U152" i="109"/>
  <c r="T152" i="109"/>
  <c r="R152" i="109"/>
  <c r="Q152" i="109"/>
  <c r="P152" i="109"/>
  <c r="O152" i="109"/>
  <c r="N152" i="109"/>
  <c r="M152" i="109"/>
  <c r="L152" i="109"/>
  <c r="K152" i="109"/>
  <c r="I152" i="109"/>
  <c r="H152" i="109"/>
  <c r="G152" i="109"/>
  <c r="F152" i="109"/>
  <c r="E152" i="109"/>
  <c r="D152" i="109"/>
  <c r="C152" i="109"/>
  <c r="B152" i="109"/>
  <c r="AS151" i="109"/>
  <c r="AR151" i="109"/>
  <c r="AQ151" i="109"/>
  <c r="AP151" i="109"/>
  <c r="AO151" i="109"/>
  <c r="AN151" i="109"/>
  <c r="AM151" i="109"/>
  <c r="AL151" i="109"/>
  <c r="AC151" i="109"/>
  <c r="AA151" i="109"/>
  <c r="Z151" i="109"/>
  <c r="Y151" i="109"/>
  <c r="X151" i="109"/>
  <c r="W151" i="109"/>
  <c r="V151" i="109"/>
  <c r="U151" i="109"/>
  <c r="T151" i="109"/>
  <c r="R151" i="109"/>
  <c r="Q151" i="109"/>
  <c r="P151" i="109"/>
  <c r="O151" i="109"/>
  <c r="N151" i="109"/>
  <c r="M151" i="109"/>
  <c r="L151" i="109"/>
  <c r="K151" i="109"/>
  <c r="I151" i="109"/>
  <c r="H151" i="109"/>
  <c r="G151" i="109"/>
  <c r="F151" i="109"/>
  <c r="E151" i="109"/>
  <c r="D151" i="109"/>
  <c r="C151" i="109"/>
  <c r="B151" i="109"/>
  <c r="AS150" i="109"/>
  <c r="AR150" i="109"/>
  <c r="AQ150" i="109"/>
  <c r="AP150" i="109"/>
  <c r="AO150" i="109"/>
  <c r="AN150" i="109"/>
  <c r="AM150" i="109"/>
  <c r="AL150" i="109"/>
  <c r="AA150" i="109"/>
  <c r="Z150" i="109"/>
  <c r="Y150" i="109"/>
  <c r="X150" i="109"/>
  <c r="W150" i="109"/>
  <c r="V150" i="109"/>
  <c r="U150" i="109"/>
  <c r="T150" i="109"/>
  <c r="R150" i="109"/>
  <c r="Q150" i="109"/>
  <c r="P150" i="109"/>
  <c r="O150" i="109"/>
  <c r="N150" i="109"/>
  <c r="M150" i="109"/>
  <c r="L150" i="109"/>
  <c r="K150" i="109"/>
  <c r="I150" i="109"/>
  <c r="H150" i="109"/>
  <c r="G150" i="109"/>
  <c r="F150" i="109"/>
  <c r="E150" i="109"/>
  <c r="D150" i="109"/>
  <c r="C150" i="109"/>
  <c r="B150" i="109"/>
  <c r="AS149" i="109"/>
  <c r="AR149" i="109"/>
  <c r="AQ149" i="109"/>
  <c r="AP149" i="109"/>
  <c r="AO149" i="109"/>
  <c r="AN149" i="109"/>
  <c r="AM149" i="109"/>
  <c r="AL149" i="109"/>
  <c r="AC149" i="109"/>
  <c r="AA149" i="109"/>
  <c r="Z149" i="109"/>
  <c r="Y149" i="109"/>
  <c r="X149" i="109"/>
  <c r="W149" i="109"/>
  <c r="V149" i="109"/>
  <c r="U149" i="109"/>
  <c r="T149" i="109"/>
  <c r="R149" i="109"/>
  <c r="Q149" i="109"/>
  <c r="P149" i="109"/>
  <c r="O149" i="109"/>
  <c r="N149" i="109"/>
  <c r="M149" i="109"/>
  <c r="L149" i="109"/>
  <c r="K149" i="109"/>
  <c r="I149" i="109"/>
  <c r="H149" i="109"/>
  <c r="G149" i="109"/>
  <c r="F149" i="109"/>
  <c r="E149" i="109"/>
  <c r="D149" i="109"/>
  <c r="C149" i="109"/>
  <c r="B149" i="109"/>
  <c r="AS148" i="109"/>
  <c r="AR148" i="109"/>
  <c r="AQ148" i="109"/>
  <c r="AP148" i="109"/>
  <c r="AO148" i="109"/>
  <c r="AN148" i="109"/>
  <c r="AM148" i="109"/>
  <c r="AL148" i="109"/>
  <c r="AC148" i="109"/>
  <c r="AA148" i="109"/>
  <c r="Z148" i="109"/>
  <c r="Y148" i="109"/>
  <c r="X148" i="109"/>
  <c r="W148" i="109"/>
  <c r="V148" i="109"/>
  <c r="U148" i="109"/>
  <c r="T148" i="109"/>
  <c r="R148" i="109"/>
  <c r="Q148" i="109"/>
  <c r="P148" i="109"/>
  <c r="O148" i="109"/>
  <c r="N148" i="109"/>
  <c r="M148" i="109"/>
  <c r="L148" i="109"/>
  <c r="K148" i="109"/>
  <c r="B148" i="109"/>
  <c r="AL147" i="109"/>
  <c r="AC147" i="109"/>
  <c r="AA147" i="109"/>
  <c r="Z147" i="109"/>
  <c r="Y147" i="109"/>
  <c r="X147" i="109"/>
  <c r="W147" i="109"/>
  <c r="V147" i="109"/>
  <c r="U147" i="109"/>
  <c r="T147" i="109"/>
  <c r="R147" i="109"/>
  <c r="Q147" i="109"/>
  <c r="P147" i="109"/>
  <c r="O147" i="109"/>
  <c r="N147" i="109"/>
  <c r="M147" i="109"/>
  <c r="L147" i="109"/>
  <c r="K147" i="109"/>
  <c r="I147" i="109"/>
  <c r="H147" i="109"/>
  <c r="G147" i="109"/>
  <c r="F147" i="109"/>
  <c r="E147" i="109"/>
  <c r="D147" i="109"/>
  <c r="C147" i="109"/>
  <c r="B147" i="109"/>
  <c r="AL146" i="109"/>
  <c r="AC146" i="109"/>
  <c r="AA146" i="109"/>
  <c r="Z146" i="109"/>
  <c r="Y146" i="109"/>
  <c r="X146" i="109"/>
  <c r="W146" i="109"/>
  <c r="V146" i="109"/>
  <c r="U146" i="109"/>
  <c r="T146" i="109"/>
  <c r="R146" i="109"/>
  <c r="Q146" i="109"/>
  <c r="P146" i="109"/>
  <c r="O146" i="109"/>
  <c r="N146" i="109"/>
  <c r="M146" i="109"/>
  <c r="L146" i="109"/>
  <c r="K146" i="109"/>
  <c r="I146" i="109"/>
  <c r="H146" i="109"/>
  <c r="G146" i="109"/>
  <c r="F146" i="109"/>
  <c r="E146" i="109"/>
  <c r="D146" i="109"/>
  <c r="C146" i="109"/>
  <c r="B146" i="109"/>
  <c r="AL145" i="109"/>
  <c r="AC145" i="109"/>
  <c r="T145" i="109"/>
  <c r="R145" i="109"/>
  <c r="Q145" i="109"/>
  <c r="P145" i="109"/>
  <c r="O145" i="109"/>
  <c r="N145" i="109"/>
  <c r="M145" i="109"/>
  <c r="L145" i="109"/>
  <c r="I145" i="109"/>
  <c r="H145" i="109"/>
  <c r="G145" i="109"/>
  <c r="F145" i="109"/>
  <c r="E145" i="109"/>
  <c r="D145" i="109"/>
  <c r="C145" i="109"/>
  <c r="AS143" i="109"/>
  <c r="AR143" i="109"/>
  <c r="AQ143" i="109"/>
  <c r="AP143" i="109"/>
  <c r="AO143" i="109"/>
  <c r="AN143" i="109"/>
  <c r="AM143" i="109"/>
  <c r="AL143" i="109"/>
  <c r="AJ143" i="109"/>
  <c r="AI143" i="109"/>
  <c r="AH143" i="109"/>
  <c r="AG143" i="109"/>
  <c r="AF143" i="109"/>
  <c r="AE143" i="109"/>
  <c r="AC143" i="109"/>
  <c r="AA143" i="109"/>
  <c r="Z143" i="109"/>
  <c r="Y143" i="109"/>
  <c r="X143" i="109"/>
  <c r="W143" i="109"/>
  <c r="V143" i="109"/>
  <c r="U143" i="109"/>
  <c r="T143" i="109"/>
  <c r="R143" i="109"/>
  <c r="Q143" i="109"/>
  <c r="P143" i="109"/>
  <c r="O143" i="109"/>
  <c r="N143" i="109"/>
  <c r="M143" i="109"/>
  <c r="L143" i="109"/>
  <c r="K143" i="109"/>
  <c r="I143" i="109"/>
  <c r="H143" i="109"/>
  <c r="G143" i="109"/>
  <c r="F143" i="109"/>
  <c r="E143" i="109"/>
  <c r="D143" i="109"/>
  <c r="C143" i="109"/>
  <c r="B143" i="109"/>
  <c r="AS142" i="109"/>
  <c r="AR142" i="109"/>
  <c r="AQ142" i="109"/>
  <c r="AP142" i="109"/>
  <c r="AO142" i="109"/>
  <c r="AN142" i="109"/>
  <c r="AM142" i="109"/>
  <c r="AL142" i="109"/>
  <c r="AI142" i="109"/>
  <c r="AH142" i="109"/>
  <c r="AG142" i="109"/>
  <c r="AF142" i="109"/>
  <c r="AE142" i="109"/>
  <c r="AD142" i="109"/>
  <c r="AC142" i="109"/>
  <c r="AA142" i="109"/>
  <c r="Z142" i="109"/>
  <c r="Y142" i="109"/>
  <c r="X142" i="109"/>
  <c r="W142" i="109"/>
  <c r="V142" i="109"/>
  <c r="U142" i="109"/>
  <c r="T142" i="109"/>
  <c r="R142" i="109"/>
  <c r="Q142" i="109"/>
  <c r="P142" i="109"/>
  <c r="O142" i="109"/>
  <c r="N142" i="109"/>
  <c r="M142" i="109"/>
  <c r="L142" i="109"/>
  <c r="K142" i="109"/>
  <c r="I142" i="109"/>
  <c r="H142" i="109"/>
  <c r="G142" i="109"/>
  <c r="F142" i="109"/>
  <c r="E142" i="109"/>
  <c r="D142" i="109"/>
  <c r="C142" i="109"/>
  <c r="B142" i="109"/>
  <c r="AS141" i="109"/>
  <c r="AR141" i="109"/>
  <c r="AQ141" i="109"/>
  <c r="AP141" i="109"/>
  <c r="AO141" i="109"/>
  <c r="AN141" i="109"/>
  <c r="AM141" i="109"/>
  <c r="AL141" i="109"/>
  <c r="AH141" i="109"/>
  <c r="AG141" i="109"/>
  <c r="AF141" i="109"/>
  <c r="AE141" i="109"/>
  <c r="AD141" i="109"/>
  <c r="AC141" i="109"/>
  <c r="AA141" i="109"/>
  <c r="Z141" i="109"/>
  <c r="Y141" i="109"/>
  <c r="X141" i="109"/>
  <c r="W141" i="109"/>
  <c r="V141" i="109"/>
  <c r="U141" i="109"/>
  <c r="T141" i="109"/>
  <c r="R141" i="109"/>
  <c r="Q141" i="109"/>
  <c r="P141" i="109"/>
  <c r="O141" i="109"/>
  <c r="N141" i="109"/>
  <c r="M141" i="109"/>
  <c r="L141" i="109"/>
  <c r="K141" i="109"/>
  <c r="I141" i="109"/>
  <c r="H141" i="109"/>
  <c r="G141" i="109"/>
  <c r="F141" i="109"/>
  <c r="E141" i="109"/>
  <c r="D141" i="109"/>
  <c r="C141" i="109"/>
  <c r="B141" i="109"/>
  <c r="AS140" i="109"/>
  <c r="AR140" i="109"/>
  <c r="AQ140" i="109"/>
  <c r="AP140" i="109"/>
  <c r="AO140" i="109"/>
  <c r="AN140" i="109"/>
  <c r="AM140" i="109"/>
  <c r="AL140" i="109"/>
  <c r="AJ140" i="109"/>
  <c r="AG140" i="109"/>
  <c r="AF140" i="109"/>
  <c r="AE140" i="109"/>
  <c r="AD140" i="109"/>
  <c r="AC140" i="109"/>
  <c r="AA140" i="109"/>
  <c r="Z140" i="109"/>
  <c r="Y140" i="109"/>
  <c r="X140" i="109"/>
  <c r="W140" i="109"/>
  <c r="V140" i="109"/>
  <c r="U140" i="109"/>
  <c r="T140" i="109"/>
  <c r="R140" i="109"/>
  <c r="Q140" i="109"/>
  <c r="P140" i="109"/>
  <c r="O140" i="109"/>
  <c r="N140" i="109"/>
  <c r="M140" i="109"/>
  <c r="L140" i="109"/>
  <c r="K140" i="109"/>
  <c r="I140" i="109"/>
  <c r="H140" i="109"/>
  <c r="G140" i="109"/>
  <c r="F140" i="109"/>
  <c r="E140" i="109"/>
  <c r="D140" i="109"/>
  <c r="C140" i="109"/>
  <c r="B140" i="109"/>
  <c r="AS139" i="109"/>
  <c r="AR139" i="109"/>
  <c r="AQ139" i="109"/>
  <c r="AP139" i="109"/>
  <c r="AO139" i="109"/>
  <c r="AN139" i="109"/>
  <c r="AM139" i="109"/>
  <c r="AL139" i="109"/>
  <c r="AJ139" i="109"/>
  <c r="AI139" i="109"/>
  <c r="AF139" i="109"/>
  <c r="AE139" i="109"/>
  <c r="AD139" i="109"/>
  <c r="AC139" i="109"/>
  <c r="AA139" i="109"/>
  <c r="Z139" i="109"/>
  <c r="Y139" i="109"/>
  <c r="X139" i="109"/>
  <c r="W139" i="109"/>
  <c r="V139" i="109"/>
  <c r="U139" i="109"/>
  <c r="T139" i="109"/>
  <c r="R139" i="109"/>
  <c r="Q139" i="109"/>
  <c r="P139" i="109"/>
  <c r="O139" i="109"/>
  <c r="N139" i="109"/>
  <c r="M139" i="109"/>
  <c r="L139" i="109"/>
  <c r="K139" i="109"/>
  <c r="I139" i="109"/>
  <c r="H139" i="109"/>
  <c r="G139" i="109"/>
  <c r="F139" i="109"/>
  <c r="E139" i="109"/>
  <c r="D139" i="109"/>
  <c r="C139" i="109"/>
  <c r="B139" i="109"/>
  <c r="AS138" i="109"/>
  <c r="AR138" i="109"/>
  <c r="AQ138" i="109"/>
  <c r="AP138" i="109"/>
  <c r="AO138" i="109"/>
  <c r="AN138" i="109"/>
  <c r="AM138" i="109"/>
  <c r="AL138" i="109"/>
  <c r="AJ138" i="109"/>
  <c r="AI138" i="109"/>
  <c r="AH138" i="109"/>
  <c r="AE138" i="109"/>
  <c r="AD138" i="109"/>
  <c r="AC138" i="109"/>
  <c r="AA138" i="109"/>
  <c r="Z138" i="109"/>
  <c r="Y138" i="109"/>
  <c r="X138" i="109"/>
  <c r="W138" i="109"/>
  <c r="V138" i="109"/>
  <c r="U138" i="109"/>
  <c r="T138" i="109"/>
  <c r="R138" i="109"/>
  <c r="Q138" i="109"/>
  <c r="P138" i="109"/>
  <c r="O138" i="109"/>
  <c r="N138" i="109"/>
  <c r="M138" i="109"/>
  <c r="L138" i="109"/>
  <c r="K138" i="109"/>
  <c r="I138" i="109"/>
  <c r="H138" i="109"/>
  <c r="G138" i="109"/>
  <c r="F138" i="109"/>
  <c r="E138" i="109"/>
  <c r="D138" i="109"/>
  <c r="C138" i="109"/>
  <c r="B138" i="109"/>
  <c r="AS137" i="109"/>
  <c r="AR137" i="109"/>
  <c r="AQ137" i="109"/>
  <c r="AP137" i="109"/>
  <c r="AO137" i="109"/>
  <c r="AN137" i="109"/>
  <c r="AM137" i="109"/>
  <c r="AL137" i="109"/>
  <c r="AJ137" i="109"/>
  <c r="AI137" i="109"/>
  <c r="AH137" i="109"/>
  <c r="AG137" i="109"/>
  <c r="AE137" i="109"/>
  <c r="AD137" i="109"/>
  <c r="AA137" i="109"/>
  <c r="Z137" i="109"/>
  <c r="Y137" i="109"/>
  <c r="X137" i="109"/>
  <c r="W137" i="109"/>
  <c r="V137" i="109"/>
  <c r="U137" i="109"/>
  <c r="T137" i="109"/>
  <c r="R137" i="109"/>
  <c r="Q137" i="109"/>
  <c r="P137" i="109"/>
  <c r="O137" i="109"/>
  <c r="N137" i="109"/>
  <c r="M137" i="109"/>
  <c r="L137" i="109"/>
  <c r="K137" i="109"/>
  <c r="I137" i="109"/>
  <c r="H137" i="109"/>
  <c r="G137" i="109"/>
  <c r="F137" i="109"/>
  <c r="E137" i="109"/>
  <c r="D137" i="109"/>
  <c r="C137" i="109"/>
  <c r="B137" i="109"/>
  <c r="AS136" i="109"/>
  <c r="AR136" i="109"/>
  <c r="AQ136" i="109"/>
  <c r="AP136" i="109"/>
  <c r="AO136" i="109"/>
  <c r="AN136" i="109"/>
  <c r="AM136" i="109"/>
  <c r="AL136" i="109"/>
  <c r="AJ136" i="109"/>
  <c r="AI136" i="109"/>
  <c r="AH136" i="109"/>
  <c r="AG136" i="109"/>
  <c r="AF136" i="109"/>
  <c r="AD136" i="109"/>
  <c r="AA136" i="109"/>
  <c r="Z136" i="109"/>
  <c r="Y136" i="109"/>
  <c r="X136" i="109"/>
  <c r="W136" i="109"/>
  <c r="V136" i="109"/>
  <c r="U136" i="109"/>
  <c r="L136" i="109"/>
  <c r="K136" i="109"/>
  <c r="B136" i="109"/>
  <c r="AS135" i="109"/>
  <c r="AR135" i="109"/>
  <c r="AQ135" i="109"/>
  <c r="AP135" i="109"/>
  <c r="AO135" i="109"/>
  <c r="AN135" i="109"/>
  <c r="AM135" i="109"/>
  <c r="AL135" i="109"/>
  <c r="AJ135" i="109"/>
  <c r="AI135" i="109"/>
  <c r="AH135" i="109"/>
  <c r="AG135" i="109"/>
  <c r="AF135" i="109"/>
  <c r="AE135" i="109"/>
  <c r="AD135" i="109"/>
  <c r="AA135" i="109"/>
  <c r="Z135" i="109"/>
  <c r="Y135" i="109"/>
  <c r="X135" i="109"/>
  <c r="W135" i="109"/>
  <c r="V135" i="109"/>
  <c r="U135" i="109"/>
  <c r="L135" i="109"/>
  <c r="K135" i="109"/>
  <c r="C135" i="109"/>
  <c r="B135" i="109"/>
  <c r="AS134" i="109"/>
  <c r="AR134" i="109"/>
  <c r="AQ134" i="109"/>
  <c r="AP134" i="109"/>
  <c r="AO134" i="109"/>
  <c r="AN134" i="109"/>
  <c r="AM134" i="109"/>
  <c r="AL134" i="109"/>
  <c r="AJ134" i="109"/>
  <c r="AI134" i="109"/>
  <c r="AH134" i="109"/>
  <c r="AG134" i="109"/>
  <c r="AF134" i="109"/>
  <c r="AE134" i="109"/>
  <c r="AD134" i="109"/>
  <c r="AA134" i="109"/>
  <c r="Z134" i="109"/>
  <c r="Y134" i="109"/>
  <c r="X134" i="109"/>
  <c r="W134" i="109"/>
  <c r="V134" i="109"/>
  <c r="L134" i="109"/>
  <c r="C134" i="109"/>
  <c r="B134" i="109"/>
  <c r="AS133" i="109"/>
  <c r="AR133" i="109"/>
  <c r="AQ133" i="109"/>
  <c r="AP133" i="109"/>
  <c r="AO133" i="109"/>
  <c r="AN133" i="109"/>
  <c r="AM133" i="109"/>
  <c r="AJ133" i="109"/>
  <c r="AI133" i="109"/>
  <c r="AH133" i="109"/>
  <c r="AG133" i="109"/>
  <c r="AF133" i="109"/>
  <c r="AE133" i="109"/>
  <c r="AD133" i="109"/>
  <c r="AC133" i="109"/>
  <c r="AA133" i="109"/>
  <c r="Z133" i="109"/>
  <c r="Y133" i="109"/>
  <c r="X133" i="109"/>
  <c r="W133" i="109"/>
  <c r="V133" i="109"/>
  <c r="L133" i="109"/>
  <c r="C133" i="109"/>
  <c r="AS132" i="109"/>
  <c r="AR132" i="109"/>
  <c r="AQ132" i="109"/>
  <c r="AP132" i="109"/>
  <c r="AO132" i="109"/>
  <c r="AN132" i="109"/>
  <c r="AM132" i="109"/>
  <c r="AJ132" i="109"/>
  <c r="AI132" i="109"/>
  <c r="AH132" i="109"/>
  <c r="AG132" i="109"/>
  <c r="AF132" i="109"/>
  <c r="AE132" i="109"/>
  <c r="AD132" i="109"/>
  <c r="AA132" i="109"/>
  <c r="Z132" i="109"/>
  <c r="Y132" i="109"/>
  <c r="X132" i="109"/>
  <c r="W132" i="109"/>
  <c r="U132" i="109"/>
  <c r="L132" i="109"/>
  <c r="C132" i="109"/>
  <c r="AS131" i="109"/>
  <c r="AR131" i="109"/>
  <c r="AQ131" i="109"/>
  <c r="AP131" i="109"/>
  <c r="AO131" i="109"/>
  <c r="AN131" i="109"/>
  <c r="AM131" i="109"/>
  <c r="AJ131" i="109"/>
  <c r="AI131" i="109"/>
  <c r="AH131" i="109"/>
  <c r="AG131" i="109"/>
  <c r="AF131" i="109"/>
  <c r="AE131" i="109"/>
  <c r="AD131" i="109"/>
  <c r="AA131" i="109"/>
  <c r="Z131" i="109"/>
  <c r="Y131" i="109"/>
  <c r="X131" i="109"/>
  <c r="W131" i="109"/>
  <c r="V131" i="109"/>
  <c r="U131" i="109"/>
  <c r="R131" i="109"/>
  <c r="Q131" i="109"/>
  <c r="P131" i="109"/>
  <c r="O131" i="109"/>
  <c r="N131" i="109"/>
  <c r="M131" i="109"/>
  <c r="L131" i="109"/>
  <c r="I131" i="109"/>
  <c r="H131" i="109"/>
  <c r="G131" i="109"/>
  <c r="F131" i="109"/>
  <c r="E131" i="109"/>
  <c r="D131" i="109"/>
  <c r="C131" i="109"/>
  <c r="AL128" i="109"/>
  <c r="AC128" i="109"/>
  <c r="T128" i="109"/>
  <c r="K128" i="109"/>
  <c r="B128" i="109"/>
  <c r="AL127" i="109"/>
  <c r="AC127" i="109"/>
  <c r="T127" i="109"/>
  <c r="K127" i="109"/>
  <c r="B127" i="109"/>
  <c r="AL126" i="109"/>
  <c r="AC126" i="109"/>
  <c r="T126" i="109"/>
  <c r="K126" i="109"/>
  <c r="B126" i="109"/>
  <c r="AL125" i="109"/>
  <c r="AC125" i="109"/>
  <c r="T125" i="109"/>
  <c r="K125" i="109"/>
  <c r="B125" i="109"/>
  <c r="AL124" i="109"/>
  <c r="AC124" i="109"/>
  <c r="T124" i="109"/>
  <c r="K124" i="109"/>
  <c r="B124" i="109"/>
  <c r="AL123" i="109"/>
  <c r="AC123" i="109"/>
  <c r="T123" i="109"/>
  <c r="K123" i="109"/>
  <c r="B123" i="109"/>
  <c r="AL122" i="109"/>
  <c r="AC122" i="109"/>
  <c r="T122" i="109"/>
  <c r="K122" i="109"/>
  <c r="B122" i="109"/>
  <c r="AL121" i="109"/>
  <c r="AC121" i="109"/>
  <c r="T121" i="109"/>
  <c r="K121" i="109"/>
  <c r="B121" i="109"/>
  <c r="AL120" i="109"/>
  <c r="AC120" i="109"/>
  <c r="T120" i="109"/>
  <c r="K120" i="109"/>
  <c r="B120" i="109"/>
  <c r="AC119" i="109"/>
  <c r="T119" i="109"/>
  <c r="K119" i="109"/>
  <c r="B119" i="109"/>
  <c r="AL118" i="109"/>
  <c r="AC118" i="109"/>
  <c r="T118" i="109"/>
  <c r="K118" i="109"/>
  <c r="B118" i="109"/>
  <c r="AL115" i="109"/>
  <c r="AC115" i="109"/>
  <c r="T115" i="109"/>
  <c r="K115" i="109"/>
  <c r="B115" i="109"/>
  <c r="AL114" i="109"/>
  <c r="AC114" i="109"/>
  <c r="T114" i="109"/>
  <c r="K114" i="109"/>
  <c r="B114" i="109"/>
  <c r="AL113" i="109"/>
  <c r="AC113" i="109"/>
  <c r="T113" i="109"/>
  <c r="K113" i="109"/>
  <c r="B113" i="109"/>
  <c r="AL112" i="109"/>
  <c r="AC112" i="109"/>
  <c r="T112" i="109"/>
  <c r="K112" i="109"/>
  <c r="B112" i="109"/>
  <c r="AL111" i="109"/>
  <c r="AC111" i="109"/>
  <c r="T111" i="109"/>
  <c r="K111" i="109"/>
  <c r="B111" i="109"/>
  <c r="AL110" i="109"/>
  <c r="AC110" i="109"/>
  <c r="T110" i="109"/>
  <c r="K110" i="109"/>
  <c r="B110" i="109"/>
  <c r="AL109" i="109"/>
  <c r="AC109" i="109"/>
  <c r="T109" i="109"/>
  <c r="K109" i="109"/>
  <c r="B109" i="109"/>
  <c r="AL108" i="109"/>
  <c r="T108" i="109"/>
  <c r="K108" i="109"/>
  <c r="B108" i="109"/>
  <c r="AL107" i="109"/>
  <c r="AC107" i="109"/>
  <c r="T107" i="109"/>
  <c r="K107" i="109"/>
  <c r="B107" i="109"/>
  <c r="AL106" i="109"/>
  <c r="AC106" i="109"/>
  <c r="T106" i="109"/>
  <c r="K106" i="109"/>
  <c r="B106" i="109"/>
  <c r="AC105" i="109"/>
  <c r="T105" i="109"/>
  <c r="K105" i="109"/>
  <c r="B105" i="109"/>
  <c r="AL104" i="109"/>
  <c r="AC104" i="109"/>
  <c r="T104" i="109"/>
  <c r="K104" i="109"/>
  <c r="B104" i="109"/>
  <c r="AL103" i="109"/>
  <c r="AC103" i="109"/>
  <c r="T103" i="109"/>
  <c r="K103" i="109"/>
  <c r="B103" i="109"/>
  <c r="AL101" i="109"/>
  <c r="AC101" i="109"/>
  <c r="T101" i="109"/>
  <c r="K101" i="109"/>
  <c r="B101" i="109"/>
  <c r="AL100" i="109"/>
  <c r="AC100" i="109"/>
  <c r="T100" i="109"/>
  <c r="K100" i="109"/>
  <c r="B100" i="109"/>
  <c r="AL99" i="109"/>
  <c r="AC99" i="109"/>
  <c r="T99" i="109"/>
  <c r="K99" i="109"/>
  <c r="B99" i="109"/>
  <c r="AL98" i="109"/>
  <c r="AC98" i="109"/>
  <c r="T98" i="109"/>
  <c r="K98" i="109"/>
  <c r="B98" i="109"/>
  <c r="AL97" i="109"/>
  <c r="AC97" i="109"/>
  <c r="T97" i="109"/>
  <c r="K97" i="109"/>
  <c r="B97" i="109"/>
  <c r="AL96" i="109"/>
  <c r="AC96" i="109"/>
  <c r="T96" i="109"/>
  <c r="K96" i="109"/>
  <c r="B96" i="109"/>
  <c r="AL95" i="109"/>
  <c r="AC95" i="109"/>
  <c r="T95" i="109"/>
  <c r="K95" i="109"/>
  <c r="B95" i="109"/>
  <c r="AL94" i="109"/>
  <c r="T94" i="109"/>
  <c r="K94" i="109"/>
  <c r="AL93" i="109"/>
  <c r="AC93" i="109"/>
  <c r="T93" i="109"/>
  <c r="K93" i="109"/>
  <c r="B93" i="109"/>
  <c r="AL92" i="109"/>
  <c r="AC92" i="109"/>
  <c r="T92" i="109"/>
  <c r="K92" i="109"/>
  <c r="B92" i="109"/>
  <c r="AC91" i="109"/>
  <c r="T91" i="109"/>
  <c r="K91" i="109"/>
  <c r="B91" i="109"/>
  <c r="AL90" i="109"/>
  <c r="AC90" i="109"/>
  <c r="T90" i="109"/>
  <c r="K90" i="109"/>
  <c r="B90" i="109"/>
  <c r="R87" i="109"/>
  <c r="Q87" i="109"/>
  <c r="P87" i="109"/>
  <c r="O87" i="109"/>
  <c r="N87" i="109"/>
  <c r="M87" i="109"/>
  <c r="L87" i="109"/>
  <c r="K87" i="109"/>
  <c r="I87" i="109"/>
  <c r="H87" i="109"/>
  <c r="G87" i="109"/>
  <c r="F87" i="109"/>
  <c r="E87" i="109"/>
  <c r="D87" i="109"/>
  <c r="C87" i="109"/>
  <c r="B87" i="109"/>
  <c r="AL86" i="109"/>
  <c r="AC86" i="109"/>
  <c r="AA86" i="109"/>
  <c r="Z86" i="109"/>
  <c r="Y86" i="109"/>
  <c r="X86" i="109"/>
  <c r="W86" i="109"/>
  <c r="V86" i="109"/>
  <c r="U86" i="109"/>
  <c r="T86" i="109"/>
  <c r="R86" i="109"/>
  <c r="Q86" i="109"/>
  <c r="P86" i="109"/>
  <c r="O86" i="109"/>
  <c r="N86" i="109"/>
  <c r="M86" i="109"/>
  <c r="L86" i="109"/>
  <c r="K86" i="109"/>
  <c r="I86" i="109"/>
  <c r="H86" i="109"/>
  <c r="G86" i="109"/>
  <c r="F86" i="109"/>
  <c r="E86" i="109"/>
  <c r="D86" i="109"/>
  <c r="C86" i="109"/>
  <c r="B86" i="109"/>
  <c r="AL85" i="109"/>
  <c r="AC85" i="109"/>
  <c r="AA85" i="109"/>
  <c r="Z85" i="109"/>
  <c r="Y85" i="109"/>
  <c r="X85" i="109"/>
  <c r="W85" i="109"/>
  <c r="V85" i="109"/>
  <c r="U85" i="109"/>
  <c r="T85" i="109"/>
  <c r="R85" i="109"/>
  <c r="Q85" i="109"/>
  <c r="P85" i="109"/>
  <c r="O85" i="109"/>
  <c r="N85" i="109"/>
  <c r="M85" i="109"/>
  <c r="L85" i="109"/>
  <c r="K85" i="109"/>
  <c r="I85" i="109"/>
  <c r="H85" i="109"/>
  <c r="G85" i="109"/>
  <c r="F85" i="109"/>
  <c r="E85" i="109"/>
  <c r="D85" i="109"/>
  <c r="C85" i="109"/>
  <c r="B85" i="109"/>
  <c r="AL84" i="109"/>
  <c r="AC84" i="109"/>
  <c r="AA84" i="109"/>
  <c r="Z84" i="109"/>
  <c r="Y84" i="109"/>
  <c r="X84" i="109"/>
  <c r="W84" i="109"/>
  <c r="V84" i="109"/>
  <c r="U84" i="109"/>
  <c r="T84" i="109"/>
  <c r="R84" i="109"/>
  <c r="Q84" i="109"/>
  <c r="P84" i="109"/>
  <c r="O84" i="109"/>
  <c r="N84" i="109"/>
  <c r="M84" i="109"/>
  <c r="L84" i="109"/>
  <c r="K84" i="109"/>
  <c r="I84" i="109"/>
  <c r="H84" i="109"/>
  <c r="G84" i="109"/>
  <c r="F84" i="109"/>
  <c r="E84" i="109"/>
  <c r="D84" i="109"/>
  <c r="C84" i="109"/>
  <c r="B84" i="109"/>
  <c r="AL83" i="109"/>
  <c r="AC83" i="109"/>
  <c r="AA83" i="109"/>
  <c r="Z83" i="109"/>
  <c r="Y83" i="109"/>
  <c r="X83" i="109"/>
  <c r="W83" i="109"/>
  <c r="V83" i="109"/>
  <c r="U83" i="109"/>
  <c r="T83" i="109"/>
  <c r="R83" i="109"/>
  <c r="Q83" i="109"/>
  <c r="P83" i="109"/>
  <c r="O83" i="109"/>
  <c r="N83" i="109"/>
  <c r="M83" i="109"/>
  <c r="L83" i="109"/>
  <c r="K83" i="109"/>
  <c r="I83" i="109"/>
  <c r="H83" i="109"/>
  <c r="G83" i="109"/>
  <c r="F83" i="109"/>
  <c r="E83" i="109"/>
  <c r="D83" i="109"/>
  <c r="C83" i="109"/>
  <c r="B83" i="109"/>
  <c r="AL82" i="109"/>
  <c r="AC82" i="109"/>
  <c r="AA82" i="109"/>
  <c r="Z82" i="109"/>
  <c r="Y82" i="109"/>
  <c r="X82" i="109"/>
  <c r="W82" i="109"/>
  <c r="V82" i="109"/>
  <c r="U82" i="109"/>
  <c r="T82" i="109"/>
  <c r="R82" i="109"/>
  <c r="Q82" i="109"/>
  <c r="P82" i="109"/>
  <c r="O82" i="109"/>
  <c r="N82" i="109"/>
  <c r="M82" i="109"/>
  <c r="L82" i="109"/>
  <c r="K82" i="109"/>
  <c r="I82" i="109"/>
  <c r="H82" i="109"/>
  <c r="G82" i="109"/>
  <c r="F82" i="109"/>
  <c r="E82" i="109"/>
  <c r="D82" i="109"/>
  <c r="C82" i="109"/>
  <c r="B82" i="109"/>
  <c r="AL81" i="109"/>
  <c r="AA81" i="109"/>
  <c r="Z81" i="109"/>
  <c r="Y81" i="109"/>
  <c r="X81" i="109"/>
  <c r="W81" i="109"/>
  <c r="V81" i="109"/>
  <c r="U81" i="109"/>
  <c r="T81" i="109"/>
  <c r="R81" i="109"/>
  <c r="Q81" i="109"/>
  <c r="P81" i="109"/>
  <c r="O81" i="109"/>
  <c r="N81" i="109"/>
  <c r="M81" i="109"/>
  <c r="L81" i="109"/>
  <c r="K81" i="109"/>
  <c r="I81" i="109"/>
  <c r="H81" i="109"/>
  <c r="G81" i="109"/>
  <c r="F81" i="109"/>
  <c r="E81" i="109"/>
  <c r="D81" i="109"/>
  <c r="C81" i="109"/>
  <c r="B81" i="109"/>
  <c r="AS80" i="109"/>
  <c r="AR80" i="109"/>
  <c r="AQ80" i="109"/>
  <c r="AP80" i="109"/>
  <c r="AO80" i="109"/>
  <c r="AN80" i="109"/>
  <c r="AM80" i="109"/>
  <c r="AL80" i="109"/>
  <c r="AJ80" i="109"/>
  <c r="AI80" i="109"/>
  <c r="AH80" i="109"/>
  <c r="AG80" i="109"/>
  <c r="AF80" i="109"/>
  <c r="AE80" i="109"/>
  <c r="AD80" i="109"/>
  <c r="AC80" i="109"/>
  <c r="AA80" i="109"/>
  <c r="Z80" i="109"/>
  <c r="Y80" i="109"/>
  <c r="X80" i="109"/>
  <c r="W80" i="109"/>
  <c r="V80" i="109"/>
  <c r="U80" i="109"/>
  <c r="T80" i="109"/>
  <c r="R80" i="109"/>
  <c r="Q80" i="109"/>
  <c r="P80" i="109"/>
  <c r="O80" i="109"/>
  <c r="N80" i="109"/>
  <c r="M80" i="109"/>
  <c r="L80" i="109"/>
  <c r="K80" i="109"/>
  <c r="I80" i="109"/>
  <c r="H80" i="109"/>
  <c r="G80" i="109"/>
  <c r="F80" i="109"/>
  <c r="E80" i="109"/>
  <c r="D80" i="109"/>
  <c r="C80" i="109"/>
  <c r="B80" i="109"/>
  <c r="AS79" i="109"/>
  <c r="AR79" i="109"/>
  <c r="AQ79" i="109"/>
  <c r="AP79" i="109"/>
  <c r="AO79" i="109"/>
  <c r="AN79" i="109"/>
  <c r="AM79" i="109"/>
  <c r="AL79" i="109"/>
  <c r="AJ79" i="109"/>
  <c r="AI79" i="109"/>
  <c r="AH79" i="109"/>
  <c r="AG79" i="109"/>
  <c r="AF79" i="109"/>
  <c r="AE79" i="109"/>
  <c r="AD79" i="109"/>
  <c r="AC79" i="109"/>
  <c r="AA79" i="109"/>
  <c r="Z79" i="109"/>
  <c r="Y79" i="109"/>
  <c r="X79" i="109"/>
  <c r="W79" i="109"/>
  <c r="V79" i="109"/>
  <c r="U79" i="109"/>
  <c r="T79" i="109"/>
  <c r="R79" i="109"/>
  <c r="Q79" i="109"/>
  <c r="P79" i="109"/>
  <c r="O79" i="109"/>
  <c r="N79" i="109"/>
  <c r="M79" i="109"/>
  <c r="L79" i="109"/>
  <c r="K79" i="109"/>
  <c r="I79" i="109"/>
  <c r="H79" i="109"/>
  <c r="G79" i="109"/>
  <c r="F79" i="109"/>
  <c r="E79" i="109"/>
  <c r="D79" i="109"/>
  <c r="C79" i="109"/>
  <c r="B79" i="109"/>
  <c r="AS78" i="109"/>
  <c r="AR78" i="109"/>
  <c r="AQ78" i="109"/>
  <c r="AP78" i="109"/>
  <c r="AO78" i="109"/>
  <c r="AN78" i="109"/>
  <c r="AM78" i="109"/>
  <c r="AL78" i="109"/>
  <c r="AJ78" i="109"/>
  <c r="AI78" i="109"/>
  <c r="AH78" i="109"/>
  <c r="AG78" i="109"/>
  <c r="AF78" i="109"/>
  <c r="AE78" i="109"/>
  <c r="AD78" i="109"/>
  <c r="AC78" i="109"/>
  <c r="AA78" i="109"/>
  <c r="Z78" i="109"/>
  <c r="Y78" i="109"/>
  <c r="X78" i="109"/>
  <c r="W78" i="109"/>
  <c r="V78" i="109"/>
  <c r="U78" i="109"/>
  <c r="T78" i="109"/>
  <c r="R78" i="109"/>
  <c r="Q78" i="109"/>
  <c r="P78" i="109"/>
  <c r="O78" i="109"/>
  <c r="N78" i="109"/>
  <c r="M78" i="109"/>
  <c r="L78" i="109"/>
  <c r="K78" i="109"/>
  <c r="I78" i="109"/>
  <c r="H78" i="109"/>
  <c r="G78" i="109"/>
  <c r="F78" i="109"/>
  <c r="E78" i="109"/>
  <c r="D78" i="109"/>
  <c r="C78" i="109"/>
  <c r="B78" i="109"/>
  <c r="AS77" i="109"/>
  <c r="AR77" i="109"/>
  <c r="AQ77" i="109"/>
  <c r="AP77" i="109"/>
  <c r="AO77" i="109"/>
  <c r="AN77" i="109"/>
  <c r="AM77" i="109"/>
  <c r="AJ77" i="109"/>
  <c r="AI77" i="109"/>
  <c r="AH77" i="109"/>
  <c r="AG77" i="109"/>
  <c r="AF77" i="109"/>
  <c r="AE77" i="109"/>
  <c r="AD77" i="109"/>
  <c r="AC77" i="109"/>
  <c r="AA77" i="109"/>
  <c r="Z77" i="109"/>
  <c r="Y77" i="109"/>
  <c r="X77" i="109"/>
  <c r="W77" i="109"/>
  <c r="V77" i="109"/>
  <c r="U77" i="109"/>
  <c r="T77" i="109"/>
  <c r="R77" i="109"/>
  <c r="Q77" i="109"/>
  <c r="P77" i="109"/>
  <c r="O77" i="109"/>
  <c r="N77" i="109"/>
  <c r="M77" i="109"/>
  <c r="L77" i="109"/>
  <c r="I77" i="109"/>
  <c r="H77" i="109"/>
  <c r="G77" i="109"/>
  <c r="F77" i="109"/>
  <c r="E77" i="109"/>
  <c r="D77" i="109"/>
  <c r="C77" i="109"/>
  <c r="AS76" i="109"/>
  <c r="AR76" i="109"/>
  <c r="AQ76" i="109"/>
  <c r="AP76" i="109"/>
  <c r="AO76" i="109"/>
  <c r="AN76" i="109"/>
  <c r="AM76" i="109"/>
  <c r="AL76" i="109"/>
  <c r="AJ76" i="109"/>
  <c r="AI76" i="109"/>
  <c r="AH76" i="109"/>
  <c r="AG76" i="109"/>
  <c r="AF76" i="109"/>
  <c r="AE76" i="109"/>
  <c r="AD76" i="109"/>
  <c r="AC76" i="109"/>
  <c r="AA76" i="109"/>
  <c r="Z76" i="109"/>
  <c r="Y76" i="109"/>
  <c r="X76" i="109"/>
  <c r="W76" i="109"/>
  <c r="V76" i="109"/>
  <c r="U76" i="109"/>
  <c r="T76" i="109"/>
  <c r="R76" i="109"/>
  <c r="Q76" i="109"/>
  <c r="P76" i="109"/>
  <c r="O76" i="109"/>
  <c r="N76" i="109"/>
  <c r="M76" i="109"/>
  <c r="L76" i="109"/>
  <c r="K76" i="109"/>
  <c r="I76" i="109"/>
  <c r="H76" i="109"/>
  <c r="G76" i="109"/>
  <c r="F76" i="109"/>
  <c r="E76" i="109"/>
  <c r="D76" i="109"/>
  <c r="C76" i="109"/>
  <c r="B76" i="109"/>
  <c r="AL75" i="109"/>
  <c r="T75" i="109"/>
  <c r="K75" i="109"/>
  <c r="B75" i="109"/>
  <c r="AA73" i="109"/>
  <c r="Z73" i="109"/>
  <c r="Y73" i="109"/>
  <c r="X73" i="109"/>
  <c r="W73" i="109"/>
  <c r="V73" i="109"/>
  <c r="U73" i="109"/>
  <c r="T73" i="109"/>
  <c r="K73" i="109"/>
  <c r="B73" i="109"/>
  <c r="AL72" i="109"/>
  <c r="AC72" i="109"/>
  <c r="AA72" i="109"/>
  <c r="Z72" i="109"/>
  <c r="Y72" i="109"/>
  <c r="X72" i="109"/>
  <c r="W72" i="109"/>
  <c r="V72" i="109"/>
  <c r="U72" i="109"/>
  <c r="T72" i="109"/>
  <c r="K72" i="109"/>
  <c r="B72" i="109"/>
  <c r="AL71" i="109"/>
  <c r="AC71" i="109"/>
  <c r="AA71" i="109"/>
  <c r="Z71" i="109"/>
  <c r="Y71" i="109"/>
  <c r="X71" i="109"/>
  <c r="W71" i="109"/>
  <c r="V71" i="109"/>
  <c r="U71" i="109"/>
  <c r="T71" i="109"/>
  <c r="K71" i="109"/>
  <c r="B71" i="109"/>
  <c r="AL70" i="109"/>
  <c r="AC70" i="109"/>
  <c r="AA70" i="109"/>
  <c r="Z70" i="109"/>
  <c r="Y70" i="109"/>
  <c r="X70" i="109"/>
  <c r="W70" i="109"/>
  <c r="V70" i="109"/>
  <c r="U70" i="109"/>
  <c r="T70" i="109"/>
  <c r="K70" i="109"/>
  <c r="B70" i="109"/>
  <c r="AL69" i="109"/>
  <c r="AC69" i="109"/>
  <c r="AA69" i="109"/>
  <c r="Z69" i="109"/>
  <c r="Y69" i="109"/>
  <c r="X69" i="109"/>
  <c r="W69" i="109"/>
  <c r="V69" i="109"/>
  <c r="U69" i="109"/>
  <c r="T69" i="109"/>
  <c r="K69" i="109"/>
  <c r="B69" i="109"/>
  <c r="AL68" i="109"/>
  <c r="AC68" i="109"/>
  <c r="AA68" i="109"/>
  <c r="Z68" i="109"/>
  <c r="Y68" i="109"/>
  <c r="X68" i="109"/>
  <c r="W68" i="109"/>
  <c r="V68" i="109"/>
  <c r="U68" i="109"/>
  <c r="T68" i="109"/>
  <c r="K68" i="109"/>
  <c r="B68" i="109"/>
  <c r="AL67" i="109"/>
  <c r="AC67" i="109"/>
  <c r="AA67" i="109"/>
  <c r="Z67" i="109"/>
  <c r="Y67" i="109"/>
  <c r="X67" i="109"/>
  <c r="W67" i="109"/>
  <c r="V67" i="109"/>
  <c r="U67" i="109"/>
  <c r="T67" i="109"/>
  <c r="K67" i="109"/>
  <c r="B67" i="109"/>
  <c r="AS66" i="109"/>
  <c r="AR66" i="109"/>
  <c r="AQ66" i="109"/>
  <c r="AP66" i="109"/>
  <c r="AO66" i="109"/>
  <c r="AN66" i="109"/>
  <c r="AM66" i="109"/>
  <c r="AL66" i="109"/>
  <c r="AJ66" i="109"/>
  <c r="AI66" i="109"/>
  <c r="AH66" i="109"/>
  <c r="AG66" i="109"/>
  <c r="AF66" i="109"/>
  <c r="AE66" i="109"/>
  <c r="AD66" i="109"/>
  <c r="AC66" i="109"/>
  <c r="AA66" i="109"/>
  <c r="Z66" i="109"/>
  <c r="Y66" i="109"/>
  <c r="X66" i="109"/>
  <c r="W66" i="109"/>
  <c r="V66" i="109"/>
  <c r="U66" i="109"/>
  <c r="T66" i="109"/>
  <c r="AS65" i="109"/>
  <c r="AR65" i="109"/>
  <c r="AQ65" i="109"/>
  <c r="AP65" i="109"/>
  <c r="AO65" i="109"/>
  <c r="AN65" i="109"/>
  <c r="AM65" i="109"/>
  <c r="AL65" i="109"/>
  <c r="AC65" i="109"/>
  <c r="AA65" i="109"/>
  <c r="Z65" i="109"/>
  <c r="Y65" i="109"/>
  <c r="X65" i="109"/>
  <c r="W65" i="109"/>
  <c r="V65" i="109"/>
  <c r="U65" i="109"/>
  <c r="T65" i="109"/>
  <c r="K65" i="109"/>
  <c r="B65" i="109"/>
  <c r="AS64" i="109"/>
  <c r="AR64" i="109"/>
  <c r="AQ64" i="109"/>
  <c r="AP64" i="109"/>
  <c r="AO64" i="109"/>
  <c r="AN64" i="109"/>
  <c r="AM64" i="109"/>
  <c r="AL64" i="109"/>
  <c r="AC64" i="109"/>
  <c r="AA64" i="109"/>
  <c r="Z64" i="109"/>
  <c r="Y64" i="109"/>
  <c r="X64" i="109"/>
  <c r="W64" i="109"/>
  <c r="V64" i="109"/>
  <c r="U64" i="109"/>
  <c r="T64" i="109"/>
  <c r="K64" i="109"/>
  <c r="B64" i="109"/>
  <c r="AS63" i="109"/>
  <c r="AR63" i="109"/>
  <c r="AQ63" i="109"/>
  <c r="AP63" i="109"/>
  <c r="AO63" i="109"/>
  <c r="AN63" i="109"/>
  <c r="AM63" i="109"/>
  <c r="AC63" i="109"/>
  <c r="AA63" i="109"/>
  <c r="Z63" i="109"/>
  <c r="Y63" i="109"/>
  <c r="X63" i="109"/>
  <c r="W63" i="109"/>
  <c r="V63" i="109"/>
  <c r="U63" i="109"/>
  <c r="T63" i="109"/>
  <c r="K63" i="109"/>
  <c r="B63" i="109"/>
  <c r="AS62" i="109"/>
  <c r="AR62" i="109"/>
  <c r="AQ62" i="109"/>
  <c r="AP62" i="109"/>
  <c r="AO62" i="109"/>
  <c r="AN62" i="109"/>
  <c r="AM62" i="109"/>
  <c r="AL62" i="109"/>
  <c r="AC62" i="109"/>
  <c r="T62" i="109"/>
  <c r="K62" i="109"/>
  <c r="B62" i="109"/>
  <c r="AS61" i="109"/>
  <c r="AR61" i="109"/>
  <c r="AQ61" i="109"/>
  <c r="AP61" i="109"/>
  <c r="AO61" i="109"/>
  <c r="AN61" i="109"/>
  <c r="AL61" i="109"/>
  <c r="AC61" i="109"/>
  <c r="T61" i="109"/>
  <c r="K61" i="109"/>
  <c r="B61" i="109"/>
  <c r="AS60" i="109"/>
  <c r="AR60" i="109"/>
  <c r="AQ60" i="109"/>
  <c r="AP60" i="109"/>
  <c r="AO60" i="109"/>
  <c r="AN60" i="109"/>
  <c r="AM60" i="109"/>
  <c r="AD60" i="109"/>
  <c r="AA60" i="109"/>
  <c r="Z60" i="109"/>
  <c r="Y60" i="109"/>
  <c r="X60" i="109"/>
  <c r="W60" i="109"/>
  <c r="V60" i="109"/>
  <c r="U60" i="109"/>
  <c r="R60" i="109"/>
  <c r="Q60" i="109"/>
  <c r="P60" i="109"/>
  <c r="O60" i="109"/>
  <c r="N60" i="109"/>
  <c r="M60" i="109"/>
  <c r="L60" i="109"/>
  <c r="I60" i="109"/>
  <c r="H60" i="109"/>
  <c r="G60" i="109"/>
  <c r="F60" i="109"/>
  <c r="E60" i="109"/>
  <c r="D60" i="109"/>
  <c r="C60" i="109"/>
  <c r="AS59" i="109"/>
  <c r="AR59" i="109"/>
  <c r="AQ59" i="109"/>
  <c r="AP59" i="109"/>
  <c r="AO59" i="109"/>
  <c r="AN59" i="109"/>
  <c r="AM59" i="109"/>
  <c r="AL59" i="109"/>
  <c r="AJ59" i="109"/>
  <c r="AI59" i="109"/>
  <c r="AH59" i="109"/>
  <c r="AG59" i="109"/>
  <c r="AF59" i="109"/>
  <c r="AE59" i="109"/>
  <c r="AD59" i="109"/>
  <c r="AC59" i="109"/>
  <c r="AA59" i="109"/>
  <c r="Z59" i="109"/>
  <c r="Y59" i="109"/>
  <c r="X59" i="109"/>
  <c r="W59" i="109"/>
  <c r="V59" i="109"/>
  <c r="U59" i="109"/>
  <c r="T59" i="109"/>
  <c r="R59" i="109"/>
  <c r="Q59" i="109"/>
  <c r="P59" i="109"/>
  <c r="O59" i="109"/>
  <c r="N59" i="109"/>
  <c r="M59" i="109"/>
  <c r="L59" i="109"/>
  <c r="K59" i="109"/>
  <c r="I59" i="109"/>
  <c r="H59" i="109"/>
  <c r="G59" i="109"/>
  <c r="F59" i="109"/>
  <c r="E59" i="109"/>
  <c r="D59" i="109"/>
  <c r="C59" i="109"/>
  <c r="B59" i="109"/>
  <c r="AS58" i="109"/>
  <c r="AR58" i="109"/>
  <c r="AQ58" i="109"/>
  <c r="AP58" i="109"/>
  <c r="AO58" i="109"/>
  <c r="AN58" i="109"/>
  <c r="AM58" i="109"/>
  <c r="AL58" i="109"/>
  <c r="AI58" i="109"/>
  <c r="AH58" i="109"/>
  <c r="AG58" i="109"/>
  <c r="AF58" i="109"/>
  <c r="AE58" i="109"/>
  <c r="AD58" i="109"/>
  <c r="AC58" i="109"/>
  <c r="AA58" i="109"/>
  <c r="Z58" i="109"/>
  <c r="Y58" i="109"/>
  <c r="X58" i="109"/>
  <c r="W58" i="109"/>
  <c r="V58" i="109"/>
  <c r="U58" i="109"/>
  <c r="T58" i="109"/>
  <c r="R58" i="109"/>
  <c r="Q58" i="109"/>
  <c r="P58" i="109"/>
  <c r="O58" i="109"/>
  <c r="N58" i="109"/>
  <c r="M58" i="109"/>
  <c r="L58" i="109"/>
  <c r="K58" i="109"/>
  <c r="I58" i="109"/>
  <c r="H58" i="109"/>
  <c r="G58" i="109"/>
  <c r="F58" i="109"/>
  <c r="E58" i="109"/>
  <c r="D58" i="109"/>
  <c r="C58" i="109"/>
  <c r="B58" i="109"/>
  <c r="AS57" i="109"/>
  <c r="AR57" i="109"/>
  <c r="AQ57" i="109"/>
  <c r="AP57" i="109"/>
  <c r="AO57" i="109"/>
  <c r="AN57" i="109"/>
  <c r="AM57" i="109"/>
  <c r="AL57" i="109"/>
  <c r="AH57" i="109"/>
  <c r="AG57" i="109"/>
  <c r="AF57" i="109"/>
  <c r="AE57" i="109"/>
  <c r="AD57" i="109"/>
  <c r="AC57" i="109"/>
  <c r="AA57" i="109"/>
  <c r="Z57" i="109"/>
  <c r="Y57" i="109"/>
  <c r="X57" i="109"/>
  <c r="W57" i="109"/>
  <c r="V57" i="109"/>
  <c r="U57" i="109"/>
  <c r="T57" i="109"/>
  <c r="R57" i="109"/>
  <c r="Q57" i="109"/>
  <c r="P57" i="109"/>
  <c r="O57" i="109"/>
  <c r="N57" i="109"/>
  <c r="M57" i="109"/>
  <c r="L57" i="109"/>
  <c r="K57" i="109"/>
  <c r="I57" i="109"/>
  <c r="H57" i="109"/>
  <c r="G57" i="109"/>
  <c r="F57" i="109"/>
  <c r="E57" i="109"/>
  <c r="D57" i="109"/>
  <c r="C57" i="109"/>
  <c r="B57" i="109"/>
  <c r="AS56" i="109"/>
  <c r="AR56" i="109"/>
  <c r="AQ56" i="109"/>
  <c r="AP56" i="109"/>
  <c r="AO56" i="109"/>
  <c r="AN56" i="109"/>
  <c r="AM56" i="109"/>
  <c r="AL56" i="109"/>
  <c r="AJ56" i="109"/>
  <c r="AG56" i="109"/>
  <c r="AF56" i="109"/>
  <c r="AE56" i="109"/>
  <c r="AD56" i="109"/>
  <c r="AC56" i="109"/>
  <c r="AA56" i="109"/>
  <c r="Z56" i="109"/>
  <c r="Y56" i="109"/>
  <c r="X56" i="109"/>
  <c r="W56" i="109"/>
  <c r="V56" i="109"/>
  <c r="U56" i="109"/>
  <c r="T56" i="109"/>
  <c r="R56" i="109"/>
  <c r="Q56" i="109"/>
  <c r="P56" i="109"/>
  <c r="O56" i="109"/>
  <c r="N56" i="109"/>
  <c r="M56" i="109"/>
  <c r="L56" i="109"/>
  <c r="K56" i="109"/>
  <c r="I56" i="109"/>
  <c r="H56" i="109"/>
  <c r="G56" i="109"/>
  <c r="F56" i="109"/>
  <c r="E56" i="109"/>
  <c r="D56" i="109"/>
  <c r="C56" i="109"/>
  <c r="B56" i="109"/>
  <c r="AS55" i="109"/>
  <c r="AR55" i="109"/>
  <c r="AQ55" i="109"/>
  <c r="AP55" i="109"/>
  <c r="AO55" i="109"/>
  <c r="AN55" i="109"/>
  <c r="AM55" i="109"/>
  <c r="AL55" i="109"/>
  <c r="AJ55" i="109"/>
  <c r="AI55" i="109"/>
  <c r="AF55" i="109"/>
  <c r="AE55" i="109"/>
  <c r="AD55" i="109"/>
  <c r="AC55" i="109"/>
  <c r="AA55" i="109"/>
  <c r="Z55" i="109"/>
  <c r="Y55" i="109"/>
  <c r="X55" i="109"/>
  <c r="W55" i="109"/>
  <c r="V55" i="109"/>
  <c r="U55" i="109"/>
  <c r="T55" i="109"/>
  <c r="R55" i="109"/>
  <c r="Q55" i="109"/>
  <c r="P55" i="109"/>
  <c r="O55" i="109"/>
  <c r="N55" i="109"/>
  <c r="M55" i="109"/>
  <c r="L55" i="109"/>
  <c r="K55" i="109"/>
  <c r="I55" i="109"/>
  <c r="H55" i="109"/>
  <c r="G55" i="109"/>
  <c r="F55" i="109"/>
  <c r="E55" i="109"/>
  <c r="D55" i="109"/>
  <c r="C55" i="109"/>
  <c r="B55" i="109"/>
  <c r="AS54" i="109"/>
  <c r="AR54" i="109"/>
  <c r="AQ54" i="109"/>
  <c r="AP54" i="109"/>
  <c r="AO54" i="109"/>
  <c r="AN54" i="109"/>
  <c r="AM54" i="109"/>
  <c r="AL54" i="109"/>
  <c r="AJ54" i="109"/>
  <c r="AI54" i="109"/>
  <c r="AH54" i="109"/>
  <c r="AE54" i="109"/>
  <c r="AD54" i="109"/>
  <c r="AC54" i="109"/>
  <c r="AA54" i="109"/>
  <c r="Z54" i="109"/>
  <c r="Y54" i="109"/>
  <c r="X54" i="109"/>
  <c r="W54" i="109"/>
  <c r="V54" i="109"/>
  <c r="U54" i="109"/>
  <c r="T54" i="109"/>
  <c r="R54" i="109"/>
  <c r="Q54" i="109"/>
  <c r="P54" i="109"/>
  <c r="O54" i="109"/>
  <c r="N54" i="109"/>
  <c r="M54" i="109"/>
  <c r="L54" i="109"/>
  <c r="K54" i="109"/>
  <c r="I54" i="109"/>
  <c r="H54" i="109"/>
  <c r="G54" i="109"/>
  <c r="F54" i="109"/>
  <c r="E54" i="109"/>
  <c r="D54" i="109"/>
  <c r="C54" i="109"/>
  <c r="B54" i="109"/>
  <c r="AS53" i="109"/>
  <c r="AR53" i="109"/>
  <c r="AQ53" i="109"/>
  <c r="AP53" i="109"/>
  <c r="AO53" i="109"/>
  <c r="AN53" i="109"/>
  <c r="AM53" i="109"/>
  <c r="AL53" i="109"/>
  <c r="AJ53" i="109"/>
  <c r="AI53" i="109"/>
  <c r="AH53" i="109"/>
  <c r="AG53" i="109"/>
  <c r="AD53" i="109"/>
  <c r="AA53" i="109"/>
  <c r="Z53" i="109"/>
  <c r="Y53" i="109"/>
  <c r="X53" i="109"/>
  <c r="W53" i="109"/>
  <c r="V53" i="109"/>
  <c r="U53" i="109"/>
  <c r="T53" i="109"/>
  <c r="R53" i="109"/>
  <c r="Q53" i="109"/>
  <c r="P53" i="109"/>
  <c r="O53" i="109"/>
  <c r="N53" i="109"/>
  <c r="M53" i="109"/>
  <c r="L53" i="109"/>
  <c r="K53" i="109"/>
  <c r="I53" i="109"/>
  <c r="H53" i="109"/>
  <c r="G53" i="109"/>
  <c r="F53" i="109"/>
  <c r="E53" i="109"/>
  <c r="D53" i="109"/>
  <c r="C53" i="109"/>
  <c r="B53" i="109"/>
  <c r="AS52" i="109"/>
  <c r="AR52" i="109"/>
  <c r="AQ52" i="109"/>
  <c r="AP52" i="109"/>
  <c r="AO52" i="109"/>
  <c r="AN52" i="109"/>
  <c r="AM52" i="109"/>
  <c r="AL52" i="109"/>
  <c r="AJ52" i="109"/>
  <c r="AI52" i="109"/>
  <c r="AH52" i="109"/>
  <c r="AG52" i="109"/>
  <c r="AF52" i="109"/>
  <c r="AE52" i="109"/>
  <c r="AD52" i="109"/>
  <c r="AC52" i="109"/>
  <c r="AA52" i="109"/>
  <c r="Z52" i="109"/>
  <c r="Y52" i="109"/>
  <c r="X52" i="109"/>
  <c r="W52" i="109"/>
  <c r="V52" i="109"/>
  <c r="U52" i="109"/>
  <c r="R52" i="109"/>
  <c r="Q52" i="109"/>
  <c r="P52" i="109"/>
  <c r="O52" i="109"/>
  <c r="N52" i="109"/>
  <c r="M52" i="109"/>
  <c r="L52" i="109"/>
  <c r="K52" i="109"/>
  <c r="I52" i="109"/>
  <c r="H52" i="109"/>
  <c r="G52" i="109"/>
  <c r="F52" i="109"/>
  <c r="E52" i="109"/>
  <c r="D52" i="109"/>
  <c r="C52" i="109"/>
  <c r="B52" i="109"/>
  <c r="AS51" i="109"/>
  <c r="AR51" i="109"/>
  <c r="AQ51" i="109"/>
  <c r="AP51" i="109"/>
  <c r="AO51" i="109"/>
  <c r="AN51" i="109"/>
  <c r="AM51" i="109"/>
  <c r="AL51" i="109"/>
  <c r="AJ51" i="109"/>
  <c r="AI51" i="109"/>
  <c r="AH51" i="109"/>
  <c r="AG51" i="109"/>
  <c r="AF51" i="109"/>
  <c r="AE51" i="109"/>
  <c r="AC51" i="109"/>
  <c r="AA51" i="109"/>
  <c r="Z51" i="109"/>
  <c r="Y51" i="109"/>
  <c r="X51" i="109"/>
  <c r="W51" i="109"/>
  <c r="V51" i="109"/>
  <c r="U51" i="109"/>
  <c r="R51" i="109"/>
  <c r="Q51" i="109"/>
  <c r="P51" i="109"/>
  <c r="O51" i="109"/>
  <c r="N51" i="109"/>
  <c r="M51" i="109"/>
  <c r="L51" i="109"/>
  <c r="K51" i="109"/>
  <c r="I51" i="109"/>
  <c r="H51" i="109"/>
  <c r="G51" i="109"/>
  <c r="F51" i="109"/>
  <c r="E51" i="109"/>
  <c r="D51" i="109"/>
  <c r="C51" i="109"/>
  <c r="B51" i="109"/>
  <c r="AS50" i="109"/>
  <c r="AR50" i="109"/>
  <c r="AQ50" i="109"/>
  <c r="AP50" i="109"/>
  <c r="AO50" i="109"/>
  <c r="AN50" i="109"/>
  <c r="AM50" i="109"/>
  <c r="AL50" i="109"/>
  <c r="AJ50" i="109"/>
  <c r="AI50" i="109"/>
  <c r="AH50" i="109"/>
  <c r="AG50" i="109"/>
  <c r="AF50" i="109"/>
  <c r="AE50" i="109"/>
  <c r="AC50" i="109"/>
  <c r="AA50" i="109"/>
  <c r="Z50" i="109"/>
  <c r="Y50" i="109"/>
  <c r="X50" i="109"/>
  <c r="W50" i="109"/>
  <c r="V50" i="109"/>
  <c r="U50" i="109"/>
  <c r="R50" i="109"/>
  <c r="Q50" i="109"/>
  <c r="P50" i="109"/>
  <c r="O50" i="109"/>
  <c r="N50" i="109"/>
  <c r="M50" i="109"/>
  <c r="L50" i="109"/>
  <c r="K50" i="109"/>
  <c r="I50" i="109"/>
  <c r="H50" i="109"/>
  <c r="G50" i="109"/>
  <c r="F50" i="109"/>
  <c r="E50" i="109"/>
  <c r="D50" i="109"/>
  <c r="C50" i="109"/>
  <c r="B50" i="109"/>
  <c r="AJ49" i="109"/>
  <c r="AI49" i="109"/>
  <c r="AH49" i="109"/>
  <c r="AG49" i="109"/>
  <c r="AF49" i="109"/>
  <c r="AE49" i="109"/>
  <c r="AC49" i="109"/>
  <c r="AA49" i="109"/>
  <c r="Z49" i="109"/>
  <c r="Y49" i="109"/>
  <c r="X49" i="109"/>
  <c r="W49" i="109"/>
  <c r="V49" i="109"/>
  <c r="U49" i="109"/>
  <c r="T49" i="109"/>
  <c r="R49" i="109"/>
  <c r="Q49" i="109"/>
  <c r="P49" i="109"/>
  <c r="O49" i="109"/>
  <c r="N49" i="109"/>
  <c r="M49" i="109"/>
  <c r="L49" i="109"/>
  <c r="I49" i="109"/>
  <c r="H49" i="109"/>
  <c r="G49" i="109"/>
  <c r="F49" i="109"/>
  <c r="E49" i="109"/>
  <c r="D49" i="109"/>
  <c r="C49" i="109"/>
  <c r="AS48" i="109"/>
  <c r="AR48" i="109"/>
  <c r="AQ48" i="109"/>
  <c r="AP48" i="109"/>
  <c r="AO48" i="109"/>
  <c r="AN48" i="109"/>
  <c r="AM48" i="109"/>
  <c r="AL48" i="109"/>
  <c r="AJ48" i="109"/>
  <c r="AI48" i="109"/>
  <c r="AH48" i="109"/>
  <c r="AG48" i="109"/>
  <c r="AF48" i="109"/>
  <c r="AE48" i="109"/>
  <c r="AC48" i="109"/>
  <c r="AA48" i="109"/>
  <c r="Z48" i="109"/>
  <c r="Y48" i="109"/>
  <c r="X48" i="109"/>
  <c r="W48" i="109"/>
  <c r="V48" i="109"/>
  <c r="T48" i="109"/>
  <c r="R48" i="109"/>
  <c r="Q48" i="109"/>
  <c r="P48" i="109"/>
  <c r="O48" i="109"/>
  <c r="N48" i="109"/>
  <c r="M48" i="109"/>
  <c r="L48" i="109"/>
  <c r="K48" i="109"/>
  <c r="I48" i="109"/>
  <c r="H48" i="109"/>
  <c r="G48" i="109"/>
  <c r="F48" i="109"/>
  <c r="E48" i="109"/>
  <c r="D48" i="109"/>
  <c r="C48" i="109"/>
  <c r="B48" i="109"/>
  <c r="AS47" i="109"/>
  <c r="AR47" i="109"/>
  <c r="AQ47" i="109"/>
  <c r="AP47" i="109"/>
  <c r="AO47" i="109"/>
  <c r="AN47" i="109"/>
  <c r="AS46" i="109"/>
  <c r="AR46" i="109"/>
  <c r="AQ46" i="109"/>
  <c r="AP46" i="109"/>
  <c r="AO46" i="109"/>
  <c r="AN46" i="109"/>
  <c r="AM46" i="109"/>
  <c r="AD46" i="109"/>
  <c r="AA46" i="109"/>
  <c r="Z46" i="109"/>
  <c r="Y46" i="109"/>
  <c r="X46" i="109"/>
  <c r="W46" i="109"/>
  <c r="V46" i="109"/>
  <c r="U46" i="109"/>
  <c r="R46" i="109"/>
  <c r="Q46" i="109"/>
  <c r="P46" i="109"/>
  <c r="O46" i="109"/>
  <c r="N46" i="109"/>
  <c r="M46" i="109"/>
  <c r="L46" i="109"/>
  <c r="I46" i="109"/>
  <c r="H46" i="109"/>
  <c r="G46" i="109"/>
  <c r="F46" i="109"/>
  <c r="E46" i="109"/>
  <c r="D46" i="109"/>
  <c r="C46" i="109"/>
  <c r="AS45" i="109"/>
  <c r="AR45" i="109"/>
  <c r="AQ45" i="109"/>
  <c r="AP45" i="109"/>
  <c r="AO45" i="109"/>
  <c r="AN45" i="109"/>
  <c r="AM45" i="109"/>
  <c r="AL45" i="109"/>
  <c r="AJ45" i="109"/>
  <c r="AI45" i="109"/>
  <c r="AH45" i="109"/>
  <c r="AG45" i="109"/>
  <c r="AF45" i="109"/>
  <c r="AE45" i="109"/>
  <c r="AD45" i="109"/>
  <c r="AC45" i="109"/>
  <c r="AA45" i="109"/>
  <c r="Z45" i="109"/>
  <c r="Y45" i="109"/>
  <c r="X45" i="109"/>
  <c r="W45" i="109"/>
  <c r="V45" i="109"/>
  <c r="U45" i="109"/>
  <c r="T45" i="109"/>
  <c r="K45" i="109"/>
  <c r="B45" i="109"/>
  <c r="AS44" i="109"/>
  <c r="AR44" i="109"/>
  <c r="AQ44" i="109"/>
  <c r="AP44" i="109"/>
  <c r="AO44" i="109"/>
  <c r="AN44" i="109"/>
  <c r="AM44" i="109"/>
  <c r="AL44" i="109"/>
  <c r="AI44" i="109"/>
  <c r="AH44" i="109"/>
  <c r="AG44" i="109"/>
  <c r="AF44" i="109"/>
  <c r="AE44" i="109"/>
  <c r="AD44" i="109"/>
  <c r="AC44" i="109"/>
  <c r="AA44" i="109"/>
  <c r="Z44" i="109"/>
  <c r="Y44" i="109"/>
  <c r="X44" i="109"/>
  <c r="W44" i="109"/>
  <c r="V44" i="109"/>
  <c r="U44" i="109"/>
  <c r="T44" i="109"/>
  <c r="K44" i="109"/>
  <c r="B44" i="109"/>
  <c r="AS43" i="109"/>
  <c r="AR43" i="109"/>
  <c r="AQ43" i="109"/>
  <c r="AP43" i="109"/>
  <c r="AO43" i="109"/>
  <c r="AN43" i="109"/>
  <c r="AM43" i="109"/>
  <c r="AL43" i="109"/>
  <c r="AJ43" i="109"/>
  <c r="AH43" i="109"/>
  <c r="AG43" i="109"/>
  <c r="AF43" i="109"/>
  <c r="AE43" i="109"/>
  <c r="AD43" i="109"/>
  <c r="AC43" i="109"/>
  <c r="AA43" i="109"/>
  <c r="Z43" i="109"/>
  <c r="Y43" i="109"/>
  <c r="X43" i="109"/>
  <c r="W43" i="109"/>
  <c r="V43" i="109"/>
  <c r="U43" i="109"/>
  <c r="T43" i="109"/>
  <c r="K43" i="109"/>
  <c r="B43" i="109"/>
  <c r="AS42" i="109"/>
  <c r="AR42" i="109"/>
  <c r="AQ42" i="109"/>
  <c r="AP42" i="109"/>
  <c r="AO42" i="109"/>
  <c r="AN42" i="109"/>
  <c r="AM42" i="109"/>
  <c r="AL42" i="109"/>
  <c r="AJ42" i="109"/>
  <c r="AI42" i="109"/>
  <c r="AG42" i="109"/>
  <c r="AF42" i="109"/>
  <c r="AE42" i="109"/>
  <c r="AD42" i="109"/>
  <c r="AC42" i="109"/>
  <c r="AA42" i="109"/>
  <c r="Z42" i="109"/>
  <c r="Y42" i="109"/>
  <c r="X42" i="109"/>
  <c r="W42" i="109"/>
  <c r="V42" i="109"/>
  <c r="U42" i="109"/>
  <c r="T42" i="109"/>
  <c r="K42" i="109"/>
  <c r="B42" i="109"/>
  <c r="AS41" i="109"/>
  <c r="AR41" i="109"/>
  <c r="AQ41" i="109"/>
  <c r="AP41" i="109"/>
  <c r="AO41" i="109"/>
  <c r="AN41" i="109"/>
  <c r="AM41" i="109"/>
  <c r="AL41" i="109"/>
  <c r="AJ41" i="109"/>
  <c r="AI41" i="109"/>
  <c r="AH41" i="109"/>
  <c r="AF41" i="109"/>
  <c r="AE41" i="109"/>
  <c r="AD41" i="109"/>
  <c r="AC41" i="109"/>
  <c r="AA41" i="109"/>
  <c r="Z41" i="109"/>
  <c r="Y41" i="109"/>
  <c r="X41" i="109"/>
  <c r="W41" i="109"/>
  <c r="V41" i="109"/>
  <c r="U41" i="109"/>
  <c r="T41" i="109"/>
  <c r="K41" i="109"/>
  <c r="B41" i="109"/>
  <c r="AS40" i="109"/>
  <c r="AR40" i="109"/>
  <c r="AQ40" i="109"/>
  <c r="AP40" i="109"/>
  <c r="AO40" i="109"/>
  <c r="AN40" i="109"/>
  <c r="AM40" i="109"/>
  <c r="AL40" i="109"/>
  <c r="AJ40" i="109"/>
  <c r="AI40" i="109"/>
  <c r="AH40" i="109"/>
  <c r="AG40" i="109"/>
  <c r="AE40" i="109"/>
  <c r="AD40" i="109"/>
  <c r="AC40" i="109"/>
  <c r="AA40" i="109"/>
  <c r="Z40" i="109"/>
  <c r="Y40" i="109"/>
  <c r="X40" i="109"/>
  <c r="W40" i="109"/>
  <c r="V40" i="109"/>
  <c r="U40" i="109"/>
  <c r="T40" i="109"/>
  <c r="K40" i="109"/>
  <c r="B40" i="109"/>
  <c r="AS39" i="109"/>
  <c r="AR39" i="109"/>
  <c r="AQ39" i="109"/>
  <c r="AP39" i="109"/>
  <c r="AO39" i="109"/>
  <c r="AN39" i="109"/>
  <c r="AM39" i="109"/>
  <c r="AL39" i="109"/>
  <c r="AJ39" i="109"/>
  <c r="AI39" i="109"/>
  <c r="AH39" i="109"/>
  <c r="AG39" i="109"/>
  <c r="AF39" i="109"/>
  <c r="AD39" i="109"/>
  <c r="AC39" i="109"/>
  <c r="AA39" i="109"/>
  <c r="Z39" i="109"/>
  <c r="Y39" i="109"/>
  <c r="X39" i="109"/>
  <c r="W39" i="109"/>
  <c r="V39" i="109"/>
  <c r="U39" i="109"/>
  <c r="T39" i="109"/>
  <c r="K39" i="109"/>
  <c r="B39" i="109"/>
  <c r="AS38" i="109"/>
  <c r="AR38" i="109"/>
  <c r="AQ38" i="109"/>
  <c r="AP38" i="109"/>
  <c r="AO38" i="109"/>
  <c r="AN38" i="109"/>
  <c r="AM38" i="109"/>
  <c r="AL38" i="109"/>
  <c r="AJ38" i="109"/>
  <c r="AI38" i="109"/>
  <c r="AH38" i="109"/>
  <c r="AG38" i="109"/>
  <c r="AF38" i="109"/>
  <c r="AS37" i="109"/>
  <c r="AR37" i="109"/>
  <c r="AQ37" i="109"/>
  <c r="AP37" i="109"/>
  <c r="AO37" i="109"/>
  <c r="AN37" i="109"/>
  <c r="AM37" i="109"/>
  <c r="AL37" i="109"/>
  <c r="AJ37" i="109"/>
  <c r="AI37" i="109"/>
  <c r="AH37" i="109"/>
  <c r="AG37" i="109"/>
  <c r="AF37" i="109"/>
  <c r="AD37" i="109"/>
  <c r="AC37" i="109"/>
  <c r="U37" i="109"/>
  <c r="K37" i="109"/>
  <c r="B37" i="109"/>
  <c r="AS36" i="109"/>
  <c r="AR36" i="109"/>
  <c r="AQ36" i="109"/>
  <c r="AP36" i="109"/>
  <c r="AO36" i="109"/>
  <c r="AN36" i="109"/>
  <c r="AM36" i="109"/>
  <c r="AL36" i="109"/>
  <c r="AJ36" i="109"/>
  <c r="AI36" i="109"/>
  <c r="AH36" i="109"/>
  <c r="AG36" i="109"/>
  <c r="AF36" i="109"/>
  <c r="AD36" i="109"/>
  <c r="AC36" i="109"/>
  <c r="U36" i="109"/>
  <c r="T36" i="109"/>
  <c r="B36" i="109"/>
  <c r="AJ35" i="109"/>
  <c r="AI35" i="109"/>
  <c r="AH35" i="109"/>
  <c r="AG35" i="109"/>
  <c r="AF35" i="109"/>
  <c r="AC35" i="109"/>
  <c r="U35" i="109"/>
  <c r="T35" i="109"/>
  <c r="K35" i="109"/>
  <c r="B35" i="109"/>
  <c r="AL34" i="109"/>
  <c r="AC34" i="109"/>
  <c r="U34" i="109"/>
  <c r="B34" i="109"/>
  <c r="AS33" i="109"/>
  <c r="AR33" i="109"/>
  <c r="AQ33" i="109"/>
  <c r="AP33" i="109"/>
  <c r="AO33" i="109"/>
  <c r="AN33" i="109"/>
  <c r="AM33" i="109"/>
  <c r="AJ33" i="109"/>
  <c r="AI33" i="109"/>
  <c r="AH33" i="109"/>
  <c r="AG33" i="109"/>
  <c r="AF33" i="109"/>
  <c r="AE33" i="109"/>
  <c r="AD33" i="109"/>
  <c r="AA33" i="109"/>
  <c r="Z33" i="109"/>
  <c r="Y33" i="109"/>
  <c r="X33" i="109"/>
  <c r="W33" i="109"/>
  <c r="V33" i="109"/>
  <c r="U33" i="109"/>
  <c r="R33" i="109"/>
  <c r="Q33" i="109"/>
  <c r="P33" i="109"/>
  <c r="O33" i="109"/>
  <c r="N33" i="109"/>
  <c r="M33" i="109"/>
  <c r="L33" i="109"/>
  <c r="I33" i="109"/>
  <c r="H33" i="109"/>
  <c r="G33" i="109"/>
  <c r="F33" i="109"/>
  <c r="E33" i="109"/>
  <c r="D33" i="109"/>
  <c r="C33" i="109"/>
  <c r="AL30" i="109"/>
  <c r="AC30" i="109"/>
  <c r="T30" i="109"/>
  <c r="K30" i="109"/>
  <c r="B30" i="109"/>
  <c r="AL29" i="109"/>
  <c r="AC29" i="109"/>
  <c r="T29" i="109"/>
  <c r="K29" i="109"/>
  <c r="B29" i="109"/>
  <c r="AL28" i="109"/>
  <c r="AC28" i="109"/>
  <c r="T28" i="109"/>
  <c r="K28" i="109"/>
  <c r="B28" i="109"/>
  <c r="AL27" i="109"/>
  <c r="AC27" i="109"/>
  <c r="T27" i="109"/>
  <c r="K27" i="109"/>
  <c r="B27" i="109"/>
  <c r="AL26" i="109"/>
  <c r="AC26" i="109"/>
  <c r="T26" i="109"/>
  <c r="K26" i="109"/>
  <c r="B26" i="109"/>
  <c r="AL25" i="109"/>
  <c r="AC25" i="109"/>
  <c r="T25" i="109"/>
  <c r="K25" i="109"/>
  <c r="B25" i="109"/>
  <c r="AL24" i="109"/>
  <c r="AC24" i="109"/>
  <c r="T24" i="109"/>
  <c r="K24" i="109"/>
  <c r="B24" i="109"/>
  <c r="AL21" i="109"/>
  <c r="AC21" i="109"/>
  <c r="T21" i="109"/>
  <c r="K21" i="109"/>
  <c r="B21" i="109"/>
  <c r="AL20" i="109"/>
  <c r="AC20" i="109"/>
  <c r="T20" i="109"/>
  <c r="K20" i="109"/>
  <c r="B20" i="109"/>
  <c r="AL19" i="109"/>
  <c r="AC19" i="109"/>
  <c r="T19" i="109"/>
  <c r="K19" i="109"/>
  <c r="B19" i="109"/>
  <c r="AL18" i="109"/>
  <c r="AC18" i="109"/>
  <c r="T18" i="109"/>
  <c r="K18" i="109"/>
  <c r="B18" i="109"/>
  <c r="AL17" i="109"/>
  <c r="AC17" i="109"/>
  <c r="T17" i="109"/>
  <c r="K17" i="109"/>
  <c r="B17" i="109"/>
  <c r="AL16" i="109"/>
  <c r="AC16" i="109"/>
  <c r="T16" i="109"/>
  <c r="K16" i="109"/>
  <c r="B16" i="109"/>
  <c r="AL15" i="109"/>
  <c r="AC15" i="109"/>
  <c r="T15" i="109"/>
  <c r="K15" i="109"/>
  <c r="B15" i="109"/>
  <c r="AS12" i="109"/>
  <c r="AR12" i="109"/>
  <c r="AQ12" i="109"/>
  <c r="AP12" i="109"/>
  <c r="AO12" i="109"/>
  <c r="AN12" i="109"/>
  <c r="AM12" i="109"/>
  <c r="AL12" i="109"/>
  <c r="AI12" i="109"/>
  <c r="AH12" i="109"/>
  <c r="AG12" i="109"/>
  <c r="AF12" i="109"/>
  <c r="AE12" i="109"/>
  <c r="AD12" i="109"/>
  <c r="AC12" i="109"/>
  <c r="AA12" i="109"/>
  <c r="Z12" i="109"/>
  <c r="Y12" i="109"/>
  <c r="X12" i="109"/>
  <c r="W12" i="109"/>
  <c r="V12" i="109"/>
  <c r="U12" i="109"/>
  <c r="T12" i="109"/>
  <c r="R12" i="109"/>
  <c r="Q12" i="109"/>
  <c r="P12" i="109"/>
  <c r="O12" i="109"/>
  <c r="N12" i="109"/>
  <c r="M12" i="109"/>
  <c r="L12" i="109"/>
  <c r="K12" i="109"/>
  <c r="I12" i="109"/>
  <c r="H12" i="109"/>
  <c r="G12" i="109"/>
  <c r="F12" i="109"/>
  <c r="E12" i="109"/>
  <c r="D12" i="109"/>
  <c r="C12" i="109"/>
  <c r="B12" i="109"/>
  <c r="AS11" i="109"/>
  <c r="AR11" i="109"/>
  <c r="AQ11" i="109"/>
  <c r="AP11" i="109"/>
  <c r="AO11" i="109"/>
  <c r="AN11" i="109"/>
  <c r="AM11" i="109"/>
  <c r="AL11" i="109"/>
  <c r="AJ11" i="109"/>
  <c r="AH11" i="109"/>
  <c r="AG11" i="109"/>
  <c r="AF11" i="109"/>
  <c r="AE11" i="109"/>
  <c r="AD11" i="109"/>
  <c r="AC11" i="109"/>
  <c r="AA11" i="109"/>
  <c r="Z11" i="109"/>
  <c r="Y11" i="109"/>
  <c r="X11" i="109"/>
  <c r="W11" i="109"/>
  <c r="V11" i="109"/>
  <c r="U11" i="109"/>
  <c r="T11" i="109"/>
  <c r="R11" i="109"/>
  <c r="Q11" i="109"/>
  <c r="P11" i="109"/>
  <c r="O11" i="109"/>
  <c r="N11" i="109"/>
  <c r="M11" i="109"/>
  <c r="L11" i="109"/>
  <c r="K11" i="109"/>
  <c r="I11" i="109"/>
  <c r="H11" i="109"/>
  <c r="G11" i="109"/>
  <c r="F11" i="109"/>
  <c r="E11" i="109"/>
  <c r="D11" i="109"/>
  <c r="C11" i="109"/>
  <c r="B11" i="109"/>
  <c r="AS10" i="109"/>
  <c r="AR10" i="109"/>
  <c r="AQ10" i="109"/>
  <c r="AP10" i="109"/>
  <c r="AO10" i="109"/>
  <c r="AN10" i="109"/>
  <c r="AM10" i="109"/>
  <c r="AL10" i="109"/>
  <c r="AJ10" i="109"/>
  <c r="AI10" i="109"/>
  <c r="AG10" i="109"/>
  <c r="AF10" i="109"/>
  <c r="AE10" i="109"/>
  <c r="AD10" i="109"/>
  <c r="AC10" i="109"/>
  <c r="AA10" i="109"/>
  <c r="Z10" i="109"/>
  <c r="Y10" i="109"/>
  <c r="X10" i="109"/>
  <c r="W10" i="109"/>
  <c r="V10" i="109"/>
  <c r="U10" i="109"/>
  <c r="T10" i="109"/>
  <c r="R10" i="109"/>
  <c r="Q10" i="109"/>
  <c r="P10" i="109"/>
  <c r="O10" i="109"/>
  <c r="N10" i="109"/>
  <c r="M10" i="109"/>
  <c r="L10" i="109"/>
  <c r="K10" i="109"/>
  <c r="I10" i="109"/>
  <c r="H10" i="109"/>
  <c r="G10" i="109"/>
  <c r="F10" i="109"/>
  <c r="E10" i="109"/>
  <c r="D10" i="109"/>
  <c r="C10" i="109"/>
  <c r="B10" i="109"/>
  <c r="AS9" i="109"/>
  <c r="AR9" i="109"/>
  <c r="AQ9" i="109"/>
  <c r="AP9" i="109"/>
  <c r="AO9" i="109"/>
  <c r="AN9" i="109"/>
  <c r="AM9" i="109"/>
  <c r="AL9" i="109"/>
  <c r="AJ9" i="109"/>
  <c r="AI9" i="109"/>
  <c r="AH9" i="109"/>
  <c r="AF9" i="109"/>
  <c r="AE9" i="109"/>
  <c r="AD9" i="109"/>
  <c r="AC9" i="109"/>
  <c r="AA9" i="109"/>
  <c r="Z9" i="109"/>
  <c r="Y9" i="109"/>
  <c r="X9" i="109"/>
  <c r="W9" i="109"/>
  <c r="V9" i="109"/>
  <c r="U9" i="109"/>
  <c r="T9" i="109"/>
  <c r="R9" i="109"/>
  <c r="Q9" i="109"/>
  <c r="P9" i="109"/>
  <c r="O9" i="109"/>
  <c r="N9" i="109"/>
  <c r="M9" i="109"/>
  <c r="L9" i="109"/>
  <c r="K9" i="109"/>
  <c r="I9" i="109"/>
  <c r="H9" i="109"/>
  <c r="G9" i="109"/>
  <c r="F9" i="109"/>
  <c r="E9" i="109"/>
  <c r="D9" i="109"/>
  <c r="C9" i="109"/>
  <c r="B9" i="109"/>
  <c r="AS8" i="109"/>
  <c r="AR8" i="109"/>
  <c r="AQ8" i="109"/>
  <c r="AP8" i="109"/>
  <c r="AO8" i="109"/>
  <c r="AN8" i="109"/>
  <c r="AM8" i="109"/>
  <c r="AL8" i="109"/>
  <c r="AJ8" i="109"/>
  <c r="AI8" i="109"/>
  <c r="AH8" i="109"/>
  <c r="AG8" i="109"/>
  <c r="AE8" i="109"/>
  <c r="AD8" i="109"/>
  <c r="AC8" i="109"/>
  <c r="AA8" i="109"/>
  <c r="Z8" i="109"/>
  <c r="Y8" i="109"/>
  <c r="X8" i="109"/>
  <c r="W8" i="109"/>
  <c r="V8" i="109"/>
  <c r="U8" i="109"/>
  <c r="T8" i="109"/>
  <c r="R8" i="109"/>
  <c r="Q8" i="109"/>
  <c r="P8" i="109"/>
  <c r="O8" i="109"/>
  <c r="N8" i="109"/>
  <c r="M8" i="109"/>
  <c r="L8" i="109"/>
  <c r="K8" i="109"/>
  <c r="I8" i="109"/>
  <c r="H8" i="109"/>
  <c r="G8" i="109"/>
  <c r="F8" i="109"/>
  <c r="E8" i="109"/>
  <c r="D8" i="109"/>
  <c r="C8" i="109"/>
  <c r="B8" i="109"/>
  <c r="AS7" i="109"/>
  <c r="AR7" i="109"/>
  <c r="AQ7" i="109"/>
  <c r="AP7" i="109"/>
  <c r="AO7" i="109"/>
  <c r="AN7" i="109"/>
  <c r="AM7" i="109"/>
  <c r="AL7" i="109"/>
  <c r="AJ7" i="109"/>
  <c r="AI7" i="109"/>
  <c r="AH7" i="109"/>
  <c r="AG7" i="109"/>
  <c r="AF7" i="109"/>
  <c r="AD7" i="109"/>
  <c r="AC7" i="109"/>
  <c r="AA7" i="109"/>
  <c r="Z7" i="109"/>
  <c r="Y7" i="109"/>
  <c r="X7" i="109"/>
  <c r="W7" i="109"/>
  <c r="V7" i="109"/>
  <c r="U7" i="109"/>
  <c r="T7" i="109"/>
  <c r="R7" i="109"/>
  <c r="Q7" i="109"/>
  <c r="P7" i="109"/>
  <c r="O7" i="109"/>
  <c r="N7" i="109"/>
  <c r="M7" i="109"/>
  <c r="L7" i="109"/>
  <c r="K7" i="109"/>
  <c r="I7" i="109"/>
  <c r="H7" i="109"/>
  <c r="G7" i="109"/>
  <c r="F7" i="109"/>
  <c r="E7" i="109"/>
  <c r="D7" i="109"/>
  <c r="C7" i="109"/>
  <c r="B7" i="109"/>
  <c r="AS6" i="109"/>
  <c r="AR6" i="109"/>
  <c r="AQ6" i="109"/>
  <c r="AP6" i="109"/>
  <c r="AO6" i="109"/>
  <c r="AN6" i="109"/>
  <c r="AM6" i="109"/>
  <c r="AL6" i="109"/>
  <c r="AJ6" i="109"/>
  <c r="AI6" i="109"/>
  <c r="AH6" i="109"/>
  <c r="AG6" i="109"/>
  <c r="AF6" i="109"/>
  <c r="AE6" i="109"/>
  <c r="AC6" i="109"/>
  <c r="AA6" i="109"/>
  <c r="Z6" i="109"/>
  <c r="Y6" i="109"/>
  <c r="X6" i="109"/>
  <c r="W6" i="109"/>
  <c r="V6" i="109"/>
  <c r="U6" i="109"/>
  <c r="T6" i="109"/>
  <c r="R6" i="109"/>
  <c r="Q6" i="109"/>
  <c r="P6" i="109"/>
  <c r="O6" i="109"/>
  <c r="N6" i="109"/>
  <c r="M6" i="109"/>
  <c r="L6" i="109"/>
  <c r="K6" i="109"/>
  <c r="I6" i="109"/>
  <c r="H6" i="109"/>
  <c r="G6" i="109"/>
  <c r="F6" i="109"/>
  <c r="E6" i="109"/>
  <c r="D6" i="109"/>
  <c r="C6" i="109"/>
  <c r="B6" i="109"/>
  <c r="AS5" i="109"/>
  <c r="AR5" i="109"/>
  <c r="AQ5" i="109"/>
  <c r="AP5" i="109"/>
  <c r="AO5" i="109"/>
  <c r="AN5" i="109"/>
  <c r="AM5" i="109"/>
  <c r="AJ5" i="109"/>
  <c r="AI5" i="109"/>
  <c r="AH5" i="109"/>
  <c r="AG5" i="109"/>
  <c r="AF5" i="109"/>
  <c r="AE5" i="109"/>
  <c r="AD5" i="109"/>
  <c r="AA5" i="109"/>
  <c r="Z5" i="109"/>
  <c r="Y5" i="109"/>
  <c r="X5" i="109"/>
  <c r="W5" i="109"/>
  <c r="V5" i="109"/>
  <c r="U5" i="109"/>
  <c r="R5" i="109"/>
  <c r="Q5" i="109"/>
  <c r="P5" i="109"/>
  <c r="O5" i="109"/>
  <c r="N5" i="109"/>
  <c r="M5" i="109"/>
  <c r="L5" i="109"/>
  <c r="I5" i="109"/>
  <c r="H5" i="109"/>
  <c r="G5" i="109"/>
  <c r="F5" i="109"/>
  <c r="E5" i="109"/>
  <c r="D5" i="109"/>
  <c r="C5" i="109"/>
  <c r="AN3" i="109"/>
  <c r="AM3" i="109"/>
  <c r="AL3" i="109"/>
  <c r="AE3" i="109"/>
  <c r="AC3" i="109"/>
  <c r="V3" i="109"/>
  <c r="U3" i="109"/>
  <c r="T3" i="109"/>
  <c r="M3" i="109"/>
  <c r="L3" i="109"/>
  <c r="K3" i="109"/>
  <c r="D3" i="109"/>
  <c r="C3" i="109"/>
  <c r="B3" i="109"/>
  <c r="AM2" i="109"/>
  <c r="AL2" i="109"/>
  <c r="AD2" i="109"/>
  <c r="AC2" i="109"/>
  <c r="U2" i="109"/>
  <c r="T2" i="109"/>
  <c r="L2" i="109"/>
  <c r="K2" i="109"/>
  <c r="C2" i="109"/>
  <c r="B2" i="109"/>
  <c r="B185" i="110"/>
  <c r="E132" i="110"/>
  <c r="B132" i="110"/>
  <c r="E128" i="110"/>
  <c r="E127" i="110"/>
  <c r="E126" i="110"/>
  <c r="B125" i="110"/>
  <c r="B123" i="110"/>
  <c r="B122" i="110"/>
  <c r="B121" i="110"/>
  <c r="E116" i="110"/>
  <c r="B116" i="110"/>
  <c r="K115" i="110"/>
  <c r="J115" i="110"/>
  <c r="I115" i="110"/>
  <c r="H115" i="110"/>
  <c r="G115" i="110"/>
  <c r="F115" i="110"/>
  <c r="E115" i="110"/>
  <c r="B115" i="110"/>
  <c r="E114" i="110"/>
  <c r="B114" i="110"/>
  <c r="K113" i="110"/>
  <c r="J113" i="110"/>
  <c r="I113" i="110"/>
  <c r="H113" i="110"/>
  <c r="G113" i="110"/>
  <c r="F113" i="110"/>
  <c r="E113" i="110"/>
  <c r="B113" i="110"/>
  <c r="K112" i="110"/>
  <c r="J112" i="110"/>
  <c r="I112" i="110"/>
  <c r="H112" i="110"/>
  <c r="G112" i="110"/>
  <c r="F112" i="110"/>
  <c r="E112" i="110"/>
  <c r="B112" i="110"/>
  <c r="K111" i="110"/>
  <c r="J111" i="110"/>
  <c r="I111" i="110"/>
  <c r="H111" i="110"/>
  <c r="G111" i="110"/>
  <c r="F111" i="110"/>
  <c r="E111" i="110"/>
  <c r="B111" i="110"/>
  <c r="E108" i="110"/>
  <c r="E107" i="110"/>
  <c r="B107" i="110"/>
  <c r="E106" i="110"/>
  <c r="B106" i="110"/>
  <c r="E105" i="110"/>
  <c r="B105" i="110"/>
  <c r="E104" i="110"/>
  <c r="B104" i="110"/>
  <c r="E103" i="110"/>
  <c r="B103" i="110"/>
  <c r="Y101" i="110"/>
  <c r="E101" i="110"/>
  <c r="B101" i="110"/>
  <c r="K100" i="110"/>
  <c r="J100" i="110"/>
  <c r="I100" i="110"/>
  <c r="H100" i="110"/>
  <c r="G100" i="110"/>
  <c r="F100" i="110"/>
  <c r="E100" i="110"/>
  <c r="B100" i="110"/>
  <c r="E99" i="110"/>
  <c r="B99" i="110"/>
  <c r="K98" i="110"/>
  <c r="J98" i="110"/>
  <c r="I98" i="110"/>
  <c r="H98" i="110"/>
  <c r="G98" i="110"/>
  <c r="F98" i="110"/>
  <c r="E98" i="110"/>
  <c r="B98" i="110"/>
  <c r="M97" i="110"/>
  <c r="K97" i="110"/>
  <c r="J97" i="110"/>
  <c r="I97" i="110"/>
  <c r="H97" i="110"/>
  <c r="G97" i="110"/>
  <c r="F97" i="110"/>
  <c r="E97" i="110"/>
  <c r="B97" i="110"/>
  <c r="M96" i="110"/>
  <c r="K96" i="110"/>
  <c r="J96" i="110"/>
  <c r="I96" i="110"/>
  <c r="H96" i="110"/>
  <c r="G96" i="110"/>
  <c r="F96" i="110"/>
  <c r="E96" i="110"/>
  <c r="B96" i="110"/>
  <c r="E93" i="110"/>
  <c r="B93" i="110"/>
  <c r="K92" i="110"/>
  <c r="J92" i="110"/>
  <c r="I92" i="110"/>
  <c r="H92" i="110"/>
  <c r="G92" i="110"/>
  <c r="F92" i="110"/>
  <c r="E92" i="110"/>
  <c r="B92" i="110"/>
  <c r="W91" i="110"/>
  <c r="M91" i="110"/>
  <c r="E91" i="110"/>
  <c r="B91" i="110"/>
  <c r="W90" i="110"/>
  <c r="K90" i="110"/>
  <c r="J90" i="110"/>
  <c r="I90" i="110"/>
  <c r="H90" i="110"/>
  <c r="G90" i="110"/>
  <c r="F90" i="110"/>
  <c r="E90" i="110"/>
  <c r="B90" i="110"/>
  <c r="W89" i="110"/>
  <c r="K89" i="110"/>
  <c r="J89" i="110"/>
  <c r="I89" i="110"/>
  <c r="H89" i="110"/>
  <c r="G89" i="110"/>
  <c r="F89" i="110"/>
  <c r="E89" i="110"/>
  <c r="B89" i="110"/>
  <c r="K88" i="110"/>
  <c r="J88" i="110"/>
  <c r="I88" i="110"/>
  <c r="H88" i="110"/>
  <c r="G88" i="110"/>
  <c r="F88" i="110"/>
  <c r="E88" i="110"/>
  <c r="B88" i="110"/>
  <c r="M87" i="110"/>
  <c r="W86" i="110"/>
  <c r="W85" i="110"/>
  <c r="E85" i="110"/>
  <c r="B85" i="110"/>
  <c r="M84" i="110"/>
  <c r="K84" i="110"/>
  <c r="J84" i="110"/>
  <c r="I84" i="110"/>
  <c r="H84" i="110"/>
  <c r="G84" i="110"/>
  <c r="F84" i="110"/>
  <c r="E84" i="110"/>
  <c r="B84" i="110"/>
  <c r="M83" i="110"/>
  <c r="E83" i="110"/>
  <c r="B83" i="110"/>
  <c r="K82" i="110"/>
  <c r="J82" i="110"/>
  <c r="I82" i="110"/>
  <c r="H82" i="110"/>
  <c r="G82" i="110"/>
  <c r="F82" i="110"/>
  <c r="E82" i="110"/>
  <c r="B82" i="110"/>
  <c r="K81" i="110"/>
  <c r="J81" i="110"/>
  <c r="I81" i="110"/>
  <c r="H81" i="110"/>
  <c r="G81" i="110"/>
  <c r="F81" i="110"/>
  <c r="E81" i="110"/>
  <c r="B81" i="110"/>
  <c r="W80" i="110"/>
  <c r="U80" i="110"/>
  <c r="T80" i="110"/>
  <c r="S80" i="110"/>
  <c r="R80" i="110"/>
  <c r="Q80" i="110"/>
  <c r="P80" i="110"/>
  <c r="O80" i="110"/>
  <c r="K80" i="110"/>
  <c r="J80" i="110"/>
  <c r="I80" i="110"/>
  <c r="H80" i="110"/>
  <c r="G80" i="110"/>
  <c r="F80" i="110"/>
  <c r="E80" i="110"/>
  <c r="B80" i="110"/>
  <c r="M77" i="110"/>
  <c r="B77" i="110"/>
  <c r="W76" i="110"/>
  <c r="M76" i="110"/>
  <c r="B76" i="110"/>
  <c r="M75" i="110"/>
  <c r="B75" i="110"/>
  <c r="W74" i="110"/>
  <c r="M74" i="110"/>
  <c r="B74" i="110"/>
  <c r="M73" i="110"/>
  <c r="B73" i="110"/>
  <c r="W72" i="110"/>
  <c r="M72" i="110"/>
  <c r="M71" i="110"/>
  <c r="AE70" i="110"/>
  <c r="AD70" i="110"/>
  <c r="AC70" i="110"/>
  <c r="AB70" i="110"/>
  <c r="AA70" i="110"/>
  <c r="Z70" i="110"/>
  <c r="Y70" i="110"/>
  <c r="M70" i="110"/>
  <c r="K70" i="110"/>
  <c r="J70" i="110"/>
  <c r="I70" i="110"/>
  <c r="H70" i="110"/>
  <c r="G70" i="110"/>
  <c r="F70" i="110"/>
  <c r="E70" i="110"/>
  <c r="B70" i="110"/>
  <c r="W69" i="110"/>
  <c r="M69" i="110"/>
  <c r="B69" i="110"/>
  <c r="W68" i="110"/>
  <c r="M68" i="110"/>
  <c r="K68" i="110"/>
  <c r="J68" i="110"/>
  <c r="I68" i="110"/>
  <c r="H68" i="110"/>
  <c r="G68" i="110"/>
  <c r="F68" i="110"/>
  <c r="E68" i="110"/>
  <c r="B68" i="110"/>
  <c r="K67" i="110"/>
  <c r="J67" i="110"/>
  <c r="I67" i="110"/>
  <c r="H67" i="110"/>
  <c r="G67" i="110"/>
  <c r="F67" i="110"/>
  <c r="E67" i="110"/>
  <c r="B67" i="110"/>
  <c r="M66" i="110"/>
  <c r="K66" i="110"/>
  <c r="J66" i="110"/>
  <c r="I66" i="110"/>
  <c r="H66" i="110"/>
  <c r="G66" i="110"/>
  <c r="F66" i="110"/>
  <c r="E66" i="110"/>
  <c r="B66" i="110"/>
  <c r="B65" i="110"/>
  <c r="K64" i="110"/>
  <c r="J64" i="110"/>
  <c r="I64" i="110"/>
  <c r="H64" i="110"/>
  <c r="G64" i="110"/>
  <c r="F64" i="110"/>
  <c r="E64" i="110"/>
  <c r="U63" i="110"/>
  <c r="T63" i="110"/>
  <c r="S63" i="110"/>
  <c r="R63" i="110"/>
  <c r="O63" i="110"/>
  <c r="M63" i="110"/>
  <c r="O62" i="110"/>
  <c r="M62" i="110"/>
  <c r="M61" i="110"/>
  <c r="B61" i="110"/>
  <c r="W60" i="110"/>
  <c r="M60" i="110"/>
  <c r="B60" i="110"/>
  <c r="M59" i="110"/>
  <c r="B59" i="110"/>
  <c r="W58" i="110"/>
  <c r="M58" i="110"/>
  <c r="B58" i="110"/>
  <c r="M57" i="110"/>
  <c r="B57" i="110"/>
  <c r="W56" i="110"/>
  <c r="M56" i="110"/>
  <c r="M55" i="110"/>
  <c r="M54" i="110"/>
  <c r="W53" i="110"/>
  <c r="M53" i="110"/>
  <c r="W52" i="110"/>
  <c r="B52" i="110"/>
  <c r="B51" i="110"/>
  <c r="O50" i="110"/>
  <c r="M50" i="110"/>
  <c r="B50" i="110"/>
  <c r="O49" i="110"/>
  <c r="M49" i="110"/>
  <c r="B49" i="110"/>
  <c r="W48" i="110"/>
  <c r="M48" i="110"/>
  <c r="K48" i="110"/>
  <c r="J48" i="110"/>
  <c r="I48" i="110"/>
  <c r="H48" i="110"/>
  <c r="G48" i="110"/>
  <c r="F48" i="110"/>
  <c r="E48" i="110"/>
  <c r="B48" i="110"/>
  <c r="M47" i="110"/>
  <c r="M46" i="110"/>
  <c r="M45" i="110"/>
  <c r="B45" i="110"/>
  <c r="W44" i="110"/>
  <c r="M44" i="110"/>
  <c r="M43" i="110"/>
  <c r="M42" i="110"/>
  <c r="E42" i="110"/>
  <c r="M41" i="110"/>
  <c r="W40" i="110"/>
  <c r="M40" i="110"/>
  <c r="E39" i="110"/>
  <c r="AE38" i="110"/>
  <c r="AD38" i="110"/>
  <c r="AC38" i="110"/>
  <c r="AB38" i="110"/>
  <c r="AA38" i="110"/>
  <c r="Z38" i="110"/>
  <c r="Y38" i="110"/>
  <c r="U38" i="110"/>
  <c r="T38" i="110"/>
  <c r="S38" i="110"/>
  <c r="R38" i="110"/>
  <c r="Q38" i="110"/>
  <c r="P38" i="110"/>
  <c r="O38" i="110"/>
  <c r="E38" i="110"/>
  <c r="W37" i="110"/>
  <c r="U37" i="110"/>
  <c r="T37" i="110"/>
  <c r="S37" i="110"/>
  <c r="R37" i="110"/>
  <c r="Q37" i="110"/>
  <c r="P37" i="110"/>
  <c r="O37" i="110"/>
  <c r="B37" i="110"/>
  <c r="W36" i="110"/>
  <c r="M36" i="110"/>
  <c r="M35" i="110"/>
  <c r="M34" i="110"/>
  <c r="M33" i="110"/>
  <c r="M32" i="110"/>
  <c r="M31" i="110"/>
  <c r="K31" i="110"/>
  <c r="J31" i="110"/>
  <c r="I31" i="110"/>
  <c r="H31" i="110"/>
  <c r="G31" i="110"/>
  <c r="F31" i="110"/>
  <c r="E31" i="110"/>
  <c r="B31" i="110"/>
  <c r="M30" i="110"/>
  <c r="B30" i="110"/>
  <c r="M29" i="110"/>
  <c r="K29" i="110"/>
  <c r="J29" i="110"/>
  <c r="I29" i="110"/>
  <c r="H29" i="110"/>
  <c r="G29" i="110"/>
  <c r="F29" i="110"/>
  <c r="E29" i="110"/>
  <c r="B29" i="110"/>
  <c r="W28" i="110"/>
  <c r="M28" i="110"/>
  <c r="K28" i="110"/>
  <c r="J28" i="110"/>
  <c r="I28" i="110"/>
  <c r="H28" i="110"/>
  <c r="G28" i="110"/>
  <c r="F28" i="110"/>
  <c r="E28" i="110"/>
  <c r="B28" i="110"/>
  <c r="K27" i="110"/>
  <c r="J27" i="110"/>
  <c r="I27" i="110"/>
  <c r="H27" i="110"/>
  <c r="G27" i="110"/>
  <c r="F27" i="110"/>
  <c r="E27" i="110"/>
  <c r="B27" i="110"/>
  <c r="U26" i="110"/>
  <c r="T26" i="110"/>
  <c r="S26" i="110"/>
  <c r="R26" i="110"/>
  <c r="Q26" i="110"/>
  <c r="P26" i="110"/>
  <c r="O26" i="110"/>
  <c r="M26" i="110"/>
  <c r="U25" i="110"/>
  <c r="T25" i="110"/>
  <c r="S25" i="110"/>
  <c r="R25" i="110"/>
  <c r="Q25" i="110"/>
  <c r="P25" i="110"/>
  <c r="O25" i="110"/>
  <c r="M25" i="110"/>
  <c r="W24" i="110"/>
  <c r="M24" i="110"/>
  <c r="E24" i="110"/>
  <c r="M23" i="110"/>
  <c r="E23" i="110"/>
  <c r="AE22" i="110"/>
  <c r="AD22" i="110"/>
  <c r="AC22" i="110"/>
  <c r="AB22" i="110"/>
  <c r="AA22" i="110"/>
  <c r="Z22" i="110"/>
  <c r="Y22" i="110"/>
  <c r="M22" i="110"/>
  <c r="W21" i="110"/>
  <c r="M21" i="110"/>
  <c r="W20" i="110"/>
  <c r="M20" i="110"/>
  <c r="M19" i="110"/>
  <c r="M18" i="110"/>
  <c r="B18" i="110"/>
  <c r="M17" i="110"/>
  <c r="B17" i="110"/>
  <c r="W16" i="110"/>
  <c r="M16" i="110"/>
  <c r="B16" i="110"/>
  <c r="B15" i="110"/>
  <c r="U14" i="110"/>
  <c r="T14" i="110"/>
  <c r="S14" i="110"/>
  <c r="R14" i="110"/>
  <c r="Q14" i="110"/>
  <c r="P14" i="110"/>
  <c r="O14" i="110"/>
  <c r="M14" i="110"/>
  <c r="B14" i="110"/>
  <c r="U13" i="110"/>
  <c r="T13" i="110"/>
  <c r="S13" i="110"/>
  <c r="R13" i="110"/>
  <c r="Q13" i="110"/>
  <c r="P13" i="110"/>
  <c r="O13" i="110"/>
  <c r="M13" i="110"/>
  <c r="M11" i="110"/>
  <c r="AE10" i="110"/>
  <c r="AD10" i="110"/>
  <c r="AC10" i="110"/>
  <c r="AB10" i="110"/>
  <c r="AA10" i="110"/>
  <c r="Z10" i="110"/>
  <c r="Y10" i="110"/>
  <c r="M10" i="110"/>
  <c r="K10" i="110"/>
  <c r="J10" i="110"/>
  <c r="I10" i="110"/>
  <c r="H10" i="110"/>
  <c r="G10" i="110"/>
  <c r="F10" i="110"/>
  <c r="E10" i="110"/>
  <c r="M9" i="110"/>
  <c r="M8" i="110"/>
  <c r="E8" i="110"/>
  <c r="B8" i="110"/>
  <c r="M7" i="110"/>
  <c r="K7" i="110"/>
  <c r="J7" i="110"/>
  <c r="I7" i="110"/>
  <c r="H7" i="110"/>
  <c r="G7" i="110"/>
  <c r="F7" i="110"/>
  <c r="E7" i="110"/>
  <c r="B7" i="110"/>
  <c r="AE6" i="110"/>
  <c r="AD6" i="110"/>
  <c r="AC6" i="110"/>
  <c r="AB6" i="110"/>
  <c r="AA6" i="110"/>
  <c r="Z6" i="110"/>
  <c r="Y6" i="110"/>
  <c r="M6" i="110"/>
  <c r="K6" i="110"/>
  <c r="J6" i="110"/>
  <c r="I6" i="110"/>
  <c r="H6" i="110"/>
  <c r="G6" i="110"/>
  <c r="F6" i="110"/>
  <c r="E6" i="110"/>
  <c r="B6" i="110"/>
  <c r="M5" i="110"/>
  <c r="K5" i="110"/>
  <c r="J5" i="110"/>
  <c r="I5" i="110"/>
  <c r="H5" i="110"/>
  <c r="G5" i="110"/>
  <c r="F5" i="110"/>
  <c r="E5" i="110"/>
  <c r="B5" i="110"/>
  <c r="W4" i="110"/>
  <c r="K4" i="110"/>
  <c r="J4" i="110"/>
  <c r="I4" i="110"/>
  <c r="H4" i="110"/>
  <c r="G4" i="110"/>
  <c r="F4" i="110"/>
  <c r="E4" i="110"/>
  <c r="B4" i="110"/>
  <c r="AE2" i="110"/>
  <c r="AD2" i="110"/>
  <c r="AC2" i="110"/>
  <c r="AB2" i="110"/>
  <c r="AA2" i="110"/>
  <c r="Z2" i="110"/>
  <c r="Y2" i="110"/>
  <c r="U2" i="110"/>
  <c r="T2" i="110"/>
  <c r="S2" i="110"/>
  <c r="R2" i="110"/>
  <c r="Q2" i="110"/>
  <c r="P2" i="110"/>
  <c r="O2" i="110"/>
  <c r="K2" i="110"/>
  <c r="J2" i="110"/>
  <c r="I2" i="110"/>
  <c r="H2" i="110"/>
  <c r="G2" i="110"/>
  <c r="F2" i="110"/>
  <c r="E2" i="110"/>
  <c r="P316" i="84"/>
  <c r="W315" i="84"/>
  <c r="V315" i="84"/>
  <c r="U315" i="84"/>
  <c r="T315" i="84"/>
  <c r="S315" i="84"/>
  <c r="R315" i="84"/>
  <c r="Q315" i="84"/>
  <c r="P315" i="84"/>
  <c r="N315" i="84"/>
  <c r="P314" i="84"/>
  <c r="N314" i="84"/>
  <c r="W313" i="84"/>
  <c r="V313" i="84"/>
  <c r="U313" i="84"/>
  <c r="T313" i="84"/>
  <c r="S313" i="84"/>
  <c r="R313" i="84"/>
  <c r="Q313" i="84"/>
  <c r="P313" i="84"/>
  <c r="N313" i="84"/>
  <c r="W312" i="84"/>
  <c r="V312" i="84"/>
  <c r="U312" i="84"/>
  <c r="T312" i="84"/>
  <c r="S312" i="84"/>
  <c r="R312" i="84"/>
  <c r="Q312" i="84"/>
  <c r="P312" i="84"/>
  <c r="N312" i="84"/>
  <c r="W311" i="84"/>
  <c r="V311" i="84"/>
  <c r="U311" i="84"/>
  <c r="T311" i="84"/>
  <c r="S311" i="84"/>
  <c r="R311" i="84"/>
  <c r="Q311" i="84"/>
  <c r="P311" i="84"/>
  <c r="N311" i="84"/>
  <c r="O307" i="84"/>
  <c r="O306" i="84"/>
  <c r="O305" i="84"/>
  <c r="O302" i="84"/>
  <c r="I300" i="84"/>
  <c r="H300" i="84"/>
  <c r="G300" i="84"/>
  <c r="F300" i="84"/>
  <c r="E300" i="84"/>
  <c r="I299" i="84"/>
  <c r="H299" i="84"/>
  <c r="G299" i="84"/>
  <c r="F299" i="84"/>
  <c r="E299" i="84"/>
  <c r="B299" i="84"/>
  <c r="I298" i="84"/>
  <c r="H298" i="84"/>
  <c r="G298" i="84"/>
  <c r="F298" i="84"/>
  <c r="E298" i="84"/>
  <c r="B298" i="84"/>
  <c r="P297" i="84"/>
  <c r="I297" i="84"/>
  <c r="H297" i="84"/>
  <c r="G297" i="84"/>
  <c r="F297" i="84"/>
  <c r="E297" i="84"/>
  <c r="B297" i="84"/>
  <c r="W296" i="84"/>
  <c r="V296" i="84"/>
  <c r="U296" i="84"/>
  <c r="T296" i="84"/>
  <c r="S296" i="84"/>
  <c r="R296" i="84"/>
  <c r="Q296" i="84"/>
  <c r="P296" i="84"/>
  <c r="N296" i="84"/>
  <c r="I296" i="84"/>
  <c r="H296" i="84"/>
  <c r="G296" i="84"/>
  <c r="F296" i="84"/>
  <c r="E296" i="84"/>
  <c r="B296" i="84"/>
  <c r="P295" i="84"/>
  <c r="N295" i="84"/>
  <c r="I295" i="84"/>
  <c r="H295" i="84"/>
  <c r="G295" i="84"/>
  <c r="F295" i="84"/>
  <c r="E295" i="84"/>
  <c r="B295" i="84"/>
  <c r="W294" i="84"/>
  <c r="V294" i="84"/>
  <c r="U294" i="84"/>
  <c r="T294" i="84"/>
  <c r="S294" i="84"/>
  <c r="R294" i="84"/>
  <c r="Q294" i="84"/>
  <c r="P294" i="84"/>
  <c r="N294" i="84"/>
  <c r="I294" i="84"/>
  <c r="H294" i="84"/>
  <c r="G294" i="84"/>
  <c r="F294" i="84"/>
  <c r="E294" i="84"/>
  <c r="W293" i="84"/>
  <c r="V293" i="84"/>
  <c r="U293" i="84"/>
  <c r="T293" i="84"/>
  <c r="S293" i="84"/>
  <c r="R293" i="84"/>
  <c r="Q293" i="84"/>
  <c r="P293" i="84"/>
  <c r="N293" i="84"/>
  <c r="W292" i="84"/>
  <c r="V292" i="84"/>
  <c r="U292" i="84"/>
  <c r="T292" i="84"/>
  <c r="S292" i="84"/>
  <c r="R292" i="84"/>
  <c r="Q292" i="84"/>
  <c r="P292" i="84"/>
  <c r="N292" i="84"/>
  <c r="I292" i="84"/>
  <c r="H292" i="84"/>
  <c r="G292" i="84"/>
  <c r="F292" i="84"/>
  <c r="E292" i="84"/>
  <c r="W291" i="84"/>
  <c r="V291" i="84"/>
  <c r="U291" i="84"/>
  <c r="T291" i="84"/>
  <c r="S291" i="84"/>
  <c r="R291" i="84"/>
  <c r="Q291" i="84"/>
  <c r="P291" i="84"/>
  <c r="I291" i="84"/>
  <c r="H291" i="84"/>
  <c r="G291" i="84"/>
  <c r="F291" i="84"/>
  <c r="E291" i="84"/>
  <c r="B291" i="84"/>
  <c r="I290" i="84"/>
  <c r="H290" i="84"/>
  <c r="G290" i="84"/>
  <c r="F290" i="84"/>
  <c r="E290" i="84"/>
  <c r="B290" i="84"/>
  <c r="I289" i="84"/>
  <c r="H289" i="84"/>
  <c r="G289" i="84"/>
  <c r="F289" i="84"/>
  <c r="E289" i="84"/>
  <c r="B289" i="84"/>
  <c r="I288" i="84"/>
  <c r="H288" i="84"/>
  <c r="G288" i="84"/>
  <c r="F288" i="84"/>
  <c r="E288" i="84"/>
  <c r="B288" i="84"/>
  <c r="I287" i="84"/>
  <c r="H287" i="84"/>
  <c r="G287" i="84"/>
  <c r="F287" i="84"/>
  <c r="E287" i="84"/>
  <c r="B287" i="84"/>
  <c r="I286" i="84"/>
  <c r="H286" i="84"/>
  <c r="G286" i="84"/>
  <c r="F286" i="84"/>
  <c r="E286" i="84"/>
  <c r="P285" i="84"/>
  <c r="P282" i="84"/>
  <c r="W281" i="84"/>
  <c r="V281" i="84"/>
  <c r="U281" i="84"/>
  <c r="T281" i="84"/>
  <c r="S281" i="84"/>
  <c r="R281" i="84"/>
  <c r="Q281" i="84"/>
  <c r="P281" i="84"/>
  <c r="N281" i="84"/>
  <c r="B281" i="84"/>
  <c r="P280" i="84"/>
  <c r="N280" i="84"/>
  <c r="B280" i="84"/>
  <c r="W279" i="84"/>
  <c r="V279" i="84"/>
  <c r="U279" i="84"/>
  <c r="T279" i="84"/>
  <c r="S279" i="84"/>
  <c r="R279" i="84"/>
  <c r="Q279" i="84"/>
  <c r="P279" i="84"/>
  <c r="N279" i="84"/>
  <c r="B279" i="84"/>
  <c r="W278" i="84"/>
  <c r="V278" i="84"/>
  <c r="U278" i="84"/>
  <c r="T278" i="84"/>
  <c r="S278" i="84"/>
  <c r="R278" i="84"/>
  <c r="Q278" i="84"/>
  <c r="P278" i="84"/>
  <c r="N278" i="84"/>
  <c r="B278" i="84"/>
  <c r="W277" i="84"/>
  <c r="V277" i="84"/>
  <c r="U277" i="84"/>
  <c r="T277" i="84"/>
  <c r="S277" i="84"/>
  <c r="R277" i="84"/>
  <c r="Q277" i="84"/>
  <c r="P277" i="84"/>
  <c r="N277" i="84"/>
  <c r="B277" i="84"/>
  <c r="I276" i="84"/>
  <c r="H276" i="84"/>
  <c r="G276" i="84"/>
  <c r="F276" i="84"/>
  <c r="E276" i="84"/>
  <c r="I274" i="84"/>
  <c r="H274" i="84"/>
  <c r="G274" i="84"/>
  <c r="F274" i="84"/>
  <c r="E274" i="84"/>
  <c r="P273" i="84"/>
  <c r="I273" i="84"/>
  <c r="H273" i="84"/>
  <c r="G273" i="84"/>
  <c r="F273" i="84"/>
  <c r="E273" i="84"/>
  <c r="B273" i="84"/>
  <c r="W272" i="84"/>
  <c r="V272" i="84"/>
  <c r="U272" i="84"/>
  <c r="T272" i="84"/>
  <c r="S272" i="84"/>
  <c r="R272" i="84"/>
  <c r="Q272" i="84"/>
  <c r="P272" i="84"/>
  <c r="N272" i="84"/>
  <c r="I272" i="84"/>
  <c r="H272" i="84"/>
  <c r="G272" i="84"/>
  <c r="F272" i="84"/>
  <c r="E272" i="84"/>
  <c r="B272" i="84"/>
  <c r="P271" i="84"/>
  <c r="N271" i="84"/>
  <c r="I271" i="84"/>
  <c r="H271" i="84"/>
  <c r="G271" i="84"/>
  <c r="F271" i="84"/>
  <c r="E271" i="84"/>
  <c r="B271" i="84"/>
  <c r="W270" i="84"/>
  <c r="V270" i="84"/>
  <c r="U270" i="84"/>
  <c r="T270" i="84"/>
  <c r="S270" i="84"/>
  <c r="R270" i="84"/>
  <c r="Q270" i="84"/>
  <c r="P270" i="84"/>
  <c r="N270" i="84"/>
  <c r="I270" i="84"/>
  <c r="H270" i="84"/>
  <c r="G270" i="84"/>
  <c r="F270" i="84"/>
  <c r="E270" i="84"/>
  <c r="B270" i="84"/>
  <c r="W269" i="84"/>
  <c r="V269" i="84"/>
  <c r="U269" i="84"/>
  <c r="T269" i="84"/>
  <c r="S269" i="84"/>
  <c r="R269" i="84"/>
  <c r="Q269" i="84"/>
  <c r="P269" i="84"/>
  <c r="N269" i="84"/>
  <c r="I269" i="84"/>
  <c r="H269" i="84"/>
  <c r="G269" i="84"/>
  <c r="F269" i="84"/>
  <c r="E269" i="84"/>
  <c r="B269" i="84"/>
  <c r="W268" i="84"/>
  <c r="V268" i="84"/>
  <c r="U268" i="84"/>
  <c r="T268" i="84"/>
  <c r="S268" i="84"/>
  <c r="R268" i="84"/>
  <c r="Q268" i="84"/>
  <c r="P268" i="84"/>
  <c r="N268" i="84"/>
  <c r="I268" i="84"/>
  <c r="H268" i="84"/>
  <c r="G268" i="84"/>
  <c r="F268" i="84"/>
  <c r="E268" i="84"/>
  <c r="W267" i="84"/>
  <c r="V267" i="84"/>
  <c r="U267" i="84"/>
  <c r="T267" i="84"/>
  <c r="S267" i="84"/>
  <c r="R267" i="84"/>
  <c r="Q267" i="84"/>
  <c r="P267" i="84"/>
  <c r="I266" i="84"/>
  <c r="H266" i="84"/>
  <c r="G266" i="84"/>
  <c r="F266" i="84"/>
  <c r="E266" i="84"/>
  <c r="B266" i="84"/>
  <c r="I265" i="84"/>
  <c r="H265" i="84"/>
  <c r="G265" i="84"/>
  <c r="F265" i="84"/>
  <c r="E265" i="84"/>
  <c r="B265" i="84"/>
  <c r="I264" i="84"/>
  <c r="H264" i="84"/>
  <c r="G264" i="84"/>
  <c r="F264" i="84"/>
  <c r="E264" i="84"/>
  <c r="B264" i="84"/>
  <c r="W263" i="84"/>
  <c r="V263" i="84"/>
  <c r="U263" i="84"/>
  <c r="T263" i="84"/>
  <c r="S263" i="84"/>
  <c r="R263" i="84"/>
  <c r="Q263" i="84"/>
  <c r="P263" i="84"/>
  <c r="I263" i="84"/>
  <c r="H263" i="84"/>
  <c r="G263" i="84"/>
  <c r="F263" i="84"/>
  <c r="E263" i="84"/>
  <c r="B263" i="84"/>
  <c r="W262" i="84"/>
  <c r="V262" i="84"/>
  <c r="U262" i="84"/>
  <c r="T262" i="84"/>
  <c r="S262" i="84"/>
  <c r="R262" i="84"/>
  <c r="Q262" i="84"/>
  <c r="N262" i="84"/>
  <c r="I262" i="84"/>
  <c r="H262" i="84"/>
  <c r="G262" i="84"/>
  <c r="F262" i="84"/>
  <c r="E262" i="84"/>
  <c r="B262" i="84"/>
  <c r="W261" i="84"/>
  <c r="V261" i="84"/>
  <c r="U261" i="84"/>
  <c r="T261" i="84"/>
  <c r="S261" i="84"/>
  <c r="R261" i="84"/>
  <c r="Q261" i="84"/>
  <c r="N261" i="84"/>
  <c r="I261" i="84"/>
  <c r="H261" i="84"/>
  <c r="G261" i="84"/>
  <c r="F261" i="84"/>
  <c r="E261" i="84"/>
  <c r="W260" i="84"/>
  <c r="V260" i="84"/>
  <c r="U260" i="84"/>
  <c r="T260" i="84"/>
  <c r="S260" i="84"/>
  <c r="R260" i="84"/>
  <c r="Q260" i="84"/>
  <c r="N260" i="84"/>
  <c r="W259" i="84"/>
  <c r="V259" i="84"/>
  <c r="U259" i="84"/>
  <c r="T259" i="84"/>
  <c r="S259" i="84"/>
  <c r="R259" i="84"/>
  <c r="Q259" i="84"/>
  <c r="N259" i="84"/>
  <c r="I259" i="84"/>
  <c r="H259" i="84"/>
  <c r="G259" i="84"/>
  <c r="F259" i="84"/>
  <c r="E259" i="84"/>
  <c r="W258" i="84"/>
  <c r="V258" i="84"/>
  <c r="U258" i="84"/>
  <c r="T258" i="84"/>
  <c r="S258" i="84"/>
  <c r="R258" i="84"/>
  <c r="Q258" i="84"/>
  <c r="N258" i="84"/>
  <c r="I258" i="84"/>
  <c r="H258" i="84"/>
  <c r="G258" i="84"/>
  <c r="F258" i="84"/>
  <c r="E258" i="84"/>
  <c r="B258" i="84"/>
  <c r="W257" i="84"/>
  <c r="V257" i="84"/>
  <c r="U257" i="84"/>
  <c r="T257" i="84"/>
  <c r="S257" i="84"/>
  <c r="R257" i="84"/>
  <c r="Q257" i="84"/>
  <c r="N257" i="84"/>
  <c r="I257" i="84"/>
  <c r="H257" i="84"/>
  <c r="G257" i="84"/>
  <c r="F257" i="84"/>
  <c r="E257" i="84"/>
  <c r="B257" i="84"/>
  <c r="W256" i="84"/>
  <c r="V256" i="84"/>
  <c r="U256" i="84"/>
  <c r="T256" i="84"/>
  <c r="S256" i="84"/>
  <c r="R256" i="84"/>
  <c r="Q256" i="84"/>
  <c r="N256" i="84"/>
  <c r="I256" i="84"/>
  <c r="H256" i="84"/>
  <c r="G256" i="84"/>
  <c r="F256" i="84"/>
  <c r="E256" i="84"/>
  <c r="B256" i="84"/>
  <c r="W255" i="84"/>
  <c r="V255" i="84"/>
  <c r="U255" i="84"/>
  <c r="T255" i="84"/>
  <c r="S255" i="84"/>
  <c r="R255" i="84"/>
  <c r="Q255" i="84"/>
  <c r="P255" i="84"/>
  <c r="I255" i="84"/>
  <c r="H255" i="84"/>
  <c r="G255" i="84"/>
  <c r="F255" i="84"/>
  <c r="E255" i="84"/>
  <c r="B255" i="84"/>
  <c r="W254" i="84"/>
  <c r="V254" i="84"/>
  <c r="U254" i="84"/>
  <c r="T254" i="84"/>
  <c r="S254" i="84"/>
  <c r="R254" i="84"/>
  <c r="Q254" i="84"/>
  <c r="P254" i="84"/>
  <c r="N254" i="84"/>
  <c r="I254" i="84"/>
  <c r="H254" i="84"/>
  <c r="G254" i="84"/>
  <c r="F254" i="84"/>
  <c r="E254" i="84"/>
  <c r="B254" i="84"/>
  <c r="W253" i="84"/>
  <c r="V253" i="84"/>
  <c r="U253" i="84"/>
  <c r="T253" i="84"/>
  <c r="S253" i="84"/>
  <c r="R253" i="84"/>
  <c r="Q253" i="84"/>
  <c r="P253" i="84"/>
  <c r="N253" i="84"/>
  <c r="W252" i="84"/>
  <c r="V252" i="84"/>
  <c r="U252" i="84"/>
  <c r="T252" i="84"/>
  <c r="S252" i="84"/>
  <c r="R252" i="84"/>
  <c r="Q252" i="84"/>
  <c r="P252" i="84"/>
  <c r="N252" i="84"/>
  <c r="I252" i="84"/>
  <c r="H252" i="84"/>
  <c r="G252" i="84"/>
  <c r="F252" i="84"/>
  <c r="E252" i="84"/>
  <c r="P251" i="84"/>
  <c r="L250" i="84"/>
  <c r="K250" i="84"/>
  <c r="J250" i="84"/>
  <c r="I250" i="84"/>
  <c r="H250" i="84"/>
  <c r="G250" i="84"/>
  <c r="F250" i="84"/>
  <c r="E250" i="84"/>
  <c r="W249" i="84"/>
  <c r="V249" i="84"/>
  <c r="U249" i="84"/>
  <c r="T249" i="84"/>
  <c r="S249" i="84"/>
  <c r="R249" i="84"/>
  <c r="Q249" i="84"/>
  <c r="P249" i="84"/>
  <c r="L249" i="84"/>
  <c r="K249" i="84"/>
  <c r="J249" i="84"/>
  <c r="I249" i="84"/>
  <c r="H249" i="84"/>
  <c r="G249" i="84"/>
  <c r="F249" i="84"/>
  <c r="E249" i="84"/>
  <c r="B249" i="84"/>
  <c r="L248" i="84"/>
  <c r="K248" i="84"/>
  <c r="J248" i="84"/>
  <c r="I248" i="84"/>
  <c r="H248" i="84"/>
  <c r="G248" i="84"/>
  <c r="F248" i="84"/>
  <c r="E248" i="84"/>
  <c r="B248" i="84"/>
  <c r="W246" i="84"/>
  <c r="V246" i="84"/>
  <c r="U246" i="84"/>
  <c r="T246" i="84"/>
  <c r="S246" i="84"/>
  <c r="R246" i="84"/>
  <c r="Q246" i="84"/>
  <c r="P246" i="84"/>
  <c r="L246" i="84"/>
  <c r="K246" i="84"/>
  <c r="J246" i="84"/>
  <c r="I246" i="84"/>
  <c r="H246" i="84"/>
  <c r="G246" i="84"/>
  <c r="F246" i="84"/>
  <c r="E246" i="84"/>
  <c r="L245" i="84"/>
  <c r="K245" i="84"/>
  <c r="J245" i="84"/>
  <c r="I245" i="84"/>
  <c r="H245" i="84"/>
  <c r="G245" i="84"/>
  <c r="F245" i="84"/>
  <c r="E245" i="84"/>
  <c r="B245" i="84"/>
  <c r="W244" i="84"/>
  <c r="V244" i="84"/>
  <c r="U244" i="84"/>
  <c r="T244" i="84"/>
  <c r="S244" i="84"/>
  <c r="R244" i="84"/>
  <c r="Q244" i="84"/>
  <c r="P244" i="84"/>
  <c r="L244" i="84"/>
  <c r="K244" i="84"/>
  <c r="J244" i="84"/>
  <c r="I244" i="84"/>
  <c r="H244" i="84"/>
  <c r="G244" i="84"/>
  <c r="F244" i="84"/>
  <c r="E244" i="84"/>
  <c r="B244" i="84"/>
  <c r="W243" i="84"/>
  <c r="N243" i="84"/>
  <c r="L243" i="84"/>
  <c r="K243" i="84"/>
  <c r="J243" i="84"/>
  <c r="I243" i="84"/>
  <c r="H243" i="84"/>
  <c r="G243" i="84"/>
  <c r="F243" i="84"/>
  <c r="E243" i="84"/>
  <c r="B243" i="84"/>
  <c r="W242" i="84"/>
  <c r="V242" i="84"/>
  <c r="N242" i="84"/>
  <c r="W241" i="84"/>
  <c r="V241" i="84"/>
  <c r="U241" i="84"/>
  <c r="N241" i="84"/>
  <c r="W240" i="84"/>
  <c r="V240" i="84"/>
  <c r="U240" i="84"/>
  <c r="T240" i="84"/>
  <c r="N240" i="84"/>
  <c r="L240" i="84"/>
  <c r="K240" i="84"/>
  <c r="J240" i="84"/>
  <c r="I240" i="84"/>
  <c r="H240" i="84"/>
  <c r="G240" i="84"/>
  <c r="F240" i="84"/>
  <c r="E240" i="84"/>
  <c r="W239" i="84"/>
  <c r="V239" i="84"/>
  <c r="U239" i="84"/>
  <c r="T239" i="84"/>
  <c r="S239" i="84"/>
  <c r="N239" i="84"/>
  <c r="L239" i="84"/>
  <c r="K239" i="84"/>
  <c r="J239" i="84"/>
  <c r="I239" i="84"/>
  <c r="H239" i="84"/>
  <c r="G239" i="84"/>
  <c r="F239" i="84"/>
  <c r="E239" i="84"/>
  <c r="B239" i="84"/>
  <c r="W238" i="84"/>
  <c r="V238" i="84"/>
  <c r="U238" i="84"/>
  <c r="T238" i="84"/>
  <c r="S238" i="84"/>
  <c r="R238" i="84"/>
  <c r="N238" i="84"/>
  <c r="L238" i="84"/>
  <c r="K238" i="84"/>
  <c r="J238" i="84"/>
  <c r="I238" i="84"/>
  <c r="H238" i="84"/>
  <c r="G238" i="84"/>
  <c r="F238" i="84"/>
  <c r="E238" i="84"/>
  <c r="B238" i="84"/>
  <c r="W237" i="84"/>
  <c r="V237" i="84"/>
  <c r="U237" i="84"/>
  <c r="T237" i="84"/>
  <c r="S237" i="84"/>
  <c r="R237" i="84"/>
  <c r="Q237" i="84"/>
  <c r="N237" i="84"/>
  <c r="L237" i="84"/>
  <c r="K237" i="84"/>
  <c r="J237" i="84"/>
  <c r="I237" i="84"/>
  <c r="H237" i="84"/>
  <c r="G237" i="84"/>
  <c r="F237" i="84"/>
  <c r="E237" i="84"/>
  <c r="B237" i="84"/>
  <c r="L236" i="84"/>
  <c r="K236" i="84"/>
  <c r="J236" i="84"/>
  <c r="I236" i="84"/>
  <c r="H236" i="84"/>
  <c r="G236" i="84"/>
  <c r="F236" i="84"/>
  <c r="E236" i="84"/>
  <c r="B236" i="84"/>
  <c r="R235" i="84"/>
  <c r="Q235" i="84"/>
  <c r="P235" i="84"/>
  <c r="N235" i="84"/>
  <c r="L235" i="84"/>
  <c r="K235" i="84"/>
  <c r="J235" i="84"/>
  <c r="I235" i="84"/>
  <c r="H235" i="84"/>
  <c r="G235" i="84"/>
  <c r="F235" i="84"/>
  <c r="E235" i="84"/>
  <c r="B235" i="84"/>
  <c r="Q234" i="84"/>
  <c r="P234" i="84"/>
  <c r="N234" i="84"/>
  <c r="P233" i="84"/>
  <c r="N233" i="84"/>
  <c r="L232" i="84"/>
  <c r="K232" i="84"/>
  <c r="J232" i="84"/>
  <c r="I232" i="84"/>
  <c r="H232" i="84"/>
  <c r="G232" i="84"/>
  <c r="F232" i="84"/>
  <c r="E232" i="84"/>
  <c r="N231" i="84"/>
  <c r="L231" i="84"/>
  <c r="K231" i="84"/>
  <c r="J231" i="84"/>
  <c r="I231" i="84"/>
  <c r="H231" i="84"/>
  <c r="G231" i="84"/>
  <c r="F231" i="84"/>
  <c r="E231" i="84"/>
  <c r="B231" i="84"/>
  <c r="W230" i="84"/>
  <c r="V230" i="84"/>
  <c r="U230" i="84"/>
  <c r="T230" i="84"/>
  <c r="S230" i="84"/>
  <c r="R230" i="84"/>
  <c r="Q230" i="84"/>
  <c r="P230" i="84"/>
  <c r="L230" i="84"/>
  <c r="K230" i="84"/>
  <c r="J230" i="84"/>
  <c r="I230" i="84"/>
  <c r="H230" i="84"/>
  <c r="G230" i="84"/>
  <c r="F230" i="84"/>
  <c r="E230" i="84"/>
  <c r="B230" i="84"/>
  <c r="L229" i="84"/>
  <c r="K229" i="84"/>
  <c r="J229" i="84"/>
  <c r="I229" i="84"/>
  <c r="H229" i="84"/>
  <c r="G229" i="84"/>
  <c r="F229" i="84"/>
  <c r="E229" i="84"/>
  <c r="B229" i="84"/>
  <c r="L228" i="84"/>
  <c r="K228" i="84"/>
  <c r="J228" i="84"/>
  <c r="I228" i="84"/>
  <c r="H228" i="84"/>
  <c r="G228" i="84"/>
  <c r="F228" i="84"/>
  <c r="E228" i="84"/>
  <c r="B228" i="84"/>
  <c r="W227" i="84"/>
  <c r="V227" i="84"/>
  <c r="U227" i="84"/>
  <c r="T227" i="84"/>
  <c r="S227" i="84"/>
  <c r="R227" i="84"/>
  <c r="Q227" i="84"/>
  <c r="P227" i="84"/>
  <c r="L227" i="84"/>
  <c r="K227" i="84"/>
  <c r="J227" i="84"/>
  <c r="I227" i="84"/>
  <c r="H227" i="84"/>
  <c r="G227" i="84"/>
  <c r="F227" i="84"/>
  <c r="E227" i="84"/>
  <c r="B227" i="84"/>
  <c r="W226" i="84"/>
  <c r="V226" i="84"/>
  <c r="U226" i="84"/>
  <c r="T226" i="84"/>
  <c r="S226" i="84"/>
  <c r="R226" i="84"/>
  <c r="W225" i="84"/>
  <c r="V225" i="84"/>
  <c r="U225" i="84"/>
  <c r="T225" i="84"/>
  <c r="S225" i="84"/>
  <c r="R225" i="84"/>
  <c r="Q225" i="84"/>
  <c r="P225" i="84"/>
  <c r="N224" i="84"/>
  <c r="L224" i="84"/>
  <c r="K224" i="84"/>
  <c r="J224" i="84"/>
  <c r="I224" i="84"/>
  <c r="H224" i="84"/>
  <c r="G224" i="84"/>
  <c r="F224" i="84"/>
  <c r="E224" i="84"/>
  <c r="W223" i="84"/>
  <c r="N223" i="84"/>
  <c r="L223" i="84"/>
  <c r="K223" i="84"/>
  <c r="J223" i="84"/>
  <c r="I223" i="84"/>
  <c r="H223" i="84"/>
  <c r="G223" i="84"/>
  <c r="F223" i="84"/>
  <c r="E223" i="84"/>
  <c r="V222" i="84"/>
  <c r="N222" i="84"/>
  <c r="L222" i="84"/>
  <c r="K222" i="84"/>
  <c r="J222" i="84"/>
  <c r="I222" i="84"/>
  <c r="H222" i="84"/>
  <c r="G222" i="84"/>
  <c r="F222" i="84"/>
  <c r="E222" i="84"/>
  <c r="B222" i="84"/>
  <c r="U221" i="84"/>
  <c r="N221" i="84"/>
  <c r="L221" i="84"/>
  <c r="K221" i="84"/>
  <c r="J221" i="84"/>
  <c r="I221" i="84"/>
  <c r="H221" i="84"/>
  <c r="G221" i="84"/>
  <c r="F221" i="84"/>
  <c r="E221" i="84"/>
  <c r="B221" i="84"/>
  <c r="T220" i="84"/>
  <c r="N220" i="84"/>
  <c r="L220" i="84"/>
  <c r="K220" i="84"/>
  <c r="J220" i="84"/>
  <c r="I220" i="84"/>
  <c r="H220" i="84"/>
  <c r="G220" i="84"/>
  <c r="F220" i="84"/>
  <c r="E220" i="84"/>
  <c r="B220" i="84"/>
  <c r="S219" i="84"/>
  <c r="N219" i="84"/>
  <c r="L219" i="84"/>
  <c r="K219" i="84"/>
  <c r="J219" i="84"/>
  <c r="I219" i="84"/>
  <c r="H219" i="84"/>
  <c r="G219" i="84"/>
  <c r="F219" i="84"/>
  <c r="E219" i="84"/>
  <c r="B219" i="84"/>
  <c r="R218" i="84"/>
  <c r="N218" i="84"/>
  <c r="L218" i="84"/>
  <c r="K218" i="84"/>
  <c r="J218" i="84"/>
  <c r="I218" i="84"/>
  <c r="H218" i="84"/>
  <c r="G218" i="84"/>
  <c r="F218" i="84"/>
  <c r="E218" i="84"/>
  <c r="B218" i="84"/>
  <c r="Q217" i="84"/>
  <c r="N217" i="84"/>
  <c r="Q215" i="84"/>
  <c r="P215" i="84"/>
  <c r="L215" i="84"/>
  <c r="K215" i="84"/>
  <c r="J215" i="84"/>
  <c r="I215" i="84"/>
  <c r="H215" i="84"/>
  <c r="G215" i="84"/>
  <c r="F215" i="84"/>
  <c r="E215" i="84"/>
  <c r="Q214" i="84"/>
  <c r="P214" i="84"/>
  <c r="L214" i="84"/>
  <c r="K214" i="84"/>
  <c r="J214" i="84"/>
  <c r="I214" i="84"/>
  <c r="H214" i="84"/>
  <c r="G214" i="84"/>
  <c r="F214" i="84"/>
  <c r="E214" i="84"/>
  <c r="B214" i="84"/>
  <c r="Q213" i="84"/>
  <c r="P213" i="84"/>
  <c r="N213" i="84"/>
  <c r="L213" i="84"/>
  <c r="K213" i="84"/>
  <c r="J213" i="84"/>
  <c r="I213" i="84"/>
  <c r="H213" i="84"/>
  <c r="G213" i="84"/>
  <c r="F213" i="84"/>
  <c r="E213" i="84"/>
  <c r="B213" i="84"/>
  <c r="L212" i="84"/>
  <c r="K212" i="84"/>
  <c r="J212" i="84"/>
  <c r="I212" i="84"/>
  <c r="H212" i="84"/>
  <c r="G212" i="84"/>
  <c r="F212" i="84"/>
  <c r="E212" i="84"/>
  <c r="B212" i="84"/>
  <c r="W211" i="84"/>
  <c r="V211" i="84"/>
  <c r="U211" i="84"/>
  <c r="T211" i="84"/>
  <c r="S211" i="84"/>
  <c r="R211" i="84"/>
  <c r="Q211" i="84"/>
  <c r="P211" i="84"/>
  <c r="L211" i="84"/>
  <c r="K211" i="84"/>
  <c r="J211" i="84"/>
  <c r="I211" i="84"/>
  <c r="H211" i="84"/>
  <c r="G211" i="84"/>
  <c r="F211" i="84"/>
  <c r="E211" i="84"/>
  <c r="B211" i="84"/>
  <c r="L210" i="84"/>
  <c r="K210" i="84"/>
  <c r="J210" i="84"/>
  <c r="I210" i="84"/>
  <c r="H210" i="84"/>
  <c r="G210" i="84"/>
  <c r="F210" i="84"/>
  <c r="E210" i="84"/>
  <c r="B210" i="84"/>
  <c r="N209" i="84"/>
  <c r="P207" i="84"/>
  <c r="V206" i="84"/>
  <c r="U206" i="84"/>
  <c r="T206" i="84"/>
  <c r="S206" i="84"/>
  <c r="R206" i="84"/>
  <c r="Q206" i="84"/>
  <c r="N206" i="84"/>
  <c r="U205" i="84"/>
  <c r="T205" i="84"/>
  <c r="S205" i="84"/>
  <c r="R205" i="84"/>
  <c r="Q205" i="84"/>
  <c r="N205" i="84"/>
  <c r="W204" i="84"/>
  <c r="T204" i="84"/>
  <c r="S204" i="84"/>
  <c r="R204" i="84"/>
  <c r="Q204" i="84"/>
  <c r="N204" i="84"/>
  <c r="L204" i="84"/>
  <c r="K204" i="84"/>
  <c r="J204" i="84"/>
  <c r="I204" i="84"/>
  <c r="H204" i="84"/>
  <c r="G204" i="84"/>
  <c r="F204" i="84"/>
  <c r="E204" i="84"/>
  <c r="W203" i="84"/>
  <c r="V203" i="84"/>
  <c r="S203" i="84"/>
  <c r="R203" i="84"/>
  <c r="Q203" i="84"/>
  <c r="N203" i="84"/>
  <c r="L203" i="84"/>
  <c r="K203" i="84"/>
  <c r="J203" i="84"/>
  <c r="I203" i="84"/>
  <c r="H203" i="84"/>
  <c r="G203" i="84"/>
  <c r="F203" i="84"/>
  <c r="E203" i="84"/>
  <c r="W202" i="84"/>
  <c r="V202" i="84"/>
  <c r="U202" i="84"/>
  <c r="R202" i="84"/>
  <c r="Q202" i="84"/>
  <c r="N202" i="84"/>
  <c r="L202" i="84"/>
  <c r="K202" i="84"/>
  <c r="J202" i="84"/>
  <c r="I202" i="84"/>
  <c r="H202" i="84"/>
  <c r="G202" i="84"/>
  <c r="F202" i="84"/>
  <c r="E202" i="84"/>
  <c r="C202" i="84"/>
  <c r="W201" i="84"/>
  <c r="V201" i="84"/>
  <c r="U201" i="84"/>
  <c r="T201" i="84"/>
  <c r="Q201" i="84"/>
  <c r="N201" i="84"/>
  <c r="L201" i="84"/>
  <c r="K201" i="84"/>
  <c r="J201" i="84"/>
  <c r="I201" i="84"/>
  <c r="H201" i="84"/>
  <c r="G201" i="84"/>
  <c r="F201" i="84"/>
  <c r="E201" i="84"/>
  <c r="W200" i="84"/>
  <c r="V200" i="84"/>
  <c r="U200" i="84"/>
  <c r="T200" i="84"/>
  <c r="S200" i="84"/>
  <c r="N200" i="84"/>
  <c r="L200" i="84"/>
  <c r="K200" i="84"/>
  <c r="J200" i="84"/>
  <c r="I200" i="84"/>
  <c r="H200" i="84"/>
  <c r="G200" i="84"/>
  <c r="F200" i="84"/>
  <c r="E200" i="84"/>
  <c r="W199" i="84"/>
  <c r="V199" i="84"/>
  <c r="U199" i="84"/>
  <c r="T199" i="84"/>
  <c r="S199" i="84"/>
  <c r="R199" i="84"/>
  <c r="Q199" i="84"/>
  <c r="L199" i="84"/>
  <c r="K199" i="84"/>
  <c r="J199" i="84"/>
  <c r="I199" i="84"/>
  <c r="H199" i="84"/>
  <c r="G199" i="84"/>
  <c r="F199" i="84"/>
  <c r="E199" i="84"/>
  <c r="W198" i="84"/>
  <c r="V198" i="84"/>
  <c r="U198" i="84"/>
  <c r="T198" i="84"/>
  <c r="S198" i="84"/>
  <c r="R198" i="84"/>
  <c r="Q198" i="84"/>
  <c r="P198" i="84"/>
  <c r="N198" i="84"/>
  <c r="L198" i="84"/>
  <c r="K198" i="84"/>
  <c r="J198" i="84"/>
  <c r="I198" i="84"/>
  <c r="H198" i="84"/>
  <c r="G198" i="84"/>
  <c r="F198" i="84"/>
  <c r="E198" i="84"/>
  <c r="W197" i="84"/>
  <c r="V197" i="84"/>
  <c r="U197" i="84"/>
  <c r="T197" i="84"/>
  <c r="S197" i="84"/>
  <c r="R197" i="84"/>
  <c r="Q197" i="84"/>
  <c r="N197" i="84"/>
  <c r="L197" i="84"/>
  <c r="K197" i="84"/>
  <c r="J197" i="84"/>
  <c r="I197" i="84"/>
  <c r="H197" i="84"/>
  <c r="G197" i="84"/>
  <c r="F197" i="84"/>
  <c r="E197" i="84"/>
  <c r="W196" i="84"/>
  <c r="V196" i="84"/>
  <c r="U196" i="84"/>
  <c r="T196" i="84"/>
  <c r="S196" i="84"/>
  <c r="R196" i="84"/>
  <c r="Q196" i="84"/>
  <c r="P196" i="84"/>
  <c r="N196" i="84"/>
  <c r="L196" i="84"/>
  <c r="K196" i="84"/>
  <c r="J196" i="84"/>
  <c r="I196" i="84"/>
  <c r="H196" i="84"/>
  <c r="G196" i="84"/>
  <c r="F196" i="84"/>
  <c r="E196" i="84"/>
  <c r="Q195" i="84"/>
  <c r="P195" i="84"/>
  <c r="N195" i="84"/>
  <c r="L195" i="84"/>
  <c r="K195" i="84"/>
  <c r="J195" i="84"/>
  <c r="I195" i="84"/>
  <c r="H195" i="84"/>
  <c r="G195" i="84"/>
  <c r="F195" i="84"/>
  <c r="E195" i="84"/>
  <c r="W194" i="84"/>
  <c r="V194" i="84"/>
  <c r="U194" i="84"/>
  <c r="T194" i="84"/>
  <c r="S194" i="84"/>
  <c r="R194" i="84"/>
  <c r="Q194" i="84"/>
  <c r="P194" i="84"/>
  <c r="L194" i="84"/>
  <c r="K194" i="84"/>
  <c r="J194" i="84"/>
  <c r="I194" i="84"/>
  <c r="H194" i="84"/>
  <c r="G194" i="84"/>
  <c r="F194" i="84"/>
  <c r="E194" i="84"/>
  <c r="L193" i="84"/>
  <c r="K193" i="84"/>
  <c r="J193" i="84"/>
  <c r="I193" i="84"/>
  <c r="H193" i="84"/>
  <c r="G193" i="84"/>
  <c r="F193" i="84"/>
  <c r="E193" i="84"/>
  <c r="L192" i="84"/>
  <c r="K192" i="84"/>
  <c r="J192" i="84"/>
  <c r="I192" i="84"/>
  <c r="H192" i="84"/>
  <c r="G192" i="84"/>
  <c r="F192" i="84"/>
  <c r="E192" i="84"/>
  <c r="B192" i="84"/>
  <c r="P191" i="84"/>
  <c r="L191" i="84"/>
  <c r="K191" i="84"/>
  <c r="J191" i="84"/>
  <c r="I191" i="84"/>
  <c r="H191" i="84"/>
  <c r="G191" i="84"/>
  <c r="F191" i="84"/>
  <c r="E191" i="84"/>
  <c r="L190" i="84"/>
  <c r="K190" i="84"/>
  <c r="J190" i="84"/>
  <c r="I190" i="84"/>
  <c r="H190" i="84"/>
  <c r="G190" i="84"/>
  <c r="F190" i="84"/>
  <c r="E190" i="84"/>
  <c r="C190" i="84"/>
  <c r="P189" i="84"/>
  <c r="L189" i="84"/>
  <c r="K189" i="84"/>
  <c r="J189" i="84"/>
  <c r="I189" i="84"/>
  <c r="H189" i="84"/>
  <c r="G189" i="84"/>
  <c r="F189" i="84"/>
  <c r="E189" i="84"/>
  <c r="N188" i="84"/>
  <c r="W187" i="84"/>
  <c r="N187" i="84"/>
  <c r="V186" i="84"/>
  <c r="N186" i="84"/>
  <c r="L186" i="84"/>
  <c r="K186" i="84"/>
  <c r="J186" i="84"/>
  <c r="I186" i="84"/>
  <c r="H186" i="84"/>
  <c r="G186" i="84"/>
  <c r="F186" i="84"/>
  <c r="E186" i="84"/>
  <c r="U185" i="84"/>
  <c r="N185" i="84"/>
  <c r="L185" i="84"/>
  <c r="K185" i="84"/>
  <c r="J185" i="84"/>
  <c r="I185" i="84"/>
  <c r="H185" i="84"/>
  <c r="G185" i="84"/>
  <c r="F185" i="84"/>
  <c r="E185" i="84"/>
  <c r="T184" i="84"/>
  <c r="N184" i="84"/>
  <c r="L184" i="84"/>
  <c r="K184" i="84"/>
  <c r="J184" i="84"/>
  <c r="I184" i="84"/>
  <c r="H184" i="84"/>
  <c r="G184" i="84"/>
  <c r="F184" i="84"/>
  <c r="E184" i="84"/>
  <c r="S183" i="84"/>
  <c r="N183" i="84"/>
  <c r="C183" i="84"/>
  <c r="R182" i="84"/>
  <c r="N182" i="84"/>
  <c r="L182" i="84"/>
  <c r="K182" i="84"/>
  <c r="J182" i="84"/>
  <c r="I182" i="84"/>
  <c r="H182" i="84"/>
  <c r="G182" i="84"/>
  <c r="F182" i="84"/>
  <c r="E182" i="84"/>
  <c r="L181" i="84"/>
  <c r="K181" i="84"/>
  <c r="J181" i="84"/>
  <c r="I181" i="84"/>
  <c r="H181" i="84"/>
  <c r="G181" i="84"/>
  <c r="F181" i="84"/>
  <c r="E181" i="84"/>
  <c r="N180" i="84"/>
  <c r="L180" i="84"/>
  <c r="K180" i="84"/>
  <c r="J180" i="84"/>
  <c r="I180" i="84"/>
  <c r="H180" i="84"/>
  <c r="G180" i="84"/>
  <c r="F180" i="84"/>
  <c r="E180" i="84"/>
  <c r="N179" i="84"/>
  <c r="L179" i="84"/>
  <c r="K179" i="84"/>
  <c r="J179" i="84"/>
  <c r="I179" i="84"/>
  <c r="H179" i="84"/>
  <c r="G179" i="84"/>
  <c r="F179" i="84"/>
  <c r="E179" i="84"/>
  <c r="P178" i="84"/>
  <c r="N178" i="84"/>
  <c r="L178" i="84"/>
  <c r="K178" i="84"/>
  <c r="J178" i="84"/>
  <c r="I178" i="84"/>
  <c r="H178" i="84"/>
  <c r="G178" i="84"/>
  <c r="F178" i="84"/>
  <c r="E178" i="84"/>
  <c r="L177" i="84"/>
  <c r="K177" i="84"/>
  <c r="J177" i="84"/>
  <c r="I177" i="84"/>
  <c r="H177" i="84"/>
  <c r="G177" i="84"/>
  <c r="F177" i="84"/>
  <c r="E177" i="84"/>
  <c r="C177" i="84"/>
  <c r="N176" i="84"/>
  <c r="L176" i="84"/>
  <c r="K176" i="84"/>
  <c r="J176" i="84"/>
  <c r="I176" i="84"/>
  <c r="H176" i="84"/>
  <c r="G176" i="84"/>
  <c r="F176" i="84"/>
  <c r="E176" i="84"/>
  <c r="C176" i="84"/>
  <c r="W175" i="84"/>
  <c r="V175" i="84"/>
  <c r="U175" i="84"/>
  <c r="T175" i="84"/>
  <c r="S175" i="84"/>
  <c r="R175" i="84"/>
  <c r="Q175" i="84"/>
  <c r="P175" i="84"/>
  <c r="L175" i="84"/>
  <c r="K175" i="84"/>
  <c r="J175" i="84"/>
  <c r="I175" i="84"/>
  <c r="H175" i="84"/>
  <c r="G175" i="84"/>
  <c r="F175" i="84"/>
  <c r="E175" i="84"/>
  <c r="C175" i="84"/>
  <c r="L174" i="84"/>
  <c r="K174" i="84"/>
  <c r="J174" i="84"/>
  <c r="I174" i="84"/>
  <c r="H174" i="84"/>
  <c r="G174" i="84"/>
  <c r="F174" i="84"/>
  <c r="E174" i="84"/>
  <c r="L173" i="84"/>
  <c r="K173" i="84"/>
  <c r="J173" i="84"/>
  <c r="I173" i="84"/>
  <c r="H173" i="84"/>
  <c r="G173" i="84"/>
  <c r="F173" i="84"/>
  <c r="E173" i="84"/>
  <c r="P172" i="84"/>
  <c r="L172" i="84"/>
  <c r="K172" i="84"/>
  <c r="J172" i="84"/>
  <c r="I172" i="84"/>
  <c r="H172" i="84"/>
  <c r="G172" i="84"/>
  <c r="F172" i="84"/>
  <c r="E172" i="84"/>
  <c r="L171" i="84"/>
  <c r="K171" i="84"/>
  <c r="J171" i="84"/>
  <c r="I171" i="84"/>
  <c r="H171" i="84"/>
  <c r="G171" i="84"/>
  <c r="F171" i="84"/>
  <c r="E171" i="84"/>
  <c r="C171" i="84"/>
  <c r="P170" i="84"/>
  <c r="L170" i="84"/>
  <c r="K170" i="84"/>
  <c r="J170" i="84"/>
  <c r="I170" i="84"/>
  <c r="H170" i="84"/>
  <c r="G170" i="84"/>
  <c r="F170" i="84"/>
  <c r="E170" i="84"/>
  <c r="N169" i="84"/>
  <c r="N168" i="84"/>
  <c r="L168" i="84"/>
  <c r="K168" i="84"/>
  <c r="J168" i="84"/>
  <c r="I168" i="84"/>
  <c r="H168" i="84"/>
  <c r="G168" i="84"/>
  <c r="F168" i="84"/>
  <c r="E168" i="84"/>
  <c r="N167" i="84"/>
  <c r="L167" i="84"/>
  <c r="K167" i="84"/>
  <c r="J167" i="84"/>
  <c r="I167" i="84"/>
  <c r="H167" i="84"/>
  <c r="G167" i="84"/>
  <c r="F167" i="84"/>
  <c r="E167" i="84"/>
  <c r="B167" i="84"/>
  <c r="N166" i="84"/>
  <c r="L166" i="84"/>
  <c r="K166" i="84"/>
  <c r="J166" i="84"/>
  <c r="I166" i="84"/>
  <c r="H166" i="84"/>
  <c r="G166" i="84"/>
  <c r="F166" i="84"/>
  <c r="E166" i="84"/>
  <c r="B166" i="84"/>
  <c r="N165" i="84"/>
  <c r="L165" i="84"/>
  <c r="K165" i="84"/>
  <c r="J165" i="84"/>
  <c r="I165" i="84"/>
  <c r="H165" i="84"/>
  <c r="G165" i="84"/>
  <c r="F165" i="84"/>
  <c r="E165" i="84"/>
  <c r="C165" i="84"/>
  <c r="N164" i="84"/>
  <c r="L164" i="84"/>
  <c r="K164" i="84"/>
  <c r="J164" i="84"/>
  <c r="I164" i="84"/>
  <c r="H164" i="84"/>
  <c r="G164" i="84"/>
  <c r="F164" i="84"/>
  <c r="E164" i="84"/>
  <c r="N163" i="84"/>
  <c r="L163" i="84"/>
  <c r="K163" i="84"/>
  <c r="J163" i="84"/>
  <c r="I163" i="84"/>
  <c r="H163" i="84"/>
  <c r="G163" i="84"/>
  <c r="F163" i="84"/>
  <c r="E163" i="84"/>
  <c r="N162" i="84"/>
  <c r="L162" i="84"/>
  <c r="K162" i="84"/>
  <c r="J162" i="84"/>
  <c r="I162" i="84"/>
  <c r="H162" i="84"/>
  <c r="G162" i="84"/>
  <c r="F162" i="84"/>
  <c r="E162" i="84"/>
  <c r="L161" i="84"/>
  <c r="K161" i="84"/>
  <c r="J161" i="84"/>
  <c r="I161" i="84"/>
  <c r="H161" i="84"/>
  <c r="G161" i="84"/>
  <c r="F161" i="84"/>
  <c r="E161" i="84"/>
  <c r="P160" i="84"/>
  <c r="L160" i="84"/>
  <c r="K160" i="84"/>
  <c r="J160" i="84"/>
  <c r="I160" i="84"/>
  <c r="H160" i="84"/>
  <c r="G160" i="84"/>
  <c r="F160" i="84"/>
  <c r="E160" i="84"/>
  <c r="P159" i="84"/>
  <c r="L159" i="84"/>
  <c r="K159" i="84"/>
  <c r="J159" i="84"/>
  <c r="I159" i="84"/>
  <c r="H159" i="84"/>
  <c r="G159" i="84"/>
  <c r="F159" i="84"/>
  <c r="E159" i="84"/>
  <c r="C159" i="84"/>
  <c r="P158" i="84"/>
  <c r="L158" i="84"/>
  <c r="K158" i="84"/>
  <c r="J158" i="84"/>
  <c r="I158" i="84"/>
  <c r="H158" i="84"/>
  <c r="G158" i="84"/>
  <c r="F158" i="84"/>
  <c r="E158" i="84"/>
  <c r="C158" i="84"/>
  <c r="L157" i="84"/>
  <c r="K157" i="84"/>
  <c r="J157" i="84"/>
  <c r="I157" i="84"/>
  <c r="H157" i="84"/>
  <c r="G157" i="84"/>
  <c r="F157" i="84"/>
  <c r="E157" i="84"/>
  <c r="C157" i="84"/>
  <c r="W156" i="84"/>
  <c r="V156" i="84"/>
  <c r="U156" i="84"/>
  <c r="T156" i="84"/>
  <c r="S156" i="84"/>
  <c r="R156" i="84"/>
  <c r="Q156" i="84"/>
  <c r="P156" i="84"/>
  <c r="L156" i="84"/>
  <c r="K156" i="84"/>
  <c r="J156" i="84"/>
  <c r="I156" i="84"/>
  <c r="H156" i="84"/>
  <c r="G156" i="84"/>
  <c r="F156" i="84"/>
  <c r="E156" i="84"/>
  <c r="L153" i="84"/>
  <c r="K153" i="84"/>
  <c r="J153" i="84"/>
  <c r="I153" i="84"/>
  <c r="H153" i="84"/>
  <c r="G153" i="84"/>
  <c r="F153" i="84"/>
  <c r="E153" i="84"/>
  <c r="C153" i="84"/>
  <c r="W152" i="84"/>
  <c r="V152" i="84"/>
  <c r="U152" i="84"/>
  <c r="T152" i="84"/>
  <c r="S152" i="84"/>
  <c r="R152" i="84"/>
  <c r="Q152" i="84"/>
  <c r="P152" i="84"/>
  <c r="L152" i="84"/>
  <c r="K152" i="84"/>
  <c r="J152" i="84"/>
  <c r="I152" i="84"/>
  <c r="H152" i="84"/>
  <c r="G152" i="84"/>
  <c r="F152" i="84"/>
  <c r="E152" i="84"/>
  <c r="W151" i="84"/>
  <c r="V151" i="84"/>
  <c r="U151" i="84"/>
  <c r="T151" i="84"/>
  <c r="S151" i="84"/>
  <c r="R151" i="84"/>
  <c r="Q151" i="84"/>
  <c r="N151" i="84"/>
  <c r="W150" i="84"/>
  <c r="V150" i="84"/>
  <c r="U150" i="84"/>
  <c r="T150" i="84"/>
  <c r="S150" i="84"/>
  <c r="R150" i="84"/>
  <c r="Q150" i="84"/>
  <c r="N150" i="84"/>
  <c r="W149" i="84"/>
  <c r="V149" i="84"/>
  <c r="U149" i="84"/>
  <c r="T149" i="84"/>
  <c r="S149" i="84"/>
  <c r="R149" i="84"/>
  <c r="Q149" i="84"/>
  <c r="N149" i="84"/>
  <c r="L149" i="84"/>
  <c r="K149" i="84"/>
  <c r="J149" i="84"/>
  <c r="I149" i="84"/>
  <c r="H149" i="84"/>
  <c r="G149" i="84"/>
  <c r="F149" i="84"/>
  <c r="E149" i="84"/>
  <c r="W148" i="84"/>
  <c r="V148" i="84"/>
  <c r="U148" i="84"/>
  <c r="T148" i="84"/>
  <c r="S148" i="84"/>
  <c r="R148" i="84"/>
  <c r="Q148" i="84"/>
  <c r="N148" i="84"/>
  <c r="L148" i="84"/>
  <c r="K148" i="84"/>
  <c r="J148" i="84"/>
  <c r="I148" i="84"/>
  <c r="H148" i="84"/>
  <c r="G148" i="84"/>
  <c r="F148" i="84"/>
  <c r="E148" i="84"/>
  <c r="B148" i="84"/>
  <c r="W147" i="84"/>
  <c r="V147" i="84"/>
  <c r="U147" i="84"/>
  <c r="T147" i="84"/>
  <c r="S147" i="84"/>
  <c r="R147" i="84"/>
  <c r="Q147" i="84"/>
  <c r="N147" i="84"/>
  <c r="L147" i="84"/>
  <c r="K147" i="84"/>
  <c r="J147" i="84"/>
  <c r="I147" i="84"/>
  <c r="H147" i="84"/>
  <c r="G147" i="84"/>
  <c r="F147" i="84"/>
  <c r="E147" i="84"/>
  <c r="B147" i="84"/>
  <c r="W146" i="84"/>
  <c r="V146" i="84"/>
  <c r="U146" i="84"/>
  <c r="T146" i="84"/>
  <c r="S146" i="84"/>
  <c r="R146" i="84"/>
  <c r="Q146" i="84"/>
  <c r="N146" i="84"/>
  <c r="L146" i="84"/>
  <c r="K146" i="84"/>
  <c r="J146" i="84"/>
  <c r="I146" i="84"/>
  <c r="H146" i="84"/>
  <c r="G146" i="84"/>
  <c r="F146" i="84"/>
  <c r="E146" i="84"/>
  <c r="B146" i="84"/>
  <c r="W145" i="84"/>
  <c r="V145" i="84"/>
  <c r="U145" i="84"/>
  <c r="T145" i="84"/>
  <c r="S145" i="84"/>
  <c r="R145" i="84"/>
  <c r="Q145" i="84"/>
  <c r="N145" i="84"/>
  <c r="W144" i="84"/>
  <c r="V144" i="84"/>
  <c r="U144" i="84"/>
  <c r="T144" i="84"/>
  <c r="S144" i="84"/>
  <c r="R144" i="84"/>
  <c r="L144" i="84"/>
  <c r="K144" i="84"/>
  <c r="J144" i="84"/>
  <c r="I144" i="84"/>
  <c r="H144" i="84"/>
  <c r="G144" i="84"/>
  <c r="F144" i="84"/>
  <c r="E144" i="84"/>
  <c r="W143" i="84"/>
  <c r="V143" i="84"/>
  <c r="U143" i="84"/>
  <c r="T143" i="84"/>
  <c r="S143" i="84"/>
  <c r="R143" i="84"/>
  <c r="Q143" i="84"/>
  <c r="N143" i="84"/>
  <c r="L143" i="84"/>
  <c r="K143" i="84"/>
  <c r="J143" i="84"/>
  <c r="I143" i="84"/>
  <c r="H143" i="84"/>
  <c r="G143" i="84"/>
  <c r="F143" i="84"/>
  <c r="E143" i="84"/>
  <c r="B143" i="84"/>
  <c r="W142" i="84"/>
  <c r="V142" i="84"/>
  <c r="U142" i="84"/>
  <c r="T142" i="84"/>
  <c r="S142" i="84"/>
  <c r="R142" i="84"/>
  <c r="Q142" i="84"/>
  <c r="N142" i="84"/>
  <c r="L142" i="84"/>
  <c r="K142" i="84"/>
  <c r="J142" i="84"/>
  <c r="I142" i="84"/>
  <c r="H142" i="84"/>
  <c r="G142" i="84"/>
  <c r="F142" i="84"/>
  <c r="E142" i="84"/>
  <c r="B142" i="84"/>
  <c r="W141" i="84"/>
  <c r="V141" i="84"/>
  <c r="U141" i="84"/>
  <c r="T141" i="84"/>
  <c r="S141" i="84"/>
  <c r="R141" i="84"/>
  <c r="Q141" i="84"/>
  <c r="N141" i="84"/>
  <c r="L141" i="84"/>
  <c r="K141" i="84"/>
  <c r="J141" i="84"/>
  <c r="I141" i="84"/>
  <c r="H141" i="84"/>
  <c r="G141" i="84"/>
  <c r="F141" i="84"/>
  <c r="E141" i="84"/>
  <c r="B141" i="84"/>
  <c r="P140" i="84"/>
  <c r="B140" i="84"/>
  <c r="L139" i="84"/>
  <c r="K139" i="84"/>
  <c r="J139" i="84"/>
  <c r="I139" i="84"/>
  <c r="H139" i="84"/>
  <c r="G139" i="84"/>
  <c r="F139" i="84"/>
  <c r="E139" i="84"/>
  <c r="W138" i="84"/>
  <c r="V138" i="84"/>
  <c r="U138" i="84"/>
  <c r="T138" i="84"/>
  <c r="S138" i="84"/>
  <c r="R138" i="84"/>
  <c r="Q138" i="84"/>
  <c r="P138" i="84"/>
  <c r="L138" i="84"/>
  <c r="K138" i="84"/>
  <c r="J138" i="84"/>
  <c r="I138" i="84"/>
  <c r="H138" i="84"/>
  <c r="G138" i="84"/>
  <c r="F138" i="84"/>
  <c r="E138" i="84"/>
  <c r="B138" i="84"/>
  <c r="L137" i="84"/>
  <c r="K137" i="84"/>
  <c r="J137" i="84"/>
  <c r="I137" i="84"/>
  <c r="H137" i="84"/>
  <c r="G137" i="84"/>
  <c r="F137" i="84"/>
  <c r="E137" i="84"/>
  <c r="B137" i="84"/>
  <c r="W136" i="84"/>
  <c r="V136" i="84"/>
  <c r="U136" i="84"/>
  <c r="T136" i="84"/>
  <c r="S136" i="84"/>
  <c r="R136" i="84"/>
  <c r="Q136" i="84"/>
  <c r="P136" i="84"/>
  <c r="L136" i="84"/>
  <c r="K136" i="84"/>
  <c r="J136" i="84"/>
  <c r="I136" i="84"/>
  <c r="H136" i="84"/>
  <c r="G136" i="84"/>
  <c r="F136" i="84"/>
  <c r="E136" i="84"/>
  <c r="B136" i="84"/>
  <c r="W135" i="84"/>
  <c r="N135" i="84"/>
  <c r="W134" i="84"/>
  <c r="V134" i="84"/>
  <c r="N134" i="84"/>
  <c r="L134" i="84"/>
  <c r="K134" i="84"/>
  <c r="J134" i="84"/>
  <c r="I134" i="84"/>
  <c r="H134" i="84"/>
  <c r="G134" i="84"/>
  <c r="F134" i="84"/>
  <c r="E134" i="84"/>
  <c r="W133" i="84"/>
  <c r="V133" i="84"/>
  <c r="U133" i="84"/>
  <c r="N133" i="84"/>
  <c r="L133" i="84"/>
  <c r="K133" i="84"/>
  <c r="J133" i="84"/>
  <c r="I133" i="84"/>
  <c r="H133" i="84"/>
  <c r="G133" i="84"/>
  <c r="F133" i="84"/>
  <c r="E133" i="84"/>
  <c r="B133" i="84"/>
  <c r="W132" i="84"/>
  <c r="V132" i="84"/>
  <c r="U132" i="84"/>
  <c r="T132" i="84"/>
  <c r="N132" i="84"/>
  <c r="L132" i="84"/>
  <c r="K132" i="84"/>
  <c r="J132" i="84"/>
  <c r="I132" i="84"/>
  <c r="H132" i="84"/>
  <c r="G132" i="84"/>
  <c r="F132" i="84"/>
  <c r="E132" i="84"/>
  <c r="B132" i="84"/>
  <c r="W131" i="84"/>
  <c r="V131" i="84"/>
  <c r="U131" i="84"/>
  <c r="T131" i="84"/>
  <c r="S131" i="84"/>
  <c r="N131" i="84"/>
  <c r="L131" i="84"/>
  <c r="K131" i="84"/>
  <c r="J131" i="84"/>
  <c r="I131" i="84"/>
  <c r="H131" i="84"/>
  <c r="G131" i="84"/>
  <c r="F131" i="84"/>
  <c r="E131" i="84"/>
  <c r="B131" i="84"/>
  <c r="W130" i="84"/>
  <c r="V130" i="84"/>
  <c r="U130" i="84"/>
  <c r="T130" i="84"/>
  <c r="S130" i="84"/>
  <c r="R130" i="84"/>
  <c r="N130" i="84"/>
  <c r="B130" i="84"/>
  <c r="W129" i="84"/>
  <c r="V129" i="84"/>
  <c r="U129" i="84"/>
  <c r="T129" i="84"/>
  <c r="S129" i="84"/>
  <c r="R129" i="84"/>
  <c r="Q129" i="84"/>
  <c r="N129" i="84"/>
  <c r="L129" i="84"/>
  <c r="K129" i="84"/>
  <c r="J129" i="84"/>
  <c r="I129" i="84"/>
  <c r="H129" i="84"/>
  <c r="G129" i="84"/>
  <c r="F129" i="84"/>
  <c r="E129" i="84"/>
  <c r="L128" i="84"/>
  <c r="K128" i="84"/>
  <c r="J128" i="84"/>
  <c r="I128" i="84"/>
  <c r="H128" i="84"/>
  <c r="G128" i="84"/>
  <c r="F128" i="84"/>
  <c r="E128" i="84"/>
  <c r="B128" i="84"/>
  <c r="W127" i="84"/>
  <c r="V127" i="84"/>
  <c r="U127" i="84"/>
  <c r="T127" i="84"/>
  <c r="S127" i="84"/>
  <c r="R127" i="84"/>
  <c r="Q127" i="84"/>
  <c r="P127" i="84"/>
  <c r="N127" i="84"/>
  <c r="L127" i="84"/>
  <c r="K127" i="84"/>
  <c r="J127" i="84"/>
  <c r="I127" i="84"/>
  <c r="H127" i="84"/>
  <c r="G127" i="84"/>
  <c r="F127" i="84"/>
  <c r="E127" i="84"/>
  <c r="B127" i="84"/>
  <c r="W126" i="84"/>
  <c r="V126" i="84"/>
  <c r="U126" i="84"/>
  <c r="T126" i="84"/>
  <c r="S126" i="84"/>
  <c r="R126" i="84"/>
  <c r="Q126" i="84"/>
  <c r="P126" i="84"/>
  <c r="N126" i="84"/>
  <c r="L126" i="84"/>
  <c r="K126" i="84"/>
  <c r="J126" i="84"/>
  <c r="I126" i="84"/>
  <c r="H126" i="84"/>
  <c r="G126" i="84"/>
  <c r="F126" i="84"/>
  <c r="E126" i="84"/>
  <c r="B126" i="84"/>
  <c r="W125" i="84"/>
  <c r="V125" i="84"/>
  <c r="U125" i="84"/>
  <c r="T125" i="84"/>
  <c r="S125" i="84"/>
  <c r="R125" i="84"/>
  <c r="Q125" i="84"/>
  <c r="N125" i="84"/>
  <c r="L124" i="84"/>
  <c r="K124" i="84"/>
  <c r="J124" i="84"/>
  <c r="I124" i="84"/>
  <c r="H124" i="84"/>
  <c r="G124" i="84"/>
  <c r="F124" i="84"/>
  <c r="E124" i="84"/>
  <c r="N123" i="84"/>
  <c r="L123" i="84"/>
  <c r="K123" i="84"/>
  <c r="J123" i="84"/>
  <c r="I123" i="84"/>
  <c r="H123" i="84"/>
  <c r="G123" i="84"/>
  <c r="F123" i="84"/>
  <c r="E123" i="84"/>
  <c r="B123" i="84"/>
  <c r="W122" i="84"/>
  <c r="V122" i="84"/>
  <c r="U122" i="84"/>
  <c r="T122" i="84"/>
  <c r="S122" i="84"/>
  <c r="R122" i="84"/>
  <c r="Q122" i="84"/>
  <c r="P122" i="84"/>
  <c r="L122" i="84"/>
  <c r="K122" i="84"/>
  <c r="J122" i="84"/>
  <c r="I122" i="84"/>
  <c r="H122" i="84"/>
  <c r="G122" i="84"/>
  <c r="F122" i="84"/>
  <c r="E122" i="84"/>
  <c r="B122" i="84"/>
  <c r="L121" i="84"/>
  <c r="K121" i="84"/>
  <c r="J121" i="84"/>
  <c r="I121" i="84"/>
  <c r="H121" i="84"/>
  <c r="G121" i="84"/>
  <c r="F121" i="84"/>
  <c r="E121" i="84"/>
  <c r="B121" i="84"/>
  <c r="B120" i="84"/>
  <c r="W119" i="84"/>
  <c r="V119" i="84"/>
  <c r="U119" i="84"/>
  <c r="T119" i="84"/>
  <c r="S119" i="84"/>
  <c r="R119" i="84"/>
  <c r="Q119" i="84"/>
  <c r="P119" i="84"/>
  <c r="L119" i="84"/>
  <c r="K119" i="84"/>
  <c r="J119" i="84"/>
  <c r="I119" i="84"/>
  <c r="H119" i="84"/>
  <c r="G119" i="84"/>
  <c r="F119" i="84"/>
  <c r="E119" i="84"/>
  <c r="W118" i="84"/>
  <c r="V118" i="84"/>
  <c r="U118" i="84"/>
  <c r="T118" i="84"/>
  <c r="S118" i="84"/>
  <c r="R118" i="84"/>
  <c r="L118" i="84"/>
  <c r="K118" i="84"/>
  <c r="J118" i="84"/>
  <c r="I118" i="84"/>
  <c r="H118" i="84"/>
  <c r="G118" i="84"/>
  <c r="F118" i="84"/>
  <c r="E118" i="84"/>
  <c r="B118" i="84"/>
  <c r="W117" i="84"/>
  <c r="V117" i="84"/>
  <c r="U117" i="84"/>
  <c r="T117" i="84"/>
  <c r="S117" i="84"/>
  <c r="R117" i="84"/>
  <c r="Q117" i="84"/>
  <c r="P117" i="84"/>
  <c r="L117" i="84"/>
  <c r="K117" i="84"/>
  <c r="J117" i="84"/>
  <c r="I117" i="84"/>
  <c r="H117" i="84"/>
  <c r="G117" i="84"/>
  <c r="F117" i="84"/>
  <c r="E117" i="84"/>
  <c r="B117" i="84"/>
  <c r="N116" i="84"/>
  <c r="L116" i="84"/>
  <c r="K116" i="84"/>
  <c r="J116" i="84"/>
  <c r="I116" i="84"/>
  <c r="H116" i="84"/>
  <c r="G116" i="84"/>
  <c r="F116" i="84"/>
  <c r="E116" i="84"/>
  <c r="B116" i="84"/>
  <c r="W115" i="84"/>
  <c r="N115" i="84"/>
  <c r="V114" i="84"/>
  <c r="N114" i="84"/>
  <c r="L114" i="84"/>
  <c r="K114" i="84"/>
  <c r="J114" i="84"/>
  <c r="I114" i="84"/>
  <c r="H114" i="84"/>
  <c r="G114" i="84"/>
  <c r="F114" i="84"/>
  <c r="E114" i="84"/>
  <c r="U113" i="84"/>
  <c r="N113" i="84"/>
  <c r="L113" i="84"/>
  <c r="K113" i="84"/>
  <c r="J113" i="84"/>
  <c r="I113" i="84"/>
  <c r="H113" i="84"/>
  <c r="G113" i="84"/>
  <c r="F113" i="84"/>
  <c r="E113" i="84"/>
  <c r="B113" i="84"/>
  <c r="T112" i="84"/>
  <c r="N112" i="84"/>
  <c r="L112" i="84"/>
  <c r="K112" i="84"/>
  <c r="J112" i="84"/>
  <c r="I112" i="84"/>
  <c r="H112" i="84"/>
  <c r="G112" i="84"/>
  <c r="F112" i="84"/>
  <c r="E112" i="84"/>
  <c r="B112" i="84"/>
  <c r="S111" i="84"/>
  <c r="N111" i="84"/>
  <c r="L111" i="84"/>
  <c r="K111" i="84"/>
  <c r="J111" i="84"/>
  <c r="I111" i="84"/>
  <c r="H111" i="84"/>
  <c r="G111" i="84"/>
  <c r="F111" i="84"/>
  <c r="E111" i="84"/>
  <c r="B111" i="84"/>
  <c r="R110" i="84"/>
  <c r="N110" i="84"/>
  <c r="B110" i="84"/>
  <c r="Q109" i="84"/>
  <c r="N109" i="84"/>
  <c r="G108" i="84"/>
  <c r="F108" i="84"/>
  <c r="E108" i="84"/>
  <c r="P107" i="84"/>
  <c r="G107" i="84"/>
  <c r="F107" i="84"/>
  <c r="E107" i="84"/>
  <c r="B107" i="84"/>
  <c r="P106" i="84"/>
  <c r="G106" i="84"/>
  <c r="F106" i="84"/>
  <c r="E106" i="84"/>
  <c r="B106" i="84"/>
  <c r="P105" i="84"/>
  <c r="F105" i="84"/>
  <c r="E105" i="84"/>
  <c r="B105" i="84"/>
  <c r="G104" i="84"/>
  <c r="F104" i="84"/>
  <c r="E104" i="84"/>
  <c r="B104" i="84"/>
  <c r="W103" i="84"/>
  <c r="V103" i="84"/>
  <c r="U103" i="84"/>
  <c r="T103" i="84"/>
  <c r="S103" i="84"/>
  <c r="R103" i="84"/>
  <c r="Q103" i="84"/>
  <c r="P103" i="84"/>
  <c r="G103" i="84"/>
  <c r="F103" i="84"/>
  <c r="E103" i="84"/>
  <c r="N101" i="84"/>
  <c r="L101" i="84"/>
  <c r="K101" i="84"/>
  <c r="J101" i="84"/>
  <c r="I101" i="84"/>
  <c r="H101" i="84"/>
  <c r="G101" i="84"/>
  <c r="F101" i="84"/>
  <c r="E101" i="84"/>
  <c r="L100" i="84"/>
  <c r="K100" i="84"/>
  <c r="J100" i="84"/>
  <c r="I100" i="84"/>
  <c r="H100" i="84"/>
  <c r="G100" i="84"/>
  <c r="F100" i="84"/>
  <c r="E100" i="84"/>
  <c r="B100" i="84"/>
  <c r="L99" i="84"/>
  <c r="K99" i="84"/>
  <c r="J99" i="84"/>
  <c r="I99" i="84"/>
  <c r="H99" i="84"/>
  <c r="G99" i="84"/>
  <c r="F99" i="84"/>
  <c r="E99" i="84"/>
  <c r="B99" i="84"/>
  <c r="L98" i="84"/>
  <c r="K98" i="84"/>
  <c r="J98" i="84"/>
  <c r="I98" i="84"/>
  <c r="H98" i="84"/>
  <c r="G98" i="84"/>
  <c r="F98" i="84"/>
  <c r="E98" i="84"/>
  <c r="B98" i="84"/>
  <c r="O97" i="84"/>
  <c r="L96" i="84"/>
  <c r="K96" i="84"/>
  <c r="J96" i="84"/>
  <c r="I96" i="84"/>
  <c r="H96" i="84"/>
  <c r="G96" i="84"/>
  <c r="F96" i="84"/>
  <c r="E96" i="84"/>
  <c r="B95" i="84"/>
  <c r="L94" i="84"/>
  <c r="K94" i="84"/>
  <c r="J94" i="84"/>
  <c r="I94" i="84"/>
  <c r="H94" i="84"/>
  <c r="G94" i="84"/>
  <c r="F94" i="84"/>
  <c r="E94" i="84"/>
  <c r="B94" i="84"/>
  <c r="B93" i="84"/>
  <c r="AB90" i="84"/>
  <c r="AA90" i="84"/>
  <c r="Z90" i="84"/>
  <c r="Y90" i="84"/>
  <c r="X90" i="84"/>
  <c r="W90" i="84"/>
  <c r="V90" i="84"/>
  <c r="U90" i="84"/>
  <c r="AB88" i="84"/>
  <c r="AA88" i="84"/>
  <c r="Z88" i="84"/>
  <c r="Y88" i="84"/>
  <c r="X88" i="84"/>
  <c r="W88" i="84"/>
  <c r="V88" i="84"/>
  <c r="U88" i="84"/>
  <c r="Q88" i="84"/>
  <c r="N88" i="84"/>
  <c r="AB87" i="84"/>
  <c r="AA87" i="84"/>
  <c r="Z87" i="84"/>
  <c r="Y87" i="84"/>
  <c r="X87" i="84"/>
  <c r="W87" i="84"/>
  <c r="V87" i="84"/>
  <c r="U87" i="84"/>
  <c r="Q87" i="84"/>
  <c r="L87" i="84"/>
  <c r="K87" i="84"/>
  <c r="J87" i="84"/>
  <c r="I87" i="84"/>
  <c r="H87" i="84"/>
  <c r="G87" i="84"/>
  <c r="F87" i="84"/>
  <c r="E87" i="84"/>
  <c r="D87" i="84"/>
  <c r="AB86" i="84"/>
  <c r="AA86" i="84"/>
  <c r="Z86" i="84"/>
  <c r="Y86" i="84"/>
  <c r="X86" i="84"/>
  <c r="W86" i="84"/>
  <c r="V86" i="84"/>
  <c r="U86" i="84"/>
  <c r="L86" i="84"/>
  <c r="K86" i="84"/>
  <c r="J86" i="84"/>
  <c r="I86" i="84"/>
  <c r="H86" i="84"/>
  <c r="G86" i="84"/>
  <c r="F86" i="84"/>
  <c r="E86" i="84"/>
  <c r="B86" i="84"/>
  <c r="AB85" i="84"/>
  <c r="AA85" i="84"/>
  <c r="Z85" i="84"/>
  <c r="Y85" i="84"/>
  <c r="X85" i="84"/>
  <c r="W85" i="84"/>
  <c r="V85" i="84"/>
  <c r="U85" i="84"/>
  <c r="L85" i="84"/>
  <c r="K85" i="84"/>
  <c r="J85" i="84"/>
  <c r="I85" i="84"/>
  <c r="H85" i="84"/>
  <c r="G85" i="84"/>
  <c r="F85" i="84"/>
  <c r="E85" i="84"/>
  <c r="D85" i="84"/>
  <c r="B85" i="84"/>
  <c r="L84" i="84"/>
  <c r="K84" i="84"/>
  <c r="J84" i="84"/>
  <c r="I84" i="84"/>
  <c r="H84" i="84"/>
  <c r="G84" i="84"/>
  <c r="F84" i="84"/>
  <c r="E84" i="84"/>
  <c r="D84" i="84"/>
  <c r="B84" i="84"/>
  <c r="AB83" i="84"/>
  <c r="AA83" i="84"/>
  <c r="Z83" i="84"/>
  <c r="Y83" i="84"/>
  <c r="X83" i="84"/>
  <c r="W83" i="84"/>
  <c r="V83" i="84"/>
  <c r="U83" i="84"/>
  <c r="L83" i="84"/>
  <c r="K83" i="84"/>
  <c r="J83" i="84"/>
  <c r="I83" i="84"/>
  <c r="H83" i="84"/>
  <c r="G83" i="84"/>
  <c r="F83" i="84"/>
  <c r="E83" i="84"/>
  <c r="D83" i="84"/>
  <c r="B83" i="84"/>
  <c r="AB82" i="84"/>
  <c r="AA82" i="84"/>
  <c r="Z82" i="84"/>
  <c r="Y82" i="84"/>
  <c r="X82" i="84"/>
  <c r="W82" i="84"/>
  <c r="V82" i="84"/>
  <c r="U82" i="84"/>
  <c r="L82" i="84"/>
  <c r="K82" i="84"/>
  <c r="J82" i="84"/>
  <c r="I82" i="84"/>
  <c r="H82" i="84"/>
  <c r="G82" i="84"/>
  <c r="F82" i="84"/>
  <c r="E82" i="84"/>
  <c r="D82" i="84"/>
  <c r="B82" i="84"/>
  <c r="AB81" i="84"/>
  <c r="AA81" i="84"/>
  <c r="Z81" i="84"/>
  <c r="Y81" i="84"/>
  <c r="X81" i="84"/>
  <c r="W81" i="84"/>
  <c r="V81" i="84"/>
  <c r="U81" i="84"/>
  <c r="Q81" i="84"/>
  <c r="N81" i="84"/>
  <c r="L81" i="84"/>
  <c r="K81" i="84"/>
  <c r="J81" i="84"/>
  <c r="I81" i="84"/>
  <c r="H81" i="84"/>
  <c r="G81" i="84"/>
  <c r="F81" i="84"/>
  <c r="E81" i="84"/>
  <c r="AB80" i="84"/>
  <c r="AA80" i="84"/>
  <c r="Z80" i="84"/>
  <c r="Y80" i="84"/>
  <c r="X80" i="84"/>
  <c r="W80" i="84"/>
  <c r="V80" i="84"/>
  <c r="U80" i="84"/>
  <c r="Q80" i="84"/>
  <c r="AB79" i="84"/>
  <c r="AA79" i="84"/>
  <c r="Z79" i="84"/>
  <c r="Y79" i="84"/>
  <c r="X79" i="84"/>
  <c r="W79" i="84"/>
  <c r="V79" i="84"/>
  <c r="U79" i="84"/>
  <c r="AB78" i="84"/>
  <c r="AA78" i="84"/>
  <c r="Z78" i="84"/>
  <c r="Y78" i="84"/>
  <c r="X78" i="84"/>
  <c r="W78" i="84"/>
  <c r="V78" i="84"/>
  <c r="U78" i="84"/>
  <c r="AB75" i="84"/>
  <c r="AA75" i="84"/>
  <c r="Z75" i="84"/>
  <c r="Y75" i="84"/>
  <c r="X75" i="84"/>
  <c r="W75" i="84"/>
  <c r="V75" i="84"/>
  <c r="U75" i="84"/>
  <c r="R75" i="84"/>
  <c r="N75" i="84"/>
  <c r="R74" i="84"/>
  <c r="N74" i="84"/>
  <c r="L74" i="84"/>
  <c r="K74" i="84"/>
  <c r="J74" i="84"/>
  <c r="I74" i="84"/>
  <c r="H74" i="84"/>
  <c r="G74" i="84"/>
  <c r="F74" i="84"/>
  <c r="E74" i="84"/>
  <c r="AB73" i="84"/>
  <c r="AA73" i="84"/>
  <c r="Z73" i="84"/>
  <c r="Y73" i="84"/>
  <c r="X73" i="84"/>
  <c r="W73" i="84"/>
  <c r="V73" i="84"/>
  <c r="U73" i="84"/>
  <c r="R73" i="84"/>
  <c r="Q73" i="84"/>
  <c r="N73" i="84"/>
  <c r="AB72" i="84"/>
  <c r="AA72" i="84"/>
  <c r="Z72" i="84"/>
  <c r="Y72" i="84"/>
  <c r="X72" i="84"/>
  <c r="W72" i="84"/>
  <c r="V72" i="84"/>
  <c r="U72" i="84"/>
  <c r="R72" i="84"/>
  <c r="Q72" i="84"/>
  <c r="N72" i="84"/>
  <c r="AB71" i="84"/>
  <c r="AA71" i="84"/>
  <c r="Z71" i="84"/>
  <c r="Y71" i="84"/>
  <c r="X71" i="84"/>
  <c r="W71" i="84"/>
  <c r="V71" i="84"/>
  <c r="U71" i="84"/>
  <c r="R71" i="84"/>
  <c r="N71" i="84"/>
  <c r="L71" i="84"/>
  <c r="K71" i="84"/>
  <c r="J71" i="84"/>
  <c r="I71" i="84"/>
  <c r="H71" i="84"/>
  <c r="G71" i="84"/>
  <c r="F71" i="84"/>
  <c r="E71" i="84"/>
  <c r="AB70" i="84"/>
  <c r="AA70" i="84"/>
  <c r="Z70" i="84"/>
  <c r="Y70" i="84"/>
  <c r="X70" i="84"/>
  <c r="W70" i="84"/>
  <c r="V70" i="84"/>
  <c r="U70" i="84"/>
  <c r="R70" i="84"/>
  <c r="N70" i="84"/>
  <c r="L70" i="84"/>
  <c r="K70" i="84"/>
  <c r="J70" i="84"/>
  <c r="I70" i="84"/>
  <c r="H70" i="84"/>
  <c r="G70" i="84"/>
  <c r="F70" i="84"/>
  <c r="E70" i="84"/>
  <c r="B70" i="84"/>
  <c r="AB69" i="84"/>
  <c r="AA69" i="84"/>
  <c r="Z69" i="84"/>
  <c r="Y69" i="84"/>
  <c r="X69" i="84"/>
  <c r="W69" i="84"/>
  <c r="V69" i="84"/>
  <c r="U69" i="84"/>
  <c r="R69" i="84"/>
  <c r="L69" i="84"/>
  <c r="K69" i="84"/>
  <c r="J69" i="84"/>
  <c r="I69" i="84"/>
  <c r="H69" i="84"/>
  <c r="G69" i="84"/>
  <c r="F69" i="84"/>
  <c r="E69" i="84"/>
  <c r="B69" i="84"/>
  <c r="L68" i="84"/>
  <c r="K68" i="84"/>
  <c r="J68" i="84"/>
  <c r="I68" i="84"/>
  <c r="H68" i="84"/>
  <c r="G68" i="84"/>
  <c r="F68" i="84"/>
  <c r="E68" i="84"/>
  <c r="B68" i="84"/>
  <c r="L67" i="84"/>
  <c r="K67" i="84"/>
  <c r="J67" i="84"/>
  <c r="I67" i="84"/>
  <c r="H67" i="84"/>
  <c r="G67" i="84"/>
  <c r="F67" i="84"/>
  <c r="E67" i="84"/>
  <c r="B67" i="84"/>
  <c r="L66" i="84"/>
  <c r="K66" i="84"/>
  <c r="J66" i="84"/>
  <c r="I66" i="84"/>
  <c r="H66" i="84"/>
  <c r="G66" i="84"/>
  <c r="F66" i="84"/>
  <c r="E66" i="84"/>
  <c r="B66" i="84"/>
  <c r="L65" i="84"/>
  <c r="K65" i="84"/>
  <c r="J65" i="84"/>
  <c r="I65" i="84"/>
  <c r="H65" i="84"/>
  <c r="G65" i="84"/>
  <c r="F65" i="84"/>
  <c r="E65" i="84"/>
  <c r="AD64" i="84"/>
  <c r="AC64" i="84"/>
  <c r="T64" i="84"/>
  <c r="AD63" i="84"/>
  <c r="AC63" i="84"/>
  <c r="T63" i="84"/>
  <c r="AD62" i="84"/>
  <c r="AC62" i="84"/>
  <c r="T62" i="84"/>
  <c r="AD61" i="84"/>
  <c r="AC61" i="84"/>
  <c r="T61" i="84"/>
  <c r="AD60" i="84"/>
  <c r="AC60" i="84"/>
  <c r="AD59" i="84"/>
  <c r="AC59" i="84"/>
  <c r="AB59" i="84"/>
  <c r="AA59" i="84"/>
  <c r="Z59" i="84"/>
  <c r="Y59" i="84"/>
  <c r="X59" i="84"/>
  <c r="W59" i="84"/>
  <c r="V59" i="84"/>
  <c r="U59" i="84"/>
  <c r="T59" i="84"/>
  <c r="Q59" i="84"/>
  <c r="P59" i="84"/>
  <c r="AD58" i="84"/>
  <c r="AC58" i="84"/>
  <c r="AB58" i="84"/>
  <c r="AA58" i="84"/>
  <c r="Z58" i="84"/>
  <c r="Y58" i="84"/>
  <c r="X58" i="84"/>
  <c r="W58" i="84"/>
  <c r="V58" i="84"/>
  <c r="U58" i="84"/>
  <c r="Q58" i="84"/>
  <c r="P58" i="84"/>
  <c r="L58" i="84"/>
  <c r="K58" i="84"/>
  <c r="J58" i="84"/>
  <c r="I58" i="84"/>
  <c r="H58" i="84"/>
  <c r="G58" i="84"/>
  <c r="F58" i="84"/>
  <c r="E58" i="84"/>
  <c r="AD57" i="84"/>
  <c r="AC57" i="84"/>
  <c r="AB57" i="84"/>
  <c r="AA57" i="84"/>
  <c r="Z57" i="84"/>
  <c r="Y57" i="84"/>
  <c r="X57" i="84"/>
  <c r="W57" i="84"/>
  <c r="V57" i="84"/>
  <c r="U57" i="84"/>
  <c r="T57" i="84"/>
  <c r="Q57" i="84"/>
  <c r="P57" i="84"/>
  <c r="AD56" i="84"/>
  <c r="AC56" i="84"/>
  <c r="AB56" i="84"/>
  <c r="AA56" i="84"/>
  <c r="Z56" i="84"/>
  <c r="Y56" i="84"/>
  <c r="X56" i="84"/>
  <c r="W56" i="84"/>
  <c r="V56" i="84"/>
  <c r="U56" i="84"/>
  <c r="P56" i="84"/>
  <c r="AC55" i="84"/>
  <c r="Q55" i="84"/>
  <c r="AC54" i="84"/>
  <c r="AB54" i="84"/>
  <c r="AA54" i="84"/>
  <c r="Z54" i="84"/>
  <c r="Y54" i="84"/>
  <c r="X54" i="84"/>
  <c r="W54" i="84"/>
  <c r="Q54" i="84"/>
  <c r="AC53" i="84"/>
  <c r="AB53" i="84"/>
  <c r="Z53" i="84"/>
  <c r="X53" i="84"/>
  <c r="V53" i="84"/>
  <c r="T53" i="84"/>
  <c r="Q53" i="84"/>
  <c r="AC52" i="84"/>
  <c r="AB52" i="84"/>
  <c r="AA52" i="84"/>
  <c r="Z52" i="84"/>
  <c r="Y52" i="84"/>
  <c r="X52" i="84"/>
  <c r="W52" i="84"/>
  <c r="V52" i="84"/>
  <c r="U52" i="84"/>
  <c r="AD51" i="84"/>
  <c r="AB51" i="84"/>
  <c r="AA51" i="84"/>
  <c r="Z51" i="84"/>
  <c r="Y51" i="84"/>
  <c r="X51" i="84"/>
  <c r="W51" i="84"/>
  <c r="V51" i="84"/>
  <c r="U51" i="84"/>
  <c r="T51" i="84"/>
  <c r="L51" i="84"/>
  <c r="K51" i="84"/>
  <c r="J51" i="84"/>
  <c r="I51" i="84"/>
  <c r="H51" i="84"/>
  <c r="G51" i="84"/>
  <c r="F51" i="84"/>
  <c r="E51" i="84"/>
  <c r="AD50" i="84"/>
  <c r="AC50" i="84"/>
  <c r="AB50" i="84"/>
  <c r="AA50" i="84"/>
  <c r="Z50" i="84"/>
  <c r="Y50" i="84"/>
  <c r="X50" i="84"/>
  <c r="W50" i="84"/>
  <c r="V50" i="84"/>
  <c r="U50" i="84"/>
  <c r="Q50" i="84"/>
  <c r="AD49" i="84"/>
  <c r="AB49" i="84"/>
  <c r="AA49" i="84"/>
  <c r="Z49" i="84"/>
  <c r="Y49" i="84"/>
  <c r="X49" i="84"/>
  <c r="W49" i="84"/>
  <c r="V49" i="84"/>
  <c r="U49" i="84"/>
  <c r="Q49" i="84"/>
  <c r="L49" i="84"/>
  <c r="K49" i="84"/>
  <c r="J49" i="84"/>
  <c r="I49" i="84"/>
  <c r="H49" i="84"/>
  <c r="G49" i="84"/>
  <c r="F49" i="84"/>
  <c r="E49" i="84"/>
  <c r="AD48" i="84"/>
  <c r="AB48" i="84"/>
  <c r="AA48" i="84"/>
  <c r="Z48" i="84"/>
  <c r="Y48" i="84"/>
  <c r="X48" i="84"/>
  <c r="W48" i="84"/>
  <c r="V48" i="84"/>
  <c r="U48" i="84"/>
  <c r="Q48" i="84"/>
  <c r="L48" i="84"/>
  <c r="K48" i="84"/>
  <c r="J48" i="84"/>
  <c r="I48" i="84"/>
  <c r="H48" i="84"/>
  <c r="G48" i="84"/>
  <c r="F48" i="84"/>
  <c r="AD47" i="84"/>
  <c r="AC47" i="84"/>
  <c r="AB47" i="84"/>
  <c r="AA47" i="84"/>
  <c r="Z47" i="84"/>
  <c r="Y47" i="84"/>
  <c r="X47" i="84"/>
  <c r="W47" i="84"/>
  <c r="V47" i="84"/>
  <c r="U47" i="84"/>
  <c r="T47" i="84"/>
  <c r="L47" i="84"/>
  <c r="K47" i="84"/>
  <c r="J47" i="84"/>
  <c r="I47" i="84"/>
  <c r="H47" i="84"/>
  <c r="G47" i="84"/>
  <c r="F47" i="84"/>
  <c r="AD46" i="84"/>
  <c r="AC46" i="84"/>
  <c r="AB46" i="84"/>
  <c r="AA46" i="84"/>
  <c r="Z46" i="84"/>
  <c r="Y46" i="84"/>
  <c r="X46" i="84"/>
  <c r="W46" i="84"/>
  <c r="V46" i="84"/>
  <c r="U46" i="84"/>
  <c r="T46" i="84"/>
  <c r="Q46" i="84"/>
  <c r="L46" i="84"/>
  <c r="K46" i="84"/>
  <c r="J46" i="84"/>
  <c r="I46" i="84"/>
  <c r="H46" i="84"/>
  <c r="G46" i="84"/>
  <c r="F46" i="84"/>
  <c r="AD45" i="84"/>
  <c r="AB45" i="84"/>
  <c r="AA45" i="84"/>
  <c r="Z45" i="84"/>
  <c r="Y45" i="84"/>
  <c r="X45" i="84"/>
  <c r="W45" i="84"/>
  <c r="V45" i="84"/>
  <c r="U45" i="84"/>
  <c r="T45" i="84"/>
  <c r="Q45" i="84"/>
  <c r="L45" i="84"/>
  <c r="K45" i="84"/>
  <c r="J45" i="84"/>
  <c r="I45" i="84"/>
  <c r="H45" i="84"/>
  <c r="G45" i="84"/>
  <c r="F45" i="84"/>
  <c r="AB44" i="84"/>
  <c r="AA44" i="84"/>
  <c r="Z44" i="84"/>
  <c r="Y44" i="84"/>
  <c r="X44" i="84"/>
  <c r="W44" i="84"/>
  <c r="V44" i="84"/>
  <c r="U44" i="84"/>
  <c r="L44" i="84"/>
  <c r="K44" i="84"/>
  <c r="J44" i="84"/>
  <c r="I44" i="84"/>
  <c r="H44" i="84"/>
  <c r="G44" i="84"/>
  <c r="F44" i="84"/>
  <c r="L43" i="84"/>
  <c r="K43" i="84"/>
  <c r="J43" i="84"/>
  <c r="I43" i="84"/>
  <c r="H43" i="84"/>
  <c r="G43" i="84"/>
  <c r="F43" i="84"/>
  <c r="E43" i="84"/>
  <c r="Y40" i="84"/>
  <c r="X40" i="84"/>
  <c r="W40" i="84"/>
  <c r="V40" i="84"/>
  <c r="U40" i="84"/>
  <c r="T40" i="84"/>
  <c r="S40" i="84"/>
  <c r="R40" i="84"/>
  <c r="N40" i="84"/>
  <c r="Y39" i="84"/>
  <c r="X39" i="84"/>
  <c r="W39" i="84"/>
  <c r="V39" i="84"/>
  <c r="U39" i="84"/>
  <c r="T39" i="84"/>
  <c r="S39" i="84"/>
  <c r="R39" i="84"/>
  <c r="N39" i="84"/>
  <c r="Y38" i="84"/>
  <c r="X38" i="84"/>
  <c r="W38" i="84"/>
  <c r="V38" i="84"/>
  <c r="U38" i="84"/>
  <c r="T38" i="84"/>
  <c r="S38" i="84"/>
  <c r="R38" i="84"/>
  <c r="N38" i="84"/>
  <c r="L38" i="84"/>
  <c r="K38" i="84"/>
  <c r="J38" i="84"/>
  <c r="F38" i="84"/>
  <c r="D38" i="84"/>
  <c r="C38" i="84"/>
  <c r="Y37" i="84"/>
  <c r="X37" i="84"/>
  <c r="W37" i="84"/>
  <c r="V37" i="84"/>
  <c r="U37" i="84"/>
  <c r="T37" i="84"/>
  <c r="S37" i="84"/>
  <c r="R37" i="84"/>
  <c r="N37" i="84"/>
  <c r="Y36" i="84"/>
  <c r="X36" i="84"/>
  <c r="W36" i="84"/>
  <c r="V36" i="84"/>
  <c r="U36" i="84"/>
  <c r="T36" i="84"/>
  <c r="S36" i="84"/>
  <c r="R36" i="84"/>
  <c r="N36" i="84"/>
  <c r="L36" i="84"/>
  <c r="K36" i="84"/>
  <c r="J36" i="84"/>
  <c r="H36" i="84"/>
  <c r="F36" i="84"/>
  <c r="B36" i="84"/>
  <c r="L35" i="84"/>
  <c r="K35" i="84"/>
  <c r="J35" i="84"/>
  <c r="H35" i="84"/>
  <c r="F35" i="84"/>
  <c r="L34" i="84"/>
  <c r="K34" i="84"/>
  <c r="J34" i="84"/>
  <c r="H34" i="84"/>
  <c r="F34" i="84"/>
  <c r="Y33" i="84"/>
  <c r="X33" i="84"/>
  <c r="W33" i="84"/>
  <c r="V33" i="84"/>
  <c r="U33" i="84"/>
  <c r="T33" i="84"/>
  <c r="S33" i="84"/>
  <c r="R33" i="84"/>
  <c r="Q33" i="84"/>
  <c r="N33" i="84"/>
  <c r="L33" i="84"/>
  <c r="K33" i="84"/>
  <c r="J33" i="84"/>
  <c r="H33" i="84"/>
  <c r="F33" i="84"/>
  <c r="Y32" i="84"/>
  <c r="X32" i="84"/>
  <c r="W32" i="84"/>
  <c r="V32" i="84"/>
  <c r="U32" i="84"/>
  <c r="T32" i="84"/>
  <c r="S32" i="84"/>
  <c r="R32" i="84"/>
  <c r="Q32" i="84"/>
  <c r="N32" i="84"/>
  <c r="L32" i="84"/>
  <c r="K32" i="84"/>
  <c r="J32" i="84"/>
  <c r="H32" i="84"/>
  <c r="F32" i="84"/>
  <c r="Y31" i="84"/>
  <c r="X31" i="84"/>
  <c r="W31" i="84"/>
  <c r="V31" i="84"/>
  <c r="U31" i="84"/>
  <c r="T31" i="84"/>
  <c r="S31" i="84"/>
  <c r="R31" i="84"/>
  <c r="Q31" i="84"/>
  <c r="N31" i="84"/>
  <c r="Y30" i="84"/>
  <c r="X30" i="84"/>
  <c r="W30" i="84"/>
  <c r="V30" i="84"/>
  <c r="U30" i="84"/>
  <c r="T30" i="84"/>
  <c r="S30" i="84"/>
  <c r="R30" i="84"/>
  <c r="Q30" i="84"/>
  <c r="N30" i="84"/>
  <c r="Y29" i="84"/>
  <c r="X29" i="84"/>
  <c r="W29" i="84"/>
  <c r="V29" i="84"/>
  <c r="U29" i="84"/>
  <c r="T29" i="84"/>
  <c r="S29" i="84"/>
  <c r="R29" i="84"/>
  <c r="Q29" i="84"/>
  <c r="N29" i="84"/>
  <c r="Y28" i="84"/>
  <c r="X28" i="84"/>
  <c r="W28" i="84"/>
  <c r="V28" i="84"/>
  <c r="U28" i="84"/>
  <c r="T28" i="84"/>
  <c r="S28" i="84"/>
  <c r="R28" i="84"/>
  <c r="F28" i="84"/>
  <c r="D28" i="84"/>
  <c r="C28" i="84"/>
  <c r="F27" i="84"/>
  <c r="AA26" i="84"/>
  <c r="Y26" i="84"/>
  <c r="X26" i="84"/>
  <c r="W26" i="84"/>
  <c r="V26" i="84"/>
  <c r="U26" i="84"/>
  <c r="T26" i="84"/>
  <c r="S26" i="84"/>
  <c r="R26" i="84"/>
  <c r="P26" i="84"/>
  <c r="F26" i="84"/>
  <c r="AA25" i="84"/>
  <c r="Y25" i="84"/>
  <c r="X25" i="84"/>
  <c r="W25" i="84"/>
  <c r="V25" i="84"/>
  <c r="U25" i="84"/>
  <c r="T25" i="84"/>
  <c r="S25" i="84"/>
  <c r="R25" i="84"/>
  <c r="P25" i="84"/>
  <c r="F25" i="84"/>
  <c r="AA24" i="84"/>
  <c r="Y24" i="84"/>
  <c r="X24" i="84"/>
  <c r="W24" i="84"/>
  <c r="V24" i="84"/>
  <c r="U24" i="84"/>
  <c r="T24" i="84"/>
  <c r="S24" i="84"/>
  <c r="R24" i="84"/>
  <c r="P24" i="84"/>
  <c r="F24" i="84"/>
  <c r="AA23" i="84"/>
  <c r="Y23" i="84"/>
  <c r="X23" i="84"/>
  <c r="W23" i="84"/>
  <c r="V23" i="84"/>
  <c r="U23" i="84"/>
  <c r="T23" i="84"/>
  <c r="S23" i="84"/>
  <c r="R23" i="84"/>
  <c r="P23" i="84"/>
  <c r="F23" i="84"/>
  <c r="AA22" i="84"/>
  <c r="Y22" i="84"/>
  <c r="X22" i="84"/>
  <c r="W22" i="84"/>
  <c r="V22" i="84"/>
  <c r="U22" i="84"/>
  <c r="T22" i="84"/>
  <c r="S22" i="84"/>
  <c r="R22" i="84"/>
  <c r="P22" i="84"/>
  <c r="AA21" i="84"/>
  <c r="Y21" i="84"/>
  <c r="X21" i="84"/>
  <c r="W21" i="84"/>
  <c r="V21" i="84"/>
  <c r="U21" i="84"/>
  <c r="T21" i="84"/>
  <c r="S21" i="84"/>
  <c r="R21" i="84"/>
  <c r="P21" i="84"/>
  <c r="Y18" i="84"/>
  <c r="X18" i="84"/>
  <c r="W18" i="84"/>
  <c r="V18" i="84"/>
  <c r="U18" i="84"/>
  <c r="T18" i="84"/>
  <c r="S18" i="84"/>
  <c r="R18" i="84"/>
  <c r="P18" i="84"/>
  <c r="N18" i="84"/>
  <c r="L18" i="84"/>
  <c r="J18" i="84"/>
  <c r="E18" i="84"/>
  <c r="Y17" i="84"/>
  <c r="X17" i="84"/>
  <c r="W17" i="84"/>
  <c r="V17" i="84"/>
  <c r="U17" i="84"/>
  <c r="T17" i="84"/>
  <c r="S17" i="84"/>
  <c r="R17" i="84"/>
  <c r="P17" i="84"/>
  <c r="N17" i="84"/>
  <c r="L17" i="84"/>
  <c r="J17" i="84"/>
  <c r="Y16" i="84"/>
  <c r="X16" i="84"/>
  <c r="W16" i="84"/>
  <c r="V16" i="84"/>
  <c r="U16" i="84"/>
  <c r="T16" i="84"/>
  <c r="S16" i="84"/>
  <c r="R16" i="84"/>
  <c r="P16" i="84"/>
  <c r="N16" i="84"/>
  <c r="L16" i="84"/>
  <c r="C16" i="84"/>
  <c r="Y15" i="84"/>
  <c r="X15" i="84"/>
  <c r="W15" i="84"/>
  <c r="V15" i="84"/>
  <c r="U15" i="84"/>
  <c r="T15" i="84"/>
  <c r="S15" i="84"/>
  <c r="R15" i="84"/>
  <c r="P15" i="84"/>
  <c r="N15" i="84"/>
  <c r="L15" i="84"/>
  <c r="Y14" i="84"/>
  <c r="X14" i="84"/>
  <c r="W14" i="84"/>
  <c r="V14" i="84"/>
  <c r="U14" i="84"/>
  <c r="T14" i="84"/>
  <c r="S14" i="84"/>
  <c r="R14" i="84"/>
  <c r="P14" i="84"/>
  <c r="N14" i="84"/>
  <c r="L14" i="84"/>
  <c r="E14" i="84"/>
  <c r="L13" i="84"/>
  <c r="L12" i="84"/>
  <c r="AA11" i="84"/>
  <c r="Y11" i="84"/>
  <c r="X11" i="84"/>
  <c r="W11" i="84"/>
  <c r="V11" i="84"/>
  <c r="U11" i="84"/>
  <c r="T11" i="84"/>
  <c r="S11" i="84"/>
  <c r="R11" i="84"/>
  <c r="Q11" i="84"/>
  <c r="N11" i="84"/>
  <c r="L11" i="84"/>
  <c r="AA10" i="84"/>
  <c r="Y10" i="84"/>
  <c r="X10" i="84"/>
  <c r="W10" i="84"/>
  <c r="V10" i="84"/>
  <c r="U10" i="84"/>
  <c r="T10" i="84"/>
  <c r="S10" i="84"/>
  <c r="R10" i="84"/>
  <c r="Q10" i="84"/>
  <c r="N10" i="84"/>
  <c r="L10" i="84"/>
  <c r="AA9" i="84"/>
  <c r="Y9" i="84"/>
  <c r="X9" i="84"/>
  <c r="W9" i="84"/>
  <c r="V9" i="84"/>
  <c r="U9" i="84"/>
  <c r="T9" i="84"/>
  <c r="S9" i="84"/>
  <c r="R9" i="84"/>
  <c r="Q9" i="84"/>
  <c r="N9" i="84"/>
  <c r="L9" i="84"/>
  <c r="AA8" i="84"/>
  <c r="Y8" i="84"/>
  <c r="X8" i="84"/>
  <c r="W8" i="84"/>
  <c r="V8" i="84"/>
  <c r="U8" i="84"/>
  <c r="T8" i="84"/>
  <c r="S8" i="84"/>
  <c r="R8" i="84"/>
  <c r="Q8" i="84"/>
  <c r="N8" i="84"/>
  <c r="L8" i="84"/>
  <c r="E8" i="84"/>
  <c r="AA7" i="84"/>
  <c r="Y7" i="84"/>
  <c r="X7" i="84"/>
  <c r="W7" i="84"/>
  <c r="V7" i="84"/>
  <c r="U7" i="84"/>
  <c r="T7" i="84"/>
  <c r="S7" i="84"/>
  <c r="R7" i="84"/>
  <c r="Q7" i="84"/>
  <c r="L7" i="84"/>
  <c r="AA6" i="84"/>
  <c r="L6" i="84"/>
  <c r="E6" i="84"/>
  <c r="AA5" i="84"/>
  <c r="N5" i="84"/>
  <c r="L5" i="84"/>
  <c r="Y4" i="84"/>
  <c r="X4" i="84"/>
  <c r="W4" i="84"/>
  <c r="V4" i="84"/>
  <c r="U4" i="84"/>
  <c r="T4" i="84"/>
  <c r="S4" i="84"/>
  <c r="L4" i="84"/>
  <c r="H219" i="93"/>
  <c r="G219" i="93"/>
  <c r="F219" i="93"/>
  <c r="E219" i="93"/>
  <c r="K218" i="93"/>
  <c r="J218" i="93"/>
  <c r="I218" i="93"/>
  <c r="H218" i="93"/>
  <c r="G218" i="93"/>
  <c r="F218" i="93"/>
  <c r="H216" i="93"/>
  <c r="G216" i="93"/>
  <c r="F216" i="93"/>
  <c r="E216" i="93"/>
  <c r="H215" i="93"/>
  <c r="G215" i="93"/>
  <c r="F215" i="93"/>
  <c r="E215" i="93"/>
  <c r="K212" i="93"/>
  <c r="J212" i="93"/>
  <c r="I212" i="93"/>
  <c r="H212" i="93"/>
  <c r="G212" i="93"/>
  <c r="F212" i="93"/>
  <c r="E212" i="93"/>
  <c r="K211" i="93"/>
  <c r="J211" i="93"/>
  <c r="I211" i="93"/>
  <c r="H211" i="93"/>
  <c r="G211" i="93"/>
  <c r="F211" i="93"/>
  <c r="E211" i="93"/>
  <c r="D206" i="93"/>
  <c r="K205" i="93"/>
  <c r="J205" i="93"/>
  <c r="I205" i="93"/>
  <c r="H205" i="93"/>
  <c r="G205" i="93"/>
  <c r="F205" i="93"/>
  <c r="E205" i="93"/>
  <c r="D205" i="93"/>
  <c r="B205" i="93"/>
  <c r="D204" i="93"/>
  <c r="B204" i="93"/>
  <c r="K203" i="93"/>
  <c r="J203" i="93"/>
  <c r="I203" i="93"/>
  <c r="H203" i="93"/>
  <c r="G203" i="93"/>
  <c r="F203" i="93"/>
  <c r="E203" i="93"/>
  <c r="D203" i="93"/>
  <c r="B203" i="93"/>
  <c r="K202" i="93"/>
  <c r="J202" i="93"/>
  <c r="I202" i="93"/>
  <c r="H202" i="93"/>
  <c r="G202" i="93"/>
  <c r="F202" i="93"/>
  <c r="E202" i="93"/>
  <c r="D202" i="93"/>
  <c r="B202" i="93"/>
  <c r="K201" i="93"/>
  <c r="J201" i="93"/>
  <c r="I201" i="93"/>
  <c r="H201" i="93"/>
  <c r="G201" i="93"/>
  <c r="F201" i="93"/>
  <c r="E201" i="93"/>
  <c r="D201" i="93"/>
  <c r="B201" i="93"/>
  <c r="K198" i="93"/>
  <c r="J198" i="93"/>
  <c r="I198" i="93"/>
  <c r="H198" i="93"/>
  <c r="G198" i="93"/>
  <c r="F198" i="93"/>
  <c r="E198" i="93"/>
  <c r="D198" i="93"/>
  <c r="B198" i="93"/>
  <c r="E197" i="93"/>
  <c r="D197" i="93"/>
  <c r="B197" i="93"/>
  <c r="K196" i="93"/>
  <c r="J196" i="93"/>
  <c r="I196" i="93"/>
  <c r="H196" i="93"/>
  <c r="G196" i="93"/>
  <c r="F196" i="93"/>
  <c r="E196" i="93"/>
  <c r="D196" i="93"/>
  <c r="B196" i="93"/>
  <c r="K195" i="93"/>
  <c r="J195" i="93"/>
  <c r="I195" i="93"/>
  <c r="H195" i="93"/>
  <c r="G195" i="93"/>
  <c r="F195" i="93"/>
  <c r="E195" i="93"/>
  <c r="D195" i="93"/>
  <c r="B195" i="93"/>
  <c r="K194" i="93"/>
  <c r="J194" i="93"/>
  <c r="I194" i="93"/>
  <c r="H194" i="93"/>
  <c r="G194" i="93"/>
  <c r="F194" i="93"/>
  <c r="E194" i="93"/>
  <c r="D194" i="93"/>
  <c r="B194" i="93"/>
  <c r="K193" i="93"/>
  <c r="J193" i="93"/>
  <c r="I193" i="93"/>
  <c r="H193" i="93"/>
  <c r="G193" i="93"/>
  <c r="F193" i="93"/>
  <c r="E193" i="93"/>
  <c r="B191" i="93"/>
  <c r="B190" i="93"/>
  <c r="B189" i="93"/>
  <c r="B188" i="93"/>
  <c r="B187" i="93"/>
  <c r="K186" i="93"/>
  <c r="J186" i="93"/>
  <c r="I186" i="93"/>
  <c r="H186" i="93"/>
  <c r="G186" i="93"/>
  <c r="F186" i="93"/>
  <c r="E186" i="93"/>
  <c r="D186" i="93"/>
  <c r="H184" i="93"/>
  <c r="G184" i="93"/>
  <c r="F184" i="93"/>
  <c r="E184" i="93"/>
  <c r="D184" i="93"/>
  <c r="H183" i="93"/>
  <c r="G183" i="93"/>
  <c r="F183" i="93"/>
  <c r="E183" i="93"/>
  <c r="D183" i="93"/>
  <c r="H182" i="93"/>
  <c r="G182" i="93"/>
  <c r="F182" i="93"/>
  <c r="E182" i="93"/>
  <c r="D182" i="93"/>
  <c r="H181" i="93"/>
  <c r="G181" i="93"/>
  <c r="F181" i="93"/>
  <c r="E181" i="93"/>
  <c r="D181" i="93"/>
  <c r="H180" i="93"/>
  <c r="G180" i="93"/>
  <c r="F180" i="93"/>
  <c r="E180" i="93"/>
  <c r="D180" i="93"/>
  <c r="H179" i="93"/>
  <c r="G179" i="93"/>
  <c r="F179" i="93"/>
  <c r="E179" i="93"/>
  <c r="D179" i="93"/>
  <c r="H178" i="93"/>
  <c r="G178" i="93"/>
  <c r="F178" i="93"/>
  <c r="E178" i="93"/>
  <c r="D178" i="93"/>
  <c r="H177" i="93"/>
  <c r="G177" i="93"/>
  <c r="F177" i="93"/>
  <c r="E177" i="93"/>
  <c r="D177" i="93"/>
  <c r="E174" i="93"/>
  <c r="D174" i="93"/>
  <c r="K173" i="93"/>
  <c r="J173" i="93"/>
  <c r="I173" i="93"/>
  <c r="H173" i="93"/>
  <c r="G173" i="93"/>
  <c r="F173" i="93"/>
  <c r="E173" i="93"/>
  <c r="B173" i="93"/>
  <c r="E172" i="93"/>
  <c r="B172" i="93"/>
  <c r="K171" i="93"/>
  <c r="J171" i="93"/>
  <c r="I171" i="93"/>
  <c r="H171" i="93"/>
  <c r="G171" i="93"/>
  <c r="F171" i="93"/>
  <c r="E171" i="93"/>
  <c r="B171" i="93"/>
  <c r="K170" i="93"/>
  <c r="J170" i="93"/>
  <c r="I170" i="93"/>
  <c r="H170" i="93"/>
  <c r="G170" i="93"/>
  <c r="F170" i="93"/>
  <c r="E170" i="93"/>
  <c r="B170" i="93"/>
  <c r="K169" i="93"/>
  <c r="J169" i="93"/>
  <c r="I169" i="93"/>
  <c r="H169" i="93"/>
  <c r="G169" i="93"/>
  <c r="F169" i="93"/>
  <c r="E169" i="93"/>
  <c r="B169" i="93"/>
  <c r="K166" i="93"/>
  <c r="J166" i="93"/>
  <c r="I166" i="93"/>
  <c r="H166" i="93"/>
  <c r="G166" i="93"/>
  <c r="F166" i="93"/>
  <c r="E166" i="93"/>
  <c r="D166" i="93"/>
  <c r="B166" i="93"/>
  <c r="K165" i="93"/>
  <c r="J165" i="93"/>
  <c r="I165" i="93"/>
  <c r="H165" i="93"/>
  <c r="G165" i="93"/>
  <c r="F165" i="93"/>
  <c r="E165" i="93"/>
  <c r="D165" i="93"/>
  <c r="B165" i="93"/>
  <c r="K164" i="93"/>
  <c r="J164" i="93"/>
  <c r="I164" i="93"/>
  <c r="H164" i="93"/>
  <c r="G164" i="93"/>
  <c r="F164" i="93"/>
  <c r="E164" i="93"/>
  <c r="D164" i="93"/>
  <c r="B164" i="93"/>
  <c r="K163" i="93"/>
  <c r="J163" i="93"/>
  <c r="I163" i="93"/>
  <c r="H163" i="93"/>
  <c r="G163" i="93"/>
  <c r="F163" i="93"/>
  <c r="E163" i="93"/>
  <c r="D163" i="93"/>
  <c r="B163" i="93"/>
  <c r="K162" i="93"/>
  <c r="J162" i="93"/>
  <c r="I162" i="93"/>
  <c r="H162" i="93"/>
  <c r="G162" i="93"/>
  <c r="F162" i="93"/>
  <c r="E162" i="93"/>
  <c r="D162" i="93"/>
  <c r="B162" i="93"/>
  <c r="K161" i="93"/>
  <c r="J161" i="93"/>
  <c r="I161" i="93"/>
  <c r="H161" i="93"/>
  <c r="G161" i="93"/>
  <c r="F161" i="93"/>
  <c r="E161" i="93"/>
  <c r="E159" i="93"/>
  <c r="B159" i="93"/>
  <c r="E158" i="93"/>
  <c r="B158" i="93"/>
  <c r="E157" i="93"/>
  <c r="B157" i="93"/>
  <c r="E156" i="93"/>
  <c r="B156" i="93"/>
  <c r="E155" i="93"/>
  <c r="B155" i="93"/>
  <c r="K151" i="93"/>
  <c r="J151" i="93"/>
  <c r="I151" i="93"/>
  <c r="H151" i="93"/>
  <c r="G151" i="93"/>
  <c r="F151" i="93"/>
  <c r="E151" i="93"/>
  <c r="B151" i="93"/>
  <c r="K150" i="93"/>
  <c r="J150" i="93"/>
  <c r="I150" i="93"/>
  <c r="H150" i="93"/>
  <c r="G150" i="93"/>
  <c r="F150" i="93"/>
  <c r="E150" i="93"/>
  <c r="B150" i="93"/>
  <c r="K149" i="93"/>
  <c r="J149" i="93"/>
  <c r="I149" i="93"/>
  <c r="H149" i="93"/>
  <c r="G149" i="93"/>
  <c r="F149" i="93"/>
  <c r="E149" i="93"/>
  <c r="B149" i="93"/>
  <c r="K148" i="93"/>
  <c r="J148" i="93"/>
  <c r="I148" i="93"/>
  <c r="H148" i="93"/>
  <c r="G148" i="93"/>
  <c r="F148" i="93"/>
  <c r="E148" i="93"/>
  <c r="B148" i="93"/>
  <c r="K147" i="93"/>
  <c r="J147" i="93"/>
  <c r="I147" i="93"/>
  <c r="H147" i="93"/>
  <c r="G147" i="93"/>
  <c r="F147" i="93"/>
  <c r="E147" i="93"/>
  <c r="B147" i="93"/>
  <c r="K145" i="93"/>
  <c r="J145" i="93"/>
  <c r="I145" i="93"/>
  <c r="H145" i="93"/>
  <c r="G145" i="93"/>
  <c r="F145" i="93"/>
  <c r="E145" i="93"/>
  <c r="K144" i="93"/>
  <c r="J144" i="93"/>
  <c r="I144" i="93"/>
  <c r="H144" i="93"/>
  <c r="G144" i="93"/>
  <c r="F144" i="93"/>
  <c r="E144" i="93"/>
  <c r="K143" i="93"/>
  <c r="J143" i="93"/>
  <c r="I143" i="93"/>
  <c r="H143" i="93"/>
  <c r="G143" i="93"/>
  <c r="F143" i="93"/>
  <c r="E143" i="93"/>
  <c r="K142" i="93"/>
  <c r="J142" i="93"/>
  <c r="I142" i="93"/>
  <c r="H142" i="93"/>
  <c r="G142" i="93"/>
  <c r="F142" i="93"/>
  <c r="E142" i="93"/>
  <c r="K141" i="93"/>
  <c r="J141" i="93"/>
  <c r="I141" i="93"/>
  <c r="H141" i="93"/>
  <c r="G141" i="93"/>
  <c r="F141" i="93"/>
  <c r="E141" i="93"/>
  <c r="K140" i="93"/>
  <c r="J140" i="93"/>
  <c r="I140" i="93"/>
  <c r="H140" i="93"/>
  <c r="G140" i="93"/>
  <c r="F140" i="93"/>
  <c r="E140" i="93"/>
  <c r="K139" i="93"/>
  <c r="J139" i="93"/>
  <c r="I139" i="93"/>
  <c r="H139" i="93"/>
  <c r="G139" i="93"/>
  <c r="F139" i="93"/>
  <c r="E139" i="93"/>
  <c r="C136" i="93"/>
  <c r="B135" i="93"/>
  <c r="C132" i="93"/>
  <c r="B131" i="93"/>
  <c r="K128" i="93"/>
  <c r="J128" i="93"/>
  <c r="I128" i="93"/>
  <c r="H128" i="93"/>
  <c r="G128" i="93"/>
  <c r="F128" i="93"/>
  <c r="E128" i="93"/>
  <c r="D128" i="93"/>
  <c r="K127" i="93"/>
  <c r="J127" i="93"/>
  <c r="I127" i="93"/>
  <c r="H127" i="93"/>
  <c r="G127" i="93"/>
  <c r="F127" i="93"/>
  <c r="E127" i="93"/>
  <c r="D127" i="93"/>
  <c r="K126" i="93"/>
  <c r="J126" i="93"/>
  <c r="I126" i="93"/>
  <c r="H126" i="93"/>
  <c r="G126" i="93"/>
  <c r="F126" i="93"/>
  <c r="E126" i="93"/>
  <c r="K125" i="93"/>
  <c r="J125" i="93"/>
  <c r="I125" i="93"/>
  <c r="H125" i="93"/>
  <c r="G125" i="93"/>
  <c r="F125" i="93"/>
  <c r="E125" i="93"/>
  <c r="T124" i="93"/>
  <c r="S124" i="93"/>
  <c r="R124" i="93"/>
  <c r="Q124" i="93"/>
  <c r="P124" i="93"/>
  <c r="O124" i="93"/>
  <c r="N124" i="93"/>
  <c r="K124" i="93"/>
  <c r="J124" i="93"/>
  <c r="I124" i="93"/>
  <c r="H124" i="93"/>
  <c r="G124" i="93"/>
  <c r="F124" i="93"/>
  <c r="E124" i="93"/>
  <c r="T123" i="93"/>
  <c r="S123" i="93"/>
  <c r="R123" i="93"/>
  <c r="Q123" i="93"/>
  <c r="P123" i="93"/>
  <c r="O123" i="93"/>
  <c r="N123" i="93"/>
  <c r="K123" i="93"/>
  <c r="J123" i="93"/>
  <c r="I123" i="93"/>
  <c r="H123" i="93"/>
  <c r="G123" i="93"/>
  <c r="F123" i="93"/>
  <c r="E123" i="93"/>
  <c r="D123" i="93"/>
  <c r="Y122" i="93"/>
  <c r="X122" i="93"/>
  <c r="W122" i="93"/>
  <c r="K122" i="93"/>
  <c r="J122" i="93"/>
  <c r="I122" i="93"/>
  <c r="H122" i="93"/>
  <c r="G122" i="93"/>
  <c r="F122" i="93"/>
  <c r="E122" i="93"/>
  <c r="D122" i="93"/>
  <c r="W121" i="93"/>
  <c r="T121" i="93"/>
  <c r="S121" i="93"/>
  <c r="R121" i="93"/>
  <c r="Q121" i="93"/>
  <c r="P121" i="93"/>
  <c r="O121" i="93"/>
  <c r="N121" i="93"/>
  <c r="K121" i="93"/>
  <c r="J121" i="93"/>
  <c r="I121" i="93"/>
  <c r="H121" i="93"/>
  <c r="G121" i="93"/>
  <c r="F121" i="93"/>
  <c r="E121" i="93"/>
  <c r="D121" i="93"/>
  <c r="W120" i="93"/>
  <c r="T120" i="93"/>
  <c r="S120" i="93"/>
  <c r="R120" i="93"/>
  <c r="Q120" i="93"/>
  <c r="P120" i="93"/>
  <c r="O120" i="93"/>
  <c r="N120" i="93"/>
  <c r="M120" i="93"/>
  <c r="K120" i="93"/>
  <c r="J120" i="93"/>
  <c r="I120" i="93"/>
  <c r="H120" i="93"/>
  <c r="G120" i="93"/>
  <c r="F120" i="93"/>
  <c r="E120" i="93"/>
  <c r="D120" i="93"/>
  <c r="T119" i="93"/>
  <c r="S119" i="93"/>
  <c r="R119" i="93"/>
  <c r="Q119" i="93"/>
  <c r="P119" i="93"/>
  <c r="O119" i="93"/>
  <c r="N119" i="93"/>
  <c r="M119" i="93"/>
  <c r="K119" i="93"/>
  <c r="J119" i="93"/>
  <c r="I119" i="93"/>
  <c r="H119" i="93"/>
  <c r="G119" i="93"/>
  <c r="F119" i="93"/>
  <c r="E119" i="93"/>
  <c r="D119" i="93"/>
  <c r="Y118" i="93"/>
  <c r="X118" i="93"/>
  <c r="W118" i="93"/>
  <c r="K118" i="93"/>
  <c r="J118" i="93"/>
  <c r="I118" i="93"/>
  <c r="H118" i="93"/>
  <c r="G118" i="93"/>
  <c r="F118" i="93"/>
  <c r="E118" i="93"/>
  <c r="W117" i="93"/>
  <c r="T117" i="93"/>
  <c r="S117" i="93"/>
  <c r="R117" i="93"/>
  <c r="Q117" i="93"/>
  <c r="P117" i="93"/>
  <c r="O117" i="93"/>
  <c r="N117" i="93"/>
  <c r="T116" i="93"/>
  <c r="S116" i="93"/>
  <c r="R116" i="93"/>
  <c r="Q116" i="93"/>
  <c r="P116" i="93"/>
  <c r="O116" i="93"/>
  <c r="N116" i="93"/>
  <c r="M116" i="93"/>
  <c r="W115" i="93"/>
  <c r="T115" i="93"/>
  <c r="S115" i="93"/>
  <c r="R115" i="93"/>
  <c r="Q115" i="93"/>
  <c r="P115" i="93"/>
  <c r="O115" i="93"/>
  <c r="N115" i="93"/>
  <c r="M115" i="93"/>
  <c r="K114" i="93"/>
  <c r="J114" i="93"/>
  <c r="I114" i="93"/>
  <c r="H114" i="93"/>
  <c r="G114" i="93"/>
  <c r="F114" i="93"/>
  <c r="E114" i="93"/>
  <c r="B114" i="93"/>
  <c r="W113" i="93"/>
  <c r="T113" i="93"/>
  <c r="S113" i="93"/>
  <c r="R113" i="93"/>
  <c r="Q113" i="93"/>
  <c r="P113" i="93"/>
  <c r="O113" i="93"/>
  <c r="N113" i="93"/>
  <c r="K113" i="93"/>
  <c r="J113" i="93"/>
  <c r="I113" i="93"/>
  <c r="H113" i="93"/>
  <c r="G113" i="93"/>
  <c r="F113" i="93"/>
  <c r="E113" i="93"/>
  <c r="B113" i="93"/>
  <c r="T112" i="93"/>
  <c r="S112" i="93"/>
  <c r="R112" i="93"/>
  <c r="Q112" i="93"/>
  <c r="P112" i="93"/>
  <c r="O112" i="93"/>
  <c r="N112" i="93"/>
  <c r="M112" i="93"/>
  <c r="K112" i="93"/>
  <c r="J112" i="93"/>
  <c r="I112" i="93"/>
  <c r="H112" i="93"/>
  <c r="G112" i="93"/>
  <c r="F112" i="93"/>
  <c r="E112" i="93"/>
  <c r="B112" i="93"/>
  <c r="T111" i="93"/>
  <c r="S111" i="93"/>
  <c r="R111" i="93"/>
  <c r="Q111" i="93"/>
  <c r="P111" i="93"/>
  <c r="O111" i="93"/>
  <c r="N111" i="93"/>
  <c r="M111" i="93"/>
  <c r="K111" i="93"/>
  <c r="J111" i="93"/>
  <c r="I111" i="93"/>
  <c r="H111" i="93"/>
  <c r="G111" i="93"/>
  <c r="F111" i="93"/>
  <c r="E111" i="93"/>
  <c r="B111" i="93"/>
  <c r="K110" i="93"/>
  <c r="J110" i="93"/>
  <c r="I110" i="93"/>
  <c r="H110" i="93"/>
  <c r="G110" i="93"/>
  <c r="F110" i="93"/>
  <c r="E110" i="93"/>
  <c r="B110" i="93"/>
  <c r="T109" i="93"/>
  <c r="S109" i="93"/>
  <c r="R109" i="93"/>
  <c r="Q109" i="93"/>
  <c r="P109" i="93"/>
  <c r="O109" i="93"/>
  <c r="N109" i="93"/>
  <c r="Y108" i="93"/>
  <c r="X108" i="93"/>
  <c r="W108" i="93"/>
  <c r="T108" i="93"/>
  <c r="S108" i="93"/>
  <c r="R108" i="93"/>
  <c r="Q108" i="93"/>
  <c r="P108" i="93"/>
  <c r="O108" i="93"/>
  <c r="N108" i="93"/>
  <c r="M108" i="93"/>
  <c r="W107" i="93"/>
  <c r="T107" i="93"/>
  <c r="S107" i="93"/>
  <c r="R107" i="93"/>
  <c r="Q107" i="93"/>
  <c r="P107" i="93"/>
  <c r="O107" i="93"/>
  <c r="N107" i="93"/>
  <c r="M107" i="93"/>
  <c r="K107" i="93"/>
  <c r="J107" i="93"/>
  <c r="I107" i="93"/>
  <c r="H107" i="93"/>
  <c r="G107" i="93"/>
  <c r="F107" i="93"/>
  <c r="E107" i="93"/>
  <c r="W106" i="93"/>
  <c r="K106" i="93"/>
  <c r="J106" i="93"/>
  <c r="I106" i="93"/>
  <c r="H106" i="93"/>
  <c r="G106" i="93"/>
  <c r="F106" i="93"/>
  <c r="E106" i="93"/>
  <c r="T105" i="93"/>
  <c r="S105" i="93"/>
  <c r="R105" i="93"/>
  <c r="Q105" i="93"/>
  <c r="P105" i="93"/>
  <c r="O105" i="93"/>
  <c r="N105" i="93"/>
  <c r="K105" i="93"/>
  <c r="J105" i="93"/>
  <c r="I105" i="93"/>
  <c r="H105" i="93"/>
  <c r="G105" i="93"/>
  <c r="F105" i="93"/>
  <c r="E105" i="93"/>
  <c r="Y104" i="93"/>
  <c r="X104" i="93"/>
  <c r="W104" i="93"/>
  <c r="T104" i="93"/>
  <c r="S104" i="93"/>
  <c r="R104" i="93"/>
  <c r="Q104" i="93"/>
  <c r="P104" i="93"/>
  <c r="O104" i="93"/>
  <c r="N104" i="93"/>
  <c r="M104" i="93"/>
  <c r="K104" i="93"/>
  <c r="J104" i="93"/>
  <c r="I104" i="93"/>
  <c r="H104" i="93"/>
  <c r="G104" i="93"/>
  <c r="F104" i="93"/>
  <c r="E104" i="93"/>
  <c r="W103" i="93"/>
  <c r="T103" i="93"/>
  <c r="S103" i="93"/>
  <c r="R103" i="93"/>
  <c r="Q103" i="93"/>
  <c r="P103" i="93"/>
  <c r="O103" i="93"/>
  <c r="N103" i="93"/>
  <c r="K103" i="93"/>
  <c r="J103" i="93"/>
  <c r="I103" i="93"/>
  <c r="H103" i="93"/>
  <c r="G103" i="93"/>
  <c r="F103" i="93"/>
  <c r="E103" i="93"/>
  <c r="K102" i="93"/>
  <c r="J102" i="93"/>
  <c r="I102" i="93"/>
  <c r="H102" i="93"/>
  <c r="G102" i="93"/>
  <c r="F102" i="93"/>
  <c r="E102" i="93"/>
  <c r="W101" i="93"/>
  <c r="T101" i="93"/>
  <c r="S101" i="93"/>
  <c r="R101" i="93"/>
  <c r="Q101" i="93"/>
  <c r="P101" i="93"/>
  <c r="O101" i="93"/>
  <c r="N101" i="93"/>
  <c r="K101" i="93"/>
  <c r="J101" i="93"/>
  <c r="I101" i="93"/>
  <c r="H101" i="93"/>
  <c r="G101" i="93"/>
  <c r="F101" i="93"/>
  <c r="E101" i="93"/>
  <c r="T100" i="93"/>
  <c r="S100" i="93"/>
  <c r="R100" i="93"/>
  <c r="Q100" i="93"/>
  <c r="P100" i="93"/>
  <c r="O100" i="93"/>
  <c r="N100" i="93"/>
  <c r="M100" i="93"/>
  <c r="W99" i="93"/>
  <c r="T99" i="93"/>
  <c r="S99" i="93"/>
  <c r="R99" i="93"/>
  <c r="Q99" i="93"/>
  <c r="P99" i="93"/>
  <c r="O99" i="93"/>
  <c r="N99" i="93"/>
  <c r="K99" i="93"/>
  <c r="J99" i="93"/>
  <c r="I99" i="93"/>
  <c r="H99" i="93"/>
  <c r="G99" i="93"/>
  <c r="F99" i="93"/>
  <c r="E99" i="93"/>
  <c r="D99" i="93"/>
  <c r="K98" i="93"/>
  <c r="J98" i="93"/>
  <c r="K97" i="93"/>
  <c r="J97" i="93"/>
  <c r="U96" i="93"/>
  <c r="T96" i="93"/>
  <c r="S96" i="93"/>
  <c r="R96" i="93"/>
  <c r="Q96" i="93"/>
  <c r="P96" i="93"/>
  <c r="O96" i="93"/>
  <c r="N96" i="93"/>
  <c r="T95" i="93"/>
  <c r="S95" i="93"/>
  <c r="R95" i="93"/>
  <c r="Q95" i="93"/>
  <c r="P95" i="93"/>
  <c r="O95" i="93"/>
  <c r="N95" i="93"/>
  <c r="Y94" i="93"/>
  <c r="X94" i="93"/>
  <c r="W94" i="93"/>
  <c r="T92" i="93"/>
  <c r="S92" i="93"/>
  <c r="R92" i="93"/>
  <c r="Q92" i="93"/>
  <c r="P92" i="93"/>
  <c r="O92" i="93"/>
  <c r="N92" i="93"/>
  <c r="M92" i="93"/>
  <c r="T91" i="93"/>
  <c r="S91" i="93"/>
  <c r="R91" i="93"/>
  <c r="Q91" i="93"/>
  <c r="P91" i="93"/>
  <c r="O91" i="93"/>
  <c r="N91" i="93"/>
  <c r="M91" i="93"/>
  <c r="Y90" i="93"/>
  <c r="X90" i="93"/>
  <c r="W90" i="93"/>
  <c r="T90" i="93"/>
  <c r="S90" i="93"/>
  <c r="R90" i="93"/>
  <c r="Q90" i="93"/>
  <c r="P90" i="93"/>
  <c r="O90" i="93"/>
  <c r="N90" i="93"/>
  <c r="M90" i="93"/>
  <c r="I90" i="93"/>
  <c r="H90" i="93"/>
  <c r="G90" i="93"/>
  <c r="F90" i="93"/>
  <c r="E90" i="93"/>
  <c r="D90" i="93"/>
  <c r="W89" i="93"/>
  <c r="T89" i="93"/>
  <c r="S89" i="93"/>
  <c r="R89" i="93"/>
  <c r="Q89" i="93"/>
  <c r="P89" i="93"/>
  <c r="O89" i="93"/>
  <c r="N89" i="93"/>
  <c r="M89" i="93"/>
  <c r="T88" i="93"/>
  <c r="S88" i="93"/>
  <c r="R88" i="93"/>
  <c r="Q88" i="93"/>
  <c r="P88" i="93"/>
  <c r="O88" i="93"/>
  <c r="N88" i="93"/>
  <c r="M88" i="93"/>
  <c r="W87" i="93"/>
  <c r="T87" i="93"/>
  <c r="S87" i="93"/>
  <c r="R87" i="93"/>
  <c r="Q87" i="93"/>
  <c r="P87" i="93"/>
  <c r="O87" i="93"/>
  <c r="N87" i="93"/>
  <c r="M87" i="93"/>
  <c r="W85" i="93"/>
  <c r="C85" i="93"/>
  <c r="B85" i="93"/>
  <c r="T84" i="93"/>
  <c r="S84" i="93"/>
  <c r="R84" i="93"/>
  <c r="Q84" i="93"/>
  <c r="P84" i="93"/>
  <c r="O84" i="93"/>
  <c r="N84" i="93"/>
  <c r="M84" i="93"/>
  <c r="B84" i="93"/>
  <c r="W83" i="93"/>
  <c r="V83" i="93"/>
  <c r="T83" i="93"/>
  <c r="S83" i="93"/>
  <c r="R83" i="93"/>
  <c r="Q83" i="93"/>
  <c r="P83" i="93"/>
  <c r="O83" i="93"/>
  <c r="N83" i="93"/>
  <c r="M83" i="93"/>
  <c r="T82" i="93"/>
  <c r="S82" i="93"/>
  <c r="R82" i="93"/>
  <c r="Q82" i="93"/>
  <c r="P82" i="93"/>
  <c r="O82" i="93"/>
  <c r="N82" i="93"/>
  <c r="M82" i="93"/>
  <c r="T81" i="93"/>
  <c r="S81" i="93"/>
  <c r="R81" i="93"/>
  <c r="Q81" i="93"/>
  <c r="P81" i="93"/>
  <c r="O81" i="93"/>
  <c r="N81" i="93"/>
  <c r="M81" i="93"/>
  <c r="T80" i="93"/>
  <c r="S80" i="93"/>
  <c r="R80" i="93"/>
  <c r="Q80" i="93"/>
  <c r="P80" i="93"/>
  <c r="O80" i="93"/>
  <c r="N80" i="93"/>
  <c r="M80" i="93"/>
  <c r="T79" i="93"/>
  <c r="S79" i="93"/>
  <c r="R79" i="93"/>
  <c r="Q79" i="93"/>
  <c r="P79" i="93"/>
  <c r="O79" i="93"/>
  <c r="N79" i="93"/>
  <c r="M79" i="93"/>
  <c r="X78" i="93"/>
  <c r="W78" i="93"/>
  <c r="M78" i="93"/>
  <c r="I77" i="93"/>
  <c r="H77" i="93"/>
  <c r="G77" i="93"/>
  <c r="F77" i="93"/>
  <c r="E77" i="93"/>
  <c r="D77" i="93"/>
  <c r="C77" i="93"/>
  <c r="B77" i="93"/>
  <c r="T76" i="93"/>
  <c r="S76" i="93"/>
  <c r="R76" i="93"/>
  <c r="Q76" i="93"/>
  <c r="P76" i="93"/>
  <c r="O76" i="93"/>
  <c r="N76" i="93"/>
  <c r="M76" i="93"/>
  <c r="I76" i="93"/>
  <c r="H76" i="93"/>
  <c r="G76" i="93"/>
  <c r="F76" i="93"/>
  <c r="E76" i="93"/>
  <c r="D76" i="93"/>
  <c r="C76" i="93"/>
  <c r="B76" i="93"/>
  <c r="T75" i="93"/>
  <c r="S75" i="93"/>
  <c r="R75" i="93"/>
  <c r="Q75" i="93"/>
  <c r="P75" i="93"/>
  <c r="O75" i="93"/>
  <c r="N75" i="93"/>
  <c r="M75" i="93"/>
  <c r="D75" i="93"/>
  <c r="C75" i="93"/>
  <c r="B75" i="93"/>
  <c r="X74" i="93"/>
  <c r="W74" i="93"/>
  <c r="T74" i="93"/>
  <c r="S74" i="93"/>
  <c r="R74" i="93"/>
  <c r="Q74" i="93"/>
  <c r="P74" i="93"/>
  <c r="O74" i="93"/>
  <c r="N74" i="93"/>
  <c r="M74" i="93"/>
  <c r="C74" i="93"/>
  <c r="B74" i="93"/>
  <c r="W73" i="93"/>
  <c r="T73" i="93"/>
  <c r="S73" i="93"/>
  <c r="R73" i="93"/>
  <c r="Q73" i="93"/>
  <c r="P73" i="93"/>
  <c r="O73" i="93"/>
  <c r="N73" i="93"/>
  <c r="M73" i="93"/>
  <c r="B73" i="93"/>
  <c r="T72" i="93"/>
  <c r="S72" i="93"/>
  <c r="R72" i="93"/>
  <c r="Q72" i="93"/>
  <c r="P72" i="93"/>
  <c r="O72" i="93"/>
  <c r="N72" i="93"/>
  <c r="M72" i="93"/>
  <c r="F72" i="93"/>
  <c r="E72" i="93"/>
  <c r="D72" i="93"/>
  <c r="C72" i="93"/>
  <c r="B72" i="93"/>
  <c r="T71" i="93"/>
  <c r="S71" i="93"/>
  <c r="R71" i="93"/>
  <c r="Q71" i="93"/>
  <c r="P71" i="93"/>
  <c r="O71" i="93"/>
  <c r="N71" i="93"/>
  <c r="M71" i="93"/>
  <c r="I71" i="93"/>
  <c r="H71" i="93"/>
  <c r="G71" i="93"/>
  <c r="F71" i="93"/>
  <c r="E71" i="93"/>
  <c r="D71" i="93"/>
  <c r="C71" i="93"/>
  <c r="B71" i="93"/>
  <c r="W70" i="93"/>
  <c r="M70" i="93"/>
  <c r="W69" i="93"/>
  <c r="I69" i="93"/>
  <c r="H69" i="93"/>
  <c r="G69" i="93"/>
  <c r="F69" i="93"/>
  <c r="E69" i="93"/>
  <c r="D69" i="93"/>
  <c r="C69" i="93"/>
  <c r="T68" i="93"/>
  <c r="S68" i="93"/>
  <c r="R68" i="93"/>
  <c r="Q68" i="93"/>
  <c r="P68" i="93"/>
  <c r="O68" i="93"/>
  <c r="N68" i="93"/>
  <c r="M68" i="93"/>
  <c r="T67" i="93"/>
  <c r="S67" i="93"/>
  <c r="R67" i="93"/>
  <c r="Q67" i="93"/>
  <c r="P67" i="93"/>
  <c r="O67" i="93"/>
  <c r="N67" i="93"/>
  <c r="M67" i="93"/>
  <c r="E67" i="93"/>
  <c r="D67" i="93"/>
  <c r="M66" i="93"/>
  <c r="E66" i="93"/>
  <c r="D66" i="93"/>
  <c r="T65" i="93"/>
  <c r="S65" i="93"/>
  <c r="R65" i="93"/>
  <c r="Q65" i="93"/>
  <c r="P65" i="93"/>
  <c r="O65" i="93"/>
  <c r="N65" i="93"/>
  <c r="M65" i="93"/>
  <c r="E65" i="93"/>
  <c r="D65" i="93"/>
  <c r="X64" i="93"/>
  <c r="W64" i="93"/>
  <c r="V64" i="93"/>
  <c r="T64" i="93"/>
  <c r="S64" i="93"/>
  <c r="R64" i="93"/>
  <c r="Q64" i="93"/>
  <c r="P64" i="93"/>
  <c r="O64" i="93"/>
  <c r="N64" i="93"/>
  <c r="M64" i="93"/>
  <c r="E64" i="93"/>
  <c r="T63" i="93"/>
  <c r="S63" i="93"/>
  <c r="R63" i="93"/>
  <c r="Q63" i="93"/>
  <c r="P63" i="93"/>
  <c r="O63" i="93"/>
  <c r="N63" i="93"/>
  <c r="M63" i="93"/>
  <c r="E63" i="93"/>
  <c r="AB62" i="93"/>
  <c r="AA62" i="93"/>
  <c r="E62" i="93"/>
  <c r="X61" i="93"/>
  <c r="W61" i="93"/>
  <c r="E61" i="93"/>
  <c r="W60" i="93"/>
  <c r="T60" i="93"/>
  <c r="S60" i="93"/>
  <c r="R60" i="93"/>
  <c r="Q60" i="93"/>
  <c r="P60" i="93"/>
  <c r="O60" i="93"/>
  <c r="N60" i="93"/>
  <c r="M60" i="93"/>
  <c r="E60" i="93"/>
  <c r="AB59" i="93"/>
  <c r="AA59" i="93"/>
  <c r="W59" i="93"/>
  <c r="V59" i="93"/>
  <c r="T59" i="93"/>
  <c r="S59" i="93"/>
  <c r="R59" i="93"/>
  <c r="Q59" i="93"/>
  <c r="P59" i="93"/>
  <c r="O59" i="93"/>
  <c r="N59" i="93"/>
  <c r="M59" i="93"/>
  <c r="E59" i="93"/>
  <c r="AA58" i="93"/>
  <c r="T58" i="93"/>
  <c r="S58" i="93"/>
  <c r="R58" i="93"/>
  <c r="Q58" i="93"/>
  <c r="P58" i="93"/>
  <c r="O58" i="93"/>
  <c r="N58" i="93"/>
  <c r="M58" i="93"/>
  <c r="W57" i="93"/>
  <c r="T57" i="93"/>
  <c r="S57" i="93"/>
  <c r="R57" i="93"/>
  <c r="Q57" i="93"/>
  <c r="P57" i="93"/>
  <c r="O57" i="93"/>
  <c r="N57" i="93"/>
  <c r="M57" i="93"/>
  <c r="T56" i="93"/>
  <c r="S56" i="93"/>
  <c r="R56" i="93"/>
  <c r="Q56" i="93"/>
  <c r="P56" i="93"/>
  <c r="O56" i="93"/>
  <c r="N56" i="93"/>
  <c r="M56" i="93"/>
  <c r="E56" i="93"/>
  <c r="D56" i="93"/>
  <c r="AA55" i="93"/>
  <c r="T55" i="93"/>
  <c r="S55" i="93"/>
  <c r="R55" i="93"/>
  <c r="Q55" i="93"/>
  <c r="P55" i="93"/>
  <c r="O55" i="93"/>
  <c r="N55" i="93"/>
  <c r="M55" i="93"/>
  <c r="E55" i="93"/>
  <c r="AA54" i="93"/>
  <c r="W54" i="93"/>
  <c r="T54" i="93"/>
  <c r="S54" i="93"/>
  <c r="R54" i="93"/>
  <c r="Q54" i="93"/>
  <c r="P54" i="93"/>
  <c r="O54" i="93"/>
  <c r="N54" i="93"/>
  <c r="M54" i="93"/>
  <c r="E54" i="93"/>
  <c r="AA53" i="93"/>
  <c r="Z53" i="93"/>
  <c r="V53" i="93"/>
  <c r="E53" i="93"/>
  <c r="E52" i="93"/>
  <c r="T51" i="93"/>
  <c r="S51" i="93"/>
  <c r="R51" i="93"/>
  <c r="Q51" i="93"/>
  <c r="P51" i="93"/>
  <c r="O51" i="93"/>
  <c r="N51" i="93"/>
  <c r="M51" i="93"/>
  <c r="E51" i="93"/>
  <c r="T50" i="93"/>
  <c r="S50" i="93"/>
  <c r="R50" i="93"/>
  <c r="Q50" i="93"/>
  <c r="P50" i="93"/>
  <c r="O50" i="93"/>
  <c r="N50" i="93"/>
  <c r="M50" i="93"/>
  <c r="E50" i="93"/>
  <c r="T49" i="93"/>
  <c r="S49" i="93"/>
  <c r="R49" i="93"/>
  <c r="Q49" i="93"/>
  <c r="P49" i="93"/>
  <c r="O49" i="93"/>
  <c r="N49" i="93"/>
  <c r="E49" i="93"/>
  <c r="X48" i="93"/>
  <c r="W48" i="93"/>
  <c r="T48" i="93"/>
  <c r="S48" i="93"/>
  <c r="R48" i="93"/>
  <c r="Q48" i="93"/>
  <c r="P48" i="93"/>
  <c r="O48" i="93"/>
  <c r="N48" i="93"/>
  <c r="M48" i="93"/>
  <c r="T47" i="93"/>
  <c r="S47" i="93"/>
  <c r="R47" i="93"/>
  <c r="Q47" i="93"/>
  <c r="P47" i="93"/>
  <c r="O47" i="93"/>
  <c r="N47" i="93"/>
  <c r="M47" i="93"/>
  <c r="T46" i="93"/>
  <c r="S46" i="93"/>
  <c r="R46" i="93"/>
  <c r="Q46" i="93"/>
  <c r="P46" i="93"/>
  <c r="O46" i="93"/>
  <c r="N46" i="93"/>
  <c r="M46" i="93"/>
  <c r="E46" i="93"/>
  <c r="D46" i="93"/>
  <c r="AB45" i="93"/>
  <c r="AA45" i="93"/>
  <c r="X45" i="93"/>
  <c r="W45" i="93"/>
  <c r="T45" i="93"/>
  <c r="S45" i="93"/>
  <c r="R45" i="93"/>
  <c r="Q45" i="93"/>
  <c r="P45" i="93"/>
  <c r="O45" i="93"/>
  <c r="N45" i="93"/>
  <c r="M45" i="93"/>
  <c r="E45" i="93"/>
  <c r="X44" i="93"/>
  <c r="W44" i="93"/>
  <c r="E44" i="93"/>
  <c r="E43" i="93"/>
  <c r="AB42" i="93"/>
  <c r="AA42" i="93"/>
  <c r="W42" i="93"/>
  <c r="T42" i="93"/>
  <c r="S42" i="93"/>
  <c r="R42" i="93"/>
  <c r="Q42" i="93"/>
  <c r="P42" i="93"/>
  <c r="O42" i="93"/>
  <c r="N42" i="93"/>
  <c r="E42" i="93"/>
  <c r="T41" i="93"/>
  <c r="S41" i="93"/>
  <c r="R41" i="93"/>
  <c r="Q41" i="93"/>
  <c r="P41" i="93"/>
  <c r="O41" i="93"/>
  <c r="N41" i="93"/>
  <c r="E41" i="93"/>
  <c r="AA40" i="93"/>
  <c r="T40" i="93"/>
  <c r="S40" i="93"/>
  <c r="R40" i="93"/>
  <c r="Q40" i="93"/>
  <c r="P40" i="93"/>
  <c r="O40" i="93"/>
  <c r="N40" i="93"/>
  <c r="M40" i="93"/>
  <c r="T39" i="93"/>
  <c r="S39" i="93"/>
  <c r="R39" i="93"/>
  <c r="Q39" i="93"/>
  <c r="P39" i="93"/>
  <c r="O39" i="93"/>
  <c r="N39" i="93"/>
  <c r="M39" i="93"/>
  <c r="T38" i="93"/>
  <c r="S38" i="93"/>
  <c r="R38" i="93"/>
  <c r="Q38" i="93"/>
  <c r="P38" i="93"/>
  <c r="O38" i="93"/>
  <c r="N38" i="93"/>
  <c r="M38" i="93"/>
  <c r="E38" i="93"/>
  <c r="M37" i="93"/>
  <c r="E37" i="93"/>
  <c r="D37" i="93"/>
  <c r="E36" i="93"/>
  <c r="AA35" i="93"/>
  <c r="W35" i="93"/>
  <c r="T35" i="93"/>
  <c r="S35" i="93"/>
  <c r="R35" i="93"/>
  <c r="Q35" i="93"/>
  <c r="P35" i="93"/>
  <c r="O35" i="93"/>
  <c r="N35" i="93"/>
  <c r="M35" i="93"/>
  <c r="E35" i="93"/>
  <c r="T34" i="93"/>
  <c r="S34" i="93"/>
  <c r="R34" i="93"/>
  <c r="Q34" i="93"/>
  <c r="P34" i="93"/>
  <c r="O34" i="93"/>
  <c r="N34" i="93"/>
  <c r="W33" i="93"/>
  <c r="T33" i="93"/>
  <c r="S33" i="93"/>
  <c r="R33" i="93"/>
  <c r="Q33" i="93"/>
  <c r="P33" i="93"/>
  <c r="O33" i="93"/>
  <c r="N33" i="93"/>
  <c r="T32" i="93"/>
  <c r="S32" i="93"/>
  <c r="R32" i="93"/>
  <c r="Q32" i="93"/>
  <c r="P32" i="93"/>
  <c r="O32" i="93"/>
  <c r="N32" i="93"/>
  <c r="T31" i="93"/>
  <c r="S31" i="93"/>
  <c r="R31" i="93"/>
  <c r="Q31" i="93"/>
  <c r="P31" i="93"/>
  <c r="O31" i="93"/>
  <c r="N31" i="93"/>
  <c r="J29" i="93"/>
  <c r="I29" i="93"/>
  <c r="H29" i="93"/>
  <c r="G29" i="93"/>
  <c r="F29" i="93"/>
  <c r="E29" i="93"/>
  <c r="D29" i="93"/>
  <c r="T28" i="93"/>
  <c r="S28" i="93"/>
  <c r="R28" i="93"/>
  <c r="Q28" i="93"/>
  <c r="P28" i="93"/>
  <c r="O28" i="93"/>
  <c r="N28" i="93"/>
  <c r="J27" i="93"/>
  <c r="I27" i="93"/>
  <c r="H27" i="93"/>
  <c r="G27" i="93"/>
  <c r="F27" i="93"/>
  <c r="E27" i="93"/>
  <c r="D27" i="93"/>
  <c r="J23" i="93"/>
  <c r="I23" i="93"/>
  <c r="H23" i="93"/>
  <c r="G23" i="93"/>
  <c r="F23" i="93"/>
  <c r="E23" i="93"/>
  <c r="D23" i="93"/>
  <c r="G20" i="93"/>
  <c r="F20" i="93"/>
  <c r="E20" i="93"/>
  <c r="D20" i="93"/>
  <c r="J19" i="93"/>
  <c r="I19" i="93"/>
  <c r="H19" i="93"/>
  <c r="G19" i="93"/>
  <c r="F19" i="93"/>
  <c r="E19" i="93"/>
  <c r="D19" i="93"/>
  <c r="B18" i="93"/>
  <c r="J17" i="93"/>
  <c r="I17" i="93"/>
  <c r="H17" i="93"/>
  <c r="G17" i="93"/>
  <c r="F17" i="93"/>
  <c r="E17" i="93"/>
  <c r="D17" i="93"/>
  <c r="B17" i="93"/>
  <c r="J16" i="93"/>
  <c r="I16" i="93"/>
  <c r="H16" i="93"/>
  <c r="G16" i="93"/>
  <c r="F16" i="93"/>
  <c r="E16" i="93"/>
  <c r="D16" i="93"/>
  <c r="B16" i="93"/>
  <c r="J15" i="93"/>
  <c r="I15" i="93"/>
  <c r="H15" i="93"/>
  <c r="G15" i="93"/>
  <c r="F15" i="93"/>
  <c r="E15" i="93"/>
  <c r="D15" i="93"/>
  <c r="B15" i="93"/>
  <c r="D12" i="93"/>
  <c r="B12" i="93"/>
  <c r="J11" i="93"/>
  <c r="I11" i="93"/>
  <c r="H11" i="93"/>
  <c r="G11" i="93"/>
  <c r="F11" i="93"/>
  <c r="E11" i="93"/>
  <c r="D11" i="93"/>
  <c r="B11" i="93"/>
  <c r="B10" i="93"/>
  <c r="B9" i="93"/>
  <c r="D8" i="93"/>
  <c r="J7" i="93"/>
  <c r="I7" i="93"/>
  <c r="H7" i="93"/>
  <c r="G7" i="93"/>
  <c r="F7" i="93"/>
  <c r="E7" i="93"/>
  <c r="D7" i="93"/>
  <c r="B7" i="93"/>
  <c r="J6" i="93"/>
  <c r="I6" i="93"/>
  <c r="H6" i="93"/>
  <c r="G6" i="93"/>
  <c r="F6" i="93"/>
  <c r="E6" i="93"/>
  <c r="D6" i="93"/>
  <c r="B6" i="93"/>
  <c r="J5" i="93"/>
  <c r="I5" i="93"/>
  <c r="H5" i="93"/>
  <c r="G5" i="93"/>
  <c r="F5" i="93"/>
  <c r="E5" i="93"/>
  <c r="D5" i="93"/>
  <c r="B5" i="93"/>
  <c r="J4" i="93"/>
  <c r="I4" i="93"/>
  <c r="H4" i="93"/>
  <c r="G4" i="93"/>
  <c r="F4" i="93"/>
  <c r="E4" i="93"/>
  <c r="D4" i="93"/>
  <c r="B4" i="93"/>
  <c r="J3" i="93"/>
  <c r="I3" i="93"/>
  <c r="H3" i="93"/>
  <c r="G3" i="93"/>
  <c r="F3" i="93"/>
  <c r="E3" i="93"/>
  <c r="D3" i="93"/>
  <c r="D87" i="76"/>
  <c r="C87" i="76"/>
  <c r="D84" i="76"/>
  <c r="D83" i="76"/>
  <c r="D80" i="76"/>
  <c r="C80" i="76"/>
  <c r="D79" i="76"/>
  <c r="C79" i="76"/>
  <c r="E78" i="76"/>
  <c r="D78" i="76"/>
  <c r="D74" i="76"/>
  <c r="C74" i="76"/>
  <c r="B74" i="76"/>
  <c r="J72" i="76"/>
  <c r="I72" i="76"/>
  <c r="H72" i="76"/>
  <c r="G72" i="76"/>
  <c r="F72" i="76"/>
  <c r="E72" i="76"/>
  <c r="D72" i="76"/>
  <c r="C72" i="76"/>
  <c r="D71" i="76"/>
  <c r="B68" i="76"/>
  <c r="J67" i="76"/>
  <c r="I67" i="76"/>
  <c r="H67" i="76"/>
  <c r="G67" i="76"/>
  <c r="F67" i="76"/>
  <c r="E67" i="76"/>
  <c r="D67" i="76"/>
  <c r="C67" i="76"/>
  <c r="B67" i="76"/>
  <c r="J66" i="76"/>
  <c r="I66" i="76"/>
  <c r="H66" i="76"/>
  <c r="G66" i="76"/>
  <c r="F66" i="76"/>
  <c r="E66" i="76"/>
  <c r="D66" i="76"/>
  <c r="C66" i="76"/>
  <c r="B66" i="76"/>
  <c r="J65" i="76"/>
  <c r="I65" i="76"/>
  <c r="H65" i="76"/>
  <c r="G65" i="76"/>
  <c r="F65" i="76"/>
  <c r="E65" i="76"/>
  <c r="D65" i="76"/>
  <c r="M63" i="76"/>
  <c r="L63" i="76"/>
  <c r="K63" i="76"/>
  <c r="J63" i="76"/>
  <c r="I63" i="76"/>
  <c r="H63" i="76"/>
  <c r="M60" i="76"/>
  <c r="L60" i="76"/>
  <c r="K60" i="76"/>
  <c r="J60" i="76"/>
  <c r="I60" i="76"/>
  <c r="H60" i="76"/>
  <c r="G60" i="76"/>
  <c r="M58" i="76"/>
  <c r="L58" i="76"/>
  <c r="K58" i="76"/>
  <c r="J58" i="76"/>
  <c r="I58" i="76"/>
  <c r="H58" i="76"/>
  <c r="G58" i="76"/>
  <c r="M56" i="76"/>
  <c r="L56" i="76"/>
  <c r="K56" i="76"/>
  <c r="J56" i="76"/>
  <c r="I56" i="76"/>
  <c r="H56" i="76"/>
  <c r="G56" i="76"/>
  <c r="F53" i="76"/>
  <c r="E53" i="76"/>
  <c r="C53" i="76"/>
  <c r="F52" i="76"/>
  <c r="E52" i="76"/>
  <c r="C52" i="76"/>
  <c r="S51" i="76"/>
  <c r="I51" i="76"/>
  <c r="F51" i="76"/>
  <c r="E51" i="76"/>
  <c r="I50" i="76"/>
  <c r="F50" i="76"/>
  <c r="E50" i="76"/>
  <c r="I49" i="76"/>
  <c r="F49" i="76"/>
  <c r="E49" i="76"/>
  <c r="C49" i="76"/>
  <c r="I48" i="76"/>
  <c r="F48" i="76"/>
  <c r="E48" i="76"/>
  <c r="C48" i="76"/>
  <c r="S47" i="76"/>
  <c r="Y46" i="76"/>
  <c r="X46" i="76"/>
  <c r="W46" i="76"/>
  <c r="V46" i="76"/>
  <c r="U46" i="76"/>
  <c r="T46" i="76"/>
  <c r="S46" i="76"/>
  <c r="S45" i="76"/>
  <c r="Y43" i="76"/>
  <c r="X43" i="76"/>
  <c r="W43" i="76"/>
  <c r="V43" i="76"/>
  <c r="U43" i="76"/>
  <c r="T43" i="76"/>
  <c r="S43" i="76"/>
  <c r="G41" i="76"/>
  <c r="G40" i="76"/>
  <c r="B40" i="76"/>
  <c r="Y39" i="76"/>
  <c r="X39" i="76"/>
  <c r="W39" i="76"/>
  <c r="V39" i="76"/>
  <c r="U39" i="76"/>
  <c r="T39" i="76"/>
  <c r="S39" i="76"/>
  <c r="R39" i="76"/>
  <c r="Q39" i="76"/>
  <c r="M39" i="76"/>
  <c r="L39" i="76"/>
  <c r="K39" i="76"/>
  <c r="J39" i="76"/>
  <c r="I39" i="76"/>
  <c r="H39" i="76"/>
  <c r="G39" i="76"/>
  <c r="E39" i="76"/>
  <c r="C39" i="76"/>
  <c r="B39" i="76"/>
  <c r="Y38" i="76"/>
  <c r="X38" i="76"/>
  <c r="W38" i="76"/>
  <c r="V38" i="76"/>
  <c r="U38" i="76"/>
  <c r="T38" i="76"/>
  <c r="S38" i="76"/>
  <c r="R38" i="76"/>
  <c r="Q38" i="76"/>
  <c r="M38" i="76"/>
  <c r="L38" i="76"/>
  <c r="K38" i="76"/>
  <c r="J38" i="76"/>
  <c r="I38" i="76"/>
  <c r="H38" i="76"/>
  <c r="G38" i="76"/>
  <c r="C38" i="76"/>
  <c r="Y37" i="76"/>
  <c r="X37" i="76"/>
  <c r="W37" i="76"/>
  <c r="V37" i="76"/>
  <c r="U37" i="76"/>
  <c r="T37" i="76"/>
  <c r="S37" i="76"/>
  <c r="R37" i="76"/>
  <c r="Q37" i="76"/>
  <c r="M37" i="76"/>
  <c r="L37" i="76"/>
  <c r="K37" i="76"/>
  <c r="J37" i="76"/>
  <c r="I37" i="76"/>
  <c r="H37" i="76"/>
  <c r="G37" i="76"/>
  <c r="Y36" i="76"/>
  <c r="X36" i="76"/>
  <c r="W36" i="76"/>
  <c r="V36" i="76"/>
  <c r="U36" i="76"/>
  <c r="T36" i="76"/>
  <c r="S36" i="76"/>
  <c r="R36" i="76"/>
  <c r="Q36" i="76"/>
  <c r="Y35" i="76"/>
  <c r="X35" i="76"/>
  <c r="W35" i="76"/>
  <c r="V35" i="76"/>
  <c r="U35" i="76"/>
  <c r="T35" i="76"/>
  <c r="S35" i="76"/>
  <c r="R35" i="76"/>
  <c r="Q35" i="76"/>
  <c r="R34" i="76"/>
  <c r="Q34" i="76"/>
  <c r="Y33" i="76"/>
  <c r="X33" i="76"/>
  <c r="W33" i="76"/>
  <c r="V33" i="76"/>
  <c r="U33" i="76"/>
  <c r="T33" i="76"/>
  <c r="S33" i="76"/>
  <c r="R33" i="76"/>
  <c r="Q33" i="76"/>
  <c r="Y32" i="76"/>
  <c r="X32" i="76"/>
  <c r="W32" i="76"/>
  <c r="V32" i="76"/>
  <c r="U32" i="76"/>
  <c r="T32" i="76"/>
  <c r="S32" i="76"/>
  <c r="R32" i="76"/>
  <c r="Q32" i="76"/>
  <c r="Y31" i="76"/>
  <c r="X31" i="76"/>
  <c r="W31" i="76"/>
  <c r="V31" i="76"/>
  <c r="U31" i="76"/>
  <c r="T31" i="76"/>
  <c r="S31" i="76"/>
  <c r="R31" i="76"/>
  <c r="Q31" i="76"/>
  <c r="G31" i="76"/>
  <c r="R30" i="76"/>
  <c r="Q30" i="76"/>
  <c r="R29" i="76"/>
  <c r="Q29" i="76"/>
  <c r="M29" i="76"/>
  <c r="L29" i="76"/>
  <c r="K29" i="76"/>
  <c r="J29" i="76"/>
  <c r="I29" i="76"/>
  <c r="H29" i="76"/>
  <c r="G29" i="76"/>
  <c r="R28" i="76"/>
  <c r="Q28" i="76"/>
  <c r="M28" i="76"/>
  <c r="L28" i="76"/>
  <c r="K28" i="76"/>
  <c r="J28" i="76"/>
  <c r="I28" i="76"/>
  <c r="H28" i="76"/>
  <c r="G28" i="76"/>
  <c r="Y27" i="76"/>
  <c r="X27" i="76"/>
  <c r="W27" i="76"/>
  <c r="V27" i="76"/>
  <c r="U27" i="76"/>
  <c r="T27" i="76"/>
  <c r="S27" i="76"/>
  <c r="R27" i="76"/>
  <c r="Q27" i="76"/>
  <c r="M27" i="76"/>
  <c r="L27" i="76"/>
  <c r="K27" i="76"/>
  <c r="J27" i="76"/>
  <c r="I27" i="76"/>
  <c r="H27" i="76"/>
  <c r="G27" i="76"/>
  <c r="Y26" i="76"/>
  <c r="X26" i="76"/>
  <c r="W26" i="76"/>
  <c r="V26" i="76"/>
  <c r="U26" i="76"/>
  <c r="T26" i="76"/>
  <c r="S26" i="76"/>
  <c r="R26" i="76"/>
  <c r="Q26" i="76"/>
  <c r="M26" i="76"/>
  <c r="L26" i="76"/>
  <c r="K26" i="76"/>
  <c r="J26" i="76"/>
  <c r="I26" i="76"/>
  <c r="H26" i="76"/>
  <c r="G26" i="76"/>
  <c r="Y25" i="76"/>
  <c r="X25" i="76"/>
  <c r="W25" i="76"/>
  <c r="V25" i="76"/>
  <c r="U25" i="76"/>
  <c r="T25" i="76"/>
  <c r="S25" i="76"/>
  <c r="R25" i="76"/>
  <c r="Q25" i="76"/>
  <c r="M25" i="76"/>
  <c r="L25" i="76"/>
  <c r="K25" i="76"/>
  <c r="J25" i="76"/>
  <c r="I25" i="76"/>
  <c r="H25" i="76"/>
  <c r="G25" i="76"/>
  <c r="Y24" i="76"/>
  <c r="X24" i="76"/>
  <c r="W24" i="76"/>
  <c r="V24" i="76"/>
  <c r="U24" i="76"/>
  <c r="T24" i="76"/>
  <c r="S24" i="76"/>
  <c r="R24" i="76"/>
  <c r="Q24" i="76"/>
  <c r="M24" i="76"/>
  <c r="L24" i="76"/>
  <c r="K24" i="76"/>
  <c r="J24" i="76"/>
  <c r="I24" i="76"/>
  <c r="H24" i="76"/>
  <c r="G24" i="76"/>
  <c r="Y23" i="76"/>
  <c r="X23" i="76"/>
  <c r="W23" i="76"/>
  <c r="V23" i="76"/>
  <c r="U23" i="76"/>
  <c r="T23" i="76"/>
  <c r="S23" i="76"/>
  <c r="R23" i="76"/>
  <c r="Q23" i="76"/>
  <c r="M23" i="76"/>
  <c r="L23" i="76"/>
  <c r="K23" i="76"/>
  <c r="J23" i="76"/>
  <c r="I23" i="76"/>
  <c r="H23" i="76"/>
  <c r="G23" i="76"/>
  <c r="Y22" i="76"/>
  <c r="X22" i="76"/>
  <c r="W22" i="76"/>
  <c r="V22" i="76"/>
  <c r="U22" i="76"/>
  <c r="T22" i="76"/>
  <c r="S22" i="76"/>
  <c r="R22" i="76"/>
  <c r="Q22" i="76"/>
  <c r="M22" i="76"/>
  <c r="L22" i="76"/>
  <c r="K22" i="76"/>
  <c r="J22" i="76"/>
  <c r="I22" i="76"/>
  <c r="H22" i="76"/>
  <c r="G22" i="76"/>
  <c r="Y21" i="76"/>
  <c r="X21" i="76"/>
  <c r="W21" i="76"/>
  <c r="V21" i="76"/>
  <c r="U21" i="76"/>
  <c r="T21" i="76"/>
  <c r="S21" i="76"/>
  <c r="R21" i="76"/>
  <c r="Q21" i="76"/>
  <c r="M21" i="76"/>
  <c r="L21" i="76"/>
  <c r="K21" i="76"/>
  <c r="J21" i="76"/>
  <c r="I21" i="76"/>
  <c r="H21" i="76"/>
  <c r="G21" i="76"/>
  <c r="Y20" i="76"/>
  <c r="X20" i="76"/>
  <c r="W20" i="76"/>
  <c r="V20" i="76"/>
  <c r="U20" i="76"/>
  <c r="T20" i="76"/>
  <c r="S20" i="76"/>
  <c r="M20" i="76"/>
  <c r="L20" i="76"/>
  <c r="K20" i="76"/>
  <c r="J20" i="76"/>
  <c r="I20" i="76"/>
  <c r="H20" i="76"/>
  <c r="G20" i="76"/>
  <c r="M19" i="76"/>
  <c r="L19" i="76"/>
  <c r="K19" i="76"/>
  <c r="J19" i="76"/>
  <c r="I19" i="76"/>
  <c r="H19" i="76"/>
  <c r="G19" i="76"/>
  <c r="Y18" i="76"/>
  <c r="X18" i="76"/>
  <c r="W18" i="76"/>
  <c r="V18" i="76"/>
  <c r="U18" i="76"/>
  <c r="T18" i="76"/>
  <c r="S18" i="76"/>
  <c r="M18" i="76"/>
  <c r="L18" i="76"/>
  <c r="K18" i="76"/>
  <c r="J18" i="76"/>
  <c r="I18" i="76"/>
  <c r="H18" i="76"/>
  <c r="G18" i="76"/>
  <c r="Y17" i="76"/>
  <c r="X17" i="76"/>
  <c r="W17" i="76"/>
  <c r="V17" i="76"/>
  <c r="U17" i="76"/>
  <c r="T17" i="76"/>
  <c r="S17" i="76"/>
  <c r="R17" i="76"/>
  <c r="M17" i="76"/>
  <c r="L17" i="76"/>
  <c r="K17" i="76"/>
  <c r="J17" i="76"/>
  <c r="I17" i="76"/>
  <c r="H17" i="76"/>
  <c r="G17" i="76"/>
  <c r="D17" i="76"/>
  <c r="C17" i="76"/>
  <c r="Y16" i="76"/>
  <c r="X16" i="76"/>
  <c r="W16" i="76"/>
  <c r="V16" i="76"/>
  <c r="U16" i="76"/>
  <c r="T16" i="76"/>
  <c r="S16" i="76"/>
  <c r="R16" i="76"/>
  <c r="Y15" i="76"/>
  <c r="X15" i="76"/>
  <c r="W15" i="76"/>
  <c r="V15" i="76"/>
  <c r="U15" i="76"/>
  <c r="T15" i="76"/>
  <c r="S15" i="76"/>
  <c r="R15" i="76"/>
  <c r="M15" i="76"/>
  <c r="L15" i="76"/>
  <c r="K15" i="76"/>
  <c r="J15" i="76"/>
  <c r="I15" i="76"/>
  <c r="H15" i="76"/>
  <c r="G15" i="76"/>
  <c r="Y14" i="76"/>
  <c r="X14" i="76"/>
  <c r="W14" i="76"/>
  <c r="V14" i="76"/>
  <c r="U14" i="76"/>
  <c r="T14" i="76"/>
  <c r="S14" i="76"/>
  <c r="R14" i="76"/>
  <c r="M14" i="76"/>
  <c r="L14" i="76"/>
  <c r="K14" i="76"/>
  <c r="J14" i="76"/>
  <c r="I14" i="76"/>
  <c r="H14" i="76"/>
  <c r="G14" i="76"/>
  <c r="Y13" i="76"/>
  <c r="X13" i="76"/>
  <c r="W13" i="76"/>
  <c r="V13" i="76"/>
  <c r="U13" i="76"/>
  <c r="T13" i="76"/>
  <c r="S13" i="76"/>
  <c r="R13" i="76"/>
  <c r="M13" i="76"/>
  <c r="L13" i="76"/>
  <c r="K13" i="76"/>
  <c r="J13" i="76"/>
  <c r="I13" i="76"/>
  <c r="H13" i="76"/>
  <c r="G13" i="76"/>
  <c r="Y12" i="76"/>
  <c r="X12" i="76"/>
  <c r="W12" i="76"/>
  <c r="V12" i="76"/>
  <c r="U12" i="76"/>
  <c r="T12" i="76"/>
  <c r="S12" i="76"/>
  <c r="R12" i="76"/>
  <c r="M12" i="76"/>
  <c r="L12" i="76"/>
  <c r="K12" i="76"/>
  <c r="J12" i="76"/>
  <c r="I12" i="76"/>
  <c r="H12" i="76"/>
  <c r="G12" i="76"/>
  <c r="C12" i="76"/>
  <c r="Y11" i="76"/>
  <c r="X11" i="76"/>
  <c r="W11" i="76"/>
  <c r="V11" i="76"/>
  <c r="U11" i="76"/>
  <c r="T11" i="76"/>
  <c r="S11" i="76"/>
  <c r="R11" i="76"/>
  <c r="M11" i="76"/>
  <c r="L11" i="76"/>
  <c r="K11" i="76"/>
  <c r="J11" i="76"/>
  <c r="I11" i="76"/>
  <c r="H11" i="76"/>
  <c r="G11" i="76"/>
  <c r="Y10" i="76"/>
  <c r="X10" i="76"/>
  <c r="W10" i="76"/>
  <c r="V10" i="76"/>
  <c r="U10" i="76"/>
  <c r="T10" i="76"/>
  <c r="S10" i="76"/>
  <c r="R10" i="76"/>
  <c r="M10" i="76"/>
  <c r="L10" i="76"/>
  <c r="K10" i="76"/>
  <c r="J10" i="76"/>
  <c r="I10" i="76"/>
  <c r="H10" i="76"/>
  <c r="G10" i="76"/>
  <c r="C10" i="76"/>
  <c r="Y9" i="76"/>
  <c r="X9" i="76"/>
  <c r="W9" i="76"/>
  <c r="V9" i="76"/>
  <c r="U9" i="76"/>
  <c r="T9" i="76"/>
  <c r="S9" i="76"/>
  <c r="R9" i="76"/>
  <c r="M9" i="76"/>
  <c r="L9" i="76"/>
  <c r="K9" i="76"/>
  <c r="J9" i="76"/>
  <c r="I9" i="76"/>
  <c r="H9" i="76"/>
  <c r="G9" i="76"/>
  <c r="Y8" i="76"/>
  <c r="X8" i="76"/>
  <c r="W8" i="76"/>
  <c r="V8" i="76"/>
  <c r="U8" i="76"/>
  <c r="T8" i="76"/>
  <c r="S8" i="76"/>
  <c r="R8" i="76"/>
  <c r="Y7" i="76"/>
  <c r="X7" i="76"/>
  <c r="W7" i="76"/>
  <c r="V7" i="76"/>
  <c r="U7" i="76"/>
  <c r="T7" i="76"/>
  <c r="S7" i="76"/>
  <c r="R7" i="76"/>
  <c r="M7" i="76"/>
  <c r="L7" i="76"/>
  <c r="K7" i="76"/>
  <c r="J7" i="76"/>
  <c r="I7" i="76"/>
  <c r="H7" i="76"/>
  <c r="G7" i="76"/>
  <c r="Y6" i="76"/>
  <c r="X6" i="76"/>
  <c r="W6" i="76"/>
  <c r="V6" i="76"/>
  <c r="U6" i="76"/>
  <c r="T6" i="76"/>
  <c r="S6" i="76"/>
  <c r="R6" i="76"/>
  <c r="M6" i="76"/>
  <c r="L6" i="76"/>
  <c r="K6" i="76"/>
  <c r="J6" i="76"/>
  <c r="I6" i="76"/>
  <c r="H6" i="76"/>
  <c r="G6" i="76"/>
  <c r="C6" i="76"/>
  <c r="Y5" i="76"/>
  <c r="X5" i="76"/>
  <c r="W5" i="76"/>
  <c r="V5" i="76"/>
  <c r="U5" i="76"/>
  <c r="T5" i="76"/>
  <c r="S5" i="76"/>
  <c r="R5" i="76"/>
  <c r="M5" i="76"/>
  <c r="L5" i="76"/>
  <c r="K5" i="76"/>
  <c r="J5" i="76"/>
  <c r="I5" i="76"/>
  <c r="H5" i="76"/>
  <c r="G5" i="76"/>
  <c r="Y4" i="76"/>
  <c r="X4" i="76"/>
  <c r="W4" i="76"/>
  <c r="V4" i="76"/>
  <c r="U4" i="76"/>
  <c r="T4" i="76"/>
  <c r="S4" i="76"/>
  <c r="M4" i="76"/>
  <c r="L4" i="76"/>
  <c r="K4" i="76"/>
  <c r="J4" i="76"/>
  <c r="I4" i="76"/>
  <c r="H4" i="76"/>
  <c r="G4" i="76"/>
  <c r="M3" i="76"/>
  <c r="L3" i="76"/>
  <c r="K3" i="76"/>
  <c r="J3" i="76"/>
  <c r="I3" i="76"/>
  <c r="H3" i="76"/>
  <c r="G3" i="76"/>
  <c r="M2" i="76"/>
  <c r="L2" i="76"/>
  <c r="K2" i="76"/>
  <c r="J2" i="76"/>
  <c r="I2" i="76"/>
  <c r="H2" i="76"/>
  <c r="G2" i="76"/>
  <c r="L142" i="91"/>
  <c r="B142" i="91"/>
  <c r="L141" i="91"/>
  <c r="K141" i="91"/>
  <c r="B141" i="91"/>
  <c r="L140" i="91"/>
  <c r="K140" i="91"/>
  <c r="J140" i="91"/>
  <c r="B140" i="91"/>
  <c r="L139" i="91"/>
  <c r="K139" i="91"/>
  <c r="J139" i="91"/>
  <c r="I139" i="91"/>
  <c r="B139" i="91"/>
  <c r="L138" i="91"/>
  <c r="K138" i="91"/>
  <c r="J138" i="91"/>
  <c r="I138" i="91"/>
  <c r="H138" i="91"/>
  <c r="B138" i="91"/>
  <c r="L137" i="91"/>
  <c r="K137" i="91"/>
  <c r="J137" i="91"/>
  <c r="I137" i="91"/>
  <c r="H137" i="91"/>
  <c r="G137" i="91"/>
  <c r="B137" i="91"/>
  <c r="L136" i="91"/>
  <c r="K136" i="91"/>
  <c r="J136" i="91"/>
  <c r="I136" i="91"/>
  <c r="H136" i="91"/>
  <c r="G136" i="91"/>
  <c r="F136" i="91"/>
  <c r="B136" i="91"/>
  <c r="L135" i="91"/>
  <c r="K135" i="91"/>
  <c r="J135" i="91"/>
  <c r="I135" i="91"/>
  <c r="H135" i="91"/>
  <c r="G135" i="91"/>
  <c r="F135" i="91"/>
  <c r="E135" i="91"/>
  <c r="B135" i="91"/>
  <c r="L134" i="91"/>
  <c r="K134" i="91"/>
  <c r="J134" i="91"/>
  <c r="I134" i="91"/>
  <c r="H134" i="91"/>
  <c r="G134" i="91"/>
  <c r="F134" i="91"/>
  <c r="E134" i="91"/>
  <c r="B134" i="91"/>
  <c r="L131" i="91"/>
  <c r="B131" i="91"/>
  <c r="L130" i="91"/>
  <c r="K130" i="91"/>
  <c r="B130" i="91"/>
  <c r="L129" i="91"/>
  <c r="K129" i="91"/>
  <c r="J129" i="91"/>
  <c r="B129" i="91"/>
  <c r="L128" i="91"/>
  <c r="K128" i="91"/>
  <c r="J128" i="91"/>
  <c r="I128" i="91"/>
  <c r="B128" i="91"/>
  <c r="L127" i="91"/>
  <c r="K127" i="91"/>
  <c r="J127" i="91"/>
  <c r="I127" i="91"/>
  <c r="H127" i="91"/>
  <c r="B127" i="91"/>
  <c r="L126" i="91"/>
  <c r="K126" i="91"/>
  <c r="J126" i="91"/>
  <c r="I126" i="91"/>
  <c r="H126" i="91"/>
  <c r="G126" i="91"/>
  <c r="B126" i="91"/>
  <c r="L125" i="91"/>
  <c r="K125" i="91"/>
  <c r="J125" i="91"/>
  <c r="I125" i="91"/>
  <c r="H125" i="91"/>
  <c r="G125" i="91"/>
  <c r="F125" i="91"/>
  <c r="B125" i="91"/>
  <c r="L124" i="91"/>
  <c r="K124" i="91"/>
  <c r="J124" i="91"/>
  <c r="I124" i="91"/>
  <c r="H124" i="91"/>
  <c r="G124" i="91"/>
  <c r="F124" i="91"/>
  <c r="E124" i="91"/>
  <c r="B124" i="91"/>
  <c r="L123" i="91"/>
  <c r="K123" i="91"/>
  <c r="J123" i="91"/>
  <c r="I123" i="91"/>
  <c r="H123" i="91"/>
  <c r="G123" i="91"/>
  <c r="F123" i="91"/>
  <c r="E123" i="91"/>
  <c r="D123" i="91"/>
  <c r="B123" i="91"/>
  <c r="V121" i="91"/>
  <c r="U121" i="91"/>
  <c r="T121" i="91"/>
  <c r="S121" i="91"/>
  <c r="R121" i="91"/>
  <c r="Q121" i="91"/>
  <c r="N121" i="91"/>
  <c r="V120" i="91"/>
  <c r="U120" i="91"/>
  <c r="T120" i="91"/>
  <c r="S120" i="91"/>
  <c r="R120" i="91"/>
  <c r="Q120" i="91"/>
  <c r="P120" i="91"/>
  <c r="N120" i="91"/>
  <c r="B120" i="91"/>
  <c r="V119" i="91"/>
  <c r="U119" i="91"/>
  <c r="T119" i="91"/>
  <c r="S119" i="91"/>
  <c r="R119" i="91"/>
  <c r="Q119" i="91"/>
  <c r="P119" i="91"/>
  <c r="N119" i="91"/>
  <c r="L119" i="91"/>
  <c r="B119" i="91"/>
  <c r="V118" i="91"/>
  <c r="U118" i="91"/>
  <c r="T118" i="91"/>
  <c r="S118" i="91"/>
  <c r="R118" i="91"/>
  <c r="Q118" i="91"/>
  <c r="P118" i="91"/>
  <c r="N118" i="91"/>
  <c r="L118" i="91"/>
  <c r="K118" i="91"/>
  <c r="B118" i="91"/>
  <c r="V117" i="91"/>
  <c r="U117" i="91"/>
  <c r="T117" i="91"/>
  <c r="S117" i="91"/>
  <c r="R117" i="91"/>
  <c r="Q117" i="91"/>
  <c r="P117" i="91"/>
  <c r="N117" i="91"/>
  <c r="L117" i="91"/>
  <c r="K117" i="91"/>
  <c r="J117" i="91"/>
  <c r="B117" i="91"/>
  <c r="V116" i="91"/>
  <c r="U116" i="91"/>
  <c r="T116" i="91"/>
  <c r="S116" i="91"/>
  <c r="R116" i="91"/>
  <c r="Q116" i="91"/>
  <c r="P116" i="91"/>
  <c r="L116" i="91"/>
  <c r="K116" i="91"/>
  <c r="J116" i="91"/>
  <c r="I116" i="91"/>
  <c r="B116" i="91"/>
  <c r="L115" i="91"/>
  <c r="K115" i="91"/>
  <c r="J115" i="91"/>
  <c r="I115" i="91"/>
  <c r="H115" i="91"/>
  <c r="B115" i="91"/>
  <c r="L114" i="91"/>
  <c r="K114" i="91"/>
  <c r="J114" i="91"/>
  <c r="I114" i="91"/>
  <c r="H114" i="91"/>
  <c r="G114" i="91"/>
  <c r="B114" i="91"/>
  <c r="U113" i="91"/>
  <c r="R113" i="91"/>
  <c r="P113" i="91"/>
  <c r="N113" i="91"/>
  <c r="L113" i="91"/>
  <c r="K113" i="91"/>
  <c r="J113" i="91"/>
  <c r="I113" i="91"/>
  <c r="H113" i="91"/>
  <c r="G113" i="91"/>
  <c r="F113" i="91"/>
  <c r="B113" i="91"/>
  <c r="U112" i="91"/>
  <c r="R112" i="91"/>
  <c r="P112" i="91"/>
  <c r="N112" i="91"/>
  <c r="L112" i="91"/>
  <c r="K112" i="91"/>
  <c r="J112" i="91"/>
  <c r="I112" i="91"/>
  <c r="H112" i="91"/>
  <c r="G112" i="91"/>
  <c r="F112" i="91"/>
  <c r="E112" i="91"/>
  <c r="B112" i="91"/>
  <c r="U111" i="91"/>
  <c r="R111" i="91"/>
  <c r="P111" i="91"/>
  <c r="N111" i="91"/>
  <c r="U110" i="91"/>
  <c r="R110" i="91"/>
  <c r="N110" i="91"/>
  <c r="U109" i="91"/>
  <c r="R109" i="91"/>
  <c r="N109" i="91"/>
  <c r="B109" i="91"/>
  <c r="N108" i="91"/>
  <c r="L108" i="91"/>
  <c r="B108" i="91"/>
  <c r="L107" i="91"/>
  <c r="K107" i="91"/>
  <c r="B107" i="91"/>
  <c r="L106" i="91"/>
  <c r="K106" i="91"/>
  <c r="J106" i="91"/>
  <c r="B106" i="91"/>
  <c r="L105" i="91"/>
  <c r="K105" i="91"/>
  <c r="J105" i="91"/>
  <c r="I105" i="91"/>
  <c r="B105" i="91"/>
  <c r="P104" i="91"/>
  <c r="O104" i="91"/>
  <c r="N104" i="91"/>
  <c r="L104" i="91"/>
  <c r="K104" i="91"/>
  <c r="J104" i="91"/>
  <c r="I104" i="91"/>
  <c r="H104" i="91"/>
  <c r="B104" i="91"/>
  <c r="P103" i="91"/>
  <c r="O103" i="91"/>
  <c r="N103" i="91"/>
  <c r="L103" i="91"/>
  <c r="K103" i="91"/>
  <c r="J103" i="91"/>
  <c r="I103" i="91"/>
  <c r="H103" i="91"/>
  <c r="G103" i="91"/>
  <c r="B103" i="91"/>
  <c r="Q102" i="91"/>
  <c r="P102" i="91"/>
  <c r="N102" i="91"/>
  <c r="L102" i="91"/>
  <c r="K102" i="91"/>
  <c r="J102" i="91"/>
  <c r="I102" i="91"/>
  <c r="H102" i="91"/>
  <c r="G102" i="91"/>
  <c r="F102" i="91"/>
  <c r="B102" i="91"/>
  <c r="Q101" i="91"/>
  <c r="P101" i="91"/>
  <c r="B101" i="91"/>
  <c r="Q100" i="91"/>
  <c r="P100" i="91"/>
  <c r="L100" i="91"/>
  <c r="K100" i="91"/>
  <c r="J100" i="91"/>
  <c r="I100" i="91"/>
  <c r="H100" i="91"/>
  <c r="G100" i="91"/>
  <c r="F100" i="91"/>
  <c r="E100" i="91"/>
  <c r="D100" i="91"/>
  <c r="L98" i="91"/>
  <c r="K98" i="91"/>
  <c r="J98" i="91"/>
  <c r="I98" i="91"/>
  <c r="H98" i="91"/>
  <c r="G98" i="91"/>
  <c r="F98" i="91"/>
  <c r="E98" i="91"/>
  <c r="D98" i="91"/>
  <c r="B97" i="91"/>
  <c r="X95" i="91"/>
  <c r="W95" i="91"/>
  <c r="N95" i="91"/>
  <c r="L95" i="91"/>
  <c r="B95" i="91"/>
  <c r="X94" i="91"/>
  <c r="W94" i="91"/>
  <c r="V94" i="91"/>
  <c r="N94" i="91"/>
  <c r="L94" i="91"/>
  <c r="K94" i="91"/>
  <c r="B94" i="91"/>
  <c r="X93" i="91"/>
  <c r="W93" i="91"/>
  <c r="V93" i="91"/>
  <c r="U93" i="91"/>
  <c r="N93" i="91"/>
  <c r="L93" i="91"/>
  <c r="K93" i="91"/>
  <c r="J93" i="91"/>
  <c r="B93" i="91"/>
  <c r="X92" i="91"/>
  <c r="W92" i="91"/>
  <c r="V92" i="91"/>
  <c r="U92" i="91"/>
  <c r="T92" i="91"/>
  <c r="N92" i="91"/>
  <c r="L92" i="91"/>
  <c r="K92" i="91"/>
  <c r="J92" i="91"/>
  <c r="I92" i="91"/>
  <c r="B92" i="91"/>
  <c r="X91" i="91"/>
  <c r="W91" i="91"/>
  <c r="V91" i="91"/>
  <c r="U91" i="91"/>
  <c r="T91" i="91"/>
  <c r="S91" i="91"/>
  <c r="N91" i="91"/>
  <c r="L91" i="91"/>
  <c r="K91" i="91"/>
  <c r="J91" i="91"/>
  <c r="I91" i="91"/>
  <c r="H91" i="91"/>
  <c r="B91" i="91"/>
  <c r="X90" i="91"/>
  <c r="W90" i="91"/>
  <c r="V90" i="91"/>
  <c r="U90" i="91"/>
  <c r="T90" i="91"/>
  <c r="S90" i="91"/>
  <c r="R90" i="91"/>
  <c r="Q90" i="91"/>
  <c r="N90" i="91"/>
  <c r="L90" i="91"/>
  <c r="K90" i="91"/>
  <c r="J90" i="91"/>
  <c r="I90" i="91"/>
  <c r="H90" i="91"/>
  <c r="G90" i="91"/>
  <c r="B90" i="91"/>
  <c r="X89" i="91"/>
  <c r="W89" i="91"/>
  <c r="V89" i="91"/>
  <c r="U89" i="91"/>
  <c r="T89" i="91"/>
  <c r="S89" i="91"/>
  <c r="R89" i="91"/>
  <c r="Q89" i="91"/>
  <c r="N89" i="91"/>
  <c r="L89" i="91"/>
  <c r="K89" i="91"/>
  <c r="J89" i="91"/>
  <c r="I89" i="91"/>
  <c r="H89" i="91"/>
  <c r="G89" i="91"/>
  <c r="F89" i="91"/>
  <c r="B89" i="91"/>
  <c r="X88" i="91"/>
  <c r="W88" i="91"/>
  <c r="V88" i="91"/>
  <c r="U88" i="91"/>
  <c r="T88" i="91"/>
  <c r="S88" i="91"/>
  <c r="R88" i="91"/>
  <c r="Q88" i="91"/>
  <c r="N88" i="91"/>
  <c r="L88" i="91"/>
  <c r="K88" i="91"/>
  <c r="J88" i="91"/>
  <c r="I88" i="91"/>
  <c r="H88" i="91"/>
  <c r="G88" i="91"/>
  <c r="F88" i="91"/>
  <c r="E88" i="91"/>
  <c r="B88" i="91"/>
  <c r="X87" i="91"/>
  <c r="W87" i="91"/>
  <c r="V87" i="91"/>
  <c r="U87" i="91"/>
  <c r="T87" i="91"/>
  <c r="S87" i="91"/>
  <c r="R87" i="91"/>
  <c r="Q87" i="91"/>
  <c r="N87" i="91"/>
  <c r="L87" i="91"/>
  <c r="K87" i="91"/>
  <c r="J87" i="91"/>
  <c r="I87" i="91"/>
  <c r="H87" i="91"/>
  <c r="G87" i="91"/>
  <c r="F87" i="91"/>
  <c r="E87" i="91"/>
  <c r="B87" i="91"/>
  <c r="X84" i="91"/>
  <c r="W84" i="91"/>
  <c r="V84" i="91"/>
  <c r="N84" i="91"/>
  <c r="L84" i="91"/>
  <c r="B84" i="91"/>
  <c r="X83" i="91"/>
  <c r="W83" i="91"/>
  <c r="V83" i="91"/>
  <c r="U83" i="91"/>
  <c r="N83" i="91"/>
  <c r="L83" i="91"/>
  <c r="K83" i="91"/>
  <c r="B83" i="91"/>
  <c r="X82" i="91"/>
  <c r="W82" i="91"/>
  <c r="V82" i="91"/>
  <c r="U82" i="91"/>
  <c r="T82" i="91"/>
  <c r="N82" i="91"/>
  <c r="L82" i="91"/>
  <c r="K82" i="91"/>
  <c r="J82" i="91"/>
  <c r="B82" i="91"/>
  <c r="X81" i="91"/>
  <c r="W81" i="91"/>
  <c r="V81" i="91"/>
  <c r="U81" i="91"/>
  <c r="T81" i="91"/>
  <c r="S81" i="91"/>
  <c r="N81" i="91"/>
  <c r="L81" i="91"/>
  <c r="K81" i="91"/>
  <c r="J81" i="91"/>
  <c r="I81" i="91"/>
  <c r="B81" i="91"/>
  <c r="X80" i="91"/>
  <c r="W80" i="91"/>
  <c r="V80" i="91"/>
  <c r="U80" i="91"/>
  <c r="T80" i="91"/>
  <c r="S80" i="91"/>
  <c r="R80" i="91"/>
  <c r="N80" i="91"/>
  <c r="L80" i="91"/>
  <c r="K80" i="91"/>
  <c r="J80" i="91"/>
  <c r="I80" i="91"/>
  <c r="H80" i="91"/>
  <c r="B80" i="91"/>
  <c r="X79" i="91"/>
  <c r="W79" i="91"/>
  <c r="V79" i="91"/>
  <c r="U79" i="91"/>
  <c r="T79" i="91"/>
  <c r="S79" i="91"/>
  <c r="R79" i="91"/>
  <c r="Q79" i="91"/>
  <c r="P79" i="91"/>
  <c r="N79" i="91"/>
  <c r="L79" i="91"/>
  <c r="K79" i="91"/>
  <c r="J79" i="91"/>
  <c r="I79" i="91"/>
  <c r="H79" i="91"/>
  <c r="G79" i="91"/>
  <c r="B79" i="91"/>
  <c r="X78" i="91"/>
  <c r="W78" i="91"/>
  <c r="V78" i="91"/>
  <c r="U78" i="91"/>
  <c r="T78" i="91"/>
  <c r="S78" i="91"/>
  <c r="R78" i="91"/>
  <c r="Q78" i="91"/>
  <c r="P78" i="91"/>
  <c r="N78" i="91"/>
  <c r="L78" i="91"/>
  <c r="K78" i="91"/>
  <c r="J78" i="91"/>
  <c r="I78" i="91"/>
  <c r="H78" i="91"/>
  <c r="G78" i="91"/>
  <c r="F78" i="91"/>
  <c r="B78" i="91"/>
  <c r="X77" i="91"/>
  <c r="W77" i="91"/>
  <c r="V77" i="91"/>
  <c r="U77" i="91"/>
  <c r="T77" i="91"/>
  <c r="S77" i="91"/>
  <c r="R77" i="91"/>
  <c r="Q77" i="91"/>
  <c r="P77" i="91"/>
  <c r="N77" i="91"/>
  <c r="L77" i="91"/>
  <c r="K77" i="91"/>
  <c r="J77" i="91"/>
  <c r="I77" i="91"/>
  <c r="H77" i="91"/>
  <c r="G77" i="91"/>
  <c r="F77" i="91"/>
  <c r="E77" i="91"/>
  <c r="B77" i="91"/>
  <c r="X76" i="91"/>
  <c r="W76" i="91"/>
  <c r="V76" i="91"/>
  <c r="U76" i="91"/>
  <c r="T76" i="91"/>
  <c r="S76" i="91"/>
  <c r="R76" i="91"/>
  <c r="Q76" i="91"/>
  <c r="P76" i="91"/>
  <c r="N76" i="91"/>
  <c r="L76" i="91"/>
  <c r="K76" i="91"/>
  <c r="J76" i="91"/>
  <c r="I76" i="91"/>
  <c r="H76" i="91"/>
  <c r="G76" i="91"/>
  <c r="F76" i="91"/>
  <c r="E76" i="91"/>
  <c r="D76" i="91"/>
  <c r="B76" i="91"/>
  <c r="X73" i="91"/>
  <c r="W73" i="91"/>
  <c r="N73" i="91"/>
  <c r="B73" i="91"/>
  <c r="X72" i="91"/>
  <c r="W72" i="91"/>
  <c r="V72" i="91"/>
  <c r="N72" i="91"/>
  <c r="L72" i="91"/>
  <c r="B72" i="91"/>
  <c r="X71" i="91"/>
  <c r="W71" i="91"/>
  <c r="V71" i="91"/>
  <c r="U71" i="91"/>
  <c r="N71" i="91"/>
  <c r="L71" i="91"/>
  <c r="K71" i="91"/>
  <c r="B71" i="91"/>
  <c r="X70" i="91"/>
  <c r="W70" i="91"/>
  <c r="V70" i="91"/>
  <c r="U70" i="91"/>
  <c r="T70" i="91"/>
  <c r="N70" i="91"/>
  <c r="L70" i="91"/>
  <c r="K70" i="91"/>
  <c r="J70" i="91"/>
  <c r="B70" i="91"/>
  <c r="X69" i="91"/>
  <c r="W69" i="91"/>
  <c r="V69" i="91"/>
  <c r="U69" i="91"/>
  <c r="T69" i="91"/>
  <c r="S69" i="91"/>
  <c r="R69" i="91"/>
  <c r="N69" i="91"/>
  <c r="L69" i="91"/>
  <c r="K69" i="91"/>
  <c r="J69" i="91"/>
  <c r="I69" i="91"/>
  <c r="B69" i="91"/>
  <c r="X68" i="91"/>
  <c r="W68" i="91"/>
  <c r="V68" i="91"/>
  <c r="U68" i="91"/>
  <c r="T68" i="91"/>
  <c r="S68" i="91"/>
  <c r="R68" i="91"/>
  <c r="Q68" i="91"/>
  <c r="N68" i="91"/>
  <c r="L68" i="91"/>
  <c r="K68" i="91"/>
  <c r="J68" i="91"/>
  <c r="I68" i="91"/>
  <c r="H68" i="91"/>
  <c r="B68" i="91"/>
  <c r="X67" i="91"/>
  <c r="W67" i="91"/>
  <c r="V67" i="91"/>
  <c r="U67" i="91"/>
  <c r="T67" i="91"/>
  <c r="S67" i="91"/>
  <c r="R67" i="91"/>
  <c r="Q67" i="91"/>
  <c r="N67" i="91"/>
  <c r="L67" i="91"/>
  <c r="K67" i="91"/>
  <c r="J67" i="91"/>
  <c r="I67" i="91"/>
  <c r="H67" i="91"/>
  <c r="G67" i="91"/>
  <c r="B67" i="91"/>
  <c r="X66" i="91"/>
  <c r="W66" i="91"/>
  <c r="V66" i="91"/>
  <c r="U66" i="91"/>
  <c r="T66" i="91"/>
  <c r="S66" i="91"/>
  <c r="R66" i="91"/>
  <c r="Q66" i="91"/>
  <c r="N66" i="91"/>
  <c r="L66" i="91"/>
  <c r="K66" i="91"/>
  <c r="J66" i="91"/>
  <c r="I66" i="91"/>
  <c r="H66" i="91"/>
  <c r="G66" i="91"/>
  <c r="F66" i="91"/>
  <c r="B66" i="91"/>
  <c r="X65" i="91"/>
  <c r="W65" i="91"/>
  <c r="V65" i="91"/>
  <c r="U65" i="91"/>
  <c r="T65" i="91"/>
  <c r="S65" i="91"/>
  <c r="R65" i="91"/>
  <c r="Q65" i="91"/>
  <c r="N65" i="91"/>
  <c r="L65" i="91"/>
  <c r="K65" i="91"/>
  <c r="J65" i="91"/>
  <c r="I65" i="91"/>
  <c r="H65" i="91"/>
  <c r="G65" i="91"/>
  <c r="F65" i="91"/>
  <c r="E65" i="91"/>
  <c r="B65" i="91"/>
  <c r="N62" i="91"/>
  <c r="B62" i="91"/>
  <c r="N61" i="91"/>
  <c r="L61" i="91"/>
  <c r="B61" i="91"/>
  <c r="N60" i="91"/>
  <c r="L60" i="91"/>
  <c r="K60" i="91"/>
  <c r="B60" i="91"/>
  <c r="N59" i="91"/>
  <c r="L59" i="91"/>
  <c r="K59" i="91"/>
  <c r="J59" i="91"/>
  <c r="B59" i="91"/>
  <c r="N58" i="91"/>
  <c r="L58" i="91"/>
  <c r="K58" i="91"/>
  <c r="J58" i="91"/>
  <c r="I58" i="91"/>
  <c r="B58" i="91"/>
  <c r="N57" i="91"/>
  <c r="L57" i="91"/>
  <c r="K57" i="91"/>
  <c r="J57" i="91"/>
  <c r="I57" i="91"/>
  <c r="H57" i="91"/>
  <c r="B57" i="91"/>
  <c r="N56" i="91"/>
  <c r="L56" i="91"/>
  <c r="K56" i="91"/>
  <c r="J56" i="91"/>
  <c r="I56" i="91"/>
  <c r="H56" i="91"/>
  <c r="G56" i="91"/>
  <c r="B56" i="91"/>
  <c r="N55" i="91"/>
  <c r="B55" i="91"/>
  <c r="N54" i="91"/>
  <c r="B54" i="91"/>
  <c r="X53" i="91"/>
  <c r="W53" i="91"/>
  <c r="V53" i="91"/>
  <c r="U53" i="91"/>
  <c r="T53" i="91"/>
  <c r="S53" i="91"/>
  <c r="R53" i="91"/>
  <c r="Q53" i="91"/>
  <c r="P53" i="91"/>
  <c r="L53" i="91"/>
  <c r="K53" i="91"/>
  <c r="J53" i="91"/>
  <c r="I53" i="91"/>
  <c r="H53" i="91"/>
  <c r="G53" i="91"/>
  <c r="F53" i="91"/>
  <c r="E53" i="91"/>
  <c r="D53" i="91"/>
  <c r="X51" i="91"/>
  <c r="W51" i="91"/>
  <c r="V51" i="91"/>
  <c r="U51" i="91"/>
  <c r="T51" i="91"/>
  <c r="S51" i="91"/>
  <c r="R51" i="91"/>
  <c r="Q51" i="91"/>
  <c r="P51" i="91"/>
  <c r="L51" i="91"/>
  <c r="K51" i="91"/>
  <c r="J51" i="91"/>
  <c r="I51" i="91"/>
  <c r="H51" i="91"/>
  <c r="G51" i="91"/>
  <c r="F51" i="91"/>
  <c r="E51" i="91"/>
  <c r="D51" i="91"/>
  <c r="N50" i="91"/>
  <c r="B50" i="91"/>
  <c r="N48" i="91"/>
  <c r="B48" i="91"/>
  <c r="X47" i="91"/>
  <c r="N47" i="91"/>
  <c r="L47" i="91"/>
  <c r="B47" i="91"/>
  <c r="X46" i="91"/>
  <c r="W46" i="91"/>
  <c r="N46" i="91"/>
  <c r="L46" i="91"/>
  <c r="K46" i="91"/>
  <c r="B46" i="91"/>
  <c r="X45" i="91"/>
  <c r="W45" i="91"/>
  <c r="V45" i="91"/>
  <c r="N45" i="91"/>
  <c r="L45" i="91"/>
  <c r="K45" i="91"/>
  <c r="J45" i="91"/>
  <c r="B45" i="91"/>
  <c r="X44" i="91"/>
  <c r="W44" i="91"/>
  <c r="V44" i="91"/>
  <c r="U44" i="91"/>
  <c r="N44" i="91"/>
  <c r="L44" i="91"/>
  <c r="K44" i="91"/>
  <c r="J44" i="91"/>
  <c r="I44" i="91"/>
  <c r="B44" i="91"/>
  <c r="X43" i="91"/>
  <c r="W43" i="91"/>
  <c r="V43" i="91"/>
  <c r="U43" i="91"/>
  <c r="T43" i="91"/>
  <c r="N43" i="91"/>
  <c r="L43" i="91"/>
  <c r="K43" i="91"/>
  <c r="J43" i="91"/>
  <c r="I43" i="91"/>
  <c r="H43" i="91"/>
  <c r="B43" i="91"/>
  <c r="X42" i="91"/>
  <c r="W42" i="91"/>
  <c r="V42" i="91"/>
  <c r="U42" i="91"/>
  <c r="T42" i="91"/>
  <c r="S42" i="91"/>
  <c r="N42" i="91"/>
  <c r="L42" i="91"/>
  <c r="K42" i="91"/>
  <c r="J42" i="91"/>
  <c r="I42" i="91"/>
  <c r="H42" i="91"/>
  <c r="G42" i="91"/>
  <c r="B42" i="91"/>
  <c r="X41" i="91"/>
  <c r="W41" i="91"/>
  <c r="V41" i="91"/>
  <c r="U41" i="91"/>
  <c r="T41" i="91"/>
  <c r="S41" i="91"/>
  <c r="R41" i="91"/>
  <c r="N41" i="91"/>
  <c r="L41" i="91"/>
  <c r="K41" i="91"/>
  <c r="J41" i="91"/>
  <c r="I41" i="91"/>
  <c r="H41" i="91"/>
  <c r="G41" i="91"/>
  <c r="F41" i="91"/>
  <c r="B41" i="91"/>
  <c r="X40" i="91"/>
  <c r="W40" i="91"/>
  <c r="V40" i="91"/>
  <c r="U40" i="91"/>
  <c r="T40" i="91"/>
  <c r="S40" i="91"/>
  <c r="R40" i="91"/>
  <c r="Q40" i="91"/>
  <c r="N40" i="91"/>
  <c r="L40" i="91"/>
  <c r="K40" i="91"/>
  <c r="J40" i="91"/>
  <c r="I40" i="91"/>
  <c r="H40" i="91"/>
  <c r="G40" i="91"/>
  <c r="F40" i="91"/>
  <c r="E40" i="91"/>
  <c r="B40" i="91"/>
  <c r="X37" i="91"/>
  <c r="N37" i="91"/>
  <c r="L37" i="91"/>
  <c r="B37" i="91"/>
  <c r="X36" i="91"/>
  <c r="W36" i="91"/>
  <c r="N36" i="91"/>
  <c r="L36" i="91"/>
  <c r="K36" i="91"/>
  <c r="B36" i="91"/>
  <c r="X35" i="91"/>
  <c r="W35" i="91"/>
  <c r="V35" i="91"/>
  <c r="N35" i="91"/>
  <c r="M35" i="91"/>
  <c r="L35" i="91"/>
  <c r="K35" i="91"/>
  <c r="J35" i="91"/>
  <c r="B35" i="91"/>
  <c r="X34" i="91"/>
  <c r="W34" i="91"/>
  <c r="V34" i="91"/>
  <c r="U34" i="91"/>
  <c r="N34" i="91"/>
  <c r="L34" i="91"/>
  <c r="K34" i="91"/>
  <c r="J34" i="91"/>
  <c r="I34" i="91"/>
  <c r="H34" i="91"/>
  <c r="B34" i="91"/>
  <c r="X33" i="91"/>
  <c r="W33" i="91"/>
  <c r="V33" i="91"/>
  <c r="U33" i="91"/>
  <c r="T33" i="91"/>
  <c r="N33" i="91"/>
  <c r="L33" i="91"/>
  <c r="K33" i="91"/>
  <c r="J33" i="91"/>
  <c r="I33" i="91"/>
  <c r="H33" i="91"/>
  <c r="B33" i="91"/>
  <c r="X32" i="91"/>
  <c r="W32" i="91"/>
  <c r="V32" i="91"/>
  <c r="U32" i="91"/>
  <c r="T32" i="91"/>
  <c r="S32" i="91"/>
  <c r="N32" i="91"/>
  <c r="L32" i="91"/>
  <c r="K32" i="91"/>
  <c r="J32" i="91"/>
  <c r="I32" i="91"/>
  <c r="H32" i="91"/>
  <c r="G32" i="91"/>
  <c r="B32" i="91"/>
  <c r="X31" i="91"/>
  <c r="W31" i="91"/>
  <c r="V31" i="91"/>
  <c r="U31" i="91"/>
  <c r="T31" i="91"/>
  <c r="S31" i="91"/>
  <c r="R31" i="91"/>
  <c r="N31" i="91"/>
  <c r="L31" i="91"/>
  <c r="K31" i="91"/>
  <c r="J31" i="91"/>
  <c r="I31" i="91"/>
  <c r="H31" i="91"/>
  <c r="G31" i="91"/>
  <c r="F31" i="91"/>
  <c r="B31" i="91"/>
  <c r="X30" i="91"/>
  <c r="W30" i="91"/>
  <c r="V30" i="91"/>
  <c r="U30" i="91"/>
  <c r="T30" i="91"/>
  <c r="S30" i="91"/>
  <c r="R30" i="91"/>
  <c r="Q30" i="91"/>
  <c r="N30" i="91"/>
  <c r="L30" i="91"/>
  <c r="K30" i="91"/>
  <c r="J30" i="91"/>
  <c r="I30" i="91"/>
  <c r="H30" i="91"/>
  <c r="G30" i="91"/>
  <c r="F30" i="91"/>
  <c r="E30" i="91"/>
  <c r="B30" i="91"/>
  <c r="X29" i="91"/>
  <c r="W29" i="91"/>
  <c r="V29" i="91"/>
  <c r="U29" i="91"/>
  <c r="T29" i="91"/>
  <c r="S29" i="91"/>
  <c r="R29" i="91"/>
  <c r="Q29" i="91"/>
  <c r="P29" i="91"/>
  <c r="N29" i="91"/>
  <c r="L29" i="91"/>
  <c r="K29" i="91"/>
  <c r="J29" i="91"/>
  <c r="I29" i="91"/>
  <c r="H29" i="91"/>
  <c r="G29" i="91"/>
  <c r="F29" i="91"/>
  <c r="E29" i="91"/>
  <c r="D29" i="91"/>
  <c r="B29" i="91"/>
  <c r="N26" i="91"/>
  <c r="B26" i="91"/>
  <c r="X25" i="91"/>
  <c r="N25" i="91"/>
  <c r="L25" i="91"/>
  <c r="B25" i="91"/>
  <c r="X24" i="91"/>
  <c r="W24" i="91"/>
  <c r="N24" i="91"/>
  <c r="L24" i="91"/>
  <c r="K24" i="91"/>
  <c r="B24" i="91"/>
  <c r="X23" i="91"/>
  <c r="W23" i="91"/>
  <c r="V23" i="91"/>
  <c r="N23" i="91"/>
  <c r="L23" i="91"/>
  <c r="K23" i="91"/>
  <c r="J23" i="91"/>
  <c r="B23" i="91"/>
  <c r="X22" i="91"/>
  <c r="W22" i="91"/>
  <c r="V22" i="91"/>
  <c r="U22" i="91"/>
  <c r="N22" i="91"/>
  <c r="L22" i="91"/>
  <c r="K22" i="91"/>
  <c r="J22" i="91"/>
  <c r="I22" i="91"/>
  <c r="B22" i="91"/>
  <c r="X21" i="91"/>
  <c r="W21" i="91"/>
  <c r="V21" i="91"/>
  <c r="U21" i="91"/>
  <c r="T21" i="91"/>
  <c r="N21" i="91"/>
  <c r="L21" i="91"/>
  <c r="K21" i="91"/>
  <c r="J21" i="91"/>
  <c r="I21" i="91"/>
  <c r="H21" i="91"/>
  <c r="B21" i="91"/>
  <c r="X20" i="91"/>
  <c r="W20" i="91"/>
  <c r="V20" i="91"/>
  <c r="U20" i="91"/>
  <c r="T20" i="91"/>
  <c r="S20" i="91"/>
  <c r="N20" i="91"/>
  <c r="L20" i="91"/>
  <c r="K20" i="91"/>
  <c r="J20" i="91"/>
  <c r="I20" i="91"/>
  <c r="H20" i="91"/>
  <c r="G20" i="91"/>
  <c r="B20" i="91"/>
  <c r="X19" i="91"/>
  <c r="W19" i="91"/>
  <c r="V19" i="91"/>
  <c r="U19" i="91"/>
  <c r="T19" i="91"/>
  <c r="S19" i="91"/>
  <c r="R19" i="91"/>
  <c r="N19" i="91"/>
  <c r="L19" i="91"/>
  <c r="K19" i="91"/>
  <c r="J19" i="91"/>
  <c r="I19" i="91"/>
  <c r="H19" i="91"/>
  <c r="G19" i="91"/>
  <c r="F19" i="91"/>
  <c r="B19" i="91"/>
  <c r="X18" i="91"/>
  <c r="W18" i="91"/>
  <c r="V18" i="91"/>
  <c r="U18" i="91"/>
  <c r="T18" i="91"/>
  <c r="S18" i="91"/>
  <c r="R18" i="91"/>
  <c r="Q18" i="91"/>
  <c r="N18" i="91"/>
  <c r="L18" i="91"/>
  <c r="K18" i="91"/>
  <c r="J18" i="91"/>
  <c r="I18" i="91"/>
  <c r="H18" i="91"/>
  <c r="G18" i="91"/>
  <c r="F18" i="91"/>
  <c r="E18" i="91"/>
  <c r="B18" i="91"/>
  <c r="N15" i="91"/>
  <c r="B15" i="91"/>
  <c r="N14" i="91"/>
  <c r="B14" i="91"/>
  <c r="N13" i="91"/>
  <c r="B13" i="91"/>
  <c r="N12" i="91"/>
  <c r="B12" i="91"/>
  <c r="N11" i="91"/>
  <c r="B11" i="91"/>
  <c r="N10" i="91"/>
  <c r="B10" i="91"/>
  <c r="N9" i="91"/>
  <c r="B9" i="91"/>
  <c r="N8" i="91"/>
  <c r="B8" i="91"/>
  <c r="N7" i="91"/>
  <c r="B7" i="91"/>
  <c r="X6" i="91"/>
  <c r="W6" i="91"/>
  <c r="V6" i="91"/>
  <c r="U6" i="91"/>
  <c r="T6" i="91"/>
  <c r="S6" i="91"/>
  <c r="R6" i="91"/>
  <c r="Q6" i="91"/>
  <c r="P6" i="91"/>
  <c r="L6" i="91"/>
  <c r="K6" i="91"/>
  <c r="J6" i="91"/>
  <c r="I6" i="91"/>
  <c r="H6" i="91"/>
  <c r="G6" i="91"/>
  <c r="F6" i="91"/>
  <c r="E6" i="91"/>
  <c r="D6" i="91"/>
  <c r="X4" i="91"/>
  <c r="W4" i="91"/>
  <c r="V4" i="91"/>
  <c r="U4" i="91"/>
  <c r="T4" i="91"/>
  <c r="S4" i="91"/>
  <c r="R4" i="91"/>
  <c r="Q4" i="91"/>
  <c r="P4" i="91"/>
  <c r="L4" i="91"/>
  <c r="K4" i="91"/>
  <c r="J4" i="91"/>
  <c r="I4" i="91"/>
  <c r="H4" i="91"/>
  <c r="G4" i="91"/>
  <c r="F4" i="91"/>
  <c r="E4" i="91"/>
  <c r="D4" i="91"/>
  <c r="N3" i="91"/>
  <c r="B3" i="91"/>
  <c r="O236" i="104"/>
  <c r="N236" i="104"/>
  <c r="M236" i="104"/>
  <c r="L236" i="104"/>
  <c r="K236" i="104"/>
  <c r="J236" i="104"/>
  <c r="I236" i="104"/>
  <c r="H236" i="104"/>
  <c r="G236" i="104"/>
  <c r="F236" i="104"/>
  <c r="E236" i="104"/>
  <c r="O235" i="104"/>
  <c r="N235" i="104"/>
  <c r="M235" i="104"/>
  <c r="L235" i="104"/>
  <c r="K235" i="104"/>
  <c r="J235" i="104"/>
  <c r="I235" i="104"/>
  <c r="H235" i="104"/>
  <c r="G235" i="104"/>
  <c r="F235" i="104"/>
  <c r="E235" i="104"/>
  <c r="O234" i="104"/>
  <c r="N234" i="104"/>
  <c r="M234" i="104"/>
  <c r="L234" i="104"/>
  <c r="K234" i="104"/>
  <c r="J234" i="104"/>
  <c r="I234" i="104"/>
  <c r="H234" i="104"/>
  <c r="G234" i="104"/>
  <c r="F234" i="104"/>
  <c r="E234" i="104"/>
  <c r="B234" i="104"/>
  <c r="O233" i="104"/>
  <c r="N233" i="104"/>
  <c r="M233" i="104"/>
  <c r="L233" i="104"/>
  <c r="K233" i="104"/>
  <c r="J233" i="104"/>
  <c r="I233" i="104"/>
  <c r="H233" i="104"/>
  <c r="G233" i="104"/>
  <c r="F233" i="104"/>
  <c r="E233" i="104"/>
  <c r="B233" i="104"/>
  <c r="O232" i="104"/>
  <c r="N232" i="104"/>
  <c r="M232" i="104"/>
  <c r="L232" i="104"/>
  <c r="K232" i="104"/>
  <c r="J232" i="104"/>
  <c r="I232" i="104"/>
  <c r="H232" i="104"/>
  <c r="G232" i="104"/>
  <c r="F232" i="104"/>
  <c r="E232" i="104"/>
  <c r="B232" i="104"/>
  <c r="O231" i="104"/>
  <c r="N231" i="104"/>
  <c r="M231" i="104"/>
  <c r="L231" i="104"/>
  <c r="K231" i="104"/>
  <c r="J231" i="104"/>
  <c r="I231" i="104"/>
  <c r="H231" i="104"/>
  <c r="G231" i="104"/>
  <c r="F231" i="104"/>
  <c r="E231" i="104"/>
  <c r="B231" i="104"/>
  <c r="O230" i="104"/>
  <c r="N230" i="104"/>
  <c r="M230" i="104"/>
  <c r="L230" i="104"/>
  <c r="K230" i="104"/>
  <c r="J230" i="104"/>
  <c r="I230" i="104"/>
  <c r="H230" i="104"/>
  <c r="G230" i="104"/>
  <c r="F230" i="104"/>
  <c r="E230" i="104"/>
  <c r="B230" i="104"/>
  <c r="O229" i="104"/>
  <c r="N229" i="104"/>
  <c r="M229" i="104"/>
  <c r="L229" i="104"/>
  <c r="K229" i="104"/>
  <c r="J229" i="104"/>
  <c r="I229" i="104"/>
  <c r="H229" i="104"/>
  <c r="G229" i="104"/>
  <c r="F229" i="104"/>
  <c r="E229" i="104"/>
  <c r="B229" i="104"/>
  <c r="O228" i="104"/>
  <c r="N228" i="104"/>
  <c r="M228" i="104"/>
  <c r="L228" i="104"/>
  <c r="K228" i="104"/>
  <c r="J228" i="104"/>
  <c r="I228" i="104"/>
  <c r="H228" i="104"/>
  <c r="G228" i="104"/>
  <c r="F228" i="104"/>
  <c r="E228" i="104"/>
  <c r="B228" i="104"/>
  <c r="O227" i="104"/>
  <c r="N227" i="104"/>
  <c r="M227" i="104"/>
  <c r="L227" i="104"/>
  <c r="K227" i="104"/>
  <c r="J227" i="104"/>
  <c r="I227" i="104"/>
  <c r="H227" i="104"/>
  <c r="G227" i="104"/>
  <c r="F227" i="104"/>
  <c r="E227" i="104"/>
  <c r="B227" i="104"/>
  <c r="O226" i="104"/>
  <c r="N226" i="104"/>
  <c r="M226" i="104"/>
  <c r="L226" i="104"/>
  <c r="K226" i="104"/>
  <c r="J226" i="104"/>
  <c r="I226" i="104"/>
  <c r="H226" i="104"/>
  <c r="G226" i="104"/>
  <c r="F226" i="104"/>
  <c r="E226" i="104"/>
  <c r="B226" i="104"/>
  <c r="O225" i="104"/>
  <c r="N225" i="104"/>
  <c r="M225" i="104"/>
  <c r="L225" i="104"/>
  <c r="J225" i="104"/>
  <c r="H225" i="104"/>
  <c r="G225" i="104"/>
  <c r="F225" i="104"/>
  <c r="E225" i="104"/>
  <c r="B225" i="104"/>
  <c r="O224" i="104"/>
  <c r="N224" i="104"/>
  <c r="M224" i="104"/>
  <c r="L224" i="104"/>
  <c r="J224" i="104"/>
  <c r="H224" i="104"/>
  <c r="G224" i="104"/>
  <c r="F224" i="104"/>
  <c r="E224" i="104"/>
  <c r="B224" i="104"/>
  <c r="O223" i="104"/>
  <c r="N223" i="104"/>
  <c r="M223" i="104"/>
  <c r="L223" i="104"/>
  <c r="K223" i="104"/>
  <c r="J223" i="104"/>
  <c r="I223" i="104"/>
  <c r="H223" i="104"/>
  <c r="G223" i="104"/>
  <c r="F223" i="104"/>
  <c r="E223" i="104"/>
  <c r="O221" i="104"/>
  <c r="N221" i="104"/>
  <c r="M221" i="104"/>
  <c r="L221" i="104"/>
  <c r="K221" i="104"/>
  <c r="J221" i="104"/>
  <c r="I221" i="104"/>
  <c r="H221" i="104"/>
  <c r="B221" i="104"/>
  <c r="O220" i="104"/>
  <c r="N220" i="104"/>
  <c r="M220" i="104"/>
  <c r="L220" i="104"/>
  <c r="K220" i="104"/>
  <c r="J220" i="104"/>
  <c r="I220" i="104"/>
  <c r="H220" i="104"/>
  <c r="B220" i="104"/>
  <c r="O219" i="104"/>
  <c r="N219" i="104"/>
  <c r="M219" i="104"/>
  <c r="L219" i="104"/>
  <c r="K219" i="104"/>
  <c r="J219" i="104"/>
  <c r="I219" i="104"/>
  <c r="H219" i="104"/>
  <c r="B219" i="104"/>
  <c r="O218" i="104"/>
  <c r="N218" i="104"/>
  <c r="M218" i="104"/>
  <c r="L218" i="104"/>
  <c r="K218" i="104"/>
  <c r="J218" i="104"/>
  <c r="I218" i="104"/>
  <c r="H218" i="104"/>
  <c r="B218" i="104"/>
  <c r="O217" i="104"/>
  <c r="N217" i="104"/>
  <c r="M217" i="104"/>
  <c r="L217" i="104"/>
  <c r="K217" i="104"/>
  <c r="J217" i="104"/>
  <c r="I217" i="104"/>
  <c r="H217" i="104"/>
  <c r="B217" i="104"/>
  <c r="O216" i="104"/>
  <c r="N216" i="104"/>
  <c r="M216" i="104"/>
  <c r="L216" i="104"/>
  <c r="K216" i="104"/>
  <c r="J216" i="104"/>
  <c r="I216" i="104"/>
  <c r="H216" i="104"/>
  <c r="B216" i="104"/>
  <c r="O215" i="104"/>
  <c r="N215" i="104"/>
  <c r="M215" i="104"/>
  <c r="L215" i="104"/>
  <c r="K215" i="104"/>
  <c r="J215" i="104"/>
  <c r="I215" i="104"/>
  <c r="H215" i="104"/>
  <c r="B215" i="104"/>
  <c r="O214" i="104"/>
  <c r="N214" i="104"/>
  <c r="M214" i="104"/>
  <c r="L214" i="104"/>
  <c r="K214" i="104"/>
  <c r="J214" i="104"/>
  <c r="I214" i="104"/>
  <c r="H214" i="104"/>
  <c r="B214" i="104"/>
  <c r="O213" i="104"/>
  <c r="N213" i="104"/>
  <c r="M213" i="104"/>
  <c r="L213" i="104"/>
  <c r="K213" i="104"/>
  <c r="J213" i="104"/>
  <c r="I213" i="104"/>
  <c r="H213" i="104"/>
  <c r="B213" i="104"/>
  <c r="O212" i="104"/>
  <c r="N212" i="104"/>
  <c r="M212" i="104"/>
  <c r="L212" i="104"/>
  <c r="K212" i="104"/>
  <c r="J212" i="104"/>
  <c r="I212" i="104"/>
  <c r="H212" i="104"/>
  <c r="B212" i="104"/>
  <c r="O211" i="104"/>
  <c r="N211" i="104"/>
  <c r="M211" i="104"/>
  <c r="L211" i="104"/>
  <c r="K211" i="104"/>
  <c r="J211" i="104"/>
  <c r="I211" i="104"/>
  <c r="H211" i="104"/>
  <c r="B211" i="104"/>
  <c r="O209" i="104"/>
  <c r="N209" i="104"/>
  <c r="M209" i="104"/>
  <c r="L209" i="104"/>
  <c r="K209" i="104"/>
  <c r="J209" i="104"/>
  <c r="I209" i="104"/>
  <c r="H209" i="104"/>
  <c r="G209" i="104"/>
  <c r="F209" i="104"/>
  <c r="E209" i="104"/>
  <c r="O206" i="104"/>
  <c r="N206" i="104"/>
  <c r="M206" i="104"/>
  <c r="L206" i="104"/>
  <c r="K206" i="104"/>
  <c r="J206" i="104"/>
  <c r="I206" i="104"/>
  <c r="H206" i="104"/>
  <c r="G206" i="104"/>
  <c r="F206" i="104"/>
  <c r="E206" i="104"/>
  <c r="O205" i="104"/>
  <c r="N205" i="104"/>
  <c r="M205" i="104"/>
  <c r="L205" i="104"/>
  <c r="K205" i="104"/>
  <c r="J205" i="104"/>
  <c r="I205" i="104"/>
  <c r="H205" i="104"/>
  <c r="O204" i="104"/>
  <c r="N204" i="104"/>
  <c r="M204" i="104"/>
  <c r="L204" i="104"/>
  <c r="K204" i="104"/>
  <c r="J204" i="104"/>
  <c r="I204" i="104"/>
  <c r="H204" i="104"/>
  <c r="O203" i="104"/>
  <c r="N203" i="104"/>
  <c r="M203" i="104"/>
  <c r="L203" i="104"/>
  <c r="K203" i="104"/>
  <c r="J203" i="104"/>
  <c r="I203" i="104"/>
  <c r="H203" i="104"/>
  <c r="O202" i="104"/>
  <c r="N202" i="104"/>
  <c r="M202" i="104"/>
  <c r="L202" i="104"/>
  <c r="K202" i="104"/>
  <c r="J202" i="104"/>
  <c r="I202" i="104"/>
  <c r="H202" i="104"/>
  <c r="O201" i="104"/>
  <c r="N201" i="104"/>
  <c r="M201" i="104"/>
  <c r="L201" i="104"/>
  <c r="K201" i="104"/>
  <c r="J201" i="104"/>
  <c r="I201" i="104"/>
  <c r="H201" i="104"/>
  <c r="O200" i="104"/>
  <c r="N200" i="104"/>
  <c r="M200" i="104"/>
  <c r="L200" i="104"/>
  <c r="K200" i="104"/>
  <c r="J200" i="104"/>
  <c r="I200" i="104"/>
  <c r="H200" i="104"/>
  <c r="O199" i="104"/>
  <c r="N199" i="104"/>
  <c r="M199" i="104"/>
  <c r="L199" i="104"/>
  <c r="K199" i="104"/>
  <c r="J199" i="104"/>
  <c r="I199" i="104"/>
  <c r="H199" i="104"/>
  <c r="O198" i="104"/>
  <c r="N198" i="104"/>
  <c r="M198" i="104"/>
  <c r="L198" i="104"/>
  <c r="K198" i="104"/>
  <c r="J198" i="104"/>
  <c r="I198" i="104"/>
  <c r="H198" i="104"/>
  <c r="O197" i="104"/>
  <c r="N197" i="104"/>
  <c r="M197" i="104"/>
  <c r="L197" i="104"/>
  <c r="K197" i="104"/>
  <c r="J197" i="104"/>
  <c r="I197" i="104"/>
  <c r="H197" i="104"/>
  <c r="O196" i="104"/>
  <c r="N196" i="104"/>
  <c r="M196" i="104"/>
  <c r="L196" i="104"/>
  <c r="K196" i="104"/>
  <c r="J196" i="104"/>
  <c r="I196" i="104"/>
  <c r="H196" i="104"/>
  <c r="O195" i="104"/>
  <c r="N195" i="104"/>
  <c r="M195" i="104"/>
  <c r="L195" i="104"/>
  <c r="K195" i="104"/>
  <c r="J195" i="104"/>
  <c r="I195" i="104"/>
  <c r="H195" i="104"/>
  <c r="O191" i="104"/>
  <c r="N191" i="104"/>
  <c r="M191" i="104"/>
  <c r="L191" i="104"/>
  <c r="K191" i="104"/>
  <c r="J191" i="104"/>
  <c r="I191" i="104"/>
  <c r="H191" i="104"/>
  <c r="G191" i="104"/>
  <c r="F191" i="104"/>
  <c r="E191" i="104"/>
  <c r="O190" i="104"/>
  <c r="N190" i="104"/>
  <c r="M190" i="104"/>
  <c r="L190" i="104"/>
  <c r="K190" i="104"/>
  <c r="J190" i="104"/>
  <c r="I190" i="104"/>
  <c r="H190" i="104"/>
  <c r="G190" i="104"/>
  <c r="F190" i="104"/>
  <c r="E190" i="104"/>
  <c r="C189" i="104"/>
  <c r="B189" i="104"/>
  <c r="I186" i="104"/>
  <c r="H186" i="104"/>
  <c r="G186" i="104"/>
  <c r="F186" i="104"/>
  <c r="E186" i="104"/>
  <c r="I185" i="104"/>
  <c r="H185" i="104"/>
  <c r="G185" i="104"/>
  <c r="F185" i="104"/>
  <c r="E185" i="104"/>
  <c r="N184" i="104"/>
  <c r="M184" i="104"/>
  <c r="L184" i="104"/>
  <c r="K184" i="104"/>
  <c r="J184" i="104"/>
  <c r="I184" i="104"/>
  <c r="H184" i="104"/>
  <c r="G184" i="104"/>
  <c r="F184" i="104"/>
  <c r="E184" i="104"/>
  <c r="B184" i="104"/>
  <c r="M183" i="104"/>
  <c r="L183" i="104"/>
  <c r="K183" i="104"/>
  <c r="J183" i="104"/>
  <c r="I183" i="104"/>
  <c r="H183" i="104"/>
  <c r="G183" i="104"/>
  <c r="F183" i="104"/>
  <c r="E183" i="104"/>
  <c r="B183" i="104"/>
  <c r="O182" i="104"/>
  <c r="L182" i="104"/>
  <c r="K182" i="104"/>
  <c r="J182" i="104"/>
  <c r="I182" i="104"/>
  <c r="H182" i="104"/>
  <c r="G182" i="104"/>
  <c r="F182" i="104"/>
  <c r="E182" i="104"/>
  <c r="B182" i="104"/>
  <c r="O181" i="104"/>
  <c r="N181" i="104"/>
  <c r="K181" i="104"/>
  <c r="J181" i="104"/>
  <c r="I181" i="104"/>
  <c r="H181" i="104"/>
  <c r="G181" i="104"/>
  <c r="F181" i="104"/>
  <c r="E181" i="104"/>
  <c r="B181" i="104"/>
  <c r="O180" i="104"/>
  <c r="N180" i="104"/>
  <c r="M180" i="104"/>
  <c r="J180" i="104"/>
  <c r="I180" i="104"/>
  <c r="H180" i="104"/>
  <c r="G180" i="104"/>
  <c r="F180" i="104"/>
  <c r="E180" i="104"/>
  <c r="B180" i="104"/>
  <c r="O179" i="104"/>
  <c r="N179" i="104"/>
  <c r="M179" i="104"/>
  <c r="L179" i="104"/>
  <c r="J179" i="104"/>
  <c r="I179" i="104"/>
  <c r="H179" i="104"/>
  <c r="G179" i="104"/>
  <c r="F179" i="104"/>
  <c r="E179" i="104"/>
  <c r="B179" i="104"/>
  <c r="O178" i="104"/>
  <c r="N178" i="104"/>
  <c r="M178" i="104"/>
  <c r="L178" i="104"/>
  <c r="K178" i="104"/>
  <c r="I178" i="104"/>
  <c r="H178" i="104"/>
  <c r="G178" i="104"/>
  <c r="F178" i="104"/>
  <c r="E178" i="104"/>
  <c r="B178" i="104"/>
  <c r="O177" i="104"/>
  <c r="N177" i="104"/>
  <c r="M177" i="104"/>
  <c r="L177" i="104"/>
  <c r="K177" i="104"/>
  <c r="J177" i="104"/>
  <c r="H177" i="104"/>
  <c r="G177" i="104"/>
  <c r="F177" i="104"/>
  <c r="E177" i="104"/>
  <c r="B177" i="104"/>
  <c r="O176" i="104"/>
  <c r="N176" i="104"/>
  <c r="M176" i="104"/>
  <c r="L176" i="104"/>
  <c r="K176" i="104"/>
  <c r="J176" i="104"/>
  <c r="H176" i="104"/>
  <c r="G176" i="104"/>
  <c r="F176" i="104"/>
  <c r="E176" i="104"/>
  <c r="B176" i="104"/>
  <c r="O175" i="104"/>
  <c r="N175" i="104"/>
  <c r="M175" i="104"/>
  <c r="L175" i="104"/>
  <c r="K175" i="104"/>
  <c r="J175" i="104"/>
  <c r="H175" i="104"/>
  <c r="G175" i="104"/>
  <c r="F175" i="104"/>
  <c r="E175" i="104"/>
  <c r="B175" i="104"/>
  <c r="O174" i="104"/>
  <c r="N174" i="104"/>
  <c r="M174" i="104"/>
  <c r="L174" i="104"/>
  <c r="K174" i="104"/>
  <c r="J174" i="104"/>
  <c r="H174" i="104"/>
  <c r="G174" i="104"/>
  <c r="F174" i="104"/>
  <c r="E174" i="104"/>
  <c r="B174" i="104"/>
  <c r="O173" i="104"/>
  <c r="N173" i="104"/>
  <c r="M173" i="104"/>
  <c r="L173" i="104"/>
  <c r="K173" i="104"/>
  <c r="J173" i="104"/>
  <c r="I173" i="104"/>
  <c r="H173" i="104"/>
  <c r="G173" i="104"/>
  <c r="F173" i="104"/>
  <c r="E173" i="104"/>
  <c r="O171" i="104"/>
  <c r="N171" i="104"/>
  <c r="M171" i="104"/>
  <c r="L171" i="104"/>
  <c r="K171" i="104"/>
  <c r="J171" i="104"/>
  <c r="I171" i="104"/>
  <c r="H171" i="104"/>
  <c r="B171" i="104"/>
  <c r="O170" i="104"/>
  <c r="N170" i="104"/>
  <c r="M170" i="104"/>
  <c r="L170" i="104"/>
  <c r="K170" i="104"/>
  <c r="J170" i="104"/>
  <c r="I170" i="104"/>
  <c r="H170" i="104"/>
  <c r="B170" i="104"/>
  <c r="O169" i="104"/>
  <c r="N169" i="104"/>
  <c r="M169" i="104"/>
  <c r="L169" i="104"/>
  <c r="K169" i="104"/>
  <c r="J169" i="104"/>
  <c r="I169" i="104"/>
  <c r="H169" i="104"/>
  <c r="B169" i="104"/>
  <c r="O168" i="104"/>
  <c r="N168" i="104"/>
  <c r="M168" i="104"/>
  <c r="L168" i="104"/>
  <c r="K168" i="104"/>
  <c r="J168" i="104"/>
  <c r="I168" i="104"/>
  <c r="H168" i="104"/>
  <c r="B168" i="104"/>
  <c r="O167" i="104"/>
  <c r="N167" i="104"/>
  <c r="M167" i="104"/>
  <c r="L167" i="104"/>
  <c r="K167" i="104"/>
  <c r="J167" i="104"/>
  <c r="I167" i="104"/>
  <c r="H167" i="104"/>
  <c r="B167" i="104"/>
  <c r="O166" i="104"/>
  <c r="N166" i="104"/>
  <c r="M166" i="104"/>
  <c r="L166" i="104"/>
  <c r="K166" i="104"/>
  <c r="J166" i="104"/>
  <c r="I166" i="104"/>
  <c r="H166" i="104"/>
  <c r="B166" i="104"/>
  <c r="O165" i="104"/>
  <c r="N165" i="104"/>
  <c r="M165" i="104"/>
  <c r="L165" i="104"/>
  <c r="K165" i="104"/>
  <c r="J165" i="104"/>
  <c r="I165" i="104"/>
  <c r="H165" i="104"/>
  <c r="B165" i="104"/>
  <c r="O164" i="104"/>
  <c r="N164" i="104"/>
  <c r="M164" i="104"/>
  <c r="L164" i="104"/>
  <c r="K164" i="104"/>
  <c r="J164" i="104"/>
  <c r="I164" i="104"/>
  <c r="H164" i="104"/>
  <c r="B164" i="104"/>
  <c r="O163" i="104"/>
  <c r="N163" i="104"/>
  <c r="M163" i="104"/>
  <c r="L163" i="104"/>
  <c r="K163" i="104"/>
  <c r="J163" i="104"/>
  <c r="I163" i="104"/>
  <c r="H163" i="104"/>
  <c r="B163" i="104"/>
  <c r="O162" i="104"/>
  <c r="N162" i="104"/>
  <c r="M162" i="104"/>
  <c r="L162" i="104"/>
  <c r="K162" i="104"/>
  <c r="J162" i="104"/>
  <c r="I162" i="104"/>
  <c r="H162" i="104"/>
  <c r="B162" i="104"/>
  <c r="O161" i="104"/>
  <c r="N161" i="104"/>
  <c r="M161" i="104"/>
  <c r="L161" i="104"/>
  <c r="K161" i="104"/>
  <c r="J161" i="104"/>
  <c r="I161" i="104"/>
  <c r="H161" i="104"/>
  <c r="B161" i="104"/>
  <c r="O159" i="104"/>
  <c r="N159" i="104"/>
  <c r="M159" i="104"/>
  <c r="L159" i="104"/>
  <c r="K159" i="104"/>
  <c r="J159" i="104"/>
  <c r="I159" i="104"/>
  <c r="H159" i="104"/>
  <c r="G159" i="104"/>
  <c r="F159" i="104"/>
  <c r="E159" i="104"/>
  <c r="I156" i="104"/>
  <c r="H156" i="104"/>
  <c r="G156" i="104"/>
  <c r="F156" i="104"/>
  <c r="E156" i="104"/>
  <c r="N155" i="104"/>
  <c r="M155" i="104"/>
  <c r="L155" i="104"/>
  <c r="K155" i="104"/>
  <c r="J155" i="104"/>
  <c r="I155" i="104"/>
  <c r="M154" i="104"/>
  <c r="L154" i="104"/>
  <c r="K154" i="104"/>
  <c r="J154" i="104"/>
  <c r="I154" i="104"/>
  <c r="O153" i="104"/>
  <c r="L153" i="104"/>
  <c r="K153" i="104"/>
  <c r="J153" i="104"/>
  <c r="I153" i="104"/>
  <c r="O152" i="104"/>
  <c r="N152" i="104"/>
  <c r="K152" i="104"/>
  <c r="J152" i="104"/>
  <c r="I152" i="104"/>
  <c r="O151" i="104"/>
  <c r="N151" i="104"/>
  <c r="M151" i="104"/>
  <c r="J151" i="104"/>
  <c r="I151" i="104"/>
  <c r="O150" i="104"/>
  <c r="N150" i="104"/>
  <c r="M150" i="104"/>
  <c r="L150" i="104"/>
  <c r="J150" i="104"/>
  <c r="I150" i="104"/>
  <c r="O149" i="104"/>
  <c r="N149" i="104"/>
  <c r="M149" i="104"/>
  <c r="L149" i="104"/>
  <c r="K149" i="104"/>
  <c r="I149" i="104"/>
  <c r="O148" i="104"/>
  <c r="N148" i="104"/>
  <c r="M148" i="104"/>
  <c r="L148" i="104"/>
  <c r="K148" i="104"/>
  <c r="J148" i="104"/>
  <c r="I148" i="104"/>
  <c r="O147" i="104"/>
  <c r="N147" i="104"/>
  <c r="M147" i="104"/>
  <c r="L147" i="104"/>
  <c r="K147" i="104"/>
  <c r="J147" i="104"/>
  <c r="I147" i="104"/>
  <c r="O146" i="104"/>
  <c r="N146" i="104"/>
  <c r="M146" i="104"/>
  <c r="L146" i="104"/>
  <c r="K146" i="104"/>
  <c r="J146" i="104"/>
  <c r="I146" i="104"/>
  <c r="Y145" i="104"/>
  <c r="X145" i="104"/>
  <c r="W145" i="104"/>
  <c r="V145" i="104"/>
  <c r="U145" i="104"/>
  <c r="T145" i="104"/>
  <c r="S145" i="104"/>
  <c r="Q145" i="104"/>
  <c r="O145" i="104"/>
  <c r="N145" i="104"/>
  <c r="M145" i="104"/>
  <c r="L145" i="104"/>
  <c r="K145" i="104"/>
  <c r="J145" i="104"/>
  <c r="I145" i="104"/>
  <c r="Y144" i="104"/>
  <c r="X144" i="104"/>
  <c r="W144" i="104"/>
  <c r="V144" i="104"/>
  <c r="U144" i="104"/>
  <c r="T144" i="104"/>
  <c r="S144" i="104"/>
  <c r="Q144" i="104"/>
  <c r="Q143" i="104"/>
  <c r="Y142" i="104"/>
  <c r="X142" i="104"/>
  <c r="W142" i="104"/>
  <c r="V142" i="104"/>
  <c r="U142" i="104"/>
  <c r="T142" i="104"/>
  <c r="S142" i="104"/>
  <c r="O141" i="104"/>
  <c r="N141" i="104"/>
  <c r="M141" i="104"/>
  <c r="L141" i="104"/>
  <c r="K141" i="104"/>
  <c r="J141" i="104"/>
  <c r="I141" i="104"/>
  <c r="H141" i="104"/>
  <c r="G141" i="104"/>
  <c r="F141" i="104"/>
  <c r="E141" i="104"/>
  <c r="O140" i="104"/>
  <c r="N140" i="104"/>
  <c r="M140" i="104"/>
  <c r="L140" i="104"/>
  <c r="K140" i="104"/>
  <c r="J140" i="104"/>
  <c r="I140" i="104"/>
  <c r="H140" i="104"/>
  <c r="G140" i="104"/>
  <c r="F140" i="104"/>
  <c r="E140" i="104"/>
  <c r="Z139" i="104"/>
  <c r="Y139" i="104"/>
  <c r="X139" i="104"/>
  <c r="W139" i="104"/>
  <c r="V139" i="104"/>
  <c r="U139" i="104"/>
  <c r="T139" i="104"/>
  <c r="S139" i="104"/>
  <c r="C139" i="104"/>
  <c r="B139" i="104"/>
  <c r="Z138" i="104"/>
  <c r="Y138" i="104"/>
  <c r="X138" i="104"/>
  <c r="W138" i="104"/>
  <c r="V138" i="104"/>
  <c r="U138" i="104"/>
  <c r="T138" i="104"/>
  <c r="S138" i="104"/>
  <c r="Z136" i="104"/>
  <c r="Y136" i="104"/>
  <c r="X136" i="104"/>
  <c r="W136" i="104"/>
  <c r="V136" i="104"/>
  <c r="U136" i="104"/>
  <c r="T136" i="104"/>
  <c r="S136" i="104"/>
  <c r="H136" i="104"/>
  <c r="Y134" i="104"/>
  <c r="X134" i="104"/>
  <c r="W134" i="104"/>
  <c r="V134" i="104"/>
  <c r="U134" i="104"/>
  <c r="T134" i="104"/>
  <c r="S134" i="104"/>
  <c r="Q134" i="104"/>
  <c r="Y133" i="104"/>
  <c r="X133" i="104"/>
  <c r="W133" i="104"/>
  <c r="V133" i="104"/>
  <c r="U133" i="104"/>
  <c r="T133" i="104"/>
  <c r="S133" i="104"/>
  <c r="Q133" i="104"/>
  <c r="Y132" i="104"/>
  <c r="X132" i="104"/>
  <c r="W132" i="104"/>
  <c r="V132" i="104"/>
  <c r="U132" i="104"/>
  <c r="T132" i="104"/>
  <c r="S132" i="104"/>
  <c r="Q132" i="104"/>
  <c r="Y131" i="104"/>
  <c r="X131" i="104"/>
  <c r="W131" i="104"/>
  <c r="V131" i="104"/>
  <c r="U131" i="104"/>
  <c r="T131" i="104"/>
  <c r="S131" i="104"/>
  <c r="Q131" i="104"/>
  <c r="Y130" i="104"/>
  <c r="X130" i="104"/>
  <c r="W130" i="104"/>
  <c r="V130" i="104"/>
  <c r="U130" i="104"/>
  <c r="T130" i="104"/>
  <c r="S130" i="104"/>
  <c r="Q130" i="104"/>
  <c r="O130" i="104"/>
  <c r="N130" i="104"/>
  <c r="M130" i="104"/>
  <c r="L130" i="104"/>
  <c r="K130" i="104"/>
  <c r="J130" i="104"/>
  <c r="I130" i="104"/>
  <c r="H130" i="104"/>
  <c r="B130" i="104"/>
  <c r="Y129" i="104"/>
  <c r="X129" i="104"/>
  <c r="W129" i="104"/>
  <c r="V129" i="104"/>
  <c r="U129" i="104"/>
  <c r="T129" i="104"/>
  <c r="S129" i="104"/>
  <c r="Q129" i="104"/>
  <c r="O129" i="104"/>
  <c r="N129" i="104"/>
  <c r="M129" i="104"/>
  <c r="L129" i="104"/>
  <c r="K129" i="104"/>
  <c r="J129" i="104"/>
  <c r="I129" i="104"/>
  <c r="H129" i="104"/>
  <c r="B129" i="104"/>
  <c r="Y128" i="104"/>
  <c r="X128" i="104"/>
  <c r="W128" i="104"/>
  <c r="V128" i="104"/>
  <c r="U128" i="104"/>
  <c r="T128" i="104"/>
  <c r="S128" i="104"/>
  <c r="Q128" i="104"/>
  <c r="O128" i="104"/>
  <c r="N128" i="104"/>
  <c r="M128" i="104"/>
  <c r="L128" i="104"/>
  <c r="K128" i="104"/>
  <c r="J128" i="104"/>
  <c r="I128" i="104"/>
  <c r="H128" i="104"/>
  <c r="B128" i="104"/>
  <c r="Y127" i="104"/>
  <c r="X127" i="104"/>
  <c r="W127" i="104"/>
  <c r="V127" i="104"/>
  <c r="U127" i="104"/>
  <c r="T127" i="104"/>
  <c r="S127" i="104"/>
  <c r="O127" i="104"/>
  <c r="N127" i="104"/>
  <c r="M127" i="104"/>
  <c r="L127" i="104"/>
  <c r="K127" i="104"/>
  <c r="J127" i="104"/>
  <c r="I127" i="104"/>
  <c r="H127" i="104"/>
  <c r="B127" i="104"/>
  <c r="O126" i="104"/>
  <c r="N126" i="104"/>
  <c r="M126" i="104"/>
  <c r="L126" i="104"/>
  <c r="K126" i="104"/>
  <c r="J126" i="104"/>
  <c r="I126" i="104"/>
  <c r="H126" i="104"/>
  <c r="B126" i="104"/>
  <c r="S125" i="104"/>
  <c r="O125" i="104"/>
  <c r="N125" i="104"/>
  <c r="M125" i="104"/>
  <c r="L125" i="104"/>
  <c r="K125" i="104"/>
  <c r="J125" i="104"/>
  <c r="I125" i="104"/>
  <c r="H125" i="104"/>
  <c r="B125" i="104"/>
  <c r="Z124" i="104"/>
  <c r="Q124" i="104"/>
  <c r="O124" i="104"/>
  <c r="N124" i="104"/>
  <c r="M124" i="104"/>
  <c r="L124" i="104"/>
  <c r="K124" i="104"/>
  <c r="J124" i="104"/>
  <c r="I124" i="104"/>
  <c r="H124" i="104"/>
  <c r="B124" i="104"/>
  <c r="Z123" i="104"/>
  <c r="Q123" i="104"/>
  <c r="O123" i="104"/>
  <c r="N123" i="104"/>
  <c r="M123" i="104"/>
  <c r="L123" i="104"/>
  <c r="K123" i="104"/>
  <c r="J123" i="104"/>
  <c r="I123" i="104"/>
  <c r="H123" i="104"/>
  <c r="B123" i="104"/>
  <c r="S122" i="104"/>
  <c r="Q122" i="104"/>
  <c r="O122" i="104"/>
  <c r="N122" i="104"/>
  <c r="M122" i="104"/>
  <c r="L122" i="104"/>
  <c r="K122" i="104"/>
  <c r="I122" i="104"/>
  <c r="H122" i="104"/>
  <c r="B122" i="104"/>
  <c r="Y121" i="104"/>
  <c r="X121" i="104"/>
  <c r="W121" i="104"/>
  <c r="V121" i="104"/>
  <c r="U121" i="104"/>
  <c r="T121" i="104"/>
  <c r="S121" i="104"/>
  <c r="O121" i="104"/>
  <c r="N121" i="104"/>
  <c r="M121" i="104"/>
  <c r="L121" i="104"/>
  <c r="K121" i="104"/>
  <c r="J121" i="104"/>
  <c r="I121" i="104"/>
  <c r="H121" i="104"/>
  <c r="B121" i="104"/>
  <c r="O120" i="104"/>
  <c r="J120" i="104"/>
  <c r="I120" i="104"/>
  <c r="H120" i="104"/>
  <c r="B120" i="104"/>
  <c r="H119" i="104"/>
  <c r="B119" i="104"/>
  <c r="Q118" i="104"/>
  <c r="Y117" i="104"/>
  <c r="X117" i="104"/>
  <c r="W117" i="104"/>
  <c r="V117" i="104"/>
  <c r="U117" i="104"/>
  <c r="T117" i="104"/>
  <c r="S117" i="104"/>
  <c r="Q117" i="104"/>
  <c r="Q116" i="104"/>
  <c r="O116" i="104"/>
  <c r="N116" i="104"/>
  <c r="M116" i="104"/>
  <c r="L116" i="104"/>
  <c r="K116" i="104"/>
  <c r="J116" i="104"/>
  <c r="I116" i="104"/>
  <c r="H116" i="104"/>
  <c r="B116" i="104"/>
  <c r="Y115" i="104"/>
  <c r="X115" i="104"/>
  <c r="W115" i="104"/>
  <c r="V115" i="104"/>
  <c r="U115" i="104"/>
  <c r="T115" i="104"/>
  <c r="S115" i="104"/>
  <c r="O115" i="104"/>
  <c r="N115" i="104"/>
  <c r="M115" i="104"/>
  <c r="L115" i="104"/>
  <c r="K115" i="104"/>
  <c r="J115" i="104"/>
  <c r="I115" i="104"/>
  <c r="H115" i="104"/>
  <c r="B115" i="104"/>
  <c r="O114" i="104"/>
  <c r="N114" i="104"/>
  <c r="M114" i="104"/>
  <c r="L114" i="104"/>
  <c r="K114" i="104"/>
  <c r="J114" i="104"/>
  <c r="I114" i="104"/>
  <c r="H114" i="104"/>
  <c r="B114" i="104"/>
  <c r="O113" i="104"/>
  <c r="N113" i="104"/>
  <c r="M113" i="104"/>
  <c r="L113" i="104"/>
  <c r="K113" i="104"/>
  <c r="J113" i="104"/>
  <c r="I113" i="104"/>
  <c r="H113" i="104"/>
  <c r="B113" i="104"/>
  <c r="O112" i="104"/>
  <c r="N112" i="104"/>
  <c r="M112" i="104"/>
  <c r="L112" i="104"/>
  <c r="K112" i="104"/>
  <c r="J112" i="104"/>
  <c r="I112" i="104"/>
  <c r="H112" i="104"/>
  <c r="B112" i="104"/>
  <c r="O111" i="104"/>
  <c r="N111" i="104"/>
  <c r="M111" i="104"/>
  <c r="L111" i="104"/>
  <c r="K111" i="104"/>
  <c r="J111" i="104"/>
  <c r="I111" i="104"/>
  <c r="H111" i="104"/>
  <c r="B111" i="104"/>
  <c r="AD110" i="104"/>
  <c r="AC110" i="104"/>
  <c r="AB110" i="104"/>
  <c r="AA110" i="104"/>
  <c r="Z110" i="104"/>
  <c r="Y110" i="104"/>
  <c r="X110" i="104"/>
  <c r="W110" i="104"/>
  <c r="V110" i="104"/>
  <c r="U110" i="104"/>
  <c r="T110" i="104"/>
  <c r="O110" i="104"/>
  <c r="N110" i="104"/>
  <c r="M110" i="104"/>
  <c r="L110" i="104"/>
  <c r="K110" i="104"/>
  <c r="J110" i="104"/>
  <c r="I110" i="104"/>
  <c r="H110" i="104"/>
  <c r="B110" i="104"/>
  <c r="AD109" i="104"/>
  <c r="AC109" i="104"/>
  <c r="AB109" i="104"/>
  <c r="AA109" i="104"/>
  <c r="Z109" i="104"/>
  <c r="Y109" i="104"/>
  <c r="X109" i="104"/>
  <c r="W109" i="104"/>
  <c r="V109" i="104"/>
  <c r="U109" i="104"/>
  <c r="T109" i="104"/>
  <c r="O109" i="104"/>
  <c r="N109" i="104"/>
  <c r="M109" i="104"/>
  <c r="L109" i="104"/>
  <c r="K109" i="104"/>
  <c r="J109" i="104"/>
  <c r="I109" i="104"/>
  <c r="H109" i="104"/>
  <c r="B109" i="104"/>
  <c r="AD108" i="104"/>
  <c r="AC108" i="104"/>
  <c r="AB108" i="104"/>
  <c r="AA108" i="104"/>
  <c r="Z108" i="104"/>
  <c r="Y108" i="104"/>
  <c r="X108" i="104"/>
  <c r="W108" i="104"/>
  <c r="V108" i="104"/>
  <c r="U108" i="104"/>
  <c r="T108" i="104"/>
  <c r="Q108" i="104"/>
  <c r="O108" i="104"/>
  <c r="N108" i="104"/>
  <c r="M108" i="104"/>
  <c r="L108" i="104"/>
  <c r="K108" i="104"/>
  <c r="J108" i="104"/>
  <c r="I108" i="104"/>
  <c r="H108" i="104"/>
  <c r="B108" i="104"/>
  <c r="AD107" i="104"/>
  <c r="AC107" i="104"/>
  <c r="AB107" i="104"/>
  <c r="AA107" i="104"/>
  <c r="Z107" i="104"/>
  <c r="Y107" i="104"/>
  <c r="X107" i="104"/>
  <c r="W107" i="104"/>
  <c r="V107" i="104"/>
  <c r="U107" i="104"/>
  <c r="T107" i="104"/>
  <c r="Q107" i="104"/>
  <c r="N107" i="104"/>
  <c r="M107" i="104"/>
  <c r="L107" i="104"/>
  <c r="K107" i="104"/>
  <c r="J107" i="104"/>
  <c r="I107" i="104"/>
  <c r="B107" i="104"/>
  <c r="AD106" i="104"/>
  <c r="AC106" i="104"/>
  <c r="AB106" i="104"/>
  <c r="AA106" i="104"/>
  <c r="Z106" i="104"/>
  <c r="Y106" i="104"/>
  <c r="X106" i="104"/>
  <c r="W106" i="104"/>
  <c r="V106" i="104"/>
  <c r="U106" i="104"/>
  <c r="T106" i="104"/>
  <c r="Q106" i="104"/>
  <c r="N106" i="104"/>
  <c r="M106" i="104"/>
  <c r="L106" i="104"/>
  <c r="K106" i="104"/>
  <c r="J106" i="104"/>
  <c r="I106" i="104"/>
  <c r="B106" i="104"/>
  <c r="AD105" i="104"/>
  <c r="AC105" i="104"/>
  <c r="AB105" i="104"/>
  <c r="AA105" i="104"/>
  <c r="Z105" i="104"/>
  <c r="Y105" i="104"/>
  <c r="X105" i="104"/>
  <c r="W105" i="104"/>
  <c r="V105" i="104"/>
  <c r="U105" i="104"/>
  <c r="T105" i="104"/>
  <c r="Q105" i="104"/>
  <c r="AD104" i="104"/>
  <c r="AC104" i="104"/>
  <c r="AB104" i="104"/>
  <c r="AA104" i="104"/>
  <c r="Z104" i="104"/>
  <c r="Y104" i="104"/>
  <c r="X104" i="104"/>
  <c r="W104" i="104"/>
  <c r="V104" i="104"/>
  <c r="U104" i="104"/>
  <c r="T104" i="104"/>
  <c r="Q104" i="104"/>
  <c r="AD103" i="104"/>
  <c r="AC103" i="104"/>
  <c r="AB103" i="104"/>
  <c r="AA103" i="104"/>
  <c r="Z103" i="104"/>
  <c r="Y103" i="104"/>
  <c r="X103" i="104"/>
  <c r="W103" i="104"/>
  <c r="V103" i="104"/>
  <c r="U103" i="104"/>
  <c r="T103" i="104"/>
  <c r="Q103" i="104"/>
  <c r="O103" i="104"/>
  <c r="N103" i="104"/>
  <c r="M103" i="104"/>
  <c r="L103" i="104"/>
  <c r="K103" i="104"/>
  <c r="J103" i="104"/>
  <c r="I103" i="104"/>
  <c r="H103" i="104"/>
  <c r="B103" i="104"/>
  <c r="AD102" i="104"/>
  <c r="AC102" i="104"/>
  <c r="AB102" i="104"/>
  <c r="AA102" i="104"/>
  <c r="Z102" i="104"/>
  <c r="Y102" i="104"/>
  <c r="X102" i="104"/>
  <c r="W102" i="104"/>
  <c r="V102" i="104"/>
  <c r="U102" i="104"/>
  <c r="T102" i="104"/>
  <c r="Q102" i="104"/>
  <c r="O102" i="104"/>
  <c r="N102" i="104"/>
  <c r="M102" i="104"/>
  <c r="L102" i="104"/>
  <c r="K102" i="104"/>
  <c r="J102" i="104"/>
  <c r="I102" i="104"/>
  <c r="H102" i="104"/>
  <c r="B102" i="104"/>
  <c r="AD101" i="104"/>
  <c r="AC101" i="104"/>
  <c r="AB101" i="104"/>
  <c r="AA101" i="104"/>
  <c r="Z101" i="104"/>
  <c r="Y101" i="104"/>
  <c r="X101" i="104"/>
  <c r="W101" i="104"/>
  <c r="V101" i="104"/>
  <c r="U101" i="104"/>
  <c r="T101" i="104"/>
  <c r="Q101" i="104"/>
  <c r="O101" i="104"/>
  <c r="N101" i="104"/>
  <c r="M101" i="104"/>
  <c r="L101" i="104"/>
  <c r="K101" i="104"/>
  <c r="J101" i="104"/>
  <c r="I101" i="104"/>
  <c r="H101" i="104"/>
  <c r="B101" i="104"/>
  <c r="AD100" i="104"/>
  <c r="AC100" i="104"/>
  <c r="AB100" i="104"/>
  <c r="AA100" i="104"/>
  <c r="Z100" i="104"/>
  <c r="Y100" i="104"/>
  <c r="X100" i="104"/>
  <c r="W100" i="104"/>
  <c r="V100" i="104"/>
  <c r="U100" i="104"/>
  <c r="T100" i="104"/>
  <c r="Q100" i="104"/>
  <c r="O100" i="104"/>
  <c r="N100" i="104"/>
  <c r="M100" i="104"/>
  <c r="L100" i="104"/>
  <c r="K100" i="104"/>
  <c r="J100" i="104"/>
  <c r="I100" i="104"/>
  <c r="H100" i="104"/>
  <c r="B100" i="104"/>
  <c r="AD99" i="104"/>
  <c r="AC99" i="104"/>
  <c r="AB99" i="104"/>
  <c r="AA99" i="104"/>
  <c r="Z99" i="104"/>
  <c r="Y99" i="104"/>
  <c r="X99" i="104"/>
  <c r="W99" i="104"/>
  <c r="V99" i="104"/>
  <c r="U99" i="104"/>
  <c r="T99" i="104"/>
  <c r="Q99" i="104"/>
  <c r="O99" i="104"/>
  <c r="N99" i="104"/>
  <c r="M99" i="104"/>
  <c r="L99" i="104"/>
  <c r="K99" i="104"/>
  <c r="J99" i="104"/>
  <c r="I99" i="104"/>
  <c r="H99" i="104"/>
  <c r="B99" i="104"/>
  <c r="AD98" i="104"/>
  <c r="AC98" i="104"/>
  <c r="AB98" i="104"/>
  <c r="AA98" i="104"/>
  <c r="Z98" i="104"/>
  <c r="Y98" i="104"/>
  <c r="X98" i="104"/>
  <c r="W98" i="104"/>
  <c r="V98" i="104"/>
  <c r="U98" i="104"/>
  <c r="T98" i="104"/>
  <c r="Q98" i="104"/>
  <c r="O98" i="104"/>
  <c r="N98" i="104"/>
  <c r="M98" i="104"/>
  <c r="L98" i="104"/>
  <c r="K98" i="104"/>
  <c r="J98" i="104"/>
  <c r="I98" i="104"/>
  <c r="H98" i="104"/>
  <c r="B98" i="104"/>
  <c r="AD97" i="104"/>
  <c r="AC97" i="104"/>
  <c r="AB97" i="104"/>
  <c r="AA97" i="104"/>
  <c r="Z97" i="104"/>
  <c r="Y97" i="104"/>
  <c r="X97" i="104"/>
  <c r="W97" i="104"/>
  <c r="V97" i="104"/>
  <c r="U97" i="104"/>
  <c r="T97" i="104"/>
  <c r="O97" i="104"/>
  <c r="N97" i="104"/>
  <c r="M97" i="104"/>
  <c r="L97" i="104"/>
  <c r="K97" i="104"/>
  <c r="J97" i="104"/>
  <c r="I97" i="104"/>
  <c r="H97" i="104"/>
  <c r="B97" i="104"/>
  <c r="O96" i="104"/>
  <c r="N96" i="104"/>
  <c r="M96" i="104"/>
  <c r="L96" i="104"/>
  <c r="K96" i="104"/>
  <c r="I96" i="104"/>
  <c r="H96" i="104"/>
  <c r="B96" i="104"/>
  <c r="AD95" i="104"/>
  <c r="AC95" i="104"/>
  <c r="AB95" i="104"/>
  <c r="AA95" i="104"/>
  <c r="Z95" i="104"/>
  <c r="Y95" i="104"/>
  <c r="X95" i="104"/>
  <c r="W95" i="104"/>
  <c r="Q95" i="104"/>
  <c r="O95" i="104"/>
  <c r="N95" i="104"/>
  <c r="M95" i="104"/>
  <c r="L95" i="104"/>
  <c r="K95" i="104"/>
  <c r="J95" i="104"/>
  <c r="I95" i="104"/>
  <c r="H95" i="104"/>
  <c r="B95" i="104"/>
  <c r="AD94" i="104"/>
  <c r="AC94" i="104"/>
  <c r="AB94" i="104"/>
  <c r="AA94" i="104"/>
  <c r="Z94" i="104"/>
  <c r="Y94" i="104"/>
  <c r="X94" i="104"/>
  <c r="W94" i="104"/>
  <c r="Q94" i="104"/>
  <c r="O94" i="104"/>
  <c r="N94" i="104"/>
  <c r="N120" i="104" s="1"/>
  <c r="J94" i="104"/>
  <c r="I94" i="104"/>
  <c r="H94" i="104"/>
  <c r="B94" i="104"/>
  <c r="AD93" i="104"/>
  <c r="AC93" i="104"/>
  <c r="AB93" i="104"/>
  <c r="AA93" i="104"/>
  <c r="Z93" i="104"/>
  <c r="Y93" i="104"/>
  <c r="X93" i="104"/>
  <c r="W93" i="104"/>
  <c r="Q93" i="104"/>
  <c r="H93" i="104"/>
  <c r="B93" i="104"/>
  <c r="AD92" i="104"/>
  <c r="AC92" i="104"/>
  <c r="AB92" i="104"/>
  <c r="AA92" i="104"/>
  <c r="Z92" i="104"/>
  <c r="Y92" i="104"/>
  <c r="X92" i="104"/>
  <c r="W92" i="104"/>
  <c r="Q92" i="104"/>
  <c r="O92" i="104"/>
  <c r="N92" i="104"/>
  <c r="M92" i="104"/>
  <c r="L92" i="104"/>
  <c r="K92" i="104"/>
  <c r="J92" i="104"/>
  <c r="I92" i="104"/>
  <c r="H92" i="104"/>
  <c r="G92" i="104"/>
  <c r="F92" i="104"/>
  <c r="E92" i="104"/>
  <c r="AD91" i="104"/>
  <c r="AC91" i="104"/>
  <c r="AB91" i="104"/>
  <c r="AA91" i="104"/>
  <c r="Z91" i="104"/>
  <c r="Y91" i="104"/>
  <c r="X91" i="104"/>
  <c r="W91" i="104"/>
  <c r="Q91" i="104"/>
  <c r="AD90" i="104"/>
  <c r="AC90" i="104"/>
  <c r="AB90" i="104"/>
  <c r="AA90" i="104"/>
  <c r="Z90" i="104"/>
  <c r="Y90" i="104"/>
  <c r="X90" i="104"/>
  <c r="W90" i="104"/>
  <c r="Q90" i="104"/>
  <c r="H90" i="104"/>
  <c r="G90" i="104"/>
  <c r="F90" i="104"/>
  <c r="E90" i="104"/>
  <c r="AD89" i="104"/>
  <c r="AC89" i="104"/>
  <c r="AB89" i="104"/>
  <c r="AA89" i="104"/>
  <c r="Z89" i="104"/>
  <c r="Y89" i="104"/>
  <c r="X89" i="104"/>
  <c r="W89" i="104"/>
  <c r="Q89" i="104"/>
  <c r="AD88" i="104"/>
  <c r="AC88" i="104"/>
  <c r="AB88" i="104"/>
  <c r="AA88" i="104"/>
  <c r="Z88" i="104"/>
  <c r="Y88" i="104"/>
  <c r="X88" i="104"/>
  <c r="Q88" i="104"/>
  <c r="M88" i="104"/>
  <c r="L88" i="104"/>
  <c r="K88" i="104"/>
  <c r="J88" i="104"/>
  <c r="I88" i="104"/>
  <c r="AD87" i="104"/>
  <c r="AC87" i="104"/>
  <c r="AB87" i="104"/>
  <c r="AA87" i="104"/>
  <c r="Z87" i="104"/>
  <c r="Y87" i="104"/>
  <c r="Q87" i="104"/>
  <c r="L87" i="104"/>
  <c r="K87" i="104"/>
  <c r="J87" i="104"/>
  <c r="I87" i="104"/>
  <c r="AD86" i="104"/>
  <c r="AC86" i="104"/>
  <c r="AB86" i="104"/>
  <c r="AA86" i="104"/>
  <c r="Z86" i="104"/>
  <c r="Y86" i="104"/>
  <c r="Q86" i="104"/>
  <c r="K86" i="104"/>
  <c r="J86" i="104"/>
  <c r="I86" i="104"/>
  <c r="AD85" i="104"/>
  <c r="AC85" i="104"/>
  <c r="AB85" i="104"/>
  <c r="AA85" i="104"/>
  <c r="Z85" i="104"/>
  <c r="Y85" i="104"/>
  <c r="Q85" i="104"/>
  <c r="J85" i="104"/>
  <c r="I85" i="104"/>
  <c r="I84" i="104"/>
  <c r="AD83" i="104"/>
  <c r="AC83" i="104"/>
  <c r="AB83" i="104"/>
  <c r="AA83" i="104"/>
  <c r="Z83" i="104"/>
  <c r="Y83" i="104"/>
  <c r="X83" i="104"/>
  <c r="W83" i="104"/>
  <c r="V83" i="104"/>
  <c r="U83" i="104"/>
  <c r="T83" i="104"/>
  <c r="AD81" i="104"/>
  <c r="AC81" i="104"/>
  <c r="AB81" i="104"/>
  <c r="AA81" i="104"/>
  <c r="Z81" i="104"/>
  <c r="Y81" i="104"/>
  <c r="X81" i="104"/>
  <c r="W81" i="104"/>
  <c r="V81" i="104"/>
  <c r="U81" i="104"/>
  <c r="T81" i="104"/>
  <c r="AD80" i="104"/>
  <c r="AC80" i="104"/>
  <c r="AB80" i="104"/>
  <c r="AA80" i="104"/>
  <c r="Z80" i="104"/>
  <c r="Y80" i="104"/>
  <c r="X80" i="104"/>
  <c r="AD79" i="104"/>
  <c r="AC79" i="104"/>
  <c r="AB79" i="104"/>
  <c r="AA79" i="104"/>
  <c r="Z79" i="104"/>
  <c r="Y79" i="104"/>
  <c r="X79" i="104"/>
  <c r="AD78" i="104"/>
  <c r="AC78" i="104"/>
  <c r="AB78" i="104"/>
  <c r="AA78" i="104"/>
  <c r="Z78" i="104"/>
  <c r="Y78" i="104"/>
  <c r="X78" i="104"/>
  <c r="AD77" i="104"/>
  <c r="AC77" i="104"/>
  <c r="AB77" i="104"/>
  <c r="AA77" i="104"/>
  <c r="Z77" i="104"/>
  <c r="Y77" i="104"/>
  <c r="X77" i="104"/>
  <c r="AD76" i="104"/>
  <c r="AC76" i="104"/>
  <c r="AB76" i="104"/>
  <c r="AA76" i="104"/>
  <c r="Z76" i="104"/>
  <c r="Y76" i="104"/>
  <c r="X76" i="104"/>
  <c r="AD75" i="104"/>
  <c r="AC75" i="104"/>
  <c r="AB75" i="104"/>
  <c r="AA75" i="104"/>
  <c r="Z75" i="104"/>
  <c r="Y75" i="104"/>
  <c r="X75" i="104"/>
  <c r="AD74" i="104"/>
  <c r="AC74" i="104"/>
  <c r="AB74" i="104"/>
  <c r="AA74" i="104"/>
  <c r="Z74" i="104"/>
  <c r="Y74" i="104"/>
  <c r="AD73" i="104"/>
  <c r="AC73" i="104"/>
  <c r="AB73" i="104"/>
  <c r="AA73" i="104"/>
  <c r="Z73" i="104"/>
  <c r="Y73" i="104"/>
  <c r="X73" i="104"/>
  <c r="O73" i="104"/>
  <c r="N73" i="104"/>
  <c r="M73" i="104"/>
  <c r="L73" i="104"/>
  <c r="K73" i="104"/>
  <c r="J73" i="104"/>
  <c r="I73" i="104"/>
  <c r="AD72" i="104"/>
  <c r="AC72" i="104"/>
  <c r="AB72" i="104"/>
  <c r="AA72" i="104"/>
  <c r="Z72" i="104"/>
  <c r="Y72" i="104"/>
  <c r="O72" i="104"/>
  <c r="N72" i="104"/>
  <c r="M72" i="104"/>
  <c r="L72" i="104"/>
  <c r="K72" i="104"/>
  <c r="J72" i="104"/>
  <c r="I72" i="104"/>
  <c r="AD71" i="104"/>
  <c r="AC71" i="104"/>
  <c r="AB71" i="104"/>
  <c r="AA71" i="104"/>
  <c r="Z71" i="104"/>
  <c r="Y71" i="104"/>
  <c r="O71" i="104"/>
  <c r="N71" i="104"/>
  <c r="M71" i="104"/>
  <c r="L71" i="104"/>
  <c r="K71" i="104"/>
  <c r="J71" i="104"/>
  <c r="I71" i="104"/>
  <c r="AD70" i="104"/>
  <c r="AC70" i="104"/>
  <c r="AB70" i="104"/>
  <c r="AA70" i="104"/>
  <c r="Z70" i="104"/>
  <c r="Y70" i="104"/>
  <c r="O69" i="104"/>
  <c r="N69" i="104"/>
  <c r="M69" i="104"/>
  <c r="L69" i="104"/>
  <c r="K69" i="104"/>
  <c r="J69" i="104"/>
  <c r="I69" i="104"/>
  <c r="H69" i="104"/>
  <c r="G69" i="104"/>
  <c r="F69" i="104"/>
  <c r="E69" i="104"/>
  <c r="H67" i="104"/>
  <c r="G67" i="104"/>
  <c r="F67" i="104"/>
  <c r="E67" i="104"/>
  <c r="O65" i="104"/>
  <c r="N65" i="104"/>
  <c r="M65" i="104"/>
  <c r="L65" i="104"/>
  <c r="K65" i="104"/>
  <c r="J65" i="104"/>
  <c r="I65" i="104"/>
  <c r="H65" i="104"/>
  <c r="B65" i="104"/>
  <c r="AD64" i="104"/>
  <c r="AC64" i="104"/>
  <c r="AB64" i="104"/>
  <c r="AA64" i="104"/>
  <c r="Z64" i="104"/>
  <c r="Y64" i="104"/>
  <c r="X64" i="104"/>
  <c r="W64" i="104"/>
  <c r="V64" i="104"/>
  <c r="U64" i="104"/>
  <c r="T64" i="104"/>
  <c r="O64" i="104"/>
  <c r="N64" i="104"/>
  <c r="M64" i="104"/>
  <c r="L64" i="104"/>
  <c r="K64" i="104"/>
  <c r="J64" i="104"/>
  <c r="I64" i="104"/>
  <c r="H64" i="104"/>
  <c r="B64" i="104"/>
  <c r="AD63" i="104"/>
  <c r="AC63" i="104"/>
  <c r="AB63" i="104"/>
  <c r="AA63" i="104"/>
  <c r="Z63" i="104"/>
  <c r="Y63" i="104"/>
  <c r="X63" i="104"/>
  <c r="W63" i="104"/>
  <c r="V63" i="104"/>
  <c r="U63" i="104"/>
  <c r="T63" i="104"/>
  <c r="O63" i="104"/>
  <c r="N63" i="104"/>
  <c r="M63" i="104"/>
  <c r="L63" i="104"/>
  <c r="K63" i="104"/>
  <c r="J63" i="104"/>
  <c r="I63" i="104"/>
  <c r="H63" i="104"/>
  <c r="B63" i="104"/>
  <c r="R62" i="104"/>
  <c r="Q62" i="104"/>
  <c r="O62" i="104"/>
  <c r="N62" i="104"/>
  <c r="M62" i="104"/>
  <c r="L62" i="104"/>
  <c r="K62" i="104"/>
  <c r="J62" i="104"/>
  <c r="I62" i="104"/>
  <c r="H62" i="104"/>
  <c r="B62" i="104"/>
  <c r="O61" i="104"/>
  <c r="N61" i="104"/>
  <c r="M61" i="104"/>
  <c r="L61" i="104"/>
  <c r="K61" i="104"/>
  <c r="J61" i="104"/>
  <c r="I61" i="104"/>
  <c r="H61" i="104"/>
  <c r="B61" i="104"/>
  <c r="O60" i="104"/>
  <c r="N60" i="104"/>
  <c r="M60" i="104"/>
  <c r="L60" i="104"/>
  <c r="K60" i="104"/>
  <c r="J60" i="104"/>
  <c r="I60" i="104"/>
  <c r="H60" i="104"/>
  <c r="B60" i="104"/>
  <c r="AD59" i="104"/>
  <c r="AC59" i="104"/>
  <c r="AB59" i="104"/>
  <c r="AA59" i="104"/>
  <c r="Z59" i="104"/>
  <c r="Y59" i="104"/>
  <c r="X59" i="104"/>
  <c r="W59" i="104"/>
  <c r="V59" i="104"/>
  <c r="U59" i="104"/>
  <c r="T59" i="104"/>
  <c r="O59" i="104"/>
  <c r="N59" i="104"/>
  <c r="M59" i="104"/>
  <c r="L59" i="104"/>
  <c r="K59" i="104"/>
  <c r="J59" i="104"/>
  <c r="I59" i="104"/>
  <c r="H59" i="104"/>
  <c r="B59" i="104"/>
  <c r="AD58" i="104"/>
  <c r="AC58" i="104"/>
  <c r="AB58" i="104"/>
  <c r="AA58" i="104"/>
  <c r="Z58" i="104"/>
  <c r="Y58" i="104"/>
  <c r="X58" i="104"/>
  <c r="W58" i="104"/>
  <c r="V58" i="104"/>
  <c r="U58" i="104"/>
  <c r="T58" i="104"/>
  <c r="O58" i="104"/>
  <c r="N58" i="104"/>
  <c r="M58" i="104"/>
  <c r="L58" i="104"/>
  <c r="K58" i="104"/>
  <c r="I58" i="104"/>
  <c r="H58" i="104"/>
  <c r="B58" i="104"/>
  <c r="AD57" i="104"/>
  <c r="AC57" i="104"/>
  <c r="AB57" i="104"/>
  <c r="AA57" i="104"/>
  <c r="Z57" i="104"/>
  <c r="Y57" i="104"/>
  <c r="X57" i="104"/>
  <c r="W57" i="104"/>
  <c r="V57" i="104"/>
  <c r="U57" i="104"/>
  <c r="T57" i="104"/>
  <c r="Q57" i="104"/>
  <c r="O57" i="104"/>
  <c r="N57" i="104"/>
  <c r="M57" i="104"/>
  <c r="L57" i="104"/>
  <c r="K57" i="104"/>
  <c r="J57" i="104"/>
  <c r="I57" i="104"/>
  <c r="H57" i="104"/>
  <c r="B57" i="104"/>
  <c r="AD56" i="104"/>
  <c r="AC56" i="104"/>
  <c r="AB56" i="104"/>
  <c r="AA56" i="104"/>
  <c r="Z56" i="104"/>
  <c r="Y56" i="104"/>
  <c r="X56" i="104"/>
  <c r="W56" i="104"/>
  <c r="V56" i="104"/>
  <c r="U56" i="104"/>
  <c r="T56" i="104"/>
  <c r="Q56" i="104"/>
  <c r="O56" i="104"/>
  <c r="M56" i="104"/>
  <c r="M94" i="104" s="1"/>
  <c r="M120" i="104" s="1"/>
  <c r="L56" i="104"/>
  <c r="L94" i="104" s="1"/>
  <c r="L120" i="104" s="1"/>
  <c r="J56" i="104"/>
  <c r="I56" i="104"/>
  <c r="H56" i="104"/>
  <c r="B56" i="104"/>
  <c r="AD55" i="104"/>
  <c r="AC55" i="104"/>
  <c r="AB55" i="104"/>
  <c r="AA55" i="104"/>
  <c r="Z55" i="104"/>
  <c r="Y55" i="104"/>
  <c r="X55" i="104"/>
  <c r="W55" i="104"/>
  <c r="V55" i="104"/>
  <c r="U55" i="104"/>
  <c r="T55" i="104"/>
  <c r="Q55" i="104"/>
  <c r="H55" i="104"/>
  <c r="B55" i="104"/>
  <c r="AD54" i="104"/>
  <c r="AC54" i="104"/>
  <c r="AB54" i="104"/>
  <c r="AA54" i="104"/>
  <c r="Z54" i="104"/>
  <c r="Y54" i="104"/>
  <c r="X54" i="104"/>
  <c r="W54" i="104"/>
  <c r="V54" i="104"/>
  <c r="U54" i="104"/>
  <c r="T54" i="104"/>
  <c r="Q54" i="104"/>
  <c r="O54" i="104"/>
  <c r="N54" i="104"/>
  <c r="M54" i="104"/>
  <c r="L54" i="104"/>
  <c r="K54" i="104"/>
  <c r="J54" i="104"/>
  <c r="I54" i="104"/>
  <c r="H54" i="104"/>
  <c r="G54" i="104"/>
  <c r="F54" i="104"/>
  <c r="E54" i="104"/>
  <c r="AD53" i="104"/>
  <c r="AC53" i="104"/>
  <c r="AB53" i="104"/>
  <c r="AA53" i="104"/>
  <c r="Z53" i="104"/>
  <c r="Y53" i="104"/>
  <c r="X53" i="104"/>
  <c r="W53" i="104"/>
  <c r="V53" i="104"/>
  <c r="U53" i="104"/>
  <c r="T53" i="104"/>
  <c r="Q53" i="104"/>
  <c r="AD52" i="104"/>
  <c r="AC52" i="104"/>
  <c r="AB52" i="104"/>
  <c r="AA52" i="104"/>
  <c r="Z52" i="104"/>
  <c r="Y52" i="104"/>
  <c r="X52" i="104"/>
  <c r="W52" i="104"/>
  <c r="V52" i="104"/>
  <c r="U52" i="104"/>
  <c r="T52" i="104"/>
  <c r="Q52" i="104"/>
  <c r="O52" i="104"/>
  <c r="N52" i="104"/>
  <c r="M52" i="104"/>
  <c r="L52" i="104"/>
  <c r="K52" i="104"/>
  <c r="B52" i="104"/>
  <c r="AD51" i="104"/>
  <c r="AC51" i="104"/>
  <c r="AB51" i="104"/>
  <c r="AA51" i="104"/>
  <c r="Z51" i="104"/>
  <c r="Y51" i="104"/>
  <c r="X51" i="104"/>
  <c r="W51" i="104"/>
  <c r="V51" i="104"/>
  <c r="U51" i="104"/>
  <c r="T51" i="104"/>
  <c r="Q51" i="104"/>
  <c r="O51" i="104"/>
  <c r="N51" i="104"/>
  <c r="M51" i="104"/>
  <c r="L51" i="104"/>
  <c r="K51" i="104"/>
  <c r="B51" i="104"/>
  <c r="AD50" i="104"/>
  <c r="AC50" i="104"/>
  <c r="AB50" i="104"/>
  <c r="AA50" i="104"/>
  <c r="Z50" i="104"/>
  <c r="Y50" i="104"/>
  <c r="X50" i="104"/>
  <c r="W50" i="104"/>
  <c r="V50" i="104"/>
  <c r="U50" i="104"/>
  <c r="T50" i="104"/>
  <c r="Q50" i="104"/>
  <c r="O50" i="104"/>
  <c r="N50" i="104"/>
  <c r="M50" i="104"/>
  <c r="L50" i="104"/>
  <c r="K50" i="104"/>
  <c r="B50" i="104"/>
  <c r="AD49" i="104"/>
  <c r="AC49" i="104"/>
  <c r="AB49" i="104"/>
  <c r="AA49" i="104"/>
  <c r="Z49" i="104"/>
  <c r="Y49" i="104"/>
  <c r="X49" i="104"/>
  <c r="W49" i="104"/>
  <c r="V49" i="104"/>
  <c r="U49" i="104"/>
  <c r="T49" i="104"/>
  <c r="Q49" i="104"/>
  <c r="O49" i="104"/>
  <c r="N49" i="104"/>
  <c r="M49" i="104"/>
  <c r="L49" i="104"/>
  <c r="K49" i="104"/>
  <c r="B49" i="104"/>
  <c r="AD48" i="104"/>
  <c r="AC48" i="104"/>
  <c r="AB48" i="104"/>
  <c r="AA48" i="104"/>
  <c r="Z48" i="104"/>
  <c r="Y48" i="104"/>
  <c r="X48" i="104"/>
  <c r="W48" i="104"/>
  <c r="V48" i="104"/>
  <c r="U48" i="104"/>
  <c r="T48" i="104"/>
  <c r="Q48" i="104"/>
  <c r="O48" i="104"/>
  <c r="N48" i="104"/>
  <c r="M48" i="104"/>
  <c r="L48" i="104"/>
  <c r="K48" i="104"/>
  <c r="B48" i="104"/>
  <c r="AD47" i="104"/>
  <c r="AC47" i="104"/>
  <c r="AB47" i="104"/>
  <c r="AA47" i="104"/>
  <c r="Z47" i="104"/>
  <c r="Y47" i="104"/>
  <c r="X47" i="104"/>
  <c r="W47" i="104"/>
  <c r="V47" i="104"/>
  <c r="U47" i="104"/>
  <c r="T47" i="104"/>
  <c r="Q47" i="104"/>
  <c r="O47" i="104"/>
  <c r="N47" i="104"/>
  <c r="M47" i="104"/>
  <c r="L47" i="104"/>
  <c r="K47" i="104"/>
  <c r="B47" i="104"/>
  <c r="AD46" i="104"/>
  <c r="AC46" i="104"/>
  <c r="AB46" i="104"/>
  <c r="AA46" i="104"/>
  <c r="Z46" i="104"/>
  <c r="Y46" i="104"/>
  <c r="X46" i="104"/>
  <c r="W46" i="104"/>
  <c r="V46" i="104"/>
  <c r="U46" i="104"/>
  <c r="T46" i="104"/>
  <c r="O46" i="104"/>
  <c r="N46" i="104"/>
  <c r="M46" i="104"/>
  <c r="L46" i="104"/>
  <c r="K46" i="104"/>
  <c r="B46" i="104"/>
  <c r="O45" i="104"/>
  <c r="N45" i="104"/>
  <c r="M45" i="104"/>
  <c r="L45" i="104"/>
  <c r="K45" i="104"/>
  <c r="B45" i="104"/>
  <c r="AD44" i="104"/>
  <c r="AC44" i="104"/>
  <c r="AB44" i="104"/>
  <c r="AA44" i="104"/>
  <c r="Z44" i="104"/>
  <c r="Y44" i="104"/>
  <c r="X44" i="104"/>
  <c r="W44" i="104"/>
  <c r="Q44" i="104"/>
  <c r="O44" i="104"/>
  <c r="N44" i="104"/>
  <c r="M44" i="104"/>
  <c r="L44" i="104"/>
  <c r="K44" i="104"/>
  <c r="J44" i="104"/>
  <c r="B44" i="104"/>
  <c r="AD43" i="104"/>
  <c r="AC43" i="104"/>
  <c r="AB43" i="104"/>
  <c r="AA43" i="104"/>
  <c r="Z43" i="104"/>
  <c r="Y43" i="104"/>
  <c r="X43" i="104"/>
  <c r="W43" i="104"/>
  <c r="Q43" i="104"/>
  <c r="O43" i="104"/>
  <c r="N43" i="104"/>
  <c r="N56" i="104" s="1"/>
  <c r="Z207" i="109" s="1"/>
  <c r="M43" i="104"/>
  <c r="L43" i="104"/>
  <c r="K43" i="104"/>
  <c r="K56" i="104" s="1"/>
  <c r="W207" i="109" s="1"/>
  <c r="J43" i="104"/>
  <c r="B43" i="104"/>
  <c r="AD42" i="104"/>
  <c r="AC42" i="104"/>
  <c r="AB42" i="104"/>
  <c r="AA42" i="104"/>
  <c r="Z42" i="104"/>
  <c r="Y42" i="104"/>
  <c r="X42" i="104"/>
  <c r="W42" i="104"/>
  <c r="Q42" i="104"/>
  <c r="O42" i="104"/>
  <c r="N42" i="104"/>
  <c r="M42" i="104"/>
  <c r="L42" i="104"/>
  <c r="K42" i="104"/>
  <c r="B42" i="104"/>
  <c r="AD41" i="104"/>
  <c r="AC41" i="104"/>
  <c r="AB41" i="104"/>
  <c r="AA41" i="104"/>
  <c r="Z41" i="104"/>
  <c r="Y41" i="104"/>
  <c r="X41" i="104"/>
  <c r="W41" i="104"/>
  <c r="Q41" i="104"/>
  <c r="O41" i="104"/>
  <c r="N41" i="104"/>
  <c r="M41" i="104"/>
  <c r="L41" i="104"/>
  <c r="K41" i="104"/>
  <c r="J41" i="104"/>
  <c r="I41" i="104"/>
  <c r="H41" i="104"/>
  <c r="G41" i="104"/>
  <c r="F41" i="104"/>
  <c r="E41" i="104"/>
  <c r="AD40" i="104"/>
  <c r="AC40" i="104"/>
  <c r="AB40" i="104"/>
  <c r="AA40" i="104"/>
  <c r="Z40" i="104"/>
  <c r="Y40" i="104"/>
  <c r="X40" i="104"/>
  <c r="W40" i="104"/>
  <c r="Q40" i="104"/>
  <c r="AD39" i="104"/>
  <c r="AC39" i="104"/>
  <c r="AB39" i="104"/>
  <c r="AA39" i="104"/>
  <c r="Z39" i="104"/>
  <c r="Y39" i="104"/>
  <c r="X39" i="104"/>
  <c r="W39" i="104"/>
  <c r="Q39" i="104"/>
  <c r="AD38" i="104"/>
  <c r="AC38" i="104"/>
  <c r="AB38" i="104"/>
  <c r="AA38" i="104"/>
  <c r="Z38" i="104"/>
  <c r="Y38" i="104"/>
  <c r="X38" i="104"/>
  <c r="W38" i="104"/>
  <c r="Q38" i="104"/>
  <c r="H38" i="104"/>
  <c r="G38" i="104"/>
  <c r="F38" i="104"/>
  <c r="E38" i="104"/>
  <c r="AD37" i="104"/>
  <c r="AC37" i="104"/>
  <c r="AB37" i="104"/>
  <c r="AA37" i="104"/>
  <c r="Z37" i="104"/>
  <c r="Y37" i="104"/>
  <c r="Q37" i="104"/>
  <c r="H37" i="104"/>
  <c r="AD36" i="104"/>
  <c r="AC36" i="104"/>
  <c r="AB36" i="104"/>
  <c r="AA36" i="104"/>
  <c r="Z36" i="104"/>
  <c r="Y36" i="104"/>
  <c r="Q36" i="104"/>
  <c r="H36" i="104"/>
  <c r="AD35" i="104"/>
  <c r="AC35" i="104"/>
  <c r="AB35" i="104"/>
  <c r="AA35" i="104"/>
  <c r="Z35" i="104"/>
  <c r="Y35" i="104"/>
  <c r="Q35" i="104"/>
  <c r="H35" i="104"/>
  <c r="AD34" i="104"/>
  <c r="AC34" i="104"/>
  <c r="AB34" i="104"/>
  <c r="AA34" i="104"/>
  <c r="Z34" i="104"/>
  <c r="Y34" i="104"/>
  <c r="Q34" i="104"/>
  <c r="H33" i="104"/>
  <c r="AD32" i="104"/>
  <c r="AC32" i="104"/>
  <c r="AB32" i="104"/>
  <c r="AA32" i="104"/>
  <c r="Z32" i="104"/>
  <c r="Y32" i="104"/>
  <c r="X32" i="104"/>
  <c r="W32" i="104"/>
  <c r="V32" i="104"/>
  <c r="U32" i="104"/>
  <c r="T32" i="104"/>
  <c r="H32" i="104"/>
  <c r="L31" i="104"/>
  <c r="K31" i="104"/>
  <c r="J31" i="104"/>
  <c r="I31" i="104"/>
  <c r="AD30" i="104"/>
  <c r="AC30" i="104"/>
  <c r="AB30" i="104"/>
  <c r="AA30" i="104"/>
  <c r="Z30" i="104"/>
  <c r="Y30" i="104"/>
  <c r="X30" i="104"/>
  <c r="W30" i="104"/>
  <c r="V30" i="104"/>
  <c r="U30" i="104"/>
  <c r="T30" i="104"/>
  <c r="AD29" i="104"/>
  <c r="AC29" i="104"/>
  <c r="AB29" i="104"/>
  <c r="AA29" i="104"/>
  <c r="Z29" i="104"/>
  <c r="Y29" i="104"/>
  <c r="X29" i="104"/>
  <c r="W29" i="104"/>
  <c r="Q29" i="104"/>
  <c r="O29" i="104"/>
  <c r="N29" i="104"/>
  <c r="M29" i="104"/>
  <c r="L29" i="104"/>
  <c r="K29" i="104"/>
  <c r="J29" i="104"/>
  <c r="I29" i="104"/>
  <c r="H29" i="104"/>
  <c r="G29" i="104"/>
  <c r="F29" i="104"/>
  <c r="E29" i="104"/>
  <c r="AD28" i="104"/>
  <c r="AC28" i="104"/>
  <c r="AB28" i="104"/>
  <c r="AA28" i="104"/>
  <c r="Z28" i="104"/>
  <c r="Y28" i="104"/>
  <c r="X28" i="104"/>
  <c r="W28" i="104"/>
  <c r="Q28" i="104"/>
  <c r="O28" i="104"/>
  <c r="N28" i="104"/>
  <c r="M28" i="104"/>
  <c r="L28" i="104"/>
  <c r="K28" i="104"/>
  <c r="J28" i="104"/>
  <c r="I28" i="104"/>
  <c r="H28" i="104"/>
  <c r="G28" i="104"/>
  <c r="AD27" i="104"/>
  <c r="AC27" i="104"/>
  <c r="AB27" i="104"/>
  <c r="AA27" i="104"/>
  <c r="Z27" i="104"/>
  <c r="Y27" i="104"/>
  <c r="X27" i="104"/>
  <c r="W27" i="104"/>
  <c r="Q27" i="104"/>
  <c r="O27" i="104"/>
  <c r="N27" i="104"/>
  <c r="M27" i="104"/>
  <c r="L27" i="104"/>
  <c r="K27" i="104"/>
  <c r="J27" i="104"/>
  <c r="I27" i="104"/>
  <c r="H27" i="104"/>
  <c r="G27" i="104"/>
  <c r="AD26" i="104"/>
  <c r="AC26" i="104"/>
  <c r="AB26" i="104"/>
  <c r="AA26" i="104"/>
  <c r="Z26" i="104"/>
  <c r="Y26" i="104"/>
  <c r="X26" i="104"/>
  <c r="W26" i="104"/>
  <c r="Q26" i="104"/>
  <c r="O26" i="104"/>
  <c r="N26" i="104"/>
  <c r="M26" i="104"/>
  <c r="L26" i="104"/>
  <c r="K26" i="104"/>
  <c r="J26" i="104"/>
  <c r="I26" i="104"/>
  <c r="H26" i="104"/>
  <c r="G26" i="104"/>
  <c r="AD25" i="104"/>
  <c r="AC25" i="104"/>
  <c r="AB25" i="104"/>
  <c r="AA25" i="104"/>
  <c r="Z25" i="104"/>
  <c r="Y25" i="104"/>
  <c r="X25" i="104"/>
  <c r="W25" i="104"/>
  <c r="Q25" i="104"/>
  <c r="O25" i="104"/>
  <c r="N25" i="104"/>
  <c r="M25" i="104"/>
  <c r="L25" i="104"/>
  <c r="K25" i="104"/>
  <c r="J25" i="104"/>
  <c r="I25" i="104"/>
  <c r="H25" i="104"/>
  <c r="G25" i="104"/>
  <c r="AD24" i="104"/>
  <c r="AC24" i="104"/>
  <c r="AB24" i="104"/>
  <c r="AA24" i="104"/>
  <c r="Z24" i="104"/>
  <c r="Y24" i="104"/>
  <c r="X24" i="104"/>
  <c r="W24" i="104"/>
  <c r="Q24" i="104"/>
  <c r="O24" i="104"/>
  <c r="N24" i="104"/>
  <c r="M24" i="104"/>
  <c r="L24" i="104"/>
  <c r="K24" i="104"/>
  <c r="J24" i="104"/>
  <c r="I24" i="104"/>
  <c r="H24" i="104"/>
  <c r="G24" i="104"/>
  <c r="AD23" i="104"/>
  <c r="AC23" i="104"/>
  <c r="AB23" i="104"/>
  <c r="AA23" i="104"/>
  <c r="Z23" i="104"/>
  <c r="Y23" i="104"/>
  <c r="Q23" i="104"/>
  <c r="O23" i="104"/>
  <c r="N23" i="104"/>
  <c r="M23" i="104"/>
  <c r="L23" i="104"/>
  <c r="K23" i="104"/>
  <c r="J23" i="104"/>
  <c r="I23" i="104"/>
  <c r="H23" i="104"/>
  <c r="G23" i="104"/>
  <c r="AD22" i="104"/>
  <c r="AC22" i="104"/>
  <c r="AB22" i="104"/>
  <c r="AA22" i="104"/>
  <c r="Z22" i="104"/>
  <c r="Y22" i="104"/>
  <c r="X22" i="104"/>
  <c r="Q22" i="104"/>
  <c r="O22" i="104"/>
  <c r="N22" i="104"/>
  <c r="M22" i="104"/>
  <c r="L22" i="104"/>
  <c r="K22" i="104"/>
  <c r="AD21" i="104"/>
  <c r="AC21" i="104"/>
  <c r="AB21" i="104"/>
  <c r="AA21" i="104"/>
  <c r="Z21" i="104"/>
  <c r="Y21" i="104"/>
  <c r="Q21" i="104"/>
  <c r="J21" i="104"/>
  <c r="AD20" i="104"/>
  <c r="AC20" i="104"/>
  <c r="AB20" i="104"/>
  <c r="AA20" i="104"/>
  <c r="Z20" i="104"/>
  <c r="Y20" i="104"/>
  <c r="Q20" i="104"/>
  <c r="J20" i="104"/>
  <c r="I20" i="104"/>
  <c r="AD19" i="104"/>
  <c r="AC19" i="104"/>
  <c r="AB19" i="104"/>
  <c r="AA19" i="104"/>
  <c r="Z19" i="104"/>
  <c r="Y19" i="104"/>
  <c r="J19" i="104"/>
  <c r="I19" i="104"/>
  <c r="I18" i="104"/>
  <c r="AD14" i="104"/>
  <c r="AC14" i="104"/>
  <c r="AB14" i="104"/>
  <c r="AA14" i="104"/>
  <c r="Z14" i="104"/>
  <c r="Y14" i="104"/>
  <c r="X14" i="104"/>
  <c r="W14" i="104"/>
  <c r="V14" i="104"/>
  <c r="U14" i="104"/>
  <c r="T14" i="104"/>
  <c r="O14" i="104"/>
  <c r="N14" i="104"/>
  <c r="M14" i="104"/>
  <c r="L14" i="104"/>
  <c r="K14" i="104"/>
  <c r="J14" i="104"/>
  <c r="I14" i="104"/>
  <c r="H14" i="104"/>
  <c r="G14" i="104"/>
  <c r="F14" i="104"/>
  <c r="E14" i="104"/>
  <c r="AD13" i="104"/>
  <c r="AC13" i="104"/>
  <c r="AB13" i="104"/>
  <c r="AA13" i="104"/>
  <c r="Z13" i="104"/>
  <c r="Y13" i="104"/>
  <c r="X13" i="104"/>
  <c r="W13" i="104"/>
  <c r="V13" i="104"/>
  <c r="U13" i="104"/>
  <c r="T13" i="104"/>
  <c r="O13" i="104"/>
  <c r="N13" i="104"/>
  <c r="M13" i="104"/>
  <c r="L13" i="104"/>
  <c r="K13" i="104"/>
  <c r="J13" i="104"/>
  <c r="I13" i="104"/>
  <c r="H13" i="104"/>
  <c r="G13" i="104"/>
  <c r="F13" i="104"/>
  <c r="E13" i="104"/>
  <c r="Q12" i="104"/>
  <c r="C12" i="104"/>
  <c r="B12" i="104"/>
  <c r="H9" i="104"/>
  <c r="G9" i="104"/>
  <c r="F9" i="104"/>
  <c r="E9" i="104"/>
  <c r="O8" i="104"/>
  <c r="N8" i="104"/>
  <c r="M8" i="104"/>
  <c r="L8" i="104"/>
  <c r="K8" i="104"/>
  <c r="J8" i="104"/>
  <c r="I8" i="104"/>
  <c r="H8" i="104"/>
  <c r="G8" i="104"/>
  <c r="F8" i="104"/>
  <c r="E8" i="104"/>
  <c r="B8" i="104"/>
  <c r="I7" i="104"/>
  <c r="H7" i="104"/>
  <c r="G7" i="104"/>
  <c r="F7" i="104"/>
  <c r="E7" i="104"/>
  <c r="B7" i="104"/>
  <c r="H6" i="104"/>
  <c r="G6" i="104"/>
  <c r="F6" i="104"/>
  <c r="E6" i="104"/>
  <c r="B6" i="104"/>
  <c r="O5" i="104"/>
  <c r="N5" i="104"/>
  <c r="M5" i="104"/>
  <c r="L5" i="104"/>
  <c r="K5" i="104"/>
  <c r="J5" i="104"/>
  <c r="I5" i="104"/>
  <c r="H5" i="104"/>
  <c r="G5" i="104"/>
  <c r="F5" i="104"/>
  <c r="E5" i="104"/>
  <c r="B5" i="104"/>
  <c r="O4" i="104"/>
  <c r="N4" i="104"/>
  <c r="M4" i="104"/>
  <c r="L4" i="104"/>
  <c r="K4" i="104"/>
  <c r="J4" i="104"/>
  <c r="I4" i="104"/>
  <c r="H4" i="104"/>
  <c r="G4" i="104"/>
  <c r="F4" i="104"/>
  <c r="E4" i="104"/>
  <c r="B4" i="104"/>
  <c r="S93" i="74"/>
  <c r="R93" i="74"/>
  <c r="Q93" i="74"/>
  <c r="P93" i="74"/>
  <c r="O93" i="74"/>
  <c r="N93" i="74"/>
  <c r="M93" i="74"/>
  <c r="L93" i="74"/>
  <c r="K93" i="74"/>
  <c r="J93" i="74"/>
  <c r="I93" i="74"/>
  <c r="H93" i="74"/>
  <c r="G93" i="74"/>
  <c r="F93" i="74"/>
  <c r="S92" i="74"/>
  <c r="R92" i="74"/>
  <c r="E92" i="74"/>
  <c r="D92" i="74"/>
  <c r="S91" i="74"/>
  <c r="R91" i="74"/>
  <c r="Q91" i="74"/>
  <c r="P91" i="74"/>
  <c r="E91" i="74"/>
  <c r="D91" i="74"/>
  <c r="S90" i="74"/>
  <c r="R90" i="74"/>
  <c r="Q90" i="74"/>
  <c r="P90" i="74"/>
  <c r="O90" i="74"/>
  <c r="N90" i="74"/>
  <c r="E90" i="74"/>
  <c r="D90" i="74"/>
  <c r="S89" i="74"/>
  <c r="R89" i="74"/>
  <c r="Q89" i="74"/>
  <c r="P89" i="74"/>
  <c r="O89" i="74"/>
  <c r="N89" i="74"/>
  <c r="M89" i="74"/>
  <c r="L89" i="74"/>
  <c r="E89" i="74"/>
  <c r="D89" i="74"/>
  <c r="S88" i="74"/>
  <c r="R88" i="74"/>
  <c r="Q88" i="74"/>
  <c r="P88" i="74"/>
  <c r="O88" i="74"/>
  <c r="N88" i="74"/>
  <c r="M88" i="74"/>
  <c r="L88" i="74"/>
  <c r="K88" i="74"/>
  <c r="J88" i="74"/>
  <c r="E88" i="74"/>
  <c r="D88" i="74"/>
  <c r="S87" i="74"/>
  <c r="R87" i="74"/>
  <c r="Q87" i="74"/>
  <c r="P87" i="74"/>
  <c r="O87" i="74"/>
  <c r="N87" i="74"/>
  <c r="M87" i="74"/>
  <c r="L87" i="74"/>
  <c r="K87" i="74"/>
  <c r="J87" i="74"/>
  <c r="I87" i="74"/>
  <c r="H87" i="74"/>
  <c r="E87" i="74"/>
  <c r="D87" i="74"/>
  <c r="S86" i="74"/>
  <c r="R86" i="74"/>
  <c r="Q86" i="74"/>
  <c r="P86" i="74"/>
  <c r="O86" i="74"/>
  <c r="N86" i="74"/>
  <c r="M86" i="74"/>
  <c r="L86" i="74"/>
  <c r="K86" i="74"/>
  <c r="J86" i="74"/>
  <c r="I86" i="74"/>
  <c r="H86" i="74"/>
  <c r="G86" i="74"/>
  <c r="F86" i="74"/>
  <c r="E86" i="74"/>
  <c r="D86" i="74"/>
  <c r="S85" i="74"/>
  <c r="R85" i="74"/>
  <c r="Q85" i="74"/>
  <c r="P85" i="74"/>
  <c r="O85" i="74"/>
  <c r="N85" i="74"/>
  <c r="M85" i="74"/>
  <c r="L85" i="74"/>
  <c r="K85" i="74"/>
  <c r="J85" i="74"/>
  <c r="I85" i="74"/>
  <c r="H85" i="74"/>
  <c r="G85" i="74"/>
  <c r="F85" i="74"/>
  <c r="D85" i="74"/>
  <c r="D84" i="74"/>
  <c r="S83" i="74"/>
  <c r="Q83" i="74"/>
  <c r="O83" i="74"/>
  <c r="M83" i="74"/>
  <c r="K83" i="74"/>
  <c r="I83" i="74"/>
  <c r="G83" i="74"/>
  <c r="R82" i="74"/>
  <c r="P82" i="74"/>
  <c r="N82" i="74"/>
  <c r="L82" i="74"/>
  <c r="J82" i="74"/>
  <c r="H82" i="74"/>
  <c r="F82" i="74"/>
  <c r="S80" i="74"/>
  <c r="R80" i="74"/>
  <c r="Q80" i="74"/>
  <c r="P80" i="74"/>
  <c r="O80" i="74"/>
  <c r="N80" i="74"/>
  <c r="M80" i="74"/>
  <c r="L80" i="74"/>
  <c r="K80" i="74"/>
  <c r="J80" i="74"/>
  <c r="I80" i="74"/>
  <c r="H80" i="74"/>
  <c r="G80" i="74"/>
  <c r="F80" i="74"/>
  <c r="S79" i="74"/>
  <c r="R79" i="74"/>
  <c r="E79" i="74"/>
  <c r="D79" i="74"/>
  <c r="S78" i="74"/>
  <c r="R78" i="74"/>
  <c r="Q78" i="74"/>
  <c r="P78" i="74"/>
  <c r="E78" i="74"/>
  <c r="D78" i="74"/>
  <c r="S77" i="74"/>
  <c r="R77" i="74"/>
  <c r="Q77" i="74"/>
  <c r="P77" i="74"/>
  <c r="O77" i="74"/>
  <c r="N77" i="74"/>
  <c r="E77" i="74"/>
  <c r="D77" i="74"/>
  <c r="S76" i="74"/>
  <c r="R76" i="74"/>
  <c r="Q76" i="74"/>
  <c r="P76" i="74"/>
  <c r="O76" i="74"/>
  <c r="N76" i="74"/>
  <c r="M76" i="74"/>
  <c r="L76" i="74"/>
  <c r="E76" i="74"/>
  <c r="D76" i="74"/>
  <c r="S75" i="74"/>
  <c r="R75" i="74"/>
  <c r="Q75" i="74"/>
  <c r="P75" i="74"/>
  <c r="O75" i="74"/>
  <c r="N75" i="74"/>
  <c r="M75" i="74"/>
  <c r="L75" i="74"/>
  <c r="K75" i="74"/>
  <c r="J75" i="74"/>
  <c r="E75" i="74"/>
  <c r="D75" i="74"/>
  <c r="S74" i="74"/>
  <c r="R74" i="74"/>
  <c r="Q74" i="74"/>
  <c r="P74" i="74"/>
  <c r="O74" i="74"/>
  <c r="N74" i="74"/>
  <c r="M74" i="74"/>
  <c r="L74" i="74"/>
  <c r="K74" i="74"/>
  <c r="J74" i="74"/>
  <c r="I74" i="74"/>
  <c r="H74" i="74"/>
  <c r="E74" i="74"/>
  <c r="D74" i="74"/>
  <c r="S73" i="74"/>
  <c r="R73" i="74"/>
  <c r="Q73" i="74"/>
  <c r="P73" i="74"/>
  <c r="O73" i="74"/>
  <c r="N73" i="74"/>
  <c r="M73" i="74"/>
  <c r="L73" i="74"/>
  <c r="K73" i="74"/>
  <c r="J73" i="74"/>
  <c r="I73" i="74"/>
  <c r="H73" i="74"/>
  <c r="G73" i="74"/>
  <c r="F73" i="74"/>
  <c r="E73" i="74"/>
  <c r="D73" i="74"/>
  <c r="S72" i="74"/>
  <c r="R72" i="74"/>
  <c r="Q72" i="74"/>
  <c r="P72" i="74"/>
  <c r="O72" i="74"/>
  <c r="N72" i="74"/>
  <c r="M72" i="74"/>
  <c r="L72" i="74"/>
  <c r="K72" i="74"/>
  <c r="J72" i="74"/>
  <c r="I72" i="74"/>
  <c r="H72" i="74"/>
  <c r="G72" i="74"/>
  <c r="F72" i="74"/>
  <c r="D71" i="74"/>
  <c r="S70" i="74"/>
  <c r="Q70" i="74"/>
  <c r="O70" i="74"/>
  <c r="M70" i="74"/>
  <c r="K70" i="74"/>
  <c r="I70" i="74"/>
  <c r="G70" i="74"/>
  <c r="R69" i="74"/>
  <c r="P69" i="74"/>
  <c r="N69" i="74"/>
  <c r="L69" i="74"/>
  <c r="J69" i="74"/>
  <c r="H69" i="74"/>
  <c r="F69" i="74"/>
  <c r="J67" i="74"/>
  <c r="I67" i="74"/>
  <c r="H67" i="74"/>
  <c r="G67" i="74"/>
  <c r="F67" i="74"/>
  <c r="R66" i="74"/>
  <c r="E66" i="74"/>
  <c r="D66" i="74"/>
  <c r="P65" i="74"/>
  <c r="E65" i="74"/>
  <c r="D65" i="74"/>
  <c r="N64" i="74"/>
  <c r="E64" i="74"/>
  <c r="D64" i="74"/>
  <c r="L63" i="74"/>
  <c r="E63" i="74"/>
  <c r="D63" i="74"/>
  <c r="J62" i="74"/>
  <c r="E62" i="74"/>
  <c r="D62" i="74"/>
  <c r="L61" i="74"/>
  <c r="K61" i="74"/>
  <c r="J61" i="74"/>
  <c r="I61" i="74"/>
  <c r="H61" i="74"/>
  <c r="E61" i="74"/>
  <c r="D61" i="74"/>
  <c r="L60" i="74"/>
  <c r="K60" i="74"/>
  <c r="J60" i="74"/>
  <c r="I60" i="74"/>
  <c r="H60" i="74"/>
  <c r="G60" i="74"/>
  <c r="F60" i="74"/>
  <c r="E60" i="74"/>
  <c r="D60" i="74"/>
  <c r="S59" i="74"/>
  <c r="R59" i="74"/>
  <c r="Q59" i="74"/>
  <c r="P59" i="74"/>
  <c r="O59" i="74"/>
  <c r="N59" i="74"/>
  <c r="M59" i="74"/>
  <c r="L59" i="74"/>
  <c r="K59" i="74"/>
  <c r="J59" i="74"/>
  <c r="I59" i="74"/>
  <c r="H59" i="74"/>
  <c r="G59" i="74"/>
  <c r="F59" i="74"/>
  <c r="D58" i="74"/>
  <c r="S57" i="74"/>
  <c r="Q57" i="74"/>
  <c r="O57" i="74"/>
  <c r="M57" i="74"/>
  <c r="K57" i="74"/>
  <c r="I57" i="74"/>
  <c r="G57" i="74"/>
  <c r="R56" i="74"/>
  <c r="P56" i="74"/>
  <c r="N56" i="74"/>
  <c r="L56" i="74"/>
  <c r="J56" i="74"/>
  <c r="H56" i="74"/>
  <c r="F56" i="74"/>
  <c r="G54" i="74"/>
  <c r="F54" i="74"/>
  <c r="E53" i="74"/>
  <c r="D53" i="74"/>
  <c r="E52" i="74"/>
  <c r="D52" i="74"/>
  <c r="E51" i="74"/>
  <c r="D51" i="74"/>
  <c r="E50" i="74"/>
  <c r="D50" i="74"/>
  <c r="O49" i="74"/>
  <c r="E49" i="74"/>
  <c r="D49" i="74"/>
  <c r="E48" i="74"/>
  <c r="D48" i="74"/>
  <c r="H47" i="74"/>
  <c r="G47" i="74"/>
  <c r="F47" i="74"/>
  <c r="E47" i="74"/>
  <c r="D47" i="74"/>
  <c r="S46" i="74"/>
  <c r="R46" i="74"/>
  <c r="Q46" i="74"/>
  <c r="P46" i="74"/>
  <c r="O46" i="74"/>
  <c r="N46" i="74"/>
  <c r="M46" i="74"/>
  <c r="L46" i="74"/>
  <c r="K46" i="74"/>
  <c r="J46" i="74"/>
  <c r="I46" i="74"/>
  <c r="H46" i="74"/>
  <c r="G46" i="74"/>
  <c r="F46" i="74"/>
  <c r="D45" i="74"/>
  <c r="S44" i="74"/>
  <c r="Q44" i="74"/>
  <c r="O44" i="74"/>
  <c r="M44" i="74"/>
  <c r="K44" i="74"/>
  <c r="I44" i="74"/>
  <c r="G44" i="74"/>
  <c r="R43" i="74"/>
  <c r="P43" i="74"/>
  <c r="N43" i="74"/>
  <c r="L43" i="74"/>
  <c r="J43" i="74"/>
  <c r="H43" i="74"/>
  <c r="F43" i="74"/>
  <c r="E39" i="74"/>
  <c r="D39" i="74"/>
  <c r="E38" i="74"/>
  <c r="D38" i="74"/>
  <c r="E37" i="74"/>
  <c r="D37" i="74"/>
  <c r="E36" i="74"/>
  <c r="D36" i="74"/>
  <c r="E35" i="74"/>
  <c r="D35" i="74"/>
  <c r="B35" i="74"/>
  <c r="A35" i="74"/>
  <c r="E34" i="74"/>
  <c r="D34" i="74"/>
  <c r="E33" i="74"/>
  <c r="D33" i="74"/>
  <c r="S32" i="74"/>
  <c r="R32" i="74"/>
  <c r="Q32" i="74"/>
  <c r="P32" i="74"/>
  <c r="O32" i="74"/>
  <c r="N32" i="74"/>
  <c r="M32" i="74"/>
  <c r="L32" i="74"/>
  <c r="K32" i="74"/>
  <c r="J32" i="74"/>
  <c r="I32" i="74"/>
  <c r="H32" i="74"/>
  <c r="G32" i="74"/>
  <c r="F32" i="74"/>
  <c r="D32" i="74"/>
  <c r="B32" i="74"/>
  <c r="A32" i="74"/>
  <c r="D31" i="74"/>
  <c r="B31" i="74"/>
  <c r="A31" i="74"/>
  <c r="S30" i="74"/>
  <c r="Q30" i="74"/>
  <c r="O30" i="74"/>
  <c r="M30" i="74"/>
  <c r="K30" i="74"/>
  <c r="I30" i="74"/>
  <c r="G30" i="74"/>
  <c r="B30" i="74"/>
  <c r="A30" i="74"/>
  <c r="R29" i="74"/>
  <c r="P29" i="74"/>
  <c r="N29" i="74"/>
  <c r="L29" i="74"/>
  <c r="J29" i="74"/>
  <c r="H29" i="74"/>
  <c r="F29" i="74"/>
  <c r="B29" i="74"/>
  <c r="A29" i="74"/>
  <c r="B28" i="74"/>
  <c r="A28" i="74"/>
  <c r="M27" i="74"/>
  <c r="L27" i="74"/>
  <c r="K27" i="74"/>
  <c r="J27" i="74"/>
  <c r="I27" i="74"/>
  <c r="H27" i="74"/>
  <c r="G27" i="74"/>
  <c r="F27" i="74"/>
  <c r="B27" i="74"/>
  <c r="A27" i="74"/>
  <c r="R26" i="74"/>
  <c r="E26" i="74"/>
  <c r="D26" i="74"/>
  <c r="B26" i="74"/>
  <c r="A26" i="74"/>
  <c r="P25" i="74"/>
  <c r="E25" i="74"/>
  <c r="D25" i="74"/>
  <c r="A25" i="74"/>
  <c r="E24" i="74"/>
  <c r="D24" i="74"/>
  <c r="N23" i="74"/>
  <c r="M23" i="74"/>
  <c r="L23" i="74"/>
  <c r="E23" i="74"/>
  <c r="D23" i="74"/>
  <c r="N22" i="74"/>
  <c r="M22" i="74"/>
  <c r="L22" i="74"/>
  <c r="K22" i="74"/>
  <c r="J22" i="74"/>
  <c r="E22" i="74"/>
  <c r="D22" i="74"/>
  <c r="B22" i="74"/>
  <c r="A22" i="74"/>
  <c r="N21" i="74"/>
  <c r="M21" i="74"/>
  <c r="L21" i="74"/>
  <c r="K21" i="74"/>
  <c r="J21" i="74"/>
  <c r="I21" i="74"/>
  <c r="H21" i="74"/>
  <c r="E21" i="74"/>
  <c r="D21" i="74"/>
  <c r="B21" i="74"/>
  <c r="A21" i="74"/>
  <c r="N20" i="74"/>
  <c r="M20" i="74"/>
  <c r="L20" i="74"/>
  <c r="K20" i="74"/>
  <c r="J20" i="74"/>
  <c r="I20" i="74"/>
  <c r="H20" i="74"/>
  <c r="G20" i="74"/>
  <c r="F20" i="74"/>
  <c r="E20" i="74"/>
  <c r="D20" i="74"/>
  <c r="B20" i="74"/>
  <c r="A20" i="74"/>
  <c r="S19" i="74"/>
  <c r="R19" i="74"/>
  <c r="Q19" i="74"/>
  <c r="P19" i="74"/>
  <c r="O19" i="74"/>
  <c r="N19" i="74"/>
  <c r="M19" i="74"/>
  <c r="L19" i="74"/>
  <c r="K19" i="74"/>
  <c r="J19" i="74"/>
  <c r="I19" i="74"/>
  <c r="H19" i="74"/>
  <c r="G19" i="74"/>
  <c r="F19" i="74"/>
  <c r="D19" i="74"/>
  <c r="B19" i="74"/>
  <c r="A19" i="74"/>
  <c r="D18" i="74"/>
  <c r="B18" i="74"/>
  <c r="A18" i="74"/>
  <c r="S17" i="74"/>
  <c r="Q17" i="74"/>
  <c r="O17" i="74"/>
  <c r="M17" i="74"/>
  <c r="K17" i="74"/>
  <c r="I17" i="74"/>
  <c r="G17" i="74"/>
  <c r="B17" i="74"/>
  <c r="A17" i="74"/>
  <c r="R16" i="74"/>
  <c r="P16" i="74"/>
  <c r="N16" i="74"/>
  <c r="L16" i="74"/>
  <c r="J16" i="74"/>
  <c r="H16" i="74"/>
  <c r="F16" i="74"/>
  <c r="B16" i="74"/>
  <c r="A16" i="74"/>
  <c r="S14" i="74"/>
  <c r="R14" i="74"/>
  <c r="Q14" i="74"/>
  <c r="P14" i="74"/>
  <c r="O14" i="74"/>
  <c r="N14" i="74"/>
  <c r="M14" i="74"/>
  <c r="L14" i="74"/>
  <c r="K14" i="74"/>
  <c r="J14" i="74"/>
  <c r="I14" i="74"/>
  <c r="H14" i="74"/>
  <c r="G14" i="74"/>
  <c r="F14" i="74"/>
  <c r="S13" i="74"/>
  <c r="R13" i="74"/>
  <c r="E13" i="74"/>
  <c r="D13" i="74"/>
  <c r="S12" i="74"/>
  <c r="R12" i="74"/>
  <c r="Q12" i="74"/>
  <c r="P12" i="74"/>
  <c r="E12" i="74"/>
  <c r="D12" i="74"/>
  <c r="A12" i="74"/>
  <c r="S11" i="74"/>
  <c r="R11" i="74"/>
  <c r="Q11" i="74"/>
  <c r="P11" i="74"/>
  <c r="O11" i="74"/>
  <c r="N11" i="74"/>
  <c r="E11" i="74"/>
  <c r="D11" i="74"/>
  <c r="A11" i="74"/>
  <c r="S10" i="74"/>
  <c r="R10" i="74"/>
  <c r="Q10" i="74"/>
  <c r="P10" i="74"/>
  <c r="O10" i="74"/>
  <c r="N10" i="74"/>
  <c r="M10" i="74"/>
  <c r="L10" i="74"/>
  <c r="E10" i="74"/>
  <c r="D10" i="74"/>
  <c r="A10" i="74"/>
  <c r="S9" i="74"/>
  <c r="R9" i="74"/>
  <c r="Q9" i="74"/>
  <c r="P9" i="74"/>
  <c r="O9" i="74"/>
  <c r="N9" i="74"/>
  <c r="M9" i="74"/>
  <c r="L9" i="74"/>
  <c r="K9" i="74"/>
  <c r="J9" i="74"/>
  <c r="E9" i="74"/>
  <c r="D9" i="74"/>
  <c r="B9" i="74"/>
  <c r="A9" i="74"/>
  <c r="S8" i="74"/>
  <c r="R8" i="74"/>
  <c r="Q8" i="74"/>
  <c r="P8" i="74"/>
  <c r="O8" i="74"/>
  <c r="N8" i="74"/>
  <c r="M8" i="74"/>
  <c r="L8" i="74"/>
  <c r="K8" i="74"/>
  <c r="J8" i="74"/>
  <c r="I8" i="74"/>
  <c r="H8" i="74"/>
  <c r="E8" i="74"/>
  <c r="D8" i="74"/>
  <c r="B8" i="74"/>
  <c r="A8" i="74"/>
  <c r="S7" i="74"/>
  <c r="R7" i="74"/>
  <c r="Q7" i="74"/>
  <c r="P7" i="74"/>
  <c r="O7" i="74"/>
  <c r="N7" i="74"/>
  <c r="M7" i="74"/>
  <c r="L7" i="74"/>
  <c r="K7" i="74"/>
  <c r="J7" i="74"/>
  <c r="I7" i="74"/>
  <c r="H7" i="74"/>
  <c r="G7" i="74"/>
  <c r="F7" i="74"/>
  <c r="E7" i="74"/>
  <c r="D7" i="74"/>
  <c r="A7" i="74"/>
  <c r="S6" i="74"/>
  <c r="R6" i="74"/>
  <c r="Q6" i="74"/>
  <c r="P6" i="74"/>
  <c r="O6" i="74"/>
  <c r="N6" i="74"/>
  <c r="M6" i="74"/>
  <c r="L6" i="74"/>
  <c r="K6" i="74"/>
  <c r="J6" i="74"/>
  <c r="I6" i="74"/>
  <c r="H6" i="74"/>
  <c r="G6" i="74"/>
  <c r="F6" i="74"/>
  <c r="B6" i="74"/>
  <c r="A6" i="74"/>
  <c r="D5" i="74"/>
  <c r="S4" i="74"/>
  <c r="Q4" i="74"/>
  <c r="O4" i="74"/>
  <c r="M4" i="74"/>
  <c r="K4" i="74"/>
  <c r="I4" i="74"/>
  <c r="G4" i="74"/>
  <c r="R3" i="74"/>
  <c r="P3" i="74"/>
  <c r="N3" i="74"/>
  <c r="L3" i="74"/>
  <c r="J3" i="74"/>
  <c r="H3" i="74"/>
  <c r="F3" i="74"/>
  <c r="L189" i="79"/>
  <c r="K189" i="79"/>
  <c r="J189" i="79"/>
  <c r="I189" i="79"/>
  <c r="H189" i="79"/>
  <c r="G189" i="79"/>
  <c r="F189" i="79"/>
  <c r="L188" i="79"/>
  <c r="K188" i="79"/>
  <c r="J188" i="79"/>
  <c r="I188" i="79"/>
  <c r="H188" i="79"/>
  <c r="G188" i="79"/>
  <c r="F188" i="79"/>
  <c r="D188" i="79"/>
  <c r="L187" i="79"/>
  <c r="K187" i="79"/>
  <c r="J187" i="79"/>
  <c r="I187" i="79"/>
  <c r="H187" i="79"/>
  <c r="G187" i="79"/>
  <c r="F187" i="79"/>
  <c r="D187" i="79"/>
  <c r="L185" i="79"/>
  <c r="K185" i="79"/>
  <c r="J185" i="79"/>
  <c r="I185" i="79"/>
  <c r="H185" i="79"/>
  <c r="G185" i="79"/>
  <c r="F185" i="79"/>
  <c r="L184" i="79"/>
  <c r="K184" i="79"/>
  <c r="J184" i="79"/>
  <c r="I184" i="79"/>
  <c r="H184" i="79"/>
  <c r="G184" i="79"/>
  <c r="F184" i="79"/>
  <c r="D184" i="79"/>
  <c r="L183" i="79"/>
  <c r="K183" i="79"/>
  <c r="J183" i="79"/>
  <c r="I183" i="79"/>
  <c r="H183" i="79"/>
  <c r="G183" i="79"/>
  <c r="F183" i="79"/>
  <c r="L181" i="79"/>
  <c r="K181" i="79"/>
  <c r="J181" i="79"/>
  <c r="I181" i="79"/>
  <c r="H181" i="79"/>
  <c r="G181" i="79"/>
  <c r="F181" i="79"/>
  <c r="D181" i="79"/>
  <c r="L180" i="79"/>
  <c r="K180" i="79"/>
  <c r="J180" i="79"/>
  <c r="I180" i="79"/>
  <c r="H180" i="79"/>
  <c r="G180" i="79"/>
  <c r="F180" i="79"/>
  <c r="D180" i="79"/>
  <c r="L179" i="79"/>
  <c r="K179" i="79"/>
  <c r="J179" i="79"/>
  <c r="I179" i="79"/>
  <c r="H179" i="79"/>
  <c r="G179" i="79"/>
  <c r="F179" i="79"/>
  <c r="D179" i="79"/>
  <c r="D178" i="79"/>
  <c r="L176" i="79"/>
  <c r="K176" i="79"/>
  <c r="J176" i="79"/>
  <c r="I176" i="79"/>
  <c r="H176" i="79"/>
  <c r="G176" i="79"/>
  <c r="F176" i="79"/>
  <c r="L175" i="79"/>
  <c r="K175" i="79"/>
  <c r="J175" i="79"/>
  <c r="I175" i="79"/>
  <c r="H175" i="79"/>
  <c r="G175" i="79"/>
  <c r="F175" i="79"/>
  <c r="L174" i="79"/>
  <c r="K174" i="79"/>
  <c r="J174" i="79"/>
  <c r="I174" i="79"/>
  <c r="H174" i="79"/>
  <c r="G174" i="79"/>
  <c r="F174" i="79"/>
  <c r="D173" i="79"/>
  <c r="L171" i="79"/>
  <c r="K171" i="79"/>
  <c r="J171" i="79"/>
  <c r="I171" i="79"/>
  <c r="H171" i="79"/>
  <c r="G171" i="79"/>
  <c r="F171" i="79"/>
  <c r="L170" i="79"/>
  <c r="K170" i="79"/>
  <c r="J170" i="79"/>
  <c r="I170" i="79"/>
  <c r="H170" i="79"/>
  <c r="G170" i="79"/>
  <c r="F170" i="79"/>
  <c r="L169" i="79"/>
  <c r="K169" i="79"/>
  <c r="J169" i="79"/>
  <c r="I169" i="79"/>
  <c r="H169" i="79"/>
  <c r="G169" i="79"/>
  <c r="F169" i="79"/>
  <c r="L167" i="79"/>
  <c r="K167" i="79"/>
  <c r="J167" i="79"/>
  <c r="I167" i="79"/>
  <c r="H167" i="79"/>
  <c r="G167" i="79"/>
  <c r="F167" i="79"/>
  <c r="L166" i="79"/>
  <c r="K166" i="79"/>
  <c r="J166" i="79"/>
  <c r="I166" i="79"/>
  <c r="H166" i="79"/>
  <c r="G166" i="79"/>
  <c r="F166" i="79"/>
  <c r="L165" i="79"/>
  <c r="K165" i="79"/>
  <c r="J165" i="79"/>
  <c r="I165" i="79"/>
  <c r="H165" i="79"/>
  <c r="G165" i="79"/>
  <c r="F165" i="79"/>
  <c r="L163" i="79"/>
  <c r="K163" i="79"/>
  <c r="J163" i="79"/>
  <c r="I163" i="79"/>
  <c r="H163" i="79"/>
  <c r="G163" i="79"/>
  <c r="F163" i="79"/>
  <c r="L162" i="79"/>
  <c r="K162" i="79"/>
  <c r="J162" i="79"/>
  <c r="I162" i="79"/>
  <c r="H162" i="79"/>
  <c r="G162" i="79"/>
  <c r="F162" i="79"/>
  <c r="L161" i="79"/>
  <c r="K161" i="79"/>
  <c r="J161" i="79"/>
  <c r="I161" i="79"/>
  <c r="H161" i="79"/>
  <c r="G161" i="79"/>
  <c r="F161" i="79"/>
  <c r="L158" i="79"/>
  <c r="K158" i="79"/>
  <c r="J158" i="79"/>
  <c r="I158" i="79"/>
  <c r="H158" i="79"/>
  <c r="G158" i="79"/>
  <c r="F158" i="79"/>
  <c r="L157" i="79"/>
  <c r="K157" i="79"/>
  <c r="J157" i="79"/>
  <c r="I157" i="79"/>
  <c r="H157" i="79"/>
  <c r="G157" i="79"/>
  <c r="F157" i="79"/>
  <c r="L156" i="79"/>
  <c r="K156" i="79"/>
  <c r="J156" i="79"/>
  <c r="I156" i="79"/>
  <c r="H156" i="79"/>
  <c r="G156" i="79"/>
  <c r="F156" i="79"/>
  <c r="D155" i="79"/>
  <c r="L153" i="79"/>
  <c r="K153" i="79"/>
  <c r="J153" i="79"/>
  <c r="I153" i="79"/>
  <c r="H153" i="79"/>
  <c r="G153" i="79"/>
  <c r="F153" i="79"/>
  <c r="L152" i="79"/>
  <c r="K152" i="79"/>
  <c r="J152" i="79"/>
  <c r="I152" i="79"/>
  <c r="H152" i="79"/>
  <c r="G152" i="79"/>
  <c r="F152" i="79"/>
  <c r="D152" i="79"/>
  <c r="L151" i="79"/>
  <c r="K151" i="79"/>
  <c r="J151" i="79"/>
  <c r="I151" i="79"/>
  <c r="H151" i="79"/>
  <c r="G151" i="79"/>
  <c r="F151" i="79"/>
  <c r="D151" i="79"/>
  <c r="L149" i="79"/>
  <c r="K149" i="79"/>
  <c r="J149" i="79"/>
  <c r="I149" i="79"/>
  <c r="H149" i="79"/>
  <c r="G149" i="79"/>
  <c r="F149" i="79"/>
  <c r="D149" i="79"/>
  <c r="L148" i="79"/>
  <c r="K148" i="79"/>
  <c r="J148" i="79"/>
  <c r="I148" i="79"/>
  <c r="H148" i="79"/>
  <c r="G148" i="79"/>
  <c r="F148" i="79"/>
  <c r="L147" i="79"/>
  <c r="K147" i="79"/>
  <c r="J147" i="79"/>
  <c r="I147" i="79"/>
  <c r="H147" i="79"/>
  <c r="G147" i="79"/>
  <c r="F147" i="79"/>
  <c r="L145" i="79"/>
  <c r="K145" i="79"/>
  <c r="J145" i="79"/>
  <c r="I145" i="79"/>
  <c r="H145" i="79"/>
  <c r="G145" i="79"/>
  <c r="F145" i="79"/>
  <c r="D145" i="79"/>
  <c r="L144" i="79"/>
  <c r="K144" i="79"/>
  <c r="J144" i="79"/>
  <c r="I144" i="79"/>
  <c r="H144" i="79"/>
  <c r="G144" i="79"/>
  <c r="F144" i="79"/>
  <c r="D144" i="79"/>
  <c r="L143" i="79"/>
  <c r="K143" i="79"/>
  <c r="J143" i="79"/>
  <c r="I143" i="79"/>
  <c r="H143" i="79"/>
  <c r="G143" i="79"/>
  <c r="F143" i="79"/>
  <c r="D142" i="79"/>
  <c r="L140" i="79"/>
  <c r="K140" i="79"/>
  <c r="J140" i="79"/>
  <c r="I140" i="79"/>
  <c r="H140" i="79"/>
  <c r="G140" i="79"/>
  <c r="F140" i="79"/>
  <c r="L139" i="79"/>
  <c r="K139" i="79"/>
  <c r="J139" i="79"/>
  <c r="I139" i="79"/>
  <c r="H139" i="79"/>
  <c r="G139" i="79"/>
  <c r="F139" i="79"/>
  <c r="L138" i="79"/>
  <c r="K138" i="79"/>
  <c r="J138" i="79"/>
  <c r="I138" i="79"/>
  <c r="H138" i="79"/>
  <c r="G138" i="79"/>
  <c r="F138" i="79"/>
  <c r="D137" i="79"/>
  <c r="L135" i="79"/>
  <c r="K135" i="79"/>
  <c r="J135" i="79"/>
  <c r="I135" i="79"/>
  <c r="H135" i="79"/>
  <c r="G135" i="79"/>
  <c r="F135" i="79"/>
  <c r="L134" i="79"/>
  <c r="K134" i="79"/>
  <c r="J134" i="79"/>
  <c r="I134" i="79"/>
  <c r="H134" i="79"/>
  <c r="G134" i="79"/>
  <c r="F134" i="79"/>
  <c r="D134" i="79"/>
  <c r="L133" i="79"/>
  <c r="K133" i="79"/>
  <c r="J133" i="79"/>
  <c r="I133" i="79"/>
  <c r="H133" i="79"/>
  <c r="G133" i="79"/>
  <c r="F133" i="79"/>
  <c r="D133" i="79"/>
  <c r="L131" i="79"/>
  <c r="K131" i="79"/>
  <c r="J131" i="79"/>
  <c r="I131" i="79"/>
  <c r="H131" i="79"/>
  <c r="G131" i="79"/>
  <c r="F131" i="79"/>
  <c r="D131" i="79"/>
  <c r="L130" i="79"/>
  <c r="K130" i="79"/>
  <c r="J130" i="79"/>
  <c r="I130" i="79"/>
  <c r="H130" i="79"/>
  <c r="G130" i="79"/>
  <c r="F130" i="79"/>
  <c r="D130" i="79"/>
  <c r="L129" i="79"/>
  <c r="K129" i="79"/>
  <c r="J129" i="79"/>
  <c r="I129" i="79"/>
  <c r="H129" i="79"/>
  <c r="G129" i="79"/>
  <c r="F129" i="79"/>
  <c r="L127" i="79"/>
  <c r="K127" i="79"/>
  <c r="J127" i="79"/>
  <c r="I127" i="79"/>
  <c r="H127" i="79"/>
  <c r="G127" i="79"/>
  <c r="F127" i="79"/>
  <c r="D127" i="79"/>
  <c r="L126" i="79"/>
  <c r="K126" i="79"/>
  <c r="J126" i="79"/>
  <c r="I126" i="79"/>
  <c r="H126" i="79"/>
  <c r="G126" i="79"/>
  <c r="F126" i="79"/>
  <c r="D126" i="79"/>
  <c r="L125" i="79"/>
  <c r="K125" i="79"/>
  <c r="J125" i="79"/>
  <c r="I125" i="79"/>
  <c r="H125" i="79"/>
  <c r="G125" i="79"/>
  <c r="F125" i="79"/>
  <c r="D125" i="79"/>
  <c r="D124" i="79"/>
  <c r="L122" i="79"/>
  <c r="K122" i="79"/>
  <c r="J122" i="79"/>
  <c r="I122" i="79"/>
  <c r="H122" i="79"/>
  <c r="G122" i="79"/>
  <c r="F122" i="79"/>
  <c r="L121" i="79"/>
  <c r="K121" i="79"/>
  <c r="J121" i="79"/>
  <c r="I121" i="79"/>
  <c r="H121" i="79"/>
  <c r="G121" i="79"/>
  <c r="F121" i="79"/>
  <c r="L120" i="79"/>
  <c r="K120" i="79"/>
  <c r="J120" i="79"/>
  <c r="I120" i="79"/>
  <c r="H120" i="79"/>
  <c r="G120" i="79"/>
  <c r="F120" i="79"/>
  <c r="D119" i="79"/>
  <c r="F117" i="79"/>
  <c r="F115" i="79"/>
  <c r="D115" i="79"/>
  <c r="F113" i="79"/>
  <c r="F112" i="79"/>
  <c r="F110" i="79"/>
  <c r="D110" i="79"/>
  <c r="F108" i="79"/>
  <c r="F106" i="79"/>
  <c r="G105" i="79"/>
  <c r="F104" i="79"/>
  <c r="F101" i="79"/>
  <c r="F99" i="79"/>
  <c r="F97" i="79"/>
  <c r="D97" i="79"/>
  <c r="F96" i="79"/>
  <c r="F94" i="79"/>
  <c r="G93" i="79"/>
  <c r="F93" i="79"/>
  <c r="F92" i="79"/>
  <c r="L89" i="79"/>
  <c r="K89" i="79"/>
  <c r="J89" i="79"/>
  <c r="I89" i="79"/>
  <c r="H89" i="79"/>
  <c r="G89" i="79"/>
  <c r="F89" i="79"/>
  <c r="L88" i="79"/>
  <c r="K88" i="79"/>
  <c r="J88" i="79"/>
  <c r="I88" i="79"/>
  <c r="H88" i="79"/>
  <c r="G88" i="79"/>
  <c r="F88" i="79"/>
  <c r="A88" i="79"/>
  <c r="L83" i="79"/>
  <c r="K83" i="79"/>
  <c r="J83" i="79"/>
  <c r="I83" i="79"/>
  <c r="H83" i="79"/>
  <c r="G83" i="79"/>
  <c r="F83" i="79"/>
  <c r="D83" i="79"/>
  <c r="A83" i="79"/>
  <c r="L82" i="79"/>
  <c r="K82" i="79"/>
  <c r="J82" i="79"/>
  <c r="I82" i="79"/>
  <c r="H82" i="79"/>
  <c r="G82" i="79"/>
  <c r="F82" i="79"/>
  <c r="D82" i="79"/>
  <c r="A82" i="79"/>
  <c r="G81" i="79"/>
  <c r="F81" i="79"/>
  <c r="D81" i="79"/>
  <c r="A81" i="79"/>
  <c r="F80" i="79"/>
  <c r="D80" i="79"/>
  <c r="A80" i="79"/>
  <c r="D79" i="79"/>
  <c r="A79" i="79"/>
  <c r="I78" i="79"/>
  <c r="H78" i="79"/>
  <c r="G78" i="79"/>
  <c r="F78" i="79"/>
  <c r="D78" i="79"/>
  <c r="A78" i="79"/>
  <c r="L77" i="79"/>
  <c r="K77" i="79"/>
  <c r="J77" i="79"/>
  <c r="I77" i="79"/>
  <c r="H77" i="79"/>
  <c r="G77" i="79"/>
  <c r="F77" i="79"/>
  <c r="D77" i="79"/>
  <c r="A77" i="79"/>
  <c r="A74" i="79"/>
  <c r="L73" i="79"/>
  <c r="K73" i="79"/>
  <c r="J73" i="79"/>
  <c r="I73" i="79"/>
  <c r="H73" i="79"/>
  <c r="G73" i="79"/>
  <c r="F73" i="79"/>
  <c r="D73" i="79"/>
  <c r="A73" i="79"/>
  <c r="L72" i="79"/>
  <c r="K72" i="79"/>
  <c r="J72" i="79"/>
  <c r="I72" i="79"/>
  <c r="H72" i="79"/>
  <c r="G72" i="79"/>
  <c r="F72" i="79"/>
  <c r="D72" i="79"/>
  <c r="A72" i="79"/>
  <c r="L71" i="79"/>
  <c r="K71" i="79"/>
  <c r="J71" i="79"/>
  <c r="I71" i="79"/>
  <c r="H71" i="79"/>
  <c r="G71" i="79"/>
  <c r="F71" i="79"/>
  <c r="D71" i="79"/>
  <c r="A71" i="79"/>
  <c r="F70" i="79"/>
  <c r="D70" i="79"/>
  <c r="A70" i="79"/>
  <c r="D69" i="79"/>
  <c r="A69" i="79"/>
  <c r="L68" i="79"/>
  <c r="K68" i="79"/>
  <c r="J68" i="79"/>
  <c r="I68" i="79"/>
  <c r="H68" i="79"/>
  <c r="G68" i="79"/>
  <c r="F68" i="79"/>
  <c r="D68" i="79"/>
  <c r="A68" i="79"/>
  <c r="L67" i="79"/>
  <c r="K67" i="79"/>
  <c r="J67" i="79"/>
  <c r="I67" i="79"/>
  <c r="H67" i="79"/>
  <c r="G67" i="79"/>
  <c r="F67" i="79"/>
  <c r="D67" i="79"/>
  <c r="A67" i="79"/>
  <c r="L63" i="79"/>
  <c r="K63" i="79"/>
  <c r="J63" i="79"/>
  <c r="I63" i="79"/>
  <c r="H63" i="79"/>
  <c r="G63" i="79"/>
  <c r="F63" i="79"/>
  <c r="D63" i="79"/>
  <c r="P62" i="79"/>
  <c r="N62" i="79"/>
  <c r="L62" i="79"/>
  <c r="K62" i="79"/>
  <c r="J62" i="79"/>
  <c r="I62" i="79"/>
  <c r="H62" i="79"/>
  <c r="G62" i="79"/>
  <c r="F62" i="79"/>
  <c r="D62" i="79"/>
  <c r="P61" i="79"/>
  <c r="O61" i="79"/>
  <c r="N61" i="79"/>
  <c r="L61" i="79"/>
  <c r="K61" i="79"/>
  <c r="J61" i="79"/>
  <c r="I61" i="79"/>
  <c r="H61" i="79"/>
  <c r="G61" i="79"/>
  <c r="F61" i="79"/>
  <c r="D61" i="79"/>
  <c r="F60" i="79"/>
  <c r="D60" i="79"/>
  <c r="D59" i="79"/>
  <c r="P58" i="79"/>
  <c r="O58" i="79"/>
  <c r="L58" i="79"/>
  <c r="K58" i="79"/>
  <c r="J58" i="79"/>
  <c r="I58" i="79"/>
  <c r="H58" i="79"/>
  <c r="G58" i="79"/>
  <c r="F58" i="79"/>
  <c r="D58" i="79"/>
  <c r="P57" i="79"/>
  <c r="O57" i="79"/>
  <c r="L57" i="79"/>
  <c r="K57" i="79"/>
  <c r="J57" i="79"/>
  <c r="I57" i="79"/>
  <c r="H57" i="79"/>
  <c r="G57" i="79"/>
  <c r="F57" i="79"/>
  <c r="D57" i="79"/>
  <c r="P56" i="79"/>
  <c r="O56" i="79"/>
  <c r="N56" i="79"/>
  <c r="P54" i="79"/>
  <c r="O54" i="79"/>
  <c r="L54" i="79"/>
  <c r="K54" i="79"/>
  <c r="J54" i="79"/>
  <c r="I54" i="79"/>
  <c r="H54" i="79"/>
  <c r="G54" i="79"/>
  <c r="F54" i="79"/>
  <c r="P53" i="79"/>
  <c r="L53" i="79"/>
  <c r="K53" i="79"/>
  <c r="J53" i="79"/>
  <c r="I53" i="79"/>
  <c r="H53" i="79"/>
  <c r="G53" i="79"/>
  <c r="F53" i="79"/>
  <c r="P52" i="79"/>
  <c r="O52" i="79"/>
  <c r="L50" i="79"/>
  <c r="K50" i="79"/>
  <c r="J50" i="79"/>
  <c r="I50" i="79"/>
  <c r="H50" i="79"/>
  <c r="G50" i="79"/>
  <c r="F50" i="79"/>
  <c r="P49" i="79"/>
  <c r="O49" i="79"/>
  <c r="L49" i="79"/>
  <c r="K49" i="79"/>
  <c r="J49" i="79"/>
  <c r="I49" i="79"/>
  <c r="H49" i="79"/>
  <c r="G49" i="79"/>
  <c r="F49" i="79"/>
  <c r="D49" i="79"/>
  <c r="L48" i="79"/>
  <c r="K48" i="79"/>
  <c r="J48" i="79"/>
  <c r="I48" i="79"/>
  <c r="H48" i="79"/>
  <c r="G48" i="79"/>
  <c r="F48" i="79"/>
  <c r="D48" i="79"/>
  <c r="P47" i="79"/>
  <c r="L47" i="79"/>
  <c r="K47" i="79"/>
  <c r="J47" i="79"/>
  <c r="I47" i="79"/>
  <c r="H47" i="79"/>
  <c r="G47" i="79"/>
  <c r="F47" i="79"/>
  <c r="P45" i="79"/>
  <c r="O45" i="79"/>
  <c r="L45" i="79"/>
  <c r="K45" i="79"/>
  <c r="J45" i="79"/>
  <c r="I45" i="79"/>
  <c r="H45" i="79"/>
  <c r="G45" i="79"/>
  <c r="F45" i="79"/>
  <c r="P44" i="79"/>
  <c r="B44" i="79"/>
  <c r="P43" i="79"/>
  <c r="L43" i="79"/>
  <c r="K43" i="79"/>
  <c r="J43" i="79"/>
  <c r="I43" i="79"/>
  <c r="H43" i="79"/>
  <c r="G43" i="79"/>
  <c r="F43" i="79"/>
  <c r="P42" i="79"/>
  <c r="L42" i="79"/>
  <c r="K42" i="79"/>
  <c r="J42" i="79"/>
  <c r="I42" i="79"/>
  <c r="H42" i="79"/>
  <c r="G42" i="79"/>
  <c r="F42" i="79"/>
  <c r="D42" i="79"/>
  <c r="B42" i="79"/>
  <c r="P41" i="79"/>
  <c r="P40" i="79"/>
  <c r="L40" i="79"/>
  <c r="K40" i="79"/>
  <c r="J40" i="79"/>
  <c r="I40" i="79"/>
  <c r="H40" i="79"/>
  <c r="G40" i="79"/>
  <c r="F40" i="79"/>
  <c r="P39" i="79"/>
  <c r="L39" i="79"/>
  <c r="K39" i="79"/>
  <c r="J39" i="79"/>
  <c r="I39" i="79"/>
  <c r="H39" i="79"/>
  <c r="G39" i="79"/>
  <c r="F39" i="79"/>
  <c r="J38" i="79"/>
  <c r="B38" i="79"/>
  <c r="A38" i="79"/>
  <c r="L37" i="79"/>
  <c r="K37" i="79"/>
  <c r="J37" i="79"/>
  <c r="I37" i="79"/>
  <c r="H37" i="79"/>
  <c r="G37" i="79"/>
  <c r="F37" i="79"/>
  <c r="B37" i="79"/>
  <c r="P36" i="79"/>
  <c r="O36" i="79"/>
  <c r="F36" i="79"/>
  <c r="D36" i="79"/>
  <c r="B36" i="79"/>
  <c r="P35" i="79"/>
  <c r="B35" i="79"/>
  <c r="L34" i="79"/>
  <c r="K34" i="79"/>
  <c r="J34" i="79"/>
  <c r="I34" i="79"/>
  <c r="H34" i="79"/>
  <c r="G34" i="79"/>
  <c r="F34" i="79"/>
  <c r="P32" i="79"/>
  <c r="O32" i="79"/>
  <c r="L32" i="79"/>
  <c r="K32" i="79"/>
  <c r="J32" i="79"/>
  <c r="I32" i="79"/>
  <c r="H32" i="79"/>
  <c r="G32" i="79"/>
  <c r="F32" i="79"/>
  <c r="P31" i="79"/>
  <c r="L31" i="79"/>
  <c r="K31" i="79"/>
  <c r="J31" i="79"/>
  <c r="I31" i="79"/>
  <c r="H31" i="79"/>
  <c r="G31" i="79"/>
  <c r="F31" i="79"/>
  <c r="D31" i="79"/>
  <c r="P30" i="79"/>
  <c r="P29" i="79"/>
  <c r="L29" i="79"/>
  <c r="K29" i="79"/>
  <c r="J29" i="79"/>
  <c r="I29" i="79"/>
  <c r="H29" i="79"/>
  <c r="G29" i="79"/>
  <c r="F29" i="79"/>
  <c r="P28" i="79"/>
  <c r="L28" i="79"/>
  <c r="K28" i="79"/>
  <c r="J28" i="79"/>
  <c r="I28" i="79"/>
  <c r="H28" i="79"/>
  <c r="G28" i="79"/>
  <c r="F28" i="79"/>
  <c r="D28" i="79"/>
  <c r="B28" i="79"/>
  <c r="L27" i="79"/>
  <c r="K27" i="79"/>
  <c r="J27" i="79"/>
  <c r="I27" i="79"/>
  <c r="H27" i="79"/>
  <c r="G27" i="79"/>
  <c r="F27" i="79"/>
  <c r="B27" i="79"/>
  <c r="L26" i="79"/>
  <c r="K26" i="79"/>
  <c r="J26" i="79"/>
  <c r="I26" i="79"/>
  <c r="H26" i="79"/>
  <c r="G26" i="79"/>
  <c r="F26" i="79"/>
  <c r="D26" i="79"/>
  <c r="B26" i="79"/>
  <c r="L24" i="79"/>
  <c r="K24" i="79"/>
  <c r="J24" i="79"/>
  <c r="I24" i="79"/>
  <c r="H24" i="79"/>
  <c r="G24" i="79"/>
  <c r="F24" i="79"/>
  <c r="L23" i="79"/>
  <c r="K23" i="79"/>
  <c r="J23" i="79"/>
  <c r="I23" i="79"/>
  <c r="H23" i="79"/>
  <c r="G23" i="79"/>
  <c r="F23" i="79"/>
  <c r="I18" i="79"/>
  <c r="H18" i="79"/>
  <c r="G18" i="79"/>
  <c r="F18" i="79"/>
  <c r="E18" i="79"/>
  <c r="D18" i="79"/>
  <c r="C18" i="79"/>
  <c r="A18" i="79"/>
  <c r="I17" i="79"/>
  <c r="H17" i="79"/>
  <c r="G17" i="79"/>
  <c r="F17" i="79"/>
  <c r="E17" i="79"/>
  <c r="D17" i="79"/>
  <c r="C17" i="79"/>
  <c r="A17" i="79"/>
  <c r="D16" i="79"/>
  <c r="C16" i="79"/>
  <c r="A16" i="79"/>
  <c r="C15" i="79"/>
  <c r="A15" i="79"/>
  <c r="A14" i="79"/>
  <c r="F11" i="79"/>
  <c r="E11" i="79"/>
  <c r="D11" i="79"/>
  <c r="C11" i="79"/>
  <c r="F10" i="79"/>
  <c r="E10" i="79"/>
  <c r="D10" i="79"/>
  <c r="C10" i="79"/>
  <c r="A10" i="79"/>
  <c r="I9" i="79"/>
  <c r="H9" i="79"/>
  <c r="G9" i="79"/>
  <c r="F9" i="79"/>
  <c r="E9" i="79"/>
  <c r="D9" i="79"/>
  <c r="C9" i="79"/>
  <c r="I8" i="79"/>
  <c r="H8" i="79"/>
  <c r="G8" i="79"/>
  <c r="F8" i="79"/>
  <c r="E8" i="79"/>
  <c r="D8" i="79"/>
  <c r="C8" i="79"/>
  <c r="I7" i="79"/>
  <c r="H7" i="79"/>
  <c r="G7" i="79"/>
  <c r="F7" i="79"/>
  <c r="E7" i="79"/>
  <c r="D7" i="79"/>
  <c r="C7" i="79"/>
  <c r="I5" i="79"/>
  <c r="H5" i="79"/>
  <c r="G5" i="79"/>
  <c r="F5" i="79"/>
  <c r="E5" i="79"/>
  <c r="D5" i="79"/>
  <c r="C5" i="79"/>
  <c r="I4" i="79"/>
  <c r="H4" i="79"/>
  <c r="G4" i="79"/>
  <c r="F4" i="79"/>
  <c r="E4" i="79"/>
  <c r="D4" i="79"/>
  <c r="L107" i="102"/>
  <c r="F98" i="102"/>
  <c r="L95" i="102"/>
  <c r="K95" i="102"/>
  <c r="J95" i="102"/>
  <c r="I95" i="102"/>
  <c r="H95" i="102"/>
  <c r="G95" i="102"/>
  <c r="F95" i="102"/>
  <c r="L92" i="102"/>
  <c r="K92" i="102"/>
  <c r="J92" i="102"/>
  <c r="I92" i="102"/>
  <c r="H92" i="102"/>
  <c r="G92" i="102"/>
  <c r="F92" i="102"/>
  <c r="F74" i="102"/>
  <c r="F73" i="102"/>
  <c r="B73" i="102"/>
  <c r="L72" i="102"/>
  <c r="K72" i="102"/>
  <c r="J72" i="102"/>
  <c r="I72" i="102"/>
  <c r="H72" i="102"/>
  <c r="G72" i="102"/>
  <c r="F72" i="102"/>
  <c r="M71" i="102"/>
  <c r="L71" i="102"/>
  <c r="K71" i="102"/>
  <c r="J71" i="102"/>
  <c r="I71" i="102"/>
  <c r="H71" i="102"/>
  <c r="G71" i="102"/>
  <c r="F71" i="102"/>
  <c r="M70" i="102"/>
  <c r="M69" i="102"/>
  <c r="F69" i="102"/>
  <c r="B69" i="102"/>
  <c r="M68" i="102"/>
  <c r="F68" i="102"/>
  <c r="M67" i="102"/>
  <c r="M66" i="102"/>
  <c r="M65" i="102"/>
  <c r="B65" i="102"/>
  <c r="M64" i="102"/>
  <c r="M63" i="102"/>
  <c r="W61" i="102"/>
  <c r="E61" i="102"/>
  <c r="W59" i="102"/>
  <c r="V59" i="102"/>
  <c r="U59" i="102"/>
  <c r="T59" i="102"/>
  <c r="S59" i="102"/>
  <c r="R59" i="102"/>
  <c r="Q59" i="102"/>
  <c r="W57" i="102"/>
  <c r="C57" i="102"/>
  <c r="W56" i="102"/>
  <c r="V56" i="102"/>
  <c r="U56" i="102"/>
  <c r="T56" i="102"/>
  <c r="S56" i="102"/>
  <c r="R56" i="102"/>
  <c r="Q56" i="102"/>
  <c r="P56" i="102"/>
  <c r="N56" i="102"/>
  <c r="W55" i="102"/>
  <c r="N55" i="102"/>
  <c r="W54" i="102"/>
  <c r="P54" i="102"/>
  <c r="N54" i="102"/>
  <c r="W53" i="102"/>
  <c r="N53" i="102"/>
  <c r="E53" i="102"/>
  <c r="W52" i="102"/>
  <c r="V52" i="102"/>
  <c r="U52" i="102"/>
  <c r="T52" i="102"/>
  <c r="S52" i="102"/>
  <c r="R52" i="102"/>
  <c r="Q52" i="102"/>
  <c r="P52" i="102"/>
  <c r="N52" i="102"/>
  <c r="W51" i="102"/>
  <c r="V51" i="102"/>
  <c r="U51" i="102"/>
  <c r="T51" i="102"/>
  <c r="S51" i="102"/>
  <c r="R51" i="102"/>
  <c r="Q51" i="102"/>
  <c r="P51" i="102"/>
  <c r="N51" i="102"/>
  <c r="E50" i="102"/>
  <c r="L48" i="102"/>
  <c r="K48" i="102"/>
  <c r="J48" i="102"/>
  <c r="I48" i="102"/>
  <c r="H48" i="102"/>
  <c r="G48" i="102"/>
  <c r="F48" i="102"/>
  <c r="P47" i="102"/>
  <c r="E46" i="102"/>
  <c r="P45" i="102"/>
  <c r="F44" i="102"/>
  <c r="P43" i="102"/>
  <c r="P42" i="102"/>
  <c r="N42" i="102"/>
  <c r="E42" i="102"/>
  <c r="D42" i="102"/>
  <c r="P41" i="102"/>
  <c r="N41" i="102"/>
  <c r="P40" i="102"/>
  <c r="N40" i="102"/>
  <c r="L40" i="102"/>
  <c r="K40" i="102"/>
  <c r="J40" i="102"/>
  <c r="I40" i="102"/>
  <c r="H40" i="102"/>
  <c r="G40" i="102"/>
  <c r="F40" i="102"/>
  <c r="P39" i="102"/>
  <c r="N39" i="102"/>
  <c r="F39" i="102"/>
  <c r="P38" i="102"/>
  <c r="N38" i="102"/>
  <c r="E37" i="102"/>
  <c r="B36" i="102"/>
  <c r="M35" i="102"/>
  <c r="L34" i="102"/>
  <c r="K34" i="102"/>
  <c r="J34" i="102"/>
  <c r="I34" i="102"/>
  <c r="H34" i="102"/>
  <c r="G34" i="102"/>
  <c r="F34" i="102"/>
  <c r="E34" i="102"/>
  <c r="E32" i="102"/>
  <c r="P31" i="102"/>
  <c r="E31" i="102"/>
  <c r="L26" i="102"/>
  <c r="K26" i="102"/>
  <c r="J26" i="102"/>
  <c r="I26" i="102"/>
  <c r="H26" i="102"/>
  <c r="G26" i="102"/>
  <c r="F26" i="102"/>
  <c r="E26" i="102"/>
  <c r="E23" i="102"/>
  <c r="L21" i="102"/>
  <c r="K21" i="102"/>
  <c r="J21" i="102"/>
  <c r="I21" i="102"/>
  <c r="H21" i="102"/>
  <c r="G21" i="102"/>
  <c r="F21" i="102"/>
  <c r="E21" i="102"/>
  <c r="E20" i="102"/>
  <c r="P19" i="102"/>
  <c r="E19" i="102"/>
  <c r="E18" i="102"/>
  <c r="W17" i="102"/>
  <c r="V17" i="102"/>
  <c r="U17" i="102"/>
  <c r="T17" i="102"/>
  <c r="S17" i="102"/>
  <c r="R17" i="102"/>
  <c r="Q17" i="102"/>
  <c r="E17" i="102"/>
  <c r="E16" i="102"/>
  <c r="E14" i="102"/>
  <c r="F13" i="102"/>
  <c r="E13" i="102"/>
  <c r="Q12" i="102"/>
  <c r="L12" i="102"/>
  <c r="K12" i="102"/>
  <c r="J12" i="102"/>
  <c r="I12" i="102"/>
  <c r="H12" i="102"/>
  <c r="G12" i="102"/>
  <c r="F12" i="102"/>
  <c r="G11" i="102"/>
  <c r="F11" i="102"/>
  <c r="E10" i="102"/>
  <c r="P9" i="102"/>
  <c r="I8" i="102"/>
  <c r="H8" i="102"/>
  <c r="G8" i="102"/>
  <c r="F8" i="102"/>
  <c r="E8" i="102"/>
  <c r="Q7" i="102"/>
  <c r="P7" i="102"/>
  <c r="I7" i="102"/>
  <c r="H7" i="102"/>
  <c r="G7" i="102"/>
  <c r="F7" i="102"/>
  <c r="P6" i="102"/>
  <c r="L6" i="102"/>
  <c r="K6" i="102"/>
  <c r="J6" i="102"/>
  <c r="I6" i="102"/>
  <c r="H6" i="102"/>
  <c r="G6" i="102"/>
  <c r="F6" i="102"/>
  <c r="E6" i="102"/>
  <c r="W5" i="102"/>
  <c r="V5" i="102"/>
  <c r="U5" i="102"/>
  <c r="T5" i="102"/>
  <c r="S5" i="102"/>
  <c r="R5" i="102"/>
  <c r="Q5" i="102"/>
  <c r="P5" i="102"/>
  <c r="L5" i="102"/>
  <c r="K5" i="102"/>
  <c r="J5" i="102"/>
  <c r="I5" i="102"/>
  <c r="H5" i="102"/>
  <c r="G5" i="102"/>
  <c r="F5" i="102"/>
  <c r="E5" i="102"/>
  <c r="W3" i="102"/>
  <c r="V3" i="102"/>
  <c r="U3" i="102"/>
  <c r="T3" i="102"/>
  <c r="S3" i="102"/>
  <c r="R3" i="102"/>
  <c r="Q3" i="102"/>
  <c r="P3" i="102"/>
  <c r="L3" i="102"/>
  <c r="K3" i="102"/>
  <c r="J3" i="102"/>
  <c r="I3" i="102"/>
  <c r="H3" i="102"/>
  <c r="G3" i="102"/>
  <c r="F3" i="102"/>
  <c r="P94" i="55"/>
  <c r="L94" i="55"/>
  <c r="K94" i="55"/>
  <c r="J94" i="55"/>
  <c r="I94" i="55"/>
  <c r="H94" i="55"/>
  <c r="G94" i="55"/>
  <c r="F94" i="55"/>
  <c r="P93" i="55"/>
  <c r="P92" i="55"/>
  <c r="L92" i="55"/>
  <c r="K92" i="55"/>
  <c r="J92" i="55"/>
  <c r="I92" i="55"/>
  <c r="H92" i="55"/>
  <c r="G92" i="55"/>
  <c r="F92" i="55"/>
  <c r="L91" i="55"/>
  <c r="K91" i="55"/>
  <c r="J91" i="55"/>
  <c r="I91" i="55"/>
  <c r="H91" i="55"/>
  <c r="G91" i="55"/>
  <c r="P90" i="55"/>
  <c r="P89" i="55"/>
  <c r="N89" i="55"/>
  <c r="L89" i="55"/>
  <c r="K89" i="55"/>
  <c r="J89" i="55"/>
  <c r="I89" i="55"/>
  <c r="H89" i="55"/>
  <c r="G89" i="55"/>
  <c r="F89" i="55"/>
  <c r="P88" i="55"/>
  <c r="N88" i="55"/>
  <c r="L88" i="55"/>
  <c r="K88" i="55"/>
  <c r="J88" i="55"/>
  <c r="I88" i="55"/>
  <c r="H88" i="55"/>
  <c r="G88" i="55"/>
  <c r="F88" i="55"/>
  <c r="P87" i="55"/>
  <c r="N87" i="55"/>
  <c r="P86" i="55"/>
  <c r="L85" i="55"/>
  <c r="K85" i="55"/>
  <c r="J85" i="55"/>
  <c r="I85" i="55"/>
  <c r="H85" i="55"/>
  <c r="G85" i="55"/>
  <c r="F85" i="55"/>
  <c r="L84" i="55"/>
  <c r="K84" i="55"/>
  <c r="J84" i="55"/>
  <c r="I84" i="55"/>
  <c r="H84" i="55"/>
  <c r="G84" i="55"/>
  <c r="F84" i="55"/>
  <c r="Q83" i="55"/>
  <c r="L83" i="55"/>
  <c r="K83" i="55"/>
  <c r="J83" i="55"/>
  <c r="I83" i="55"/>
  <c r="H83" i="55"/>
  <c r="G83" i="55"/>
  <c r="F83" i="55"/>
  <c r="Q82" i="55"/>
  <c r="L81" i="55"/>
  <c r="K81" i="55"/>
  <c r="J81" i="55"/>
  <c r="I81" i="55"/>
  <c r="H81" i="55"/>
  <c r="G81" i="55"/>
  <c r="F81" i="55"/>
  <c r="L80" i="55"/>
  <c r="K80" i="55"/>
  <c r="J80" i="55"/>
  <c r="I80" i="55"/>
  <c r="H80" i="55"/>
  <c r="G80" i="55"/>
  <c r="F80" i="55"/>
  <c r="Q78" i="55"/>
  <c r="L78" i="55"/>
  <c r="K78" i="55"/>
  <c r="J78" i="55"/>
  <c r="I78" i="55"/>
  <c r="H78" i="55"/>
  <c r="G78" i="55"/>
  <c r="F78" i="55"/>
  <c r="L77" i="55"/>
  <c r="K77" i="55"/>
  <c r="J77" i="55"/>
  <c r="I77" i="55"/>
  <c r="H77" i="55"/>
  <c r="G77" i="55"/>
  <c r="F77" i="55"/>
  <c r="L76" i="55"/>
  <c r="K76" i="55"/>
  <c r="J76" i="55"/>
  <c r="I76" i="55"/>
  <c r="H76" i="55"/>
  <c r="G76" i="55"/>
  <c r="F76" i="55"/>
  <c r="M75" i="55"/>
  <c r="L75" i="55"/>
  <c r="K75" i="55"/>
  <c r="J75" i="55"/>
  <c r="I75" i="55"/>
  <c r="H75" i="55"/>
  <c r="G75" i="55"/>
  <c r="F75" i="55"/>
  <c r="L74" i="55"/>
  <c r="K74" i="55"/>
  <c r="J74" i="55"/>
  <c r="I74" i="55"/>
  <c r="H74" i="55"/>
  <c r="G74" i="55"/>
  <c r="F74" i="55"/>
  <c r="W72" i="55"/>
  <c r="V72" i="55"/>
  <c r="T72" i="55"/>
  <c r="R72" i="55"/>
  <c r="Q72" i="55"/>
  <c r="P72" i="55"/>
  <c r="W71" i="55"/>
  <c r="V71" i="55"/>
  <c r="T71" i="55"/>
  <c r="R71" i="55"/>
  <c r="Q71" i="55"/>
  <c r="P71" i="55"/>
  <c r="L71" i="55"/>
  <c r="K71" i="55"/>
  <c r="J71" i="55"/>
  <c r="I71" i="55"/>
  <c r="H71" i="55"/>
  <c r="G71" i="55"/>
  <c r="F71" i="55"/>
  <c r="W68" i="55"/>
  <c r="V68" i="55"/>
  <c r="R68" i="55"/>
  <c r="W67" i="55"/>
  <c r="V67" i="55"/>
  <c r="T67" i="55"/>
  <c r="R67" i="55"/>
  <c r="W66" i="55"/>
  <c r="V66" i="55"/>
  <c r="T66" i="55"/>
  <c r="R66" i="55"/>
  <c r="T65" i="55"/>
  <c r="R65" i="55"/>
  <c r="R64" i="55"/>
  <c r="W63" i="55"/>
  <c r="V63" i="55"/>
  <c r="R63" i="55"/>
  <c r="L63" i="55"/>
  <c r="K63" i="55"/>
  <c r="J63" i="55"/>
  <c r="I63" i="55"/>
  <c r="H63" i="55"/>
  <c r="G63" i="55"/>
  <c r="F63" i="55"/>
  <c r="R62" i="55"/>
  <c r="W61" i="55"/>
  <c r="R61" i="55"/>
  <c r="R60" i="55"/>
  <c r="R59" i="55"/>
  <c r="W58" i="55"/>
  <c r="R58" i="55"/>
  <c r="L57" i="55"/>
  <c r="K57" i="55"/>
  <c r="J57" i="55"/>
  <c r="I57" i="55"/>
  <c r="H57" i="55"/>
  <c r="G57" i="55"/>
  <c r="F57" i="55"/>
  <c r="L56" i="55"/>
  <c r="K56" i="55"/>
  <c r="J56" i="55"/>
  <c r="I56" i="55"/>
  <c r="H56" i="55"/>
  <c r="G56" i="55"/>
  <c r="F56" i="55"/>
  <c r="B56" i="55"/>
  <c r="L55" i="55"/>
  <c r="K55" i="55"/>
  <c r="J55" i="55"/>
  <c r="I55" i="55"/>
  <c r="H55" i="55"/>
  <c r="G55" i="55"/>
  <c r="F55" i="55"/>
  <c r="W54" i="55"/>
  <c r="V54" i="55"/>
  <c r="U54" i="55"/>
  <c r="T54" i="55"/>
  <c r="S54" i="55"/>
  <c r="R54" i="55"/>
  <c r="Q54" i="55"/>
  <c r="N54" i="55"/>
  <c r="W53" i="55"/>
  <c r="V53" i="55"/>
  <c r="U53" i="55"/>
  <c r="T53" i="55"/>
  <c r="S53" i="55"/>
  <c r="R53" i="55"/>
  <c r="Q53" i="55"/>
  <c r="L53" i="55"/>
  <c r="K53" i="55"/>
  <c r="J53" i="55"/>
  <c r="I53" i="55"/>
  <c r="H53" i="55"/>
  <c r="G53" i="55"/>
  <c r="F53" i="55"/>
  <c r="B53" i="55"/>
  <c r="W51" i="55"/>
  <c r="V51" i="55"/>
  <c r="U51" i="55"/>
  <c r="T51" i="55"/>
  <c r="S51" i="55"/>
  <c r="R51" i="55"/>
  <c r="Q51" i="55"/>
  <c r="P51" i="55"/>
  <c r="W49" i="55"/>
  <c r="V49" i="55"/>
  <c r="U49" i="55"/>
  <c r="T49" i="55"/>
  <c r="S49" i="55"/>
  <c r="R49" i="55"/>
  <c r="Q49" i="55"/>
  <c r="L49" i="55"/>
  <c r="K49" i="55"/>
  <c r="J49" i="55"/>
  <c r="I49" i="55"/>
  <c r="H49" i="55"/>
  <c r="G49" i="55"/>
  <c r="F49" i="55"/>
  <c r="E49" i="55"/>
  <c r="W47" i="55"/>
  <c r="V47" i="55"/>
  <c r="U47" i="55"/>
  <c r="T47" i="55"/>
  <c r="S47" i="55"/>
  <c r="R47" i="55"/>
  <c r="Q47" i="55"/>
  <c r="P47" i="55"/>
  <c r="W46" i="55"/>
  <c r="V46" i="55"/>
  <c r="U46" i="55"/>
  <c r="T46" i="55"/>
  <c r="S46" i="55"/>
  <c r="R46" i="55"/>
  <c r="Q46" i="55"/>
  <c r="P46" i="55"/>
  <c r="W45" i="55"/>
  <c r="V45" i="55"/>
  <c r="U45" i="55"/>
  <c r="T45" i="55"/>
  <c r="S45" i="55"/>
  <c r="R45" i="55"/>
  <c r="Q45" i="55"/>
  <c r="P45" i="55"/>
  <c r="N45" i="55"/>
  <c r="C45" i="55"/>
  <c r="W44" i="55"/>
  <c r="V44" i="55"/>
  <c r="U44" i="55"/>
  <c r="T44" i="55"/>
  <c r="S44" i="55"/>
  <c r="R44" i="55"/>
  <c r="Q44" i="55"/>
  <c r="P44" i="55"/>
  <c r="N44" i="55"/>
  <c r="W43" i="55"/>
  <c r="V43" i="55"/>
  <c r="U43" i="55"/>
  <c r="T43" i="55"/>
  <c r="S43" i="55"/>
  <c r="R43" i="55"/>
  <c r="Q43" i="55"/>
  <c r="P43" i="55"/>
  <c r="N43" i="55"/>
  <c r="W42" i="55"/>
  <c r="V42" i="55"/>
  <c r="U42" i="55"/>
  <c r="T42" i="55"/>
  <c r="S42" i="55"/>
  <c r="R42" i="55"/>
  <c r="Q42" i="55"/>
  <c r="P42" i="55"/>
  <c r="N42" i="55"/>
  <c r="L41" i="55"/>
  <c r="K41" i="55"/>
  <c r="J41" i="55"/>
  <c r="I41" i="55"/>
  <c r="H41" i="55"/>
  <c r="G41" i="55"/>
  <c r="F41" i="55"/>
  <c r="E41" i="55"/>
  <c r="L39" i="55"/>
  <c r="K39" i="55"/>
  <c r="J39" i="55"/>
  <c r="I39" i="55"/>
  <c r="H39" i="55"/>
  <c r="G39" i="55"/>
  <c r="F39" i="55"/>
  <c r="P37" i="55"/>
  <c r="L37" i="55"/>
  <c r="K37" i="55"/>
  <c r="J37" i="55"/>
  <c r="I37" i="55"/>
  <c r="H37" i="55"/>
  <c r="G37" i="55"/>
  <c r="F37" i="55"/>
  <c r="E37" i="55"/>
  <c r="P35" i="55"/>
  <c r="L35" i="55"/>
  <c r="K35" i="55"/>
  <c r="J35" i="55"/>
  <c r="I35" i="55"/>
  <c r="H35" i="55"/>
  <c r="G35" i="55"/>
  <c r="F35" i="55"/>
  <c r="E35" i="55"/>
  <c r="P33" i="55"/>
  <c r="L33" i="55"/>
  <c r="K33" i="55"/>
  <c r="J33" i="55"/>
  <c r="I33" i="55"/>
  <c r="H33" i="55"/>
  <c r="G33" i="55"/>
  <c r="F33" i="55"/>
  <c r="E33" i="55"/>
  <c r="M32" i="55"/>
  <c r="L32" i="55"/>
  <c r="K32" i="55"/>
  <c r="J32" i="55"/>
  <c r="I32" i="55"/>
  <c r="H32" i="55"/>
  <c r="G32" i="55"/>
  <c r="F32" i="55"/>
  <c r="E31" i="55"/>
  <c r="L29" i="55"/>
  <c r="K29" i="55"/>
  <c r="J29" i="55"/>
  <c r="I29" i="55"/>
  <c r="H29" i="55"/>
  <c r="G29" i="55"/>
  <c r="F29" i="55"/>
  <c r="E29" i="55"/>
  <c r="E27" i="55"/>
  <c r="L26" i="55"/>
  <c r="K26" i="55"/>
  <c r="J26" i="55"/>
  <c r="I26" i="55"/>
  <c r="H26" i="55"/>
  <c r="G26" i="55"/>
  <c r="F26" i="55"/>
  <c r="E26" i="55"/>
  <c r="B26" i="55"/>
  <c r="L24" i="55"/>
  <c r="K24" i="55"/>
  <c r="J24" i="55"/>
  <c r="I24" i="55"/>
  <c r="H24" i="55"/>
  <c r="G24" i="55"/>
  <c r="F24" i="55"/>
  <c r="L22" i="55"/>
  <c r="K22" i="55"/>
  <c r="J22" i="55"/>
  <c r="I22" i="55"/>
  <c r="H22" i="55"/>
  <c r="G22" i="55"/>
  <c r="F22" i="55"/>
  <c r="E22" i="55"/>
  <c r="W21" i="55"/>
  <c r="V21" i="55"/>
  <c r="U21" i="55"/>
  <c r="T21" i="55"/>
  <c r="S21" i="55"/>
  <c r="R21" i="55"/>
  <c r="Q21" i="55"/>
  <c r="P21" i="55"/>
  <c r="L21" i="55"/>
  <c r="K21" i="55"/>
  <c r="J21" i="55"/>
  <c r="I21" i="55"/>
  <c r="H21" i="55"/>
  <c r="G21" i="55"/>
  <c r="F21" i="55"/>
  <c r="E21" i="55"/>
  <c r="W19" i="55"/>
  <c r="V19" i="55"/>
  <c r="U19" i="55"/>
  <c r="T19" i="55"/>
  <c r="S19" i="55"/>
  <c r="R19" i="55"/>
  <c r="Q19" i="55"/>
  <c r="P19" i="55"/>
  <c r="L19" i="55"/>
  <c r="K19" i="55"/>
  <c r="J19" i="55"/>
  <c r="I19" i="55"/>
  <c r="H19" i="55"/>
  <c r="G19" i="55"/>
  <c r="F19" i="55"/>
  <c r="E19" i="55"/>
  <c r="W18" i="55"/>
  <c r="V18" i="55"/>
  <c r="U18" i="55"/>
  <c r="T18" i="55"/>
  <c r="S18" i="55"/>
  <c r="R18" i="55"/>
  <c r="Q18" i="55"/>
  <c r="P18" i="55"/>
  <c r="E18" i="55"/>
  <c r="W17" i="55"/>
  <c r="V17" i="55"/>
  <c r="U17" i="55"/>
  <c r="T17" i="55"/>
  <c r="S17" i="55"/>
  <c r="R17" i="55"/>
  <c r="Q17" i="55"/>
  <c r="W16" i="55"/>
  <c r="V16" i="55"/>
  <c r="U16" i="55"/>
  <c r="T16" i="55"/>
  <c r="S16" i="55"/>
  <c r="R16" i="55"/>
  <c r="Q16" i="55"/>
  <c r="P16" i="55"/>
  <c r="L13" i="55"/>
  <c r="K13" i="55"/>
  <c r="J13" i="55"/>
  <c r="I13" i="55"/>
  <c r="H13" i="55"/>
  <c r="G13" i="55"/>
  <c r="F13" i="55"/>
  <c r="E13" i="55"/>
  <c r="E12" i="55"/>
  <c r="E11" i="55"/>
  <c r="W9" i="55"/>
  <c r="V9" i="55"/>
  <c r="U9" i="55"/>
  <c r="T9" i="55"/>
  <c r="S9" i="55"/>
  <c r="R9" i="55"/>
  <c r="Q9" i="55"/>
  <c r="P9" i="55"/>
  <c r="W8" i="55"/>
  <c r="V8" i="55"/>
  <c r="U8" i="55"/>
  <c r="T8" i="55"/>
  <c r="S8" i="55"/>
  <c r="R8" i="55"/>
  <c r="Q8" i="55"/>
  <c r="W7" i="55"/>
  <c r="V7" i="55"/>
  <c r="U7" i="55"/>
  <c r="T7" i="55"/>
  <c r="S7" i="55"/>
  <c r="R7" i="55"/>
  <c r="Q7" i="55"/>
  <c r="P7" i="55"/>
  <c r="I7" i="55"/>
  <c r="H7" i="55"/>
  <c r="G7" i="55"/>
  <c r="F7" i="55"/>
  <c r="E7" i="55"/>
  <c r="W6" i="55"/>
  <c r="V6" i="55"/>
  <c r="U6" i="55"/>
  <c r="T6" i="55"/>
  <c r="S6" i="55"/>
  <c r="R6" i="55"/>
  <c r="Q6" i="55"/>
  <c r="W5" i="55"/>
  <c r="V5" i="55"/>
  <c r="U5" i="55"/>
  <c r="T5" i="55"/>
  <c r="S5" i="55"/>
  <c r="R5" i="55"/>
  <c r="Q5" i="55"/>
  <c r="P5" i="55"/>
  <c r="L5" i="55"/>
  <c r="K5" i="55"/>
  <c r="J5" i="55"/>
  <c r="I5" i="55"/>
  <c r="H5" i="55"/>
  <c r="G5" i="55"/>
  <c r="F5" i="55"/>
  <c r="E5" i="55"/>
  <c r="W3" i="55"/>
  <c r="V3" i="55"/>
  <c r="U3" i="55"/>
  <c r="T3" i="55"/>
  <c r="S3" i="55"/>
  <c r="R3" i="55"/>
  <c r="Q3" i="55"/>
  <c r="P3" i="55"/>
  <c r="L3" i="55"/>
  <c r="K3" i="55"/>
  <c r="J3" i="55"/>
  <c r="I3" i="55"/>
  <c r="H3" i="55"/>
  <c r="G3" i="55"/>
  <c r="F3" i="55"/>
  <c r="J120" i="96"/>
  <c r="O116" i="96"/>
  <c r="U115" i="96"/>
  <c r="T115" i="96"/>
  <c r="S115" i="96"/>
  <c r="Q115" i="96"/>
  <c r="P115" i="96"/>
  <c r="O115" i="96"/>
  <c r="D115" i="96"/>
  <c r="D112" i="96"/>
  <c r="N111" i="96"/>
  <c r="N107" i="96"/>
  <c r="N105" i="96"/>
  <c r="J104" i="96"/>
  <c r="I104" i="96"/>
  <c r="H104" i="96"/>
  <c r="F104" i="96"/>
  <c r="E104" i="96"/>
  <c r="D104" i="96"/>
  <c r="N103" i="96"/>
  <c r="E103" i="96"/>
  <c r="N102" i="96"/>
  <c r="L102" i="96"/>
  <c r="D102" i="96"/>
  <c r="N101" i="96"/>
  <c r="L101" i="96"/>
  <c r="N100" i="96"/>
  <c r="L100" i="96"/>
  <c r="N99" i="96"/>
  <c r="L99" i="96"/>
  <c r="I99" i="96"/>
  <c r="F99" i="96"/>
  <c r="E99" i="96"/>
  <c r="D99" i="96"/>
  <c r="N98" i="96"/>
  <c r="L98" i="96"/>
  <c r="D98" i="96"/>
  <c r="F97" i="96"/>
  <c r="E97" i="96"/>
  <c r="D97" i="96"/>
  <c r="B97" i="96"/>
  <c r="J95" i="96"/>
  <c r="I95" i="96"/>
  <c r="H95" i="96"/>
  <c r="G95" i="96"/>
  <c r="F95" i="96"/>
  <c r="E95" i="96"/>
  <c r="D95" i="96"/>
  <c r="U94" i="96"/>
  <c r="T94" i="96"/>
  <c r="S94" i="96"/>
  <c r="R94" i="96"/>
  <c r="Q94" i="96"/>
  <c r="P94" i="96"/>
  <c r="O94" i="96"/>
  <c r="U93" i="96"/>
  <c r="T93" i="96"/>
  <c r="S93" i="96"/>
  <c r="R93" i="96"/>
  <c r="Q93" i="96"/>
  <c r="P93" i="96"/>
  <c r="O93" i="96"/>
  <c r="U92" i="96"/>
  <c r="T92" i="96"/>
  <c r="S92" i="96"/>
  <c r="R92" i="96"/>
  <c r="Q92" i="96"/>
  <c r="P92" i="96"/>
  <c r="O92" i="96"/>
  <c r="L92" i="96"/>
  <c r="L91" i="96"/>
  <c r="J91" i="96"/>
  <c r="I91" i="96"/>
  <c r="H91" i="96"/>
  <c r="G91" i="96"/>
  <c r="F91" i="96"/>
  <c r="E91" i="96"/>
  <c r="D91" i="96"/>
  <c r="U89" i="96"/>
  <c r="T89" i="96"/>
  <c r="S89" i="96"/>
  <c r="R89" i="96"/>
  <c r="Q89" i="96"/>
  <c r="P89" i="96"/>
  <c r="O89" i="96"/>
  <c r="L89" i="96"/>
  <c r="L84" i="96"/>
  <c r="J84" i="96"/>
  <c r="I84" i="96"/>
  <c r="H84" i="96"/>
  <c r="G84" i="96"/>
  <c r="F84" i="96"/>
  <c r="E84" i="96"/>
  <c r="D84" i="96"/>
  <c r="U83" i="96"/>
  <c r="T83" i="96"/>
  <c r="S83" i="96"/>
  <c r="R83" i="96"/>
  <c r="Q83" i="96"/>
  <c r="P83" i="96"/>
  <c r="O83" i="96"/>
  <c r="L83" i="96"/>
  <c r="D83" i="96"/>
  <c r="L82" i="96"/>
  <c r="O81" i="96"/>
  <c r="L81" i="96"/>
  <c r="L80" i="96"/>
  <c r="U79" i="96"/>
  <c r="T79" i="96"/>
  <c r="S79" i="96"/>
  <c r="R79" i="96"/>
  <c r="Q79" i="96"/>
  <c r="P79" i="96"/>
  <c r="O79" i="96"/>
  <c r="L79" i="96"/>
  <c r="L78" i="96"/>
  <c r="J78" i="96"/>
  <c r="I78" i="96"/>
  <c r="H78" i="96"/>
  <c r="G78" i="96"/>
  <c r="F78" i="96"/>
  <c r="E78" i="96"/>
  <c r="J77" i="96"/>
  <c r="I77" i="96"/>
  <c r="H77" i="96"/>
  <c r="G77" i="96"/>
  <c r="F77" i="96"/>
  <c r="E77" i="96"/>
  <c r="D77" i="96"/>
  <c r="B77" i="96"/>
  <c r="U76" i="96"/>
  <c r="T76" i="96"/>
  <c r="S76" i="96"/>
  <c r="R76" i="96"/>
  <c r="Q76" i="96"/>
  <c r="P76" i="96"/>
  <c r="O76" i="96"/>
  <c r="B76" i="96"/>
  <c r="U75" i="96"/>
  <c r="T75" i="96"/>
  <c r="S75" i="96"/>
  <c r="R75" i="96"/>
  <c r="Q75" i="96"/>
  <c r="P75" i="96"/>
  <c r="O75" i="96"/>
  <c r="L75" i="96"/>
  <c r="D75" i="96"/>
  <c r="U74" i="96"/>
  <c r="T74" i="96"/>
  <c r="S74" i="96"/>
  <c r="R74" i="96"/>
  <c r="Q74" i="96"/>
  <c r="P74" i="96"/>
  <c r="O74" i="96"/>
  <c r="L74" i="96"/>
  <c r="J74" i="96"/>
  <c r="I74" i="96"/>
  <c r="H74" i="96"/>
  <c r="G74" i="96"/>
  <c r="F74" i="96"/>
  <c r="E74" i="96"/>
  <c r="D74" i="96"/>
  <c r="U73" i="96"/>
  <c r="T73" i="96"/>
  <c r="S73" i="96"/>
  <c r="R73" i="96"/>
  <c r="Q73" i="96"/>
  <c r="P73" i="96"/>
  <c r="O73" i="96"/>
  <c r="L73" i="96"/>
  <c r="U72" i="96"/>
  <c r="T72" i="96"/>
  <c r="S72" i="96"/>
  <c r="R72" i="96"/>
  <c r="Q72" i="96"/>
  <c r="P72" i="96"/>
  <c r="O72" i="96"/>
  <c r="L72" i="96"/>
  <c r="U71" i="96"/>
  <c r="T71" i="96"/>
  <c r="S71" i="96"/>
  <c r="R71" i="96"/>
  <c r="Q71" i="96"/>
  <c r="P71" i="96"/>
  <c r="O71" i="96"/>
  <c r="L71" i="96"/>
  <c r="L70" i="96"/>
  <c r="D70" i="96"/>
  <c r="O67" i="96"/>
  <c r="L67" i="96"/>
  <c r="J67" i="96"/>
  <c r="I67" i="96"/>
  <c r="H67" i="96"/>
  <c r="G67" i="96"/>
  <c r="F67" i="96"/>
  <c r="E67" i="96"/>
  <c r="D67" i="96"/>
  <c r="L66" i="96"/>
  <c r="O65" i="96"/>
  <c r="L65" i="96"/>
  <c r="O64" i="96"/>
  <c r="L64" i="96"/>
  <c r="O63" i="96"/>
  <c r="L63" i="96"/>
  <c r="B63" i="96"/>
  <c r="O60" i="96"/>
  <c r="O59" i="96"/>
  <c r="O58" i="96"/>
  <c r="O57" i="96"/>
  <c r="F57" i="96"/>
  <c r="D57" i="96"/>
  <c r="C57" i="96"/>
  <c r="O56" i="96"/>
  <c r="F55" i="96"/>
  <c r="D55" i="96"/>
  <c r="B51" i="96"/>
  <c r="O49" i="96"/>
  <c r="R45" i="96"/>
  <c r="P45" i="96"/>
  <c r="Q44" i="96"/>
  <c r="O44" i="96"/>
  <c r="J44" i="96"/>
  <c r="I44" i="96"/>
  <c r="H44" i="96"/>
  <c r="G44" i="96"/>
  <c r="F44" i="96"/>
  <c r="E44" i="96"/>
  <c r="D44" i="96"/>
  <c r="O40" i="96"/>
  <c r="Q39" i="96"/>
  <c r="Q40" i="96" s="1"/>
  <c r="O39" i="96"/>
  <c r="U38" i="96"/>
  <c r="U39" i="96" s="1"/>
  <c r="U40" i="96" s="1"/>
  <c r="T38" i="96"/>
  <c r="T39" i="96" s="1"/>
  <c r="S38" i="96"/>
  <c r="S39" i="96" s="1"/>
  <c r="S40" i="96" s="1"/>
  <c r="R38" i="96"/>
  <c r="R39" i="96" s="1"/>
  <c r="R40" i="96" s="1"/>
  <c r="Q38" i="96"/>
  <c r="P38" i="96"/>
  <c r="P39" i="96" s="1"/>
  <c r="P40" i="96" s="1"/>
  <c r="J38" i="96"/>
  <c r="I38" i="96"/>
  <c r="H38" i="96"/>
  <c r="G38" i="96"/>
  <c r="F38" i="96"/>
  <c r="E38" i="96"/>
  <c r="D38" i="96"/>
  <c r="U37" i="96"/>
  <c r="T37" i="96"/>
  <c r="S37" i="96"/>
  <c r="R37" i="96"/>
  <c r="Q37" i="96"/>
  <c r="P37" i="96"/>
  <c r="O37" i="96"/>
  <c r="U36" i="96"/>
  <c r="T36" i="96"/>
  <c r="S36" i="96"/>
  <c r="R36" i="96"/>
  <c r="Q36" i="96"/>
  <c r="P36" i="96"/>
  <c r="O36" i="96"/>
  <c r="U35" i="96"/>
  <c r="T35" i="96"/>
  <c r="S35" i="96"/>
  <c r="R35" i="96"/>
  <c r="Q35" i="96"/>
  <c r="P35" i="96"/>
  <c r="U33" i="96"/>
  <c r="T33" i="96"/>
  <c r="S33" i="96"/>
  <c r="R33" i="96"/>
  <c r="Q33" i="96"/>
  <c r="P33" i="96"/>
  <c r="O33" i="96"/>
  <c r="G33" i="96"/>
  <c r="F33" i="96"/>
  <c r="E33" i="96"/>
  <c r="D33" i="96"/>
  <c r="U31" i="96"/>
  <c r="T31" i="96"/>
  <c r="S31" i="96"/>
  <c r="R31" i="96"/>
  <c r="Q31" i="96"/>
  <c r="P31" i="96"/>
  <c r="U30" i="96"/>
  <c r="T30" i="96"/>
  <c r="S30" i="96"/>
  <c r="R30" i="96"/>
  <c r="Q30" i="96"/>
  <c r="P30" i="96"/>
  <c r="O30" i="96"/>
  <c r="J30" i="96"/>
  <c r="I30" i="96"/>
  <c r="H30" i="96"/>
  <c r="G30" i="96"/>
  <c r="F30" i="96"/>
  <c r="E30" i="96"/>
  <c r="D30" i="96"/>
  <c r="C28" i="96"/>
  <c r="N27" i="96"/>
  <c r="C27" i="96"/>
  <c r="N23" i="96"/>
  <c r="C23" i="96"/>
  <c r="C22" i="96"/>
  <c r="Q21" i="96"/>
  <c r="O21" i="96"/>
  <c r="N19" i="96"/>
  <c r="C19" i="96"/>
  <c r="D16" i="96"/>
  <c r="N9" i="96"/>
  <c r="L8" i="96"/>
  <c r="J8" i="96"/>
  <c r="I8" i="96"/>
  <c r="H8" i="96"/>
  <c r="G8" i="96"/>
  <c r="F8" i="96"/>
  <c r="E8" i="96"/>
  <c r="D8" i="96"/>
  <c r="O7" i="96"/>
  <c r="N7" i="96"/>
  <c r="J7" i="96"/>
  <c r="I7" i="96"/>
  <c r="H7" i="96"/>
  <c r="G7" i="96"/>
  <c r="F7" i="96"/>
  <c r="E7" i="96"/>
  <c r="D7" i="96"/>
  <c r="N6" i="96"/>
  <c r="J6" i="96"/>
  <c r="I6" i="96"/>
  <c r="H6" i="96"/>
  <c r="G6" i="96"/>
  <c r="F6" i="96"/>
  <c r="E6" i="96"/>
  <c r="D6" i="96"/>
  <c r="U5" i="96"/>
  <c r="T5" i="96"/>
  <c r="S5" i="96"/>
  <c r="R5" i="96"/>
  <c r="Q5" i="96"/>
  <c r="P5" i="96"/>
  <c r="O5" i="96"/>
  <c r="J5" i="96"/>
  <c r="I5" i="96"/>
  <c r="H5" i="96"/>
  <c r="G5" i="96"/>
  <c r="F5" i="96"/>
  <c r="E5" i="96"/>
  <c r="D5" i="96"/>
  <c r="U3" i="96"/>
  <c r="T3" i="96"/>
  <c r="S3" i="96"/>
  <c r="R3" i="96"/>
  <c r="Q3" i="96"/>
  <c r="P3" i="96"/>
  <c r="O3" i="96"/>
  <c r="J3" i="96"/>
  <c r="I3" i="96"/>
  <c r="H3" i="96"/>
  <c r="G3" i="96"/>
  <c r="F3" i="96"/>
  <c r="E3" i="96"/>
  <c r="D3" i="96"/>
  <c r="S101" i="98"/>
  <c r="U99" i="98"/>
  <c r="T99" i="98"/>
  <c r="S99" i="98"/>
  <c r="R99" i="98"/>
  <c r="Q99" i="98"/>
  <c r="P99" i="98"/>
  <c r="L44" i="98"/>
  <c r="K44" i="98"/>
  <c r="I44" i="98"/>
  <c r="H44" i="98"/>
  <c r="G44" i="98"/>
  <c r="F44" i="98"/>
  <c r="E44" i="98"/>
  <c r="L42" i="98"/>
  <c r="K42" i="98"/>
  <c r="J42" i="98"/>
  <c r="I42" i="98"/>
  <c r="H42" i="98"/>
  <c r="G42" i="98"/>
  <c r="F42" i="98"/>
  <c r="E42" i="98"/>
  <c r="C42" i="98"/>
  <c r="L40" i="98"/>
  <c r="K40" i="98"/>
  <c r="J40" i="98"/>
  <c r="I40" i="98"/>
  <c r="H40" i="98"/>
  <c r="G40" i="98"/>
  <c r="F40" i="98"/>
  <c r="E40" i="98"/>
  <c r="L37" i="98"/>
  <c r="K37" i="98"/>
  <c r="D31" i="98"/>
  <c r="D27" i="98"/>
  <c r="L23" i="98"/>
  <c r="K23" i="98"/>
  <c r="J23" i="98"/>
  <c r="I23" i="98"/>
  <c r="H23" i="98"/>
  <c r="G23" i="98"/>
  <c r="F23" i="98"/>
  <c r="E23" i="98"/>
  <c r="W17" i="98"/>
  <c r="V17" i="98"/>
  <c r="W16" i="98"/>
  <c r="V16" i="98"/>
  <c r="U16" i="98"/>
  <c r="T16" i="98"/>
  <c r="S16" i="98"/>
  <c r="R16" i="98"/>
  <c r="Q16" i="98"/>
  <c r="P16" i="98"/>
  <c r="R10" i="98"/>
  <c r="Q10" i="98"/>
  <c r="P10" i="98"/>
  <c r="J7" i="98"/>
  <c r="G7" i="98"/>
  <c r="F7" i="98"/>
  <c r="E7" i="98"/>
  <c r="W6" i="98"/>
  <c r="V6" i="98"/>
  <c r="U6" i="98"/>
  <c r="T6" i="98"/>
  <c r="S6" i="98"/>
  <c r="R6" i="98"/>
  <c r="Q6" i="98"/>
  <c r="P6" i="98"/>
  <c r="W5" i="98"/>
  <c r="V5" i="98"/>
  <c r="U5" i="98"/>
  <c r="T5" i="98"/>
  <c r="S5" i="98"/>
  <c r="R5" i="98"/>
  <c r="Q5" i="98"/>
  <c r="P5" i="98"/>
  <c r="W3" i="98"/>
  <c r="V3" i="98"/>
  <c r="U3" i="98"/>
  <c r="T3" i="98"/>
  <c r="S3" i="98"/>
  <c r="R3" i="98"/>
  <c r="Q3" i="98"/>
  <c r="P3" i="98"/>
  <c r="L3" i="98"/>
  <c r="K3" i="98"/>
  <c r="J3" i="98"/>
  <c r="I3" i="98"/>
  <c r="H3" i="98"/>
  <c r="G3" i="98"/>
  <c r="F3" i="98"/>
  <c r="E3" i="98"/>
  <c r="O93" i="97"/>
  <c r="O92" i="97"/>
  <c r="O91" i="97"/>
  <c r="O90" i="97"/>
  <c r="O89" i="97"/>
  <c r="X88" i="97"/>
  <c r="W88" i="97"/>
  <c r="V88" i="97"/>
  <c r="U88" i="97"/>
  <c r="T88" i="97"/>
  <c r="S88" i="97"/>
  <c r="R88" i="97"/>
  <c r="Q88" i="97"/>
  <c r="M86" i="97"/>
  <c r="L86" i="97"/>
  <c r="O85" i="97"/>
  <c r="M85" i="97"/>
  <c r="L85" i="97"/>
  <c r="O84" i="97"/>
  <c r="O83" i="97"/>
  <c r="M83" i="97"/>
  <c r="L83" i="97"/>
  <c r="O82" i="97"/>
  <c r="M82" i="97"/>
  <c r="L82" i="97"/>
  <c r="O81" i="97"/>
  <c r="X80" i="97"/>
  <c r="W80" i="97"/>
  <c r="V80" i="97"/>
  <c r="U80" i="97"/>
  <c r="T80" i="97"/>
  <c r="S80" i="97"/>
  <c r="R80" i="97"/>
  <c r="Q80" i="97"/>
  <c r="M80" i="97"/>
  <c r="L80" i="97"/>
  <c r="T78" i="97"/>
  <c r="S78" i="97"/>
  <c r="R78" i="97"/>
  <c r="Q78" i="97"/>
  <c r="O77" i="97"/>
  <c r="W76" i="97"/>
  <c r="V76" i="97"/>
  <c r="U76" i="97"/>
  <c r="T76" i="97"/>
  <c r="O76" i="97"/>
  <c r="M76" i="97"/>
  <c r="L76" i="97"/>
  <c r="K76" i="97"/>
  <c r="J76" i="97"/>
  <c r="I76" i="97"/>
  <c r="H76" i="97"/>
  <c r="G76" i="97"/>
  <c r="V75" i="97"/>
  <c r="U75" i="97"/>
  <c r="T75" i="97"/>
  <c r="S75" i="97"/>
  <c r="O75" i="97"/>
  <c r="M75" i="97"/>
  <c r="L75" i="97"/>
  <c r="K75" i="97"/>
  <c r="J75" i="97"/>
  <c r="I75" i="97"/>
  <c r="H75" i="97"/>
  <c r="G75" i="97"/>
  <c r="U74" i="97"/>
  <c r="T74" i="97"/>
  <c r="S74" i="97"/>
  <c r="R74" i="97"/>
  <c r="O74" i="97"/>
  <c r="U73" i="97"/>
  <c r="T73" i="97"/>
  <c r="S73" i="97"/>
  <c r="R73" i="97"/>
  <c r="Q73" i="97"/>
  <c r="O73" i="97"/>
  <c r="M73" i="97"/>
  <c r="L73" i="97"/>
  <c r="K73" i="97"/>
  <c r="J73" i="97"/>
  <c r="I73" i="97"/>
  <c r="H73" i="97"/>
  <c r="G73" i="97"/>
  <c r="X72" i="97"/>
  <c r="W72" i="97"/>
  <c r="V72" i="97"/>
  <c r="U72" i="97"/>
  <c r="T72" i="97"/>
  <c r="S72" i="97"/>
  <c r="R72" i="97"/>
  <c r="Q72" i="97"/>
  <c r="T69" i="97"/>
  <c r="S69" i="97"/>
  <c r="R69" i="97"/>
  <c r="Q69" i="97"/>
  <c r="M69" i="97"/>
  <c r="L69" i="97"/>
  <c r="J69" i="97"/>
  <c r="I69" i="97"/>
  <c r="H69" i="97"/>
  <c r="G69" i="97"/>
  <c r="F69" i="97"/>
  <c r="O68" i="97"/>
  <c r="M68" i="97"/>
  <c r="L68" i="97"/>
  <c r="K68" i="97"/>
  <c r="J68" i="97"/>
  <c r="I68" i="97"/>
  <c r="H68" i="97"/>
  <c r="G68" i="97"/>
  <c r="F68" i="97"/>
  <c r="X67" i="97"/>
  <c r="W67" i="97"/>
  <c r="V67" i="97"/>
  <c r="U67" i="97"/>
  <c r="T67" i="97"/>
  <c r="P67" i="97"/>
  <c r="O67" i="97"/>
  <c r="M67" i="97"/>
  <c r="L67" i="97"/>
  <c r="K67" i="97"/>
  <c r="J67" i="97"/>
  <c r="I67" i="97"/>
  <c r="H67" i="97"/>
  <c r="G67" i="97"/>
  <c r="F67" i="97"/>
  <c r="W66" i="97"/>
  <c r="V66" i="97"/>
  <c r="U66" i="97"/>
  <c r="T66" i="97"/>
  <c r="S66" i="97"/>
  <c r="P66" i="97"/>
  <c r="O66" i="97"/>
  <c r="M66" i="97"/>
  <c r="L66" i="97"/>
  <c r="J66" i="97"/>
  <c r="I66" i="97"/>
  <c r="H66" i="97"/>
  <c r="G66" i="97"/>
  <c r="F66" i="97"/>
  <c r="V65" i="97"/>
  <c r="U65" i="97"/>
  <c r="T65" i="97"/>
  <c r="S65" i="97"/>
  <c r="R65" i="97"/>
  <c r="P65" i="97"/>
  <c r="O65" i="97"/>
  <c r="M65" i="97"/>
  <c r="L65" i="97"/>
  <c r="K65" i="97"/>
  <c r="J65" i="97"/>
  <c r="I65" i="97"/>
  <c r="H65" i="97"/>
  <c r="G65" i="97"/>
  <c r="F65" i="97"/>
  <c r="X64" i="97"/>
  <c r="W64" i="97"/>
  <c r="V64" i="97"/>
  <c r="U64" i="97"/>
  <c r="T64" i="97"/>
  <c r="S64" i="97"/>
  <c r="R64" i="97"/>
  <c r="Q64" i="97"/>
  <c r="P64" i="97"/>
  <c r="O64" i="97"/>
  <c r="M64" i="97"/>
  <c r="L64" i="97"/>
  <c r="J64" i="97"/>
  <c r="I64" i="97"/>
  <c r="H64" i="97"/>
  <c r="G64" i="97"/>
  <c r="F64" i="97"/>
  <c r="X63" i="97"/>
  <c r="W63" i="97"/>
  <c r="V63" i="97"/>
  <c r="U63" i="97"/>
  <c r="T63" i="97"/>
  <c r="S63" i="97"/>
  <c r="R63" i="97"/>
  <c r="Q63" i="97"/>
  <c r="M63" i="97"/>
  <c r="L63" i="97"/>
  <c r="K63" i="97"/>
  <c r="J63" i="97"/>
  <c r="I63" i="97"/>
  <c r="H63" i="97"/>
  <c r="G63" i="97"/>
  <c r="F63" i="97"/>
  <c r="M62" i="97"/>
  <c r="L62" i="97"/>
  <c r="J62" i="97"/>
  <c r="I62" i="97"/>
  <c r="H62" i="97"/>
  <c r="G62" i="97"/>
  <c r="F62" i="97"/>
  <c r="D62" i="97"/>
  <c r="T59" i="97"/>
  <c r="S59" i="97"/>
  <c r="R59" i="97"/>
  <c r="Q59" i="97"/>
  <c r="O58" i="97"/>
  <c r="O57" i="97"/>
  <c r="F57" i="97"/>
  <c r="Y56" i="97"/>
  <c r="X56" i="97"/>
  <c r="W56" i="97"/>
  <c r="V56" i="97"/>
  <c r="U56" i="97"/>
  <c r="T56" i="97"/>
  <c r="O56" i="97"/>
  <c r="Y55" i="97"/>
  <c r="X55" i="97"/>
  <c r="W55" i="97"/>
  <c r="V55" i="97"/>
  <c r="U55" i="97"/>
  <c r="T55" i="97"/>
  <c r="S55" i="97"/>
  <c r="O55" i="97"/>
  <c r="Y54" i="97"/>
  <c r="X54" i="97"/>
  <c r="W54" i="97"/>
  <c r="V54" i="97"/>
  <c r="U54" i="97"/>
  <c r="T54" i="97"/>
  <c r="S54" i="97"/>
  <c r="R54" i="97"/>
  <c r="O54" i="97"/>
  <c r="M54" i="97"/>
  <c r="L54" i="97"/>
  <c r="K54" i="97"/>
  <c r="J54" i="97"/>
  <c r="I54" i="97"/>
  <c r="H54" i="97"/>
  <c r="G54" i="97"/>
  <c r="F54" i="97"/>
  <c r="Y53" i="97"/>
  <c r="X53" i="97"/>
  <c r="W53" i="97"/>
  <c r="V53" i="97"/>
  <c r="U53" i="97"/>
  <c r="T53" i="97"/>
  <c r="S53" i="97"/>
  <c r="R53" i="97"/>
  <c r="Q53" i="97"/>
  <c r="O53" i="97"/>
  <c r="M53" i="97"/>
  <c r="X52" i="97"/>
  <c r="W52" i="97"/>
  <c r="V52" i="97"/>
  <c r="U52" i="97"/>
  <c r="T52" i="97"/>
  <c r="S52" i="97"/>
  <c r="R52" i="97"/>
  <c r="Q52" i="97"/>
  <c r="L52" i="97"/>
  <c r="O49" i="97"/>
  <c r="O48" i="97"/>
  <c r="M48" i="97"/>
  <c r="L48" i="97"/>
  <c r="O47" i="97"/>
  <c r="O46" i="97"/>
  <c r="F46" i="97"/>
  <c r="O45" i="97"/>
  <c r="O44" i="97"/>
  <c r="X43" i="97"/>
  <c r="W43" i="97"/>
  <c r="V43" i="97"/>
  <c r="U43" i="97"/>
  <c r="T43" i="97"/>
  <c r="S43" i="97"/>
  <c r="R43" i="97"/>
  <c r="Q43" i="97"/>
  <c r="H42" i="97"/>
  <c r="G42" i="97"/>
  <c r="F42" i="97"/>
  <c r="W41" i="97"/>
  <c r="V41" i="97"/>
  <c r="U41" i="97"/>
  <c r="T41" i="97"/>
  <c r="S41" i="97"/>
  <c r="R41" i="97"/>
  <c r="Q41" i="97"/>
  <c r="F41" i="97"/>
  <c r="W40" i="97"/>
  <c r="V40" i="97"/>
  <c r="U40" i="97"/>
  <c r="T40" i="97"/>
  <c r="S40" i="97"/>
  <c r="R40" i="97"/>
  <c r="Q40" i="97"/>
  <c r="H40" i="97"/>
  <c r="G40" i="97"/>
  <c r="F40" i="97"/>
  <c r="L39" i="97"/>
  <c r="K39" i="97"/>
  <c r="J39" i="97"/>
  <c r="H39" i="97"/>
  <c r="G39" i="97"/>
  <c r="F39" i="97"/>
  <c r="D39" i="97"/>
  <c r="X38" i="97"/>
  <c r="W38" i="97"/>
  <c r="V38" i="97"/>
  <c r="U38" i="97"/>
  <c r="T38" i="97"/>
  <c r="S38" i="97"/>
  <c r="R38" i="97"/>
  <c r="Q38" i="97"/>
  <c r="X36" i="97"/>
  <c r="Q36" i="97"/>
  <c r="Y35" i="97"/>
  <c r="W35" i="97"/>
  <c r="V35" i="97"/>
  <c r="U35" i="97"/>
  <c r="T35" i="97"/>
  <c r="S35" i="97"/>
  <c r="R35" i="97"/>
  <c r="Q35" i="97"/>
  <c r="O35" i="97"/>
  <c r="M35" i="97"/>
  <c r="L35" i="97"/>
  <c r="H35" i="97"/>
  <c r="G35" i="97"/>
  <c r="F35" i="97"/>
  <c r="Y34" i="97"/>
  <c r="W34" i="97"/>
  <c r="V34" i="97"/>
  <c r="U34" i="97"/>
  <c r="T34" i="97"/>
  <c r="S34" i="97"/>
  <c r="R34" i="97"/>
  <c r="Q34" i="97"/>
  <c r="O34" i="97"/>
  <c r="F34" i="97"/>
  <c r="Q33" i="97"/>
  <c r="O33" i="97"/>
  <c r="H33" i="97"/>
  <c r="G33" i="97"/>
  <c r="F33" i="97"/>
  <c r="X32" i="97"/>
  <c r="W32" i="97"/>
  <c r="V32" i="97"/>
  <c r="U32" i="97"/>
  <c r="T32" i="97"/>
  <c r="S32" i="97"/>
  <c r="R32" i="97"/>
  <c r="Q32" i="97"/>
  <c r="L32" i="97"/>
  <c r="K32" i="97"/>
  <c r="J32" i="97"/>
  <c r="H32" i="97"/>
  <c r="G32" i="97"/>
  <c r="F32" i="97"/>
  <c r="T30" i="97"/>
  <c r="S30" i="97"/>
  <c r="R30" i="97"/>
  <c r="Q30" i="97"/>
  <c r="B30" i="97"/>
  <c r="O29" i="97"/>
  <c r="O28" i="97"/>
  <c r="B28" i="97"/>
  <c r="Y27" i="97"/>
  <c r="X27" i="97"/>
  <c r="W27" i="97"/>
  <c r="V27" i="97"/>
  <c r="U27" i="97"/>
  <c r="T27" i="97"/>
  <c r="O27" i="97"/>
  <c r="M27" i="97"/>
  <c r="L27" i="97"/>
  <c r="K27" i="97"/>
  <c r="J27" i="97"/>
  <c r="I27" i="97"/>
  <c r="H27" i="97"/>
  <c r="G27" i="97"/>
  <c r="F27" i="97"/>
  <c r="Y26" i="97"/>
  <c r="X26" i="97"/>
  <c r="W26" i="97"/>
  <c r="V26" i="97"/>
  <c r="U26" i="97"/>
  <c r="T26" i="97"/>
  <c r="S26" i="97"/>
  <c r="O26" i="97"/>
  <c r="M26" i="97"/>
  <c r="L26" i="97"/>
  <c r="K26" i="97"/>
  <c r="J26" i="97"/>
  <c r="I26" i="97"/>
  <c r="H26" i="97"/>
  <c r="G26" i="97"/>
  <c r="F26" i="97"/>
  <c r="Y25" i="97"/>
  <c r="W25" i="97"/>
  <c r="V25" i="97"/>
  <c r="U25" i="97"/>
  <c r="T25" i="97"/>
  <c r="S25" i="97"/>
  <c r="R25" i="97"/>
  <c r="O25" i="97"/>
  <c r="D25" i="97"/>
  <c r="Y24" i="97"/>
  <c r="W24" i="97"/>
  <c r="V24" i="97"/>
  <c r="U24" i="97"/>
  <c r="T24" i="97"/>
  <c r="S24" i="97"/>
  <c r="R24" i="97"/>
  <c r="Q24" i="97"/>
  <c r="O24" i="97"/>
  <c r="D24" i="97"/>
  <c r="X23" i="97"/>
  <c r="W23" i="97"/>
  <c r="V23" i="97"/>
  <c r="U23" i="97"/>
  <c r="T23" i="97"/>
  <c r="S23" i="97"/>
  <c r="R23" i="97"/>
  <c r="Q23" i="97"/>
  <c r="B22" i="97"/>
  <c r="Y21" i="97"/>
  <c r="O21" i="97"/>
  <c r="Y20" i="97"/>
  <c r="O20" i="97"/>
  <c r="M20" i="97"/>
  <c r="L20" i="97"/>
  <c r="A20" i="97"/>
  <c r="Y19" i="97"/>
  <c r="P19" i="97"/>
  <c r="O19" i="97"/>
  <c r="Y18" i="97"/>
  <c r="S18" i="97"/>
  <c r="P18" i="97"/>
  <c r="O18" i="97"/>
  <c r="Y17" i="97"/>
  <c r="W17" i="97"/>
  <c r="R17" i="97"/>
  <c r="P17" i="97"/>
  <c r="O17" i="97"/>
  <c r="Y16" i="97"/>
  <c r="V16" i="97"/>
  <c r="U16" i="97"/>
  <c r="T16" i="97"/>
  <c r="R16" i="97"/>
  <c r="Q16" i="97"/>
  <c r="P16" i="97"/>
  <c r="O16" i="97"/>
  <c r="X15" i="97"/>
  <c r="W15" i="97"/>
  <c r="V15" i="97"/>
  <c r="U15" i="97"/>
  <c r="T15" i="97"/>
  <c r="S15" i="97"/>
  <c r="R15" i="97"/>
  <c r="Q15" i="97"/>
  <c r="B14" i="97"/>
  <c r="I13" i="97"/>
  <c r="H13" i="97"/>
  <c r="G13" i="97"/>
  <c r="F13" i="97"/>
  <c r="O12" i="97"/>
  <c r="O11" i="97"/>
  <c r="L11" i="97"/>
  <c r="J11" i="97"/>
  <c r="I11" i="97"/>
  <c r="H11" i="97"/>
  <c r="G11" i="97"/>
  <c r="F11" i="97"/>
  <c r="B11" i="97"/>
  <c r="O10" i="97"/>
  <c r="F10" i="97"/>
  <c r="O9" i="97"/>
  <c r="O8" i="97"/>
  <c r="O7" i="97"/>
  <c r="B7" i="97"/>
  <c r="X6" i="97"/>
  <c r="W6" i="97"/>
  <c r="V6" i="97"/>
  <c r="U6" i="97"/>
  <c r="T6" i="97"/>
  <c r="S6" i="97"/>
  <c r="R6" i="97"/>
  <c r="Q6" i="97"/>
  <c r="M6" i="97"/>
  <c r="M5" i="97"/>
  <c r="B5" i="97"/>
  <c r="M3" i="97"/>
  <c r="L3" i="97"/>
  <c r="K3" i="97"/>
  <c r="J3" i="97"/>
  <c r="I3" i="97"/>
  <c r="H3" i="97"/>
  <c r="G3" i="97"/>
  <c r="F3" i="97"/>
  <c r="B2" i="97"/>
  <c r="H82" i="32"/>
  <c r="F82" i="32"/>
  <c r="H81" i="32"/>
  <c r="F81" i="32"/>
  <c r="H80" i="32"/>
  <c r="F80" i="32"/>
  <c r="H79" i="32"/>
  <c r="F79" i="32"/>
  <c r="I75" i="32"/>
  <c r="H75" i="32"/>
  <c r="G75" i="32"/>
  <c r="F75" i="32"/>
  <c r="I74" i="32"/>
  <c r="H74" i="32"/>
  <c r="G74" i="32"/>
  <c r="F74" i="32"/>
  <c r="L73" i="32"/>
  <c r="K73" i="32"/>
  <c r="J73" i="32"/>
  <c r="I73" i="32"/>
  <c r="H73" i="32"/>
  <c r="G73" i="32"/>
  <c r="F73" i="32"/>
  <c r="P70" i="32"/>
  <c r="O70" i="32"/>
  <c r="N70" i="32"/>
  <c r="M70" i="32"/>
  <c r="P68" i="32"/>
  <c r="O68" i="32"/>
  <c r="N68" i="32"/>
  <c r="M68" i="32"/>
  <c r="P66" i="32"/>
  <c r="O66" i="32"/>
  <c r="N66" i="32"/>
  <c r="M66" i="32"/>
  <c r="P64" i="32"/>
  <c r="O64" i="32"/>
  <c r="N64" i="32"/>
  <c r="M64" i="32"/>
  <c r="P62" i="32"/>
  <c r="O62" i="32"/>
  <c r="N62" i="32"/>
  <c r="M62" i="32"/>
  <c r="P61" i="32"/>
  <c r="O61" i="32"/>
  <c r="N61" i="32"/>
  <c r="M61" i="32"/>
  <c r="P60" i="32"/>
  <c r="O60" i="32"/>
  <c r="N60" i="32"/>
  <c r="M60" i="32"/>
  <c r="I60" i="32"/>
  <c r="H60" i="32"/>
  <c r="G60" i="32"/>
  <c r="F60" i="32"/>
  <c r="E60" i="32"/>
  <c r="P59" i="32"/>
  <c r="O59" i="32"/>
  <c r="N59" i="32"/>
  <c r="M59" i="32"/>
  <c r="P58" i="32"/>
  <c r="O58" i="32"/>
  <c r="N58" i="32"/>
  <c r="M58" i="32"/>
  <c r="P56" i="32"/>
  <c r="O56" i="32"/>
  <c r="N56" i="32"/>
  <c r="M56" i="32"/>
  <c r="P53" i="32"/>
  <c r="O53" i="32"/>
  <c r="N53" i="32"/>
  <c r="M53" i="32"/>
  <c r="I53" i="32"/>
  <c r="H53" i="32"/>
  <c r="G53" i="32"/>
  <c r="F53" i="32"/>
  <c r="H51" i="32"/>
  <c r="G51" i="32"/>
  <c r="F51" i="32"/>
  <c r="H49" i="32"/>
  <c r="G49" i="32"/>
  <c r="F49" i="32"/>
  <c r="H48" i="32"/>
  <c r="G48" i="32"/>
  <c r="F48" i="32"/>
  <c r="I46" i="32"/>
  <c r="H46" i="32"/>
  <c r="G46" i="32"/>
  <c r="F46" i="32"/>
  <c r="L45" i="32"/>
  <c r="K45" i="32"/>
  <c r="J45" i="32"/>
  <c r="I45" i="32"/>
  <c r="I38" i="32" s="1"/>
  <c r="I32" i="97" s="1"/>
  <c r="I39" i="97" s="1"/>
  <c r="H45" i="32"/>
  <c r="G45" i="32"/>
  <c r="F45" i="32"/>
  <c r="I43" i="32"/>
  <c r="H43" i="32"/>
  <c r="G43" i="32"/>
  <c r="F43" i="32"/>
  <c r="H41" i="32"/>
  <c r="G41" i="32"/>
  <c r="F41" i="32"/>
  <c r="M40" i="32"/>
  <c r="M48" i="32" s="1"/>
  <c r="M49" i="32" s="1"/>
  <c r="L40" i="32"/>
  <c r="L48" i="32" s="1"/>
  <c r="L49" i="32" s="1"/>
  <c r="H40" i="32"/>
  <c r="G40" i="32"/>
  <c r="F40" i="32"/>
  <c r="P39" i="32"/>
  <c r="O39" i="32"/>
  <c r="N39" i="32"/>
  <c r="M39" i="32"/>
  <c r="L39" i="32"/>
  <c r="K39" i="32"/>
  <c r="J39" i="32"/>
  <c r="I39" i="32"/>
  <c r="H39" i="32"/>
  <c r="G39" i="32"/>
  <c r="F39" i="32"/>
  <c r="D39" i="32"/>
  <c r="L38" i="32"/>
  <c r="K38" i="32"/>
  <c r="J38" i="32"/>
  <c r="H38" i="32"/>
  <c r="G38" i="32"/>
  <c r="F38" i="32"/>
  <c r="I37" i="32"/>
  <c r="H37" i="32"/>
  <c r="G37" i="32"/>
  <c r="F37" i="32"/>
  <c r="P34" i="32"/>
  <c r="O34" i="32"/>
  <c r="N34" i="32"/>
  <c r="M34" i="32"/>
  <c r="L34" i="32"/>
  <c r="K34" i="32"/>
  <c r="J34" i="32"/>
  <c r="I34" i="32"/>
  <c r="H34" i="32"/>
  <c r="G34" i="32"/>
  <c r="F34" i="32"/>
  <c r="P32" i="32"/>
  <c r="O32" i="32"/>
  <c r="N32" i="32"/>
  <c r="M32" i="32"/>
  <c r="L32" i="32"/>
  <c r="K32" i="32"/>
  <c r="J32" i="32"/>
  <c r="I32" i="32"/>
  <c r="H32" i="32"/>
  <c r="G32" i="32"/>
  <c r="F32" i="32"/>
  <c r="L31" i="32"/>
  <c r="K31" i="32"/>
  <c r="J31" i="32"/>
  <c r="I31" i="32"/>
  <c r="H31" i="32"/>
  <c r="G31" i="32"/>
  <c r="F31" i="32"/>
  <c r="P29" i="32"/>
  <c r="O29" i="32"/>
  <c r="N29" i="32"/>
  <c r="M29" i="32"/>
  <c r="L29" i="32"/>
  <c r="K29" i="32"/>
  <c r="J29" i="32"/>
  <c r="I29" i="32"/>
  <c r="H29" i="32"/>
  <c r="G29" i="32"/>
  <c r="F29" i="32"/>
  <c r="P28" i="32"/>
  <c r="O28" i="32"/>
  <c r="N28" i="32"/>
  <c r="M28" i="32"/>
  <c r="L28" i="32"/>
  <c r="K28" i="32"/>
  <c r="J28" i="32"/>
  <c r="I28" i="32"/>
  <c r="H28" i="32"/>
  <c r="G28" i="32"/>
  <c r="P27" i="32"/>
  <c r="O27" i="32"/>
  <c r="N27" i="32"/>
  <c r="M27" i="32"/>
  <c r="L27" i="32"/>
  <c r="K27" i="32"/>
  <c r="J27" i="32"/>
  <c r="I27" i="32"/>
  <c r="H27" i="32"/>
  <c r="G27" i="32"/>
  <c r="F27" i="32"/>
  <c r="D27" i="32"/>
  <c r="P26" i="32"/>
  <c r="O26" i="32"/>
  <c r="N26" i="32"/>
  <c r="M26" i="32"/>
  <c r="L26" i="32"/>
  <c r="K26" i="32"/>
  <c r="J26" i="32"/>
  <c r="I26" i="32"/>
  <c r="H26" i="32"/>
  <c r="G26" i="32"/>
  <c r="P25" i="32"/>
  <c r="O25" i="32"/>
  <c r="N25" i="32"/>
  <c r="M25" i="32"/>
  <c r="L25" i="32"/>
  <c r="K25" i="32"/>
  <c r="J25" i="32"/>
  <c r="I25" i="32"/>
  <c r="H25" i="32"/>
  <c r="G25" i="32"/>
  <c r="P22" i="32"/>
  <c r="O22" i="32"/>
  <c r="N22" i="32"/>
  <c r="M22" i="32"/>
  <c r="L22" i="32"/>
  <c r="K22" i="32"/>
  <c r="J22" i="32"/>
  <c r="I22" i="32"/>
  <c r="H22" i="32"/>
  <c r="G22" i="32"/>
  <c r="F22" i="32"/>
  <c r="P21" i="32"/>
  <c r="O21" i="32"/>
  <c r="N21" i="32"/>
  <c r="M21" i="32"/>
  <c r="L21" i="32"/>
  <c r="K21" i="32"/>
  <c r="J21" i="32"/>
  <c r="I21" i="32"/>
  <c r="H21" i="32"/>
  <c r="G21" i="32"/>
  <c r="P20" i="32"/>
  <c r="O20" i="32"/>
  <c r="N20" i="32"/>
  <c r="M20" i="32"/>
  <c r="L20" i="32"/>
  <c r="K20" i="32"/>
  <c r="J20" i="32"/>
  <c r="I20" i="32"/>
  <c r="H20" i="32"/>
  <c r="G20" i="32"/>
  <c r="F20" i="32"/>
  <c r="D20" i="32"/>
  <c r="P19" i="32"/>
  <c r="O19" i="32"/>
  <c r="N19" i="32"/>
  <c r="M19" i="32"/>
  <c r="L19" i="32"/>
  <c r="K19" i="32"/>
  <c r="J19" i="32"/>
  <c r="I19" i="32"/>
  <c r="H19" i="32"/>
  <c r="G19" i="32"/>
  <c r="P18" i="32"/>
  <c r="O18" i="32"/>
  <c r="N18" i="32"/>
  <c r="M18" i="32"/>
  <c r="L18" i="32"/>
  <c r="K18" i="32"/>
  <c r="J18" i="32"/>
  <c r="I18" i="32"/>
  <c r="H18" i="32"/>
  <c r="G18" i="32"/>
  <c r="F17" i="32"/>
  <c r="D17" i="32"/>
  <c r="B15" i="32"/>
  <c r="P13" i="32"/>
  <c r="O13" i="32"/>
  <c r="N13" i="32"/>
  <c r="M13" i="32"/>
  <c r="B13" i="32"/>
  <c r="P12" i="32"/>
  <c r="O12" i="32"/>
  <c r="N12" i="32"/>
  <c r="M12" i="32"/>
  <c r="P11" i="32"/>
  <c r="O11" i="32"/>
  <c r="N11" i="32"/>
  <c r="M11" i="32"/>
  <c r="B11" i="32"/>
  <c r="P9" i="32"/>
  <c r="O9" i="32"/>
  <c r="N9" i="32"/>
  <c r="M9" i="32"/>
  <c r="L9" i="32"/>
  <c r="K9" i="32"/>
  <c r="U10" i="98" s="1"/>
  <c r="H9" i="32"/>
  <c r="G9" i="32"/>
  <c r="F9" i="32"/>
  <c r="P8" i="32"/>
  <c r="P40" i="32" s="1"/>
  <c r="P48" i="32" s="1"/>
  <c r="P49" i="32" s="1"/>
  <c r="O8" i="32"/>
  <c r="O40" i="32" s="1"/>
  <c r="O48" i="32" s="1"/>
  <c r="O49" i="32" s="1"/>
  <c r="N8" i="32"/>
  <c r="N40" i="32" s="1"/>
  <c r="N48" i="32" s="1"/>
  <c r="N49" i="32" s="1"/>
  <c r="M8" i="32"/>
  <c r="M33" i="97" s="1"/>
  <c r="M40" i="97" s="1"/>
  <c r="L8" i="32"/>
  <c r="J97" i="96" s="1"/>
  <c r="J99" i="96" s="1"/>
  <c r="K8" i="32"/>
  <c r="I97" i="96" s="1"/>
  <c r="I8" i="32"/>
  <c r="H8" i="32"/>
  <c r="G8" i="32"/>
  <c r="F8" i="32"/>
  <c r="B8" i="32"/>
  <c r="L7" i="32"/>
  <c r="K7" i="32"/>
  <c r="J7" i="32"/>
  <c r="I7" i="32"/>
  <c r="H7" i="32"/>
  <c r="G7" i="32"/>
  <c r="F7" i="32"/>
  <c r="P5" i="32"/>
  <c r="O5" i="32"/>
  <c r="N5" i="32"/>
  <c r="M5" i="32"/>
  <c r="L5" i="32"/>
  <c r="K5" i="32"/>
  <c r="I5" i="32"/>
  <c r="H5" i="32"/>
  <c r="G5" i="32"/>
  <c r="F5" i="32"/>
  <c r="P4" i="32"/>
  <c r="O4" i="32"/>
  <c r="N4" i="32"/>
  <c r="M4" i="32"/>
  <c r="L4" i="32"/>
  <c r="K4" i="32"/>
  <c r="J4" i="32"/>
  <c r="I4" i="32"/>
  <c r="H4" i="32"/>
  <c r="G4" i="32"/>
  <c r="F4" i="32"/>
  <c r="U107" i="114"/>
  <c r="K22" i="114" s="1"/>
  <c r="S107" i="114"/>
  <c r="R107" i="114"/>
  <c r="Q107" i="114"/>
  <c r="U106" i="114"/>
  <c r="T106" i="114"/>
  <c r="S106" i="114"/>
  <c r="R106" i="114"/>
  <c r="Q106" i="114"/>
  <c r="O106" i="114"/>
  <c r="U105" i="114"/>
  <c r="T105" i="114"/>
  <c r="S105" i="114"/>
  <c r="R105" i="114"/>
  <c r="Q105" i="114"/>
  <c r="O105" i="114"/>
  <c r="U104" i="114"/>
  <c r="T104" i="114"/>
  <c r="S104" i="114"/>
  <c r="R104" i="114"/>
  <c r="Q104" i="114"/>
  <c r="O104" i="114"/>
  <c r="U103" i="114"/>
  <c r="T103" i="114"/>
  <c r="S103" i="114"/>
  <c r="R103" i="114"/>
  <c r="Q103" i="114"/>
  <c r="O103" i="114"/>
  <c r="U102" i="114"/>
  <c r="T102" i="114"/>
  <c r="S102" i="114"/>
  <c r="R102" i="114"/>
  <c r="Q102" i="114"/>
  <c r="O102" i="114"/>
  <c r="U101" i="114"/>
  <c r="T101" i="114"/>
  <c r="T107" i="114" s="1"/>
  <c r="J22" i="114" s="1"/>
  <c r="S101" i="114"/>
  <c r="R101" i="114"/>
  <c r="Q101" i="114"/>
  <c r="O101" i="114"/>
  <c r="S98" i="114"/>
  <c r="R98" i="114"/>
  <c r="Q98" i="114"/>
  <c r="M97" i="114"/>
  <c r="L97" i="114"/>
  <c r="K97" i="114"/>
  <c r="J97" i="114"/>
  <c r="I97" i="114"/>
  <c r="H97" i="114"/>
  <c r="G97" i="114"/>
  <c r="O96" i="114"/>
  <c r="M96" i="114"/>
  <c r="L96" i="114"/>
  <c r="K96" i="114"/>
  <c r="J96" i="114"/>
  <c r="I96" i="114"/>
  <c r="H96" i="114"/>
  <c r="G96" i="114"/>
  <c r="O95" i="114"/>
  <c r="S94" i="114"/>
  <c r="O94" i="114"/>
  <c r="M94" i="114"/>
  <c r="L94" i="114"/>
  <c r="K94" i="114"/>
  <c r="J94" i="114"/>
  <c r="I94" i="114"/>
  <c r="H94" i="114"/>
  <c r="G94" i="114"/>
  <c r="S93" i="114"/>
  <c r="R93" i="114"/>
  <c r="O93" i="114"/>
  <c r="M93" i="114"/>
  <c r="L93" i="114"/>
  <c r="K93" i="114"/>
  <c r="J93" i="114"/>
  <c r="I93" i="114"/>
  <c r="H93" i="114"/>
  <c r="S92" i="114"/>
  <c r="R92" i="114"/>
  <c r="Q92" i="114"/>
  <c r="O92" i="114"/>
  <c r="S90" i="114"/>
  <c r="R90" i="114"/>
  <c r="Q90" i="114"/>
  <c r="E90" i="114"/>
  <c r="M89" i="114"/>
  <c r="L89" i="114"/>
  <c r="K89" i="114"/>
  <c r="E89" i="114"/>
  <c r="O88" i="114"/>
  <c r="M88" i="114"/>
  <c r="L88" i="114"/>
  <c r="K88" i="114"/>
  <c r="J88" i="114"/>
  <c r="E88" i="114"/>
  <c r="O87" i="114"/>
  <c r="M87" i="114"/>
  <c r="L87" i="114"/>
  <c r="K87" i="114"/>
  <c r="J87" i="114"/>
  <c r="I87" i="114"/>
  <c r="E87" i="114"/>
  <c r="S86" i="114"/>
  <c r="O86" i="114"/>
  <c r="M86" i="114"/>
  <c r="L86" i="114"/>
  <c r="K86" i="114"/>
  <c r="J86" i="114"/>
  <c r="I86" i="114"/>
  <c r="H86" i="114"/>
  <c r="E86" i="114"/>
  <c r="S85" i="114"/>
  <c r="R85" i="114"/>
  <c r="O85" i="114"/>
  <c r="S84" i="114"/>
  <c r="R84" i="114"/>
  <c r="Q84" i="114"/>
  <c r="O84" i="114"/>
  <c r="M82" i="114"/>
  <c r="L82" i="114"/>
  <c r="K82" i="114"/>
  <c r="E82" i="114"/>
  <c r="S81" i="114"/>
  <c r="R81" i="114"/>
  <c r="Q81" i="114"/>
  <c r="M81" i="114"/>
  <c r="L81" i="114"/>
  <c r="K81" i="114"/>
  <c r="J81" i="114"/>
  <c r="E81" i="114"/>
  <c r="M80" i="114"/>
  <c r="L80" i="114"/>
  <c r="K80" i="114"/>
  <c r="J80" i="114"/>
  <c r="I80" i="114"/>
  <c r="E80" i="114"/>
  <c r="O79" i="114"/>
  <c r="M79" i="114"/>
  <c r="L79" i="114"/>
  <c r="K79" i="114"/>
  <c r="J79" i="114"/>
  <c r="I79" i="114"/>
  <c r="H79" i="114"/>
  <c r="E79" i="114"/>
  <c r="O78" i="114"/>
  <c r="M78" i="114"/>
  <c r="L78" i="114"/>
  <c r="K78" i="114"/>
  <c r="J78" i="114"/>
  <c r="I78" i="114"/>
  <c r="H78" i="114"/>
  <c r="G78" i="114"/>
  <c r="E78" i="114"/>
  <c r="S77" i="114"/>
  <c r="O77" i="114"/>
  <c r="S76" i="114"/>
  <c r="R76" i="114"/>
  <c r="O76" i="114"/>
  <c r="S75" i="114"/>
  <c r="R75" i="114"/>
  <c r="Q75" i="114"/>
  <c r="O75" i="114"/>
  <c r="E74" i="114"/>
  <c r="T73" i="114"/>
  <c r="S73" i="114"/>
  <c r="R73" i="114"/>
  <c r="Q73" i="114"/>
  <c r="M73" i="114"/>
  <c r="L73" i="114"/>
  <c r="K73" i="114"/>
  <c r="E73" i="114"/>
  <c r="M72" i="114"/>
  <c r="L72" i="114"/>
  <c r="K72" i="114"/>
  <c r="J72" i="114"/>
  <c r="E72" i="114"/>
  <c r="O71" i="114"/>
  <c r="M71" i="114"/>
  <c r="L71" i="114"/>
  <c r="K71" i="114"/>
  <c r="J71" i="114"/>
  <c r="I71" i="114"/>
  <c r="E71" i="114"/>
  <c r="T70" i="114"/>
  <c r="O70" i="114"/>
  <c r="M70" i="114"/>
  <c r="L70" i="114"/>
  <c r="K70" i="114"/>
  <c r="J70" i="114"/>
  <c r="I70" i="114"/>
  <c r="H70" i="114"/>
  <c r="E70" i="114"/>
  <c r="T69" i="114"/>
  <c r="S69" i="114"/>
  <c r="O69" i="114"/>
  <c r="T68" i="114"/>
  <c r="S68" i="114"/>
  <c r="R68" i="114"/>
  <c r="O68" i="114"/>
  <c r="T67" i="114"/>
  <c r="S67" i="114"/>
  <c r="R67" i="114"/>
  <c r="Q67" i="114"/>
  <c r="O67" i="114"/>
  <c r="E66" i="114"/>
  <c r="E65" i="114"/>
  <c r="S64" i="114"/>
  <c r="R64" i="114"/>
  <c r="Q64" i="114"/>
  <c r="E64" i="114"/>
  <c r="E63" i="114"/>
  <c r="O62" i="114"/>
  <c r="E62" i="114"/>
  <c r="O61" i="114"/>
  <c r="M61" i="114"/>
  <c r="L61" i="114"/>
  <c r="K61" i="114"/>
  <c r="J61" i="114"/>
  <c r="I61" i="114"/>
  <c r="H61" i="114"/>
  <c r="G61" i="114"/>
  <c r="S60" i="114"/>
  <c r="O60" i="114"/>
  <c r="S59" i="114"/>
  <c r="R59" i="114"/>
  <c r="O59" i="114"/>
  <c r="M59" i="114"/>
  <c r="L59" i="114"/>
  <c r="K59" i="114"/>
  <c r="J59" i="114"/>
  <c r="I59" i="114"/>
  <c r="H59" i="114"/>
  <c r="G59" i="114"/>
  <c r="S58" i="114"/>
  <c r="R58" i="114"/>
  <c r="Q58" i="114"/>
  <c r="O58" i="114"/>
  <c r="G56" i="114"/>
  <c r="G55" i="114"/>
  <c r="O54" i="114"/>
  <c r="G54" i="114"/>
  <c r="E54" i="114"/>
  <c r="O53" i="114"/>
  <c r="I53" i="114"/>
  <c r="H53" i="114"/>
  <c r="G53" i="114"/>
  <c r="E53" i="114"/>
  <c r="O52" i="114"/>
  <c r="C52" i="114"/>
  <c r="O51" i="114"/>
  <c r="O50" i="114"/>
  <c r="I50" i="114"/>
  <c r="H50" i="114"/>
  <c r="G50" i="114"/>
  <c r="O49" i="114"/>
  <c r="G48" i="114"/>
  <c r="I47" i="114"/>
  <c r="H47" i="114"/>
  <c r="G47" i="114"/>
  <c r="S46" i="114"/>
  <c r="R46" i="114"/>
  <c r="Q46" i="114"/>
  <c r="G46" i="114"/>
  <c r="B46" i="114"/>
  <c r="O44" i="114"/>
  <c r="I44" i="114"/>
  <c r="H44" i="114"/>
  <c r="G44" i="114"/>
  <c r="B44" i="114"/>
  <c r="B45" i="114" s="1"/>
  <c r="A44" i="114"/>
  <c r="O43" i="114"/>
  <c r="I43" i="114"/>
  <c r="H43" i="114"/>
  <c r="G43" i="114"/>
  <c r="B43" i="114"/>
  <c r="S42" i="114"/>
  <c r="O42" i="114"/>
  <c r="I42" i="114"/>
  <c r="H42" i="114"/>
  <c r="G42" i="114"/>
  <c r="B42" i="114"/>
  <c r="A42" i="114"/>
  <c r="T41" i="114"/>
  <c r="T93" i="114" s="1"/>
  <c r="S41" i="114"/>
  <c r="R41" i="114"/>
  <c r="O41" i="114"/>
  <c r="B41" i="114"/>
  <c r="A41" i="114"/>
  <c r="S40" i="114"/>
  <c r="R40" i="114"/>
  <c r="Q40" i="114"/>
  <c r="O40" i="114"/>
  <c r="B40" i="114"/>
  <c r="A40" i="114"/>
  <c r="B39" i="114"/>
  <c r="A39" i="114"/>
  <c r="M38" i="114"/>
  <c r="I38" i="114"/>
  <c r="H38" i="114"/>
  <c r="G38" i="114"/>
  <c r="C38" i="114"/>
  <c r="B38" i="114"/>
  <c r="T37" i="114"/>
  <c r="S37" i="114"/>
  <c r="R37" i="114"/>
  <c r="Q37" i="114"/>
  <c r="J37" i="114"/>
  <c r="J42" i="114" s="1"/>
  <c r="J43" i="114" s="1"/>
  <c r="J44" i="114" s="1"/>
  <c r="J47" i="114" s="1"/>
  <c r="I37" i="114"/>
  <c r="H37" i="114"/>
  <c r="G37" i="114"/>
  <c r="C37" i="114"/>
  <c r="B37" i="114"/>
  <c r="M36" i="114"/>
  <c r="L36" i="114"/>
  <c r="J36" i="114"/>
  <c r="I36" i="114"/>
  <c r="H36" i="114"/>
  <c r="G36" i="114"/>
  <c r="O35" i="114"/>
  <c r="G35" i="114"/>
  <c r="T34" i="114"/>
  <c r="O34" i="114"/>
  <c r="J34" i="114"/>
  <c r="I34" i="114"/>
  <c r="H34" i="114"/>
  <c r="G34" i="114"/>
  <c r="T33" i="114"/>
  <c r="S33" i="114"/>
  <c r="O33" i="114"/>
  <c r="T32" i="114"/>
  <c r="S32" i="114"/>
  <c r="R32" i="114"/>
  <c r="O32" i="114"/>
  <c r="T31" i="114"/>
  <c r="S31" i="114"/>
  <c r="R31" i="114"/>
  <c r="Q31" i="114"/>
  <c r="O31" i="114"/>
  <c r="I31" i="114"/>
  <c r="H31" i="114"/>
  <c r="G31" i="114"/>
  <c r="I30" i="114"/>
  <c r="H30" i="114"/>
  <c r="G30" i="114"/>
  <c r="S28" i="114"/>
  <c r="R28" i="114"/>
  <c r="Q28" i="114"/>
  <c r="M28" i="114"/>
  <c r="L28" i="114"/>
  <c r="I28" i="114"/>
  <c r="H28" i="114"/>
  <c r="G28" i="114"/>
  <c r="O27" i="114"/>
  <c r="M27" i="114"/>
  <c r="L27" i="114"/>
  <c r="I27" i="114"/>
  <c r="H27" i="114"/>
  <c r="G27" i="114"/>
  <c r="O26" i="114"/>
  <c r="M26" i="114"/>
  <c r="L26" i="114"/>
  <c r="J26" i="114"/>
  <c r="I26" i="114"/>
  <c r="H26" i="114"/>
  <c r="G26" i="114"/>
  <c r="T25" i="114"/>
  <c r="T78" i="114" s="1"/>
  <c r="O25" i="114"/>
  <c r="B25" i="114"/>
  <c r="T24" i="114"/>
  <c r="T77" i="114" s="1"/>
  <c r="S24" i="114"/>
  <c r="O24" i="114"/>
  <c r="I24" i="114"/>
  <c r="H24" i="114"/>
  <c r="G24" i="114"/>
  <c r="B24" i="114"/>
  <c r="T23" i="114"/>
  <c r="T76" i="114" s="1"/>
  <c r="S23" i="114"/>
  <c r="R23" i="114"/>
  <c r="O23" i="114"/>
  <c r="B23" i="114"/>
  <c r="T22" i="114"/>
  <c r="T28" i="114" s="1"/>
  <c r="S22" i="114"/>
  <c r="R22" i="114"/>
  <c r="Q22" i="114"/>
  <c r="O22" i="114"/>
  <c r="M22" i="114"/>
  <c r="L22" i="114"/>
  <c r="I22" i="114"/>
  <c r="H22" i="114"/>
  <c r="G22" i="114"/>
  <c r="I20" i="114"/>
  <c r="H20" i="114"/>
  <c r="G20" i="114"/>
  <c r="B20" i="114"/>
  <c r="T19" i="114"/>
  <c r="S19" i="114"/>
  <c r="R19" i="114"/>
  <c r="Q19" i="114"/>
  <c r="M19" i="114"/>
  <c r="L19" i="114"/>
  <c r="I19" i="114"/>
  <c r="H19" i="114"/>
  <c r="G19" i="114"/>
  <c r="M18" i="114"/>
  <c r="L18" i="114"/>
  <c r="I18" i="114"/>
  <c r="H18" i="114"/>
  <c r="G18" i="114"/>
  <c r="O17" i="114"/>
  <c r="J17" i="114"/>
  <c r="I17" i="114"/>
  <c r="H17" i="114"/>
  <c r="G17" i="114"/>
  <c r="E17" i="114"/>
  <c r="U16" i="114"/>
  <c r="U34" i="114" s="1"/>
  <c r="T16" i="114"/>
  <c r="O16" i="114"/>
  <c r="U15" i="114"/>
  <c r="T15" i="114"/>
  <c r="S15" i="114"/>
  <c r="O15" i="114"/>
  <c r="U14" i="114"/>
  <c r="T14" i="114"/>
  <c r="S14" i="114"/>
  <c r="R14" i="114"/>
  <c r="O14" i="114"/>
  <c r="J14" i="114"/>
  <c r="I14" i="114"/>
  <c r="H14" i="114"/>
  <c r="G14" i="114"/>
  <c r="U13" i="114"/>
  <c r="T13" i="114"/>
  <c r="S13" i="114"/>
  <c r="R13" i="114"/>
  <c r="Q13" i="114"/>
  <c r="O13" i="114"/>
  <c r="M13" i="114"/>
  <c r="L13" i="114"/>
  <c r="K13" i="114"/>
  <c r="J13" i="114"/>
  <c r="I13" i="114"/>
  <c r="H13" i="114"/>
  <c r="G13" i="114"/>
  <c r="J12" i="114"/>
  <c r="I12" i="114"/>
  <c r="H12" i="114"/>
  <c r="G12" i="114"/>
  <c r="B11" i="114"/>
  <c r="B10" i="114"/>
  <c r="O9" i="114"/>
  <c r="I9" i="114"/>
  <c r="H9" i="114"/>
  <c r="G9" i="114"/>
  <c r="B9" i="114"/>
  <c r="O8" i="114"/>
  <c r="O7" i="114"/>
  <c r="M7" i="114"/>
  <c r="L7" i="114"/>
  <c r="K7" i="114"/>
  <c r="J7" i="114"/>
  <c r="L38" i="114" s="1"/>
  <c r="I7" i="114"/>
  <c r="H7" i="114"/>
  <c r="G7" i="114"/>
  <c r="O6" i="114"/>
  <c r="J6" i="114"/>
  <c r="I6" i="114"/>
  <c r="H6" i="114"/>
  <c r="G6" i="114"/>
  <c r="O5" i="114"/>
  <c r="B5" i="114"/>
  <c r="O118" i="96" s="1"/>
  <c r="M4" i="114"/>
  <c r="L4" i="114"/>
  <c r="K4" i="114"/>
  <c r="J4" i="114"/>
  <c r="I4" i="114"/>
  <c r="H4" i="114"/>
  <c r="G4" i="114"/>
  <c r="B4" i="114"/>
  <c r="U3" i="114"/>
  <c r="T3" i="114"/>
  <c r="S3" i="114"/>
  <c r="R3" i="114"/>
  <c r="Q3" i="114"/>
  <c r="L2" i="114"/>
  <c r="K2" i="114"/>
  <c r="J2" i="114"/>
  <c r="I2" i="114"/>
  <c r="H2" i="114"/>
  <c r="G2" i="114"/>
  <c r="S92" i="116"/>
  <c r="R92" i="116"/>
  <c r="Q92" i="116"/>
  <c r="P92" i="116"/>
  <c r="O92" i="116"/>
  <c r="S91" i="116"/>
  <c r="R91" i="116"/>
  <c r="Q91" i="116"/>
  <c r="P91" i="116"/>
  <c r="O91" i="116"/>
  <c r="N91" i="116"/>
  <c r="S88" i="116"/>
  <c r="R88" i="116"/>
  <c r="Q88" i="116"/>
  <c r="P88" i="116"/>
  <c r="O88" i="116"/>
  <c r="N88" i="116"/>
  <c r="M88" i="116"/>
  <c r="M86" i="116"/>
  <c r="S83" i="116"/>
  <c r="R83" i="116"/>
  <c r="Q83" i="116"/>
  <c r="P83" i="116"/>
  <c r="O83" i="116"/>
  <c r="N83" i="116"/>
  <c r="M83" i="116"/>
  <c r="L83" i="116"/>
  <c r="S82" i="116"/>
  <c r="R82" i="116"/>
  <c r="Q82" i="116"/>
  <c r="P82" i="116"/>
  <c r="O82" i="116"/>
  <c r="N82" i="116"/>
  <c r="M82" i="116"/>
  <c r="L82" i="116"/>
  <c r="S81" i="116"/>
  <c r="R81" i="116"/>
  <c r="Q81" i="116"/>
  <c r="P81" i="116"/>
  <c r="O81" i="116"/>
  <c r="N81" i="116"/>
  <c r="M81" i="116"/>
  <c r="L81" i="116"/>
  <c r="L80" i="116"/>
  <c r="S78" i="116"/>
  <c r="R78" i="116"/>
  <c r="Q78" i="116"/>
  <c r="P78" i="116"/>
  <c r="O78" i="116"/>
  <c r="N78" i="116"/>
  <c r="M78" i="116"/>
  <c r="L78" i="116"/>
  <c r="D78" i="116"/>
  <c r="D77" i="116"/>
  <c r="S76" i="116"/>
  <c r="R76" i="116"/>
  <c r="Q76" i="116"/>
  <c r="P76" i="116"/>
  <c r="O76" i="116"/>
  <c r="N76" i="116"/>
  <c r="M76" i="116"/>
  <c r="L76" i="116"/>
  <c r="S75" i="116"/>
  <c r="R75" i="116"/>
  <c r="Q75" i="116"/>
  <c r="P75" i="116"/>
  <c r="O75" i="116"/>
  <c r="N75" i="116"/>
  <c r="M75" i="116"/>
  <c r="L75" i="116"/>
  <c r="D75" i="116"/>
  <c r="S74" i="116"/>
  <c r="R74" i="116"/>
  <c r="Q74" i="116"/>
  <c r="P74" i="116"/>
  <c r="O74" i="116"/>
  <c r="N74" i="116"/>
  <c r="M74" i="116"/>
  <c r="L74" i="116"/>
  <c r="D73" i="116"/>
  <c r="S71" i="116"/>
  <c r="R71" i="116"/>
  <c r="Q71" i="116"/>
  <c r="P71" i="116"/>
  <c r="O71" i="116"/>
  <c r="N71" i="116"/>
  <c r="M71" i="116"/>
  <c r="S70" i="116"/>
  <c r="R70" i="116"/>
  <c r="Q70" i="116"/>
  <c r="P70" i="116"/>
  <c r="O70" i="116"/>
  <c r="N70" i="116"/>
  <c r="M70" i="116"/>
  <c r="D70" i="116"/>
  <c r="D69" i="116"/>
  <c r="L68" i="116"/>
  <c r="L67" i="116"/>
  <c r="J67" i="116"/>
  <c r="I67" i="116"/>
  <c r="H67" i="116"/>
  <c r="G67" i="116"/>
  <c r="F67" i="116"/>
  <c r="E67" i="116"/>
  <c r="D67" i="116"/>
  <c r="L66" i="116"/>
  <c r="J66" i="116"/>
  <c r="I66" i="116"/>
  <c r="H66" i="116"/>
  <c r="G66" i="116"/>
  <c r="F66" i="116"/>
  <c r="E66" i="116"/>
  <c r="D66" i="116"/>
  <c r="J64" i="116"/>
  <c r="I64" i="116"/>
  <c r="H64" i="116"/>
  <c r="G64" i="116"/>
  <c r="F64" i="116"/>
  <c r="E64" i="116"/>
  <c r="D64" i="116"/>
  <c r="J63" i="116"/>
  <c r="I63" i="116"/>
  <c r="H63" i="116"/>
  <c r="G63" i="116"/>
  <c r="F63" i="116"/>
  <c r="E63" i="116"/>
  <c r="J62" i="116"/>
  <c r="I62" i="116"/>
  <c r="H62" i="116"/>
  <c r="G62" i="116"/>
  <c r="F62" i="116"/>
  <c r="E62" i="116"/>
  <c r="D62" i="116"/>
  <c r="S61" i="116"/>
  <c r="R61" i="116"/>
  <c r="Q61" i="116"/>
  <c r="P61" i="116"/>
  <c r="O61" i="116"/>
  <c r="N61" i="116"/>
  <c r="M61" i="116"/>
  <c r="L61" i="116"/>
  <c r="J61" i="116"/>
  <c r="I61" i="116"/>
  <c r="H61" i="116"/>
  <c r="G61" i="116"/>
  <c r="F61" i="116"/>
  <c r="E61" i="116"/>
  <c r="D61" i="116"/>
  <c r="S60" i="116"/>
  <c r="R60" i="116"/>
  <c r="Q60" i="116"/>
  <c r="P60" i="116"/>
  <c r="O60" i="116"/>
  <c r="N60" i="116"/>
  <c r="M60" i="116"/>
  <c r="L60" i="116"/>
  <c r="S59" i="116"/>
  <c r="R59" i="116"/>
  <c r="Q59" i="116"/>
  <c r="P59" i="116"/>
  <c r="O59" i="116"/>
  <c r="N59" i="116"/>
  <c r="M59" i="116"/>
  <c r="L59" i="116"/>
  <c r="J59" i="116"/>
  <c r="I59" i="116"/>
  <c r="H59" i="116"/>
  <c r="G59" i="116"/>
  <c r="F59" i="116"/>
  <c r="E59" i="116"/>
  <c r="D59" i="116"/>
  <c r="S58" i="116"/>
  <c r="R58" i="116"/>
  <c r="Q58" i="116"/>
  <c r="P58" i="116"/>
  <c r="O58" i="116"/>
  <c r="N58" i="116"/>
  <c r="M58" i="116"/>
  <c r="L58" i="116"/>
  <c r="J58" i="116"/>
  <c r="I58" i="116"/>
  <c r="H58" i="116"/>
  <c r="G58" i="116"/>
  <c r="F58" i="116"/>
  <c r="E58" i="116"/>
  <c r="D58" i="116"/>
  <c r="S57" i="116"/>
  <c r="R57" i="116"/>
  <c r="Q57" i="116"/>
  <c r="P57" i="116"/>
  <c r="O57" i="116"/>
  <c r="N57" i="116"/>
  <c r="M57" i="116"/>
  <c r="L57" i="116"/>
  <c r="J57" i="116"/>
  <c r="I57" i="116"/>
  <c r="H57" i="116"/>
  <c r="G57" i="116"/>
  <c r="F57" i="116"/>
  <c r="E57" i="116"/>
  <c r="D57" i="116"/>
  <c r="J56" i="116"/>
  <c r="I56" i="116"/>
  <c r="H56" i="116"/>
  <c r="G56" i="116"/>
  <c r="F56" i="116"/>
  <c r="E56" i="116"/>
  <c r="D56" i="116"/>
  <c r="S54" i="116"/>
  <c r="R54" i="116"/>
  <c r="Q54" i="116"/>
  <c r="P54" i="116"/>
  <c r="O54" i="116"/>
  <c r="N54" i="116"/>
  <c r="M54" i="116"/>
  <c r="J53" i="116"/>
  <c r="I53" i="116"/>
  <c r="H53" i="116"/>
  <c r="G53" i="116"/>
  <c r="F53" i="116"/>
  <c r="E53" i="116"/>
  <c r="D53" i="116"/>
  <c r="S52" i="116"/>
  <c r="R52" i="116"/>
  <c r="Q52" i="116"/>
  <c r="P52" i="116"/>
  <c r="O52" i="116"/>
  <c r="N52" i="116"/>
  <c r="M52" i="116"/>
  <c r="L52" i="116"/>
  <c r="J52" i="116"/>
  <c r="I52" i="116"/>
  <c r="H52" i="116"/>
  <c r="G52" i="116"/>
  <c r="F52" i="116"/>
  <c r="E52" i="116"/>
  <c r="D52" i="116"/>
  <c r="B52" i="116"/>
  <c r="S51" i="116"/>
  <c r="R51" i="116"/>
  <c r="Q51" i="116"/>
  <c r="P51" i="116"/>
  <c r="O51" i="116"/>
  <c r="N51" i="116"/>
  <c r="M51" i="116"/>
  <c r="L51" i="116"/>
  <c r="J51" i="116"/>
  <c r="I51" i="116"/>
  <c r="H51" i="116"/>
  <c r="G51" i="116"/>
  <c r="F51" i="116"/>
  <c r="E51" i="116"/>
  <c r="D51" i="116"/>
  <c r="B51" i="116"/>
  <c r="S50" i="116"/>
  <c r="R50" i="116"/>
  <c r="Q50" i="116"/>
  <c r="P50" i="116"/>
  <c r="O50" i="116"/>
  <c r="N50" i="116"/>
  <c r="M50" i="116"/>
  <c r="L50" i="116"/>
  <c r="J50" i="116"/>
  <c r="I50" i="116"/>
  <c r="H50" i="116"/>
  <c r="G50" i="116"/>
  <c r="F50" i="116"/>
  <c r="E50" i="116"/>
  <c r="D50" i="116"/>
  <c r="B50" i="116"/>
  <c r="S49" i="116"/>
  <c r="R49" i="116"/>
  <c r="Q49" i="116"/>
  <c r="P49" i="116"/>
  <c r="O49" i="116"/>
  <c r="N49" i="116"/>
  <c r="M49" i="116"/>
  <c r="L49" i="116"/>
  <c r="J49" i="116"/>
  <c r="I49" i="116"/>
  <c r="H49" i="116"/>
  <c r="G49" i="116"/>
  <c r="F49" i="116"/>
  <c r="E49" i="116"/>
  <c r="D49" i="116"/>
  <c r="B49" i="116"/>
  <c r="S48" i="116"/>
  <c r="R48" i="116"/>
  <c r="Q48" i="116"/>
  <c r="P48" i="116"/>
  <c r="O48" i="116"/>
  <c r="N48" i="116"/>
  <c r="M48" i="116"/>
  <c r="L48" i="116"/>
  <c r="J48" i="116"/>
  <c r="I48" i="116"/>
  <c r="H48" i="116"/>
  <c r="G48" i="116"/>
  <c r="F48" i="116"/>
  <c r="E48" i="116"/>
  <c r="D48" i="116"/>
  <c r="B48" i="116"/>
  <c r="S45" i="116"/>
  <c r="R45" i="116"/>
  <c r="Q45" i="116"/>
  <c r="P45" i="116"/>
  <c r="O45" i="116"/>
  <c r="N45" i="116"/>
  <c r="M45" i="116"/>
  <c r="L45" i="116"/>
  <c r="J45" i="116"/>
  <c r="I45" i="116"/>
  <c r="H45" i="116"/>
  <c r="G45" i="116"/>
  <c r="F45" i="116"/>
  <c r="E45" i="116"/>
  <c r="D45" i="116"/>
  <c r="S44" i="116"/>
  <c r="R44" i="116"/>
  <c r="Q44" i="116"/>
  <c r="P44" i="116"/>
  <c r="O44" i="116"/>
  <c r="N44" i="116"/>
  <c r="M44" i="116"/>
  <c r="L44" i="116"/>
  <c r="J44" i="116"/>
  <c r="I44" i="116"/>
  <c r="H44" i="116"/>
  <c r="G44" i="116"/>
  <c r="F44" i="116"/>
  <c r="E44" i="116"/>
  <c r="D44" i="116"/>
  <c r="B44" i="116"/>
  <c r="S43" i="116"/>
  <c r="R43" i="116"/>
  <c r="Q43" i="116"/>
  <c r="P43" i="116"/>
  <c r="O43" i="116"/>
  <c r="N43" i="116"/>
  <c r="M43" i="116"/>
  <c r="L43" i="116"/>
  <c r="J43" i="116"/>
  <c r="I43" i="116"/>
  <c r="H43" i="116"/>
  <c r="G43" i="116"/>
  <c r="F43" i="116"/>
  <c r="E43" i="116"/>
  <c r="D43" i="116"/>
  <c r="B43" i="116"/>
  <c r="S42" i="116"/>
  <c r="R42" i="116"/>
  <c r="Q42" i="116"/>
  <c r="P42" i="116"/>
  <c r="O42" i="116"/>
  <c r="N42" i="116"/>
  <c r="M42" i="116"/>
  <c r="L42" i="116"/>
  <c r="J42" i="116"/>
  <c r="I42" i="116"/>
  <c r="H42" i="116"/>
  <c r="G42" i="116"/>
  <c r="F42" i="116"/>
  <c r="E42" i="116"/>
  <c r="D42" i="116"/>
  <c r="B42" i="116"/>
  <c r="S41" i="116"/>
  <c r="R41" i="116"/>
  <c r="Q41" i="116"/>
  <c r="P41" i="116"/>
  <c r="O41" i="116"/>
  <c r="N41" i="116"/>
  <c r="M41" i="116"/>
  <c r="L41" i="116"/>
  <c r="J39" i="116"/>
  <c r="I39" i="116"/>
  <c r="H39" i="116"/>
  <c r="G39" i="116"/>
  <c r="F39" i="116"/>
  <c r="E39" i="116"/>
  <c r="D39" i="116"/>
  <c r="S38" i="116"/>
  <c r="R38" i="116"/>
  <c r="Q38" i="116"/>
  <c r="P38" i="116"/>
  <c r="O38" i="116"/>
  <c r="N38" i="116"/>
  <c r="M38" i="116"/>
  <c r="L38" i="116"/>
  <c r="J38" i="116"/>
  <c r="I38" i="116"/>
  <c r="H38" i="116"/>
  <c r="G38" i="116"/>
  <c r="F38" i="116"/>
  <c r="E38" i="116"/>
  <c r="D38" i="116"/>
  <c r="B38" i="116"/>
  <c r="S37" i="116"/>
  <c r="R37" i="116"/>
  <c r="Q37" i="116"/>
  <c r="P37" i="116"/>
  <c r="O37" i="116"/>
  <c r="N37" i="116"/>
  <c r="M37" i="116"/>
  <c r="L37" i="116"/>
  <c r="J37" i="116"/>
  <c r="I37" i="116"/>
  <c r="H37" i="116"/>
  <c r="G37" i="116"/>
  <c r="F37" i="116"/>
  <c r="E37" i="116"/>
  <c r="D37" i="116"/>
  <c r="B37" i="116"/>
  <c r="S36" i="116"/>
  <c r="R36" i="116"/>
  <c r="Q36" i="116"/>
  <c r="P36" i="116"/>
  <c r="O36" i="116"/>
  <c r="N36" i="116"/>
  <c r="M36" i="116"/>
  <c r="L36" i="116"/>
  <c r="J36" i="116"/>
  <c r="I36" i="116"/>
  <c r="H36" i="116"/>
  <c r="G36" i="116"/>
  <c r="F36" i="116"/>
  <c r="E36" i="116"/>
  <c r="D36" i="116"/>
  <c r="B36" i="116"/>
  <c r="S35" i="116"/>
  <c r="R35" i="116"/>
  <c r="Q35" i="116"/>
  <c r="P35" i="116"/>
  <c r="O35" i="116"/>
  <c r="N35" i="116"/>
  <c r="M35" i="116"/>
  <c r="L35" i="116"/>
  <c r="J35" i="116"/>
  <c r="I35" i="116"/>
  <c r="H35" i="116"/>
  <c r="G35" i="116"/>
  <c r="F35" i="116"/>
  <c r="E35" i="116"/>
  <c r="D35" i="116"/>
  <c r="B35" i="116"/>
  <c r="S34" i="116"/>
  <c r="R34" i="116"/>
  <c r="Q34" i="116"/>
  <c r="P34" i="116"/>
  <c r="O34" i="116"/>
  <c r="N34" i="116"/>
  <c r="M34" i="116"/>
  <c r="L34" i="116"/>
  <c r="J34" i="116"/>
  <c r="I34" i="116"/>
  <c r="H34" i="116"/>
  <c r="G34" i="116"/>
  <c r="F34" i="116"/>
  <c r="E34" i="116"/>
  <c r="D34" i="116"/>
  <c r="B34" i="116"/>
  <c r="S33" i="116"/>
  <c r="R33" i="116"/>
  <c r="Q33" i="116"/>
  <c r="P33" i="116"/>
  <c r="O33" i="116"/>
  <c r="N33" i="116"/>
  <c r="M33" i="116"/>
  <c r="J31" i="116"/>
  <c r="I31" i="116"/>
  <c r="H31" i="116"/>
  <c r="G31" i="116"/>
  <c r="F31" i="116"/>
  <c r="E31" i="116"/>
  <c r="D31" i="116"/>
  <c r="J30" i="116"/>
  <c r="I30" i="116"/>
  <c r="H30" i="116"/>
  <c r="G30" i="116"/>
  <c r="F30" i="116"/>
  <c r="E30" i="116"/>
  <c r="D30" i="116"/>
  <c r="S29" i="116"/>
  <c r="R29" i="116"/>
  <c r="Q29" i="116"/>
  <c r="P29" i="116"/>
  <c r="O29" i="116"/>
  <c r="N29" i="116"/>
  <c r="M29" i="116"/>
  <c r="J29" i="116"/>
  <c r="I29" i="116"/>
  <c r="H29" i="116"/>
  <c r="G29" i="116"/>
  <c r="F29" i="116"/>
  <c r="E29" i="116"/>
  <c r="D29" i="116"/>
  <c r="B29" i="116"/>
  <c r="J28" i="116"/>
  <c r="I28" i="116"/>
  <c r="H28" i="116"/>
  <c r="G28" i="116"/>
  <c r="F28" i="116"/>
  <c r="E28" i="116"/>
  <c r="D28" i="116"/>
  <c r="B28" i="116"/>
  <c r="S27" i="116"/>
  <c r="R27" i="116"/>
  <c r="Q27" i="116"/>
  <c r="P27" i="116"/>
  <c r="O27" i="116"/>
  <c r="N27" i="116"/>
  <c r="M27" i="116"/>
  <c r="S26" i="116"/>
  <c r="R26" i="116"/>
  <c r="Q26" i="116"/>
  <c r="P26" i="116"/>
  <c r="O26" i="116"/>
  <c r="N26" i="116"/>
  <c r="M26" i="116"/>
  <c r="L26" i="116"/>
  <c r="S25" i="116"/>
  <c r="R25" i="116"/>
  <c r="Q25" i="116"/>
  <c r="P25" i="116"/>
  <c r="O25" i="116"/>
  <c r="N25" i="116"/>
  <c r="M25" i="116"/>
  <c r="L25" i="116"/>
  <c r="J25" i="116"/>
  <c r="I25" i="116"/>
  <c r="H25" i="116"/>
  <c r="G25" i="116"/>
  <c r="F25" i="116"/>
  <c r="E25" i="116"/>
  <c r="S24" i="116"/>
  <c r="R24" i="116"/>
  <c r="Q24" i="116"/>
  <c r="P24" i="116"/>
  <c r="O24" i="116"/>
  <c r="N24" i="116"/>
  <c r="M24" i="116"/>
  <c r="L24" i="116"/>
  <c r="J24" i="116"/>
  <c r="I24" i="116"/>
  <c r="H24" i="116"/>
  <c r="G24" i="116"/>
  <c r="F24" i="116"/>
  <c r="E24" i="116"/>
  <c r="D24" i="116"/>
  <c r="S23" i="116"/>
  <c r="R23" i="116"/>
  <c r="Q23" i="116"/>
  <c r="P23" i="116"/>
  <c r="O23" i="116"/>
  <c r="N23" i="116"/>
  <c r="M23" i="116"/>
  <c r="L23" i="116"/>
  <c r="J23" i="116"/>
  <c r="I23" i="116"/>
  <c r="H23" i="116"/>
  <c r="G23" i="116"/>
  <c r="F23" i="116"/>
  <c r="E23" i="116"/>
  <c r="D23" i="116"/>
  <c r="S22" i="116"/>
  <c r="R22" i="116"/>
  <c r="Q22" i="116"/>
  <c r="P22" i="116"/>
  <c r="O22" i="116"/>
  <c r="N22" i="116"/>
  <c r="M22" i="116"/>
  <c r="L22" i="116"/>
  <c r="J21" i="116"/>
  <c r="I21" i="116"/>
  <c r="H21" i="116"/>
  <c r="G21" i="116"/>
  <c r="F21" i="116"/>
  <c r="E21" i="116"/>
  <c r="J20" i="116"/>
  <c r="I20" i="116"/>
  <c r="H20" i="116"/>
  <c r="G20" i="116"/>
  <c r="F20" i="116"/>
  <c r="L19" i="116"/>
  <c r="J19" i="116"/>
  <c r="I19" i="116"/>
  <c r="H19" i="116"/>
  <c r="G19" i="116"/>
  <c r="F19" i="116"/>
  <c r="E19" i="116"/>
  <c r="D19" i="116"/>
  <c r="L18" i="116"/>
  <c r="L17" i="116"/>
  <c r="J17" i="116"/>
  <c r="I17" i="116"/>
  <c r="H17" i="116"/>
  <c r="G17" i="116"/>
  <c r="F17" i="116"/>
  <c r="E17" i="116"/>
  <c r="D17" i="116"/>
  <c r="L16" i="116"/>
  <c r="D16" i="116"/>
  <c r="L15" i="116"/>
  <c r="D15" i="116"/>
  <c r="B15" i="116"/>
  <c r="D14" i="116"/>
  <c r="B14" i="116"/>
  <c r="J13" i="116"/>
  <c r="I13" i="116"/>
  <c r="H13" i="116"/>
  <c r="G13" i="116"/>
  <c r="F13" i="116"/>
  <c r="E13" i="116"/>
  <c r="D13" i="116"/>
  <c r="S12" i="116"/>
  <c r="R12" i="116"/>
  <c r="Q12" i="116"/>
  <c r="P12" i="116"/>
  <c r="O12" i="116"/>
  <c r="N12" i="116"/>
  <c r="M12" i="116"/>
  <c r="I63" i="118"/>
  <c r="H63" i="118"/>
  <c r="G63" i="118"/>
  <c r="F63" i="118"/>
  <c r="E63" i="118"/>
  <c r="L55" i="118"/>
  <c r="K55" i="118"/>
  <c r="J55" i="118"/>
  <c r="I55" i="118"/>
  <c r="H55" i="118"/>
  <c r="G55" i="118"/>
  <c r="F55" i="118"/>
  <c r="L52" i="118"/>
  <c r="K52" i="118"/>
  <c r="J52" i="118"/>
  <c r="I52" i="118"/>
  <c r="H52" i="118"/>
  <c r="G52" i="118"/>
  <c r="F52" i="118"/>
  <c r="F50" i="118"/>
  <c r="F49" i="118"/>
  <c r="C49" i="118"/>
  <c r="F48" i="118"/>
  <c r="C48" i="118"/>
  <c r="F46" i="118"/>
  <c r="F45" i="118"/>
  <c r="C45" i="118"/>
  <c r="F44" i="118"/>
  <c r="F41" i="118"/>
  <c r="F40" i="118"/>
  <c r="L38" i="118"/>
  <c r="K38" i="118"/>
  <c r="J38" i="118"/>
  <c r="I38" i="118"/>
  <c r="H38" i="118"/>
  <c r="G38" i="118"/>
  <c r="F38" i="118"/>
  <c r="L37" i="118"/>
  <c r="K37" i="118"/>
  <c r="J37" i="118"/>
  <c r="I37" i="118"/>
  <c r="H37" i="118"/>
  <c r="G37" i="118"/>
  <c r="F37" i="118"/>
  <c r="L35" i="118"/>
  <c r="K35" i="118"/>
  <c r="J35" i="118"/>
  <c r="I35" i="118"/>
  <c r="H35" i="118"/>
  <c r="G35" i="118"/>
  <c r="F35" i="118"/>
  <c r="L33" i="118"/>
  <c r="K33" i="118"/>
  <c r="J33" i="118"/>
  <c r="I33" i="118"/>
  <c r="H33" i="118"/>
  <c r="G33" i="118"/>
  <c r="L32" i="118"/>
  <c r="K32" i="118"/>
  <c r="J32" i="118"/>
  <c r="I32" i="118"/>
  <c r="H32" i="118"/>
  <c r="G32" i="118"/>
  <c r="F32" i="118"/>
  <c r="L30" i="118"/>
  <c r="K30" i="118"/>
  <c r="J30" i="118"/>
  <c r="I30" i="118"/>
  <c r="H30" i="118"/>
  <c r="G30" i="118"/>
  <c r="F30" i="118"/>
  <c r="C26" i="118"/>
  <c r="F22" i="118"/>
  <c r="L19" i="118"/>
  <c r="K19" i="118"/>
  <c r="J19" i="118"/>
  <c r="I19" i="118"/>
  <c r="H19" i="118"/>
  <c r="G19" i="118"/>
  <c r="F19" i="118"/>
  <c r="L16" i="118"/>
  <c r="K16" i="118"/>
  <c r="J16" i="118"/>
  <c r="I16" i="118"/>
  <c r="H16" i="118"/>
  <c r="G16" i="118"/>
  <c r="L13" i="118"/>
  <c r="K13" i="118"/>
  <c r="J13" i="118"/>
  <c r="I13" i="118"/>
  <c r="H13" i="118"/>
  <c r="G13" i="118"/>
  <c r="F13" i="118"/>
  <c r="L12" i="118"/>
  <c r="K12" i="118"/>
  <c r="J12" i="118"/>
  <c r="I12" i="118"/>
  <c r="H12" i="118"/>
  <c r="G12" i="118"/>
  <c r="L8" i="118"/>
  <c r="K8" i="118"/>
  <c r="J8" i="118"/>
  <c r="I8" i="118"/>
  <c r="H8" i="118"/>
  <c r="G8" i="118"/>
  <c r="F8" i="118"/>
  <c r="L2" i="118"/>
  <c r="K2" i="118"/>
  <c r="J2" i="118"/>
  <c r="I2" i="118"/>
  <c r="H2" i="118"/>
  <c r="G2" i="118"/>
  <c r="I70" i="115"/>
  <c r="H70" i="115"/>
  <c r="G70" i="115"/>
  <c r="F70" i="115"/>
  <c r="E70" i="115"/>
  <c r="R66" i="115"/>
  <c r="Q66" i="115"/>
  <c r="P66" i="115"/>
  <c r="O66" i="115"/>
  <c r="R61" i="115"/>
  <c r="Q61" i="115"/>
  <c r="P61" i="115"/>
  <c r="O61" i="115"/>
  <c r="N61" i="115"/>
  <c r="R59" i="115"/>
  <c r="Q59" i="115"/>
  <c r="P59" i="115"/>
  <c r="O59" i="115"/>
  <c r="N59" i="115"/>
  <c r="I58" i="115"/>
  <c r="H58" i="115"/>
  <c r="G58" i="115"/>
  <c r="F58" i="115"/>
  <c r="E58" i="115"/>
  <c r="R57" i="115"/>
  <c r="Q57" i="115"/>
  <c r="P57" i="115"/>
  <c r="O57" i="115"/>
  <c r="N57" i="115"/>
  <c r="G56" i="115"/>
  <c r="E56" i="115"/>
  <c r="D56" i="115"/>
  <c r="R55" i="115"/>
  <c r="Q55" i="115"/>
  <c r="P55" i="115"/>
  <c r="O55" i="115"/>
  <c r="N55" i="115"/>
  <c r="R54" i="115"/>
  <c r="Q54" i="115"/>
  <c r="P54" i="115"/>
  <c r="O54" i="115"/>
  <c r="G54" i="115"/>
  <c r="E54" i="115"/>
  <c r="D54" i="115"/>
  <c r="R53" i="115"/>
  <c r="Q53" i="115"/>
  <c r="P53" i="115"/>
  <c r="O53" i="115"/>
  <c r="G53" i="115"/>
  <c r="D53" i="115"/>
  <c r="G52" i="115"/>
  <c r="E52" i="115"/>
  <c r="D52" i="115"/>
  <c r="R51" i="115"/>
  <c r="Q51" i="115"/>
  <c r="P51" i="115"/>
  <c r="O51" i="115"/>
  <c r="N51" i="115"/>
  <c r="G51" i="115"/>
  <c r="E51" i="115"/>
  <c r="D51" i="115"/>
  <c r="C51" i="115"/>
  <c r="R50" i="115"/>
  <c r="Q50" i="115"/>
  <c r="P50" i="115"/>
  <c r="O50" i="115"/>
  <c r="G50" i="115"/>
  <c r="E50" i="115"/>
  <c r="D50" i="115"/>
  <c r="R49" i="115"/>
  <c r="Q49" i="115"/>
  <c r="P49" i="115"/>
  <c r="O49" i="115"/>
  <c r="G49" i="115"/>
  <c r="E49" i="115"/>
  <c r="D49" i="115"/>
  <c r="R48" i="115"/>
  <c r="Q48" i="115"/>
  <c r="P48" i="115"/>
  <c r="O48" i="115"/>
  <c r="N48" i="115"/>
  <c r="R46" i="115"/>
  <c r="Q46" i="115"/>
  <c r="P46" i="115"/>
  <c r="O46" i="115"/>
  <c r="N46" i="115"/>
  <c r="R44" i="115"/>
  <c r="Q44" i="115"/>
  <c r="P44" i="115"/>
  <c r="O44" i="115"/>
  <c r="N44" i="115"/>
  <c r="G44" i="115"/>
  <c r="E44" i="115"/>
  <c r="D44" i="115"/>
  <c r="R43" i="115"/>
  <c r="Q43" i="115"/>
  <c r="P43" i="115"/>
  <c r="O43" i="115"/>
  <c r="G42" i="115"/>
  <c r="E42" i="115"/>
  <c r="D42" i="115"/>
  <c r="R41" i="115"/>
  <c r="Q41" i="115"/>
  <c r="P41" i="115"/>
  <c r="O41" i="115"/>
  <c r="N41" i="115"/>
  <c r="I41" i="115"/>
  <c r="H41" i="115"/>
  <c r="G41" i="115"/>
  <c r="F41" i="115"/>
  <c r="E41" i="115"/>
  <c r="D41" i="115"/>
  <c r="R40" i="115"/>
  <c r="Q40" i="115"/>
  <c r="P40" i="115"/>
  <c r="O40" i="115"/>
  <c r="G40" i="115"/>
  <c r="E40" i="115"/>
  <c r="D40" i="115"/>
  <c r="R39" i="115"/>
  <c r="Q39" i="115"/>
  <c r="P39" i="115"/>
  <c r="O39" i="115"/>
  <c r="N39" i="115"/>
  <c r="G39" i="115"/>
  <c r="E39" i="115"/>
  <c r="D39" i="115"/>
  <c r="I38" i="115"/>
  <c r="H38" i="115"/>
  <c r="G38" i="115"/>
  <c r="E38" i="115"/>
  <c r="D38" i="115"/>
  <c r="Q37" i="115"/>
  <c r="P37" i="115"/>
  <c r="O37" i="115"/>
  <c r="M37" i="115"/>
  <c r="I37" i="115"/>
  <c r="H37" i="115"/>
  <c r="G37" i="115"/>
  <c r="F37" i="115"/>
  <c r="E37" i="115"/>
  <c r="D37" i="115"/>
  <c r="Q35" i="115"/>
  <c r="P35" i="115"/>
  <c r="O35" i="115"/>
  <c r="M35" i="115"/>
  <c r="R34" i="115"/>
  <c r="Q34" i="115"/>
  <c r="P34" i="115"/>
  <c r="O34" i="115"/>
  <c r="N34" i="115"/>
  <c r="I34" i="115"/>
  <c r="H34" i="115"/>
  <c r="G34" i="115"/>
  <c r="E34" i="115"/>
  <c r="D34" i="115"/>
  <c r="R33" i="115"/>
  <c r="Q33" i="115"/>
  <c r="P33" i="115"/>
  <c r="O33" i="115"/>
  <c r="N33" i="115"/>
  <c r="I33" i="115"/>
  <c r="G33" i="115"/>
  <c r="D33" i="115"/>
  <c r="Q32" i="115"/>
  <c r="P32" i="115"/>
  <c r="O32" i="115"/>
  <c r="N32" i="115"/>
  <c r="I32" i="115"/>
  <c r="G32" i="115"/>
  <c r="F32" i="115"/>
  <c r="E32" i="115"/>
  <c r="D32" i="115"/>
  <c r="N31" i="115"/>
  <c r="I31" i="115"/>
  <c r="G31" i="115"/>
  <c r="D31" i="115"/>
  <c r="I30" i="115"/>
  <c r="G30" i="115"/>
  <c r="D30" i="115"/>
  <c r="I29" i="115"/>
  <c r="G29" i="115"/>
  <c r="D29" i="115"/>
  <c r="M28" i="115"/>
  <c r="I28" i="115"/>
  <c r="G28" i="115"/>
  <c r="D28" i="115"/>
  <c r="I27" i="115"/>
  <c r="G27" i="115"/>
  <c r="D27" i="115"/>
  <c r="I26" i="115"/>
  <c r="G26" i="115"/>
  <c r="D26" i="115"/>
  <c r="R25" i="115"/>
  <c r="Q25" i="115"/>
  <c r="P25" i="115"/>
  <c r="O25" i="115"/>
  <c r="N25" i="115"/>
  <c r="I25" i="115"/>
  <c r="G25" i="115"/>
  <c r="D25" i="115"/>
  <c r="R23" i="115"/>
  <c r="Q23" i="115"/>
  <c r="P23" i="115"/>
  <c r="O23" i="115"/>
  <c r="R22" i="115"/>
  <c r="P22" i="115"/>
  <c r="O22" i="115"/>
  <c r="R21" i="115"/>
  <c r="P21" i="115"/>
  <c r="N19" i="115"/>
  <c r="M19" i="115"/>
  <c r="N17" i="115"/>
  <c r="M17" i="115"/>
  <c r="N16" i="115"/>
  <c r="M16" i="115"/>
  <c r="M14" i="115"/>
  <c r="E14" i="115"/>
  <c r="E13" i="115"/>
  <c r="B13" i="115"/>
  <c r="R12" i="115"/>
  <c r="Q12" i="115"/>
  <c r="P12" i="115"/>
  <c r="O12" i="115"/>
  <c r="N12" i="115"/>
  <c r="D10" i="115"/>
  <c r="E9" i="115"/>
  <c r="D9" i="115"/>
  <c r="E8" i="115"/>
  <c r="D8" i="115"/>
  <c r="C8" i="115"/>
  <c r="E7" i="115"/>
  <c r="D7" i="115"/>
  <c r="C7" i="115"/>
  <c r="E6" i="115"/>
  <c r="D6" i="115"/>
  <c r="C6" i="115"/>
  <c r="O120" i="96" l="1"/>
  <c r="O6" i="96" s="1"/>
  <c r="D114" i="96"/>
  <c r="O46" i="96"/>
  <c r="P116" i="96"/>
  <c r="U31" i="114"/>
  <c r="U32" i="114"/>
  <c r="U33" i="114"/>
  <c r="J38" i="114"/>
  <c r="T40" i="114"/>
  <c r="T42" i="114"/>
  <c r="T43" i="114"/>
  <c r="T59" i="114"/>
  <c r="U70" i="114"/>
  <c r="T75" i="114"/>
  <c r="T81" i="114" s="1"/>
  <c r="J19" i="114" s="1"/>
  <c r="T85" i="114"/>
  <c r="J9" i="114"/>
  <c r="K6" i="114" s="1"/>
  <c r="K34" i="114"/>
  <c r="K38" i="114"/>
  <c r="U67" i="114"/>
  <c r="U68" i="114"/>
  <c r="U69" i="114"/>
  <c r="I33" i="97"/>
  <c r="I40" i="32"/>
  <c r="I9" i="32"/>
  <c r="G97" i="96"/>
  <c r="G99" i="96"/>
  <c r="W10" i="98"/>
  <c r="L7" i="98"/>
  <c r="L33" i="97"/>
  <c r="L40" i="97" s="1"/>
  <c r="L42" i="97" s="1"/>
  <c r="G104" i="96"/>
  <c r="X207" i="109"/>
  <c r="V10" i="98"/>
  <c r="K7" i="98"/>
  <c r="K40" i="32"/>
  <c r="K48" i="32" s="1"/>
  <c r="K49" i="32" s="1"/>
  <c r="K33" i="97"/>
  <c r="W251" i="109"/>
  <c r="K94" i="104"/>
  <c r="K120" i="104" s="1"/>
  <c r="Y207" i="109"/>
  <c r="Z251" i="109" s="1"/>
  <c r="Z55" i="84"/>
  <c r="Z74" i="84" s="1"/>
  <c r="Z89" i="84" s="1"/>
  <c r="X55" i="84"/>
  <c r="X74" i="84" s="1"/>
  <c r="X89" i="84" s="1"/>
  <c r="AB55" i="84"/>
  <c r="AB74" i="84" s="1"/>
  <c r="AB89" i="84" s="1"/>
  <c r="U53" i="84"/>
  <c r="V54" i="84"/>
  <c r="AD52" i="84"/>
  <c r="T61" i="114" l="1"/>
  <c r="T95" i="114"/>
  <c r="T87" i="114"/>
  <c r="O50" i="96"/>
  <c r="O51" i="96" s="1"/>
  <c r="O47" i="96"/>
  <c r="K12" i="114"/>
  <c r="T86" i="114"/>
  <c r="T94" i="114"/>
  <c r="T60" i="114"/>
  <c r="K8" i="114"/>
  <c r="K36" i="114" s="1"/>
  <c r="C43" i="114" s="1"/>
  <c r="C46" i="114" s="1"/>
  <c r="T58" i="114"/>
  <c r="T64" i="114" s="1"/>
  <c r="J27" i="114" s="1"/>
  <c r="J28" i="114" s="1"/>
  <c r="T46" i="114"/>
  <c r="T92" i="114"/>
  <c r="T98" i="114" s="1"/>
  <c r="J18" i="114" s="1"/>
  <c r="J20" i="114" s="1"/>
  <c r="J24" i="114" s="1"/>
  <c r="J30" i="114" s="1"/>
  <c r="T84" i="114"/>
  <c r="P118" i="96"/>
  <c r="P6" i="96" s="1"/>
  <c r="Q116" i="96"/>
  <c r="AA251" i="109"/>
  <c r="R115" i="96"/>
  <c r="S10" i="98"/>
  <c r="H7" i="98"/>
  <c r="J5" i="32"/>
  <c r="K35" i="97"/>
  <c r="K40" i="97"/>
  <c r="K42" i="97" s="1"/>
  <c r="I41" i="32"/>
  <c r="I48" i="32"/>
  <c r="I49" i="32" s="1"/>
  <c r="I51" i="32" s="1"/>
  <c r="J43" i="32" s="1"/>
  <c r="I40" i="97"/>
  <c r="I42" i="97" s="1"/>
  <c r="I35" i="97"/>
  <c r="Y251" i="109"/>
  <c r="X251" i="109"/>
  <c r="T165" i="84"/>
  <c r="T185" i="84" s="1"/>
  <c r="AI11" i="109"/>
  <c r="J69" i="110" s="1"/>
  <c r="J71" i="110" s="1"/>
  <c r="J76" i="110" s="1"/>
  <c r="Z65" i="84"/>
  <c r="X65" i="84"/>
  <c r="V167" i="84"/>
  <c r="AD54" i="110"/>
  <c r="V55" i="84"/>
  <c r="R163" i="84" s="1"/>
  <c r="W53" i="84"/>
  <c r="U54" i="84"/>
  <c r="AD54" i="84" s="1"/>
  <c r="AB65" i="84"/>
  <c r="AG9" i="109"/>
  <c r="X28" i="76"/>
  <c r="T28" i="76"/>
  <c r="W28" i="76"/>
  <c r="S28" i="76"/>
  <c r="V28" i="76"/>
  <c r="Y28" i="76"/>
  <c r="U28" i="76"/>
  <c r="J53" i="114" l="1"/>
  <c r="J31" i="114"/>
  <c r="P120" i="96"/>
  <c r="T90" i="114"/>
  <c r="K9" i="114"/>
  <c r="L6" i="114" s="1"/>
  <c r="K37" i="114"/>
  <c r="Q120" i="96"/>
  <c r="Q118" i="96"/>
  <c r="U17" i="114"/>
  <c r="K14" i="114"/>
  <c r="K17" i="114" s="1"/>
  <c r="R116" i="96"/>
  <c r="E114" i="96"/>
  <c r="P46" i="96"/>
  <c r="P50" i="96" s="1"/>
  <c r="I215" i="93"/>
  <c r="I216" i="93" s="1"/>
  <c r="I219" i="93" s="1"/>
  <c r="H20" i="93" s="1"/>
  <c r="J46" i="32"/>
  <c r="G55" i="96"/>
  <c r="J37" i="32"/>
  <c r="B7" i="107"/>
  <c r="J8" i="32"/>
  <c r="J9" i="32"/>
  <c r="S116" i="96"/>
  <c r="R120" i="96"/>
  <c r="R118" i="96"/>
  <c r="T170" i="84"/>
  <c r="T172" i="84" s="1"/>
  <c r="W45" i="76" s="1"/>
  <c r="W47" i="76" s="1"/>
  <c r="U55" i="84"/>
  <c r="AD6" i="109" s="1"/>
  <c r="Y54" i="110" s="1"/>
  <c r="V170" i="84"/>
  <c r="V187" i="84"/>
  <c r="V65" i="84"/>
  <c r="AE7" i="109"/>
  <c r="F69" i="110" s="1"/>
  <c r="V74" i="84"/>
  <c r="V89" i="84" s="1"/>
  <c r="R170" i="84"/>
  <c r="R183" i="84"/>
  <c r="T42" i="110"/>
  <c r="T30" i="110" s="1"/>
  <c r="T41" i="110"/>
  <c r="T47" i="110"/>
  <c r="T35" i="110" s="1"/>
  <c r="T43" i="110"/>
  <c r="T31" i="110" s="1"/>
  <c r="T44" i="110"/>
  <c r="T32" i="110" s="1"/>
  <c r="T203" i="84"/>
  <c r="AH42" i="109"/>
  <c r="U203" i="84"/>
  <c r="T189" i="84"/>
  <c r="T191" i="84" s="1"/>
  <c r="Y53" i="84"/>
  <c r="W55" i="84"/>
  <c r="W65" i="84" s="1"/>
  <c r="J77" i="110"/>
  <c r="J75" i="110"/>
  <c r="J74" i="110"/>
  <c r="J73" i="110"/>
  <c r="H69" i="110"/>
  <c r="AB54" i="110"/>
  <c r="X30" i="76"/>
  <c r="T30" i="76"/>
  <c r="W30" i="76"/>
  <c r="S30" i="76"/>
  <c r="V30" i="76"/>
  <c r="Y30" i="76"/>
  <c r="U30" i="76"/>
  <c r="U35" i="114" l="1"/>
  <c r="U37" i="114" s="1"/>
  <c r="K26" i="114" s="1"/>
  <c r="U71" i="114"/>
  <c r="U73" i="114" s="1"/>
  <c r="U19" i="114"/>
  <c r="L34" i="114"/>
  <c r="U25" i="114"/>
  <c r="U24" i="114"/>
  <c r="U23" i="114"/>
  <c r="K42" i="114"/>
  <c r="K43" i="114" s="1"/>
  <c r="K44" i="114" s="1"/>
  <c r="K47" i="114" s="1"/>
  <c r="U26" i="114"/>
  <c r="U79" i="114" s="1"/>
  <c r="U22" i="114"/>
  <c r="U44" i="114"/>
  <c r="L9" i="114"/>
  <c r="M6" i="114" s="1"/>
  <c r="L31" i="114"/>
  <c r="F114" i="96"/>
  <c r="Q46" i="96"/>
  <c r="Q50" i="96" s="1"/>
  <c r="Q6" i="96"/>
  <c r="B8" i="107"/>
  <c r="Y3" i="107"/>
  <c r="J53" i="32"/>
  <c r="J41" i="32"/>
  <c r="K37" i="32" s="1"/>
  <c r="T10" i="98"/>
  <c r="I7" i="98"/>
  <c r="G57" i="96"/>
  <c r="R44" i="96"/>
  <c r="G112" i="96"/>
  <c r="R46" i="96"/>
  <c r="R50" i="96" s="1"/>
  <c r="G114" i="96"/>
  <c r="R6" i="96"/>
  <c r="J40" i="32"/>
  <c r="J48" i="32" s="1"/>
  <c r="J49" i="32" s="1"/>
  <c r="J51" i="32" s="1"/>
  <c r="K43" i="32" s="1"/>
  <c r="J33" i="97"/>
  <c r="H97" i="96"/>
  <c r="H99" i="96" s="1"/>
  <c r="T171" i="84"/>
  <c r="U74" i="84"/>
  <c r="U89" i="84" s="1"/>
  <c r="U65" i="84"/>
  <c r="Q162" i="84"/>
  <c r="Q182" i="84" s="1"/>
  <c r="E69" i="110"/>
  <c r="E71" i="110" s="1"/>
  <c r="S164" i="84"/>
  <c r="S170" i="84" s="1"/>
  <c r="V189" i="84"/>
  <c r="V191" i="84" s="1"/>
  <c r="V205" i="84"/>
  <c r="AJ44" i="109"/>
  <c r="W205" i="84"/>
  <c r="AF8" i="109"/>
  <c r="G69" i="110" s="1"/>
  <c r="V172" i="84"/>
  <c r="Y45" i="76" s="1"/>
  <c r="Y47" i="76" s="1"/>
  <c r="V171" i="84"/>
  <c r="Z54" i="110"/>
  <c r="Y55" i="84"/>
  <c r="AH10" i="109" s="1"/>
  <c r="AA53" i="84"/>
  <c r="AD53" i="84" s="1"/>
  <c r="T11" i="110"/>
  <c r="T23" i="110" s="1"/>
  <c r="T6" i="110"/>
  <c r="T18" i="110" s="1"/>
  <c r="T5" i="110"/>
  <c r="J78" i="110"/>
  <c r="T7" i="110"/>
  <c r="T19" i="110" s="1"/>
  <c r="T8" i="110"/>
  <c r="T20" i="110" s="1"/>
  <c r="AA54" i="110"/>
  <c r="AI140" i="109"/>
  <c r="N153" i="104"/>
  <c r="W49" i="76"/>
  <c r="W51" i="76" s="1"/>
  <c r="K31" i="76"/>
  <c r="AI56" i="109"/>
  <c r="I83" i="110"/>
  <c r="AH56" i="109"/>
  <c r="AH46" i="109"/>
  <c r="R172" i="84"/>
  <c r="U45" i="76" s="1"/>
  <c r="U47" i="76" s="1"/>
  <c r="R171" i="84"/>
  <c r="H71" i="110"/>
  <c r="T54" i="110"/>
  <c r="T55" i="110"/>
  <c r="T56" i="110"/>
  <c r="T60" i="110"/>
  <c r="T57" i="110"/>
  <c r="R189" i="84"/>
  <c r="R191" i="84" s="1"/>
  <c r="R201" i="84"/>
  <c r="S201" i="84"/>
  <c r="AF40" i="109"/>
  <c r="W74" i="84"/>
  <c r="W89" i="84" s="1"/>
  <c r="F71" i="110"/>
  <c r="F76" i="110" s="1"/>
  <c r="AH140" i="109"/>
  <c r="M153" i="104"/>
  <c r="T29" i="110"/>
  <c r="U96" i="114" l="1"/>
  <c r="U62" i="114"/>
  <c r="U88" i="114"/>
  <c r="U77" i="114"/>
  <c r="U42" i="114"/>
  <c r="U78" i="114"/>
  <c r="U43" i="114"/>
  <c r="U76" i="114"/>
  <c r="U41" i="114"/>
  <c r="U28" i="114"/>
  <c r="U75" i="114"/>
  <c r="U40" i="114"/>
  <c r="M31" i="114"/>
  <c r="M9" i="114"/>
  <c r="L12" i="114"/>
  <c r="L14" i="114" s="1"/>
  <c r="L17" i="114" s="1"/>
  <c r="L20" i="114" s="1"/>
  <c r="L24" i="114" s="1"/>
  <c r="L30" i="114" s="1"/>
  <c r="L53" i="114" s="1"/>
  <c r="L37" i="114"/>
  <c r="J215" i="93"/>
  <c r="J216" i="93" s="1"/>
  <c r="J219" i="93" s="1"/>
  <c r="I20" i="93" s="1"/>
  <c r="K46" i="32"/>
  <c r="K51" i="32" s="1"/>
  <c r="L43" i="32" s="1"/>
  <c r="Y4" i="107"/>
  <c r="K53" i="32"/>
  <c r="K41" i="32"/>
  <c r="L37" i="32" s="1"/>
  <c r="J40" i="97"/>
  <c r="J42" i="97" s="1"/>
  <c r="J35" i="97"/>
  <c r="M31" i="104"/>
  <c r="P68" i="97"/>
  <c r="J60" i="32"/>
  <c r="P20" i="97"/>
  <c r="S45" i="96"/>
  <c r="R21" i="96"/>
  <c r="AA4" i="107"/>
  <c r="AB4" i="107" s="1"/>
  <c r="Z4" i="107"/>
  <c r="W4" i="107"/>
  <c r="W5" i="107" s="1"/>
  <c r="Q15" i="107"/>
  <c r="M15" i="107"/>
  <c r="I15" i="107"/>
  <c r="G14" i="107"/>
  <c r="G17" i="107" s="1"/>
  <c r="G7" i="107"/>
  <c r="G10" i="107" s="1"/>
  <c r="P15" i="107"/>
  <c r="H15" i="107"/>
  <c r="J14" i="107"/>
  <c r="J17" i="107" s="1"/>
  <c r="J7" i="107"/>
  <c r="J10" i="107" s="1"/>
  <c r="J15" i="107"/>
  <c r="P7" i="107"/>
  <c r="P10" i="107" s="1"/>
  <c r="H7" i="107"/>
  <c r="H10" i="107" s="1"/>
  <c r="J92" i="96"/>
  <c r="F92" i="96"/>
  <c r="G15" i="107"/>
  <c r="D90" i="96" s="1"/>
  <c r="D93" i="96" s="1"/>
  <c r="I92" i="96"/>
  <c r="E92" i="96"/>
  <c r="Q7" i="107"/>
  <c r="Q10" i="107" s="1"/>
  <c r="H92" i="96"/>
  <c r="I14" i="107"/>
  <c r="I17" i="107" s="1"/>
  <c r="G92" i="96"/>
  <c r="H14" i="107"/>
  <c r="H17" i="107" s="1"/>
  <c r="D92" i="96"/>
  <c r="I7" i="107"/>
  <c r="I10" i="107" s="1"/>
  <c r="R47" i="96"/>
  <c r="R49" i="96"/>
  <c r="B6" i="107"/>
  <c r="L15" i="107" s="1"/>
  <c r="Q170" i="84"/>
  <c r="Q172" i="84" s="1"/>
  <c r="T45" i="76" s="1"/>
  <c r="T47" i="76" s="1"/>
  <c r="T49" i="76" s="1"/>
  <c r="S184" i="84"/>
  <c r="S189" i="84" s="1"/>
  <c r="S191" i="84" s="1"/>
  <c r="Y65" i="84"/>
  <c r="K83" i="110"/>
  <c r="K85" i="110" s="1"/>
  <c r="AJ46" i="109"/>
  <c r="AJ58" i="109"/>
  <c r="M31" i="76"/>
  <c r="Y49" i="76"/>
  <c r="AJ142" i="109"/>
  <c r="O155" i="104"/>
  <c r="AC54" i="110"/>
  <c r="I69" i="110"/>
  <c r="AH214" i="109"/>
  <c r="AH258" i="109" s="1"/>
  <c r="M182" i="104"/>
  <c r="AF138" i="109"/>
  <c r="K151" i="104"/>
  <c r="S172" i="84"/>
  <c r="V45" i="76" s="1"/>
  <c r="V47" i="76" s="1"/>
  <c r="S171" i="84"/>
  <c r="I31" i="76"/>
  <c r="U49" i="76"/>
  <c r="E77" i="110"/>
  <c r="E74" i="110"/>
  <c r="E73" i="110"/>
  <c r="E75" i="110"/>
  <c r="J104" i="79"/>
  <c r="J60" i="79"/>
  <c r="N51" i="74" s="1"/>
  <c r="AI214" i="109"/>
  <c r="N182" i="104"/>
  <c r="P47" i="110"/>
  <c r="P35" i="110" s="1"/>
  <c r="P44" i="110"/>
  <c r="P32" i="110" s="1"/>
  <c r="P43" i="110"/>
  <c r="P31" i="110" s="1"/>
  <c r="P41" i="110"/>
  <c r="P42" i="110"/>
  <c r="P30" i="110" s="1"/>
  <c r="AG138" i="109"/>
  <c r="L151" i="104"/>
  <c r="I85" i="110"/>
  <c r="E76" i="110"/>
  <c r="T17" i="110"/>
  <c r="AA55" i="84"/>
  <c r="W168" i="84" s="1"/>
  <c r="X29" i="76"/>
  <c r="T29" i="76"/>
  <c r="W29" i="76"/>
  <c r="S29" i="76"/>
  <c r="V29" i="76"/>
  <c r="Y29" i="76"/>
  <c r="U29" i="76"/>
  <c r="AE39" i="109"/>
  <c r="Q200" i="84"/>
  <c r="Q189" i="84"/>
  <c r="Q191" i="84" s="1"/>
  <c r="R200" i="84"/>
  <c r="H77" i="110"/>
  <c r="H75" i="110"/>
  <c r="H74" i="110"/>
  <c r="H73" i="110"/>
  <c r="F77" i="110"/>
  <c r="F75" i="110"/>
  <c r="F74" i="110"/>
  <c r="F73" i="110"/>
  <c r="AG54" i="109"/>
  <c r="G83" i="110"/>
  <c r="AF46" i="109"/>
  <c r="AF54" i="109"/>
  <c r="H76" i="110"/>
  <c r="K40" i="76"/>
  <c r="J108" i="79"/>
  <c r="G71" i="110"/>
  <c r="G76" i="110" s="1"/>
  <c r="Y74" i="84"/>
  <c r="Y89" i="84" s="1"/>
  <c r="U166" i="84"/>
  <c r="U81" i="114" l="1"/>
  <c r="K19" i="114" s="1"/>
  <c r="K20" i="114" s="1"/>
  <c r="K24" i="114" s="1"/>
  <c r="U93" i="114"/>
  <c r="U85" i="114"/>
  <c r="U59" i="114"/>
  <c r="U61" i="114"/>
  <c r="U95" i="114"/>
  <c r="U87" i="114"/>
  <c r="L42" i="114"/>
  <c r="L43" i="114" s="1"/>
  <c r="L44" i="114" s="1"/>
  <c r="L47" i="114" s="1"/>
  <c r="M34" i="114"/>
  <c r="U58" i="114"/>
  <c r="U46" i="114"/>
  <c r="U92" i="114"/>
  <c r="U98" i="114" s="1"/>
  <c r="K18" i="114" s="1"/>
  <c r="U84" i="114"/>
  <c r="U90" i="114" s="1"/>
  <c r="U94" i="114"/>
  <c r="U60" i="114"/>
  <c r="U86" i="114"/>
  <c r="I90" i="96"/>
  <c r="I93" i="96" s="1"/>
  <c r="S18" i="96"/>
  <c r="P12" i="96"/>
  <c r="O12" i="96"/>
  <c r="T18" i="96"/>
  <c r="J90" i="96"/>
  <c r="J93" i="96" s="1"/>
  <c r="L41" i="32"/>
  <c r="L53" i="32"/>
  <c r="N15" i="107"/>
  <c r="U18" i="96" s="1"/>
  <c r="Q18" i="96"/>
  <c r="G90" i="96"/>
  <c r="G93" i="96" s="1"/>
  <c r="K14" i="107"/>
  <c r="I32" i="104"/>
  <c r="P21" i="97"/>
  <c r="K60" i="32"/>
  <c r="K70" i="32"/>
  <c r="N31" i="104"/>
  <c r="E90" i="96"/>
  <c r="E93" i="96" s="1"/>
  <c r="O18" i="96"/>
  <c r="U28" i="97"/>
  <c r="AA5" i="107"/>
  <c r="AB5" i="107" s="1"/>
  <c r="Z5" i="107"/>
  <c r="Y5" i="107" s="1"/>
  <c r="R51" i="96"/>
  <c r="J46" i="114"/>
  <c r="J48" i="114" s="1"/>
  <c r="Q12" i="96"/>
  <c r="K15" i="107"/>
  <c r="O15" i="107"/>
  <c r="P18" i="96"/>
  <c r="F90" i="96"/>
  <c r="F93" i="96" s="1"/>
  <c r="K215" i="93"/>
  <c r="K216" i="93" s="1"/>
  <c r="K219" i="93" s="1"/>
  <c r="J20" i="93" s="1"/>
  <c r="L46" i="32"/>
  <c r="L51" i="32" s="1"/>
  <c r="M43" i="32" s="1"/>
  <c r="H31" i="76"/>
  <c r="G60" i="79" s="1"/>
  <c r="T202" i="84"/>
  <c r="AH139" i="109" s="1"/>
  <c r="AG41" i="109"/>
  <c r="H83" i="110" s="1"/>
  <c r="S202" i="84"/>
  <c r="S207" i="84" s="1"/>
  <c r="S271" i="84" s="1"/>
  <c r="S280" i="84" s="1"/>
  <c r="AJ216" i="109"/>
  <c r="AJ260" i="109" s="1"/>
  <c r="O184" i="104"/>
  <c r="M40" i="76"/>
  <c r="L108" i="79"/>
  <c r="L104" i="79"/>
  <c r="L92" i="79" s="1"/>
  <c r="L60" i="79"/>
  <c r="R53" i="74" s="1"/>
  <c r="Y51" i="76"/>
  <c r="AJ12" i="109"/>
  <c r="AE54" i="110" s="1"/>
  <c r="AI258" i="109"/>
  <c r="W188" i="84"/>
  <c r="W170" i="84"/>
  <c r="U186" i="84"/>
  <c r="U170" i="84"/>
  <c r="P54" i="110"/>
  <c r="P55" i="110"/>
  <c r="P60" i="110"/>
  <c r="P57" i="110"/>
  <c r="P56" i="110"/>
  <c r="H71" i="76"/>
  <c r="K41" i="76"/>
  <c r="G85" i="110"/>
  <c r="F78" i="110"/>
  <c r="P11" i="110"/>
  <c r="P23" i="110" s="1"/>
  <c r="P6" i="110"/>
  <c r="P18" i="110" s="1"/>
  <c r="P5" i="110"/>
  <c r="P7" i="110"/>
  <c r="P19" i="110" s="1"/>
  <c r="P8" i="110"/>
  <c r="P20" i="110" s="1"/>
  <c r="AE136" i="109"/>
  <c r="J149" i="104"/>
  <c r="Q207" i="84"/>
  <c r="Q271" i="84" s="1"/>
  <c r="AJ258" i="109"/>
  <c r="G108" i="79"/>
  <c r="H40" i="76"/>
  <c r="O47" i="110"/>
  <c r="O35" i="110" s="1"/>
  <c r="O45" i="110"/>
  <c r="O33" i="110" s="1"/>
  <c r="O44" i="110"/>
  <c r="O32" i="110" s="1"/>
  <c r="O43" i="110"/>
  <c r="O31" i="110" s="1"/>
  <c r="O42" i="110"/>
  <c r="O30" i="110" s="1"/>
  <c r="O41" i="110"/>
  <c r="E78" i="110"/>
  <c r="O8" i="110"/>
  <c r="O20" i="110" s="1"/>
  <c r="O11" i="110"/>
  <c r="O23" i="110" s="1"/>
  <c r="O7" i="110"/>
  <c r="O19" i="110" s="1"/>
  <c r="O9" i="110"/>
  <c r="O21" i="110" s="1"/>
  <c r="O5" i="110"/>
  <c r="O6" i="110"/>
  <c r="O18" i="110" s="1"/>
  <c r="H108" i="79"/>
  <c r="I40" i="76"/>
  <c r="Q47" i="110"/>
  <c r="Q35" i="110" s="1"/>
  <c r="Q44" i="110"/>
  <c r="Q32" i="110" s="1"/>
  <c r="Q43" i="110"/>
  <c r="Q31" i="110" s="1"/>
  <c r="Q41" i="110"/>
  <c r="Q42" i="110"/>
  <c r="Q30" i="110" s="1"/>
  <c r="R47" i="110"/>
  <c r="R35" i="110" s="1"/>
  <c r="R44" i="110"/>
  <c r="R32" i="110" s="1"/>
  <c r="R43" i="110"/>
  <c r="R31" i="110" s="1"/>
  <c r="R42" i="110"/>
  <c r="R30" i="110" s="1"/>
  <c r="R41" i="110"/>
  <c r="G77" i="110"/>
  <c r="G74" i="110"/>
  <c r="G75" i="110"/>
  <c r="G73" i="110"/>
  <c r="R7" i="110"/>
  <c r="R19" i="110" s="1"/>
  <c r="R8" i="110"/>
  <c r="R20" i="110" s="1"/>
  <c r="R6" i="110"/>
  <c r="R18" i="110" s="1"/>
  <c r="R5" i="110"/>
  <c r="H78" i="110"/>
  <c r="R11" i="110"/>
  <c r="R23" i="110" s="1"/>
  <c r="AF137" i="109"/>
  <c r="K150" i="104"/>
  <c r="R207" i="84"/>
  <c r="R271" i="84" s="1"/>
  <c r="T51" i="76"/>
  <c r="AA74" i="84"/>
  <c r="AA89" i="84" s="1"/>
  <c r="O60" i="110"/>
  <c r="O58" i="110"/>
  <c r="O57" i="110"/>
  <c r="O56" i="110"/>
  <c r="O55" i="110"/>
  <c r="O54" i="110"/>
  <c r="H104" i="79"/>
  <c r="H60" i="79"/>
  <c r="J49" i="74" s="1"/>
  <c r="AF212" i="109"/>
  <c r="AF256" i="109" s="1"/>
  <c r="K180" i="104"/>
  <c r="I71" i="110"/>
  <c r="I76" i="110" s="1"/>
  <c r="J109" i="79"/>
  <c r="J110" i="79" s="1"/>
  <c r="J96" i="79"/>
  <c r="AG212" i="109"/>
  <c r="L180" i="104"/>
  <c r="AD55" i="84"/>
  <c r="R55" i="110"/>
  <c r="R54" i="110"/>
  <c r="R57" i="110"/>
  <c r="R60" i="110"/>
  <c r="R56" i="110"/>
  <c r="AE53" i="109"/>
  <c r="AE60" i="109" s="1"/>
  <c r="F99" i="110" s="1"/>
  <c r="AE46" i="109"/>
  <c r="AF53" i="109"/>
  <c r="AF60" i="109" s="1"/>
  <c r="G99" i="110" s="1"/>
  <c r="F83" i="110"/>
  <c r="AA65" i="84"/>
  <c r="P29" i="110"/>
  <c r="J92" i="79"/>
  <c r="U51" i="76"/>
  <c r="V49" i="76"/>
  <c r="V51" i="76" s="1"/>
  <c r="J31" i="76"/>
  <c r="G104" i="79" l="1"/>
  <c r="G106" i="79" s="1"/>
  <c r="M12" i="114"/>
  <c r="M14" i="114" s="1"/>
  <c r="M17" i="114" s="1"/>
  <c r="M20" i="114" s="1"/>
  <c r="M24" i="114" s="1"/>
  <c r="M30" i="114" s="1"/>
  <c r="M53" i="114" s="1"/>
  <c r="M37" i="114"/>
  <c r="M42" i="114" s="1"/>
  <c r="M43" i="114" s="1"/>
  <c r="M44" i="114" s="1"/>
  <c r="M47" i="114" s="1"/>
  <c r="U64" i="114"/>
  <c r="K27" i="114" s="1"/>
  <c r="K28" i="114" s="1"/>
  <c r="K30" i="114" s="1"/>
  <c r="Z6" i="107"/>
  <c r="Y6" i="107" s="1"/>
  <c r="AA6" i="107"/>
  <c r="AB6" i="107" s="1"/>
  <c r="W6" i="107"/>
  <c r="U68" i="97"/>
  <c r="U57" i="97"/>
  <c r="U30" i="97"/>
  <c r="V29" i="97"/>
  <c r="L70" i="32"/>
  <c r="O31" i="104"/>
  <c r="L60" i="32"/>
  <c r="J54" i="114"/>
  <c r="J55" i="114" s="1"/>
  <c r="J50" i="114"/>
  <c r="V28" i="97"/>
  <c r="N33" i="104"/>
  <c r="M45" i="32"/>
  <c r="M38" i="32" s="1"/>
  <c r="M46" i="32"/>
  <c r="M51" i="32" s="1"/>
  <c r="N43" i="32" s="1"/>
  <c r="H90" i="96"/>
  <c r="H93" i="96" s="1"/>
  <c r="R18" i="96"/>
  <c r="R12" i="96" s="1"/>
  <c r="J32" i="104"/>
  <c r="I33" i="104"/>
  <c r="K17" i="107"/>
  <c r="K7" i="107"/>
  <c r="K10" i="107" s="1"/>
  <c r="M152" i="104"/>
  <c r="M181" i="104" s="1"/>
  <c r="T207" i="84"/>
  <c r="T271" i="84" s="1"/>
  <c r="T273" i="84" s="1"/>
  <c r="AH55" i="109"/>
  <c r="AH60" i="109" s="1"/>
  <c r="I99" i="110" s="1"/>
  <c r="I101" i="110" s="1"/>
  <c r="AJ256" i="109"/>
  <c r="AG55" i="109"/>
  <c r="AG60" i="109" s="1"/>
  <c r="H99" i="110" s="1"/>
  <c r="H101" i="110" s="1"/>
  <c r="H106" i="110" s="1"/>
  <c r="AG139" i="109"/>
  <c r="AY5" i="112" s="1"/>
  <c r="AY7" i="112" s="1"/>
  <c r="AY15" i="112" s="1"/>
  <c r="AG46" i="109"/>
  <c r="S273" i="84"/>
  <c r="L152" i="104"/>
  <c r="L181" i="104" s="1"/>
  <c r="AG256" i="109"/>
  <c r="L96" i="79"/>
  <c r="L68" i="102" s="1"/>
  <c r="L109" i="79"/>
  <c r="L110" i="79" s="1"/>
  <c r="K69" i="110"/>
  <c r="K71" i="110" s="1"/>
  <c r="K76" i="110" s="1"/>
  <c r="J71" i="76"/>
  <c r="M41" i="76"/>
  <c r="G101" i="110"/>
  <c r="G106" i="110" s="1"/>
  <c r="AX5" i="112"/>
  <c r="AX7" i="112" s="1"/>
  <c r="G114" i="110"/>
  <c r="H70" i="79"/>
  <c r="H48" i="74"/>
  <c r="G70" i="79"/>
  <c r="F85" i="110"/>
  <c r="F91" i="110"/>
  <c r="F93" i="110" s="1"/>
  <c r="AI256" i="109"/>
  <c r="I75" i="110"/>
  <c r="I73" i="110"/>
  <c r="I77" i="110"/>
  <c r="I74" i="110"/>
  <c r="O17" i="110"/>
  <c r="E71" i="76"/>
  <c r="H41" i="76"/>
  <c r="W172" i="84"/>
  <c r="W171" i="84"/>
  <c r="F101" i="110"/>
  <c r="J68" i="102"/>
  <c r="AF211" i="109"/>
  <c r="AF255" i="109" s="1"/>
  <c r="K156" i="104"/>
  <c r="K185" i="104" s="1"/>
  <c r="K179" i="104"/>
  <c r="G78" i="110"/>
  <c r="Q6" i="110"/>
  <c r="Q18" i="110" s="1"/>
  <c r="Q5" i="110"/>
  <c r="Q7" i="110"/>
  <c r="Q19" i="110" s="1"/>
  <c r="Q11" i="110"/>
  <c r="Q23" i="110" s="1"/>
  <c r="Q8" i="110"/>
  <c r="Q20" i="110" s="1"/>
  <c r="H96" i="79"/>
  <c r="H109" i="79"/>
  <c r="H110" i="79" s="1"/>
  <c r="AW5" i="112"/>
  <c r="AW7" i="112" s="1"/>
  <c r="AJ149" i="109"/>
  <c r="AF149" i="109"/>
  <c r="AH149" i="109"/>
  <c r="AD149" i="109"/>
  <c r="AG149" i="109"/>
  <c r="AE149" i="109"/>
  <c r="AE163" i="109" s="1"/>
  <c r="AI149" i="109"/>
  <c r="F114" i="110"/>
  <c r="AI43" i="109"/>
  <c r="V204" i="84"/>
  <c r="U189" i="84"/>
  <c r="U191" i="84" s="1"/>
  <c r="U204" i="84"/>
  <c r="H85" i="110"/>
  <c r="S47" i="110"/>
  <c r="S35" i="110" s="1"/>
  <c r="S44" i="110"/>
  <c r="S32" i="110" s="1"/>
  <c r="S43" i="110"/>
  <c r="S31" i="110" s="1"/>
  <c r="S42" i="110"/>
  <c r="S30" i="110" s="1"/>
  <c r="S41" i="110"/>
  <c r="R29" i="110"/>
  <c r="Q29" i="110"/>
  <c r="G91" i="110"/>
  <c r="G93" i="110" s="1"/>
  <c r="I60" i="79"/>
  <c r="L50" i="74" s="1"/>
  <c r="I104" i="79"/>
  <c r="W34" i="76"/>
  <c r="W40" i="76" s="1"/>
  <c r="K30" i="76" s="1"/>
  <c r="S34" i="76"/>
  <c r="S40" i="76" s="1"/>
  <c r="G30" i="76" s="1"/>
  <c r="V34" i="76"/>
  <c r="V40" i="76" s="1"/>
  <c r="J30" i="76" s="1"/>
  <c r="X34" i="76"/>
  <c r="X40" i="76" s="1"/>
  <c r="L30" i="76" s="1"/>
  <c r="T34" i="76"/>
  <c r="T40" i="76" s="1"/>
  <c r="H30" i="76" s="1"/>
  <c r="Y34" i="76"/>
  <c r="Y40" i="76" s="1"/>
  <c r="M30" i="76" s="1"/>
  <c r="U34" i="76"/>
  <c r="U40" i="76" s="1"/>
  <c r="I30" i="76" s="1"/>
  <c r="AH256" i="109"/>
  <c r="S295" i="84"/>
  <c r="S297" i="84" s="1"/>
  <c r="S282" i="84"/>
  <c r="S285" i="84" s="1"/>
  <c r="H172" i="93"/>
  <c r="H174" i="93" s="1"/>
  <c r="G8" i="93" s="1"/>
  <c r="S314" i="84"/>
  <c r="S316" i="84" s="1"/>
  <c r="Q273" i="84"/>
  <c r="Q280" i="84"/>
  <c r="J40" i="76"/>
  <c r="G75" i="76" s="1"/>
  <c r="I108" i="79"/>
  <c r="H92" i="79"/>
  <c r="R273" i="84"/>
  <c r="R280" i="84"/>
  <c r="R17" i="110"/>
  <c r="Q60" i="110"/>
  <c r="Q57" i="110"/>
  <c r="Q56" i="110"/>
  <c r="Q55" i="110"/>
  <c r="Q54" i="110"/>
  <c r="F71" i="76"/>
  <c r="I41" i="76"/>
  <c r="O29" i="110"/>
  <c r="G96" i="79"/>
  <c r="AE210" i="109"/>
  <c r="AJ254" i="109" s="1"/>
  <c r="J156" i="104"/>
  <c r="J185" i="104" s="1"/>
  <c r="J178" i="104"/>
  <c r="AZ5" i="112"/>
  <c r="AZ7" i="112" s="1"/>
  <c r="I114" i="110"/>
  <c r="P17" i="110"/>
  <c r="U171" i="84"/>
  <c r="U172" i="84"/>
  <c r="X45" i="76" s="1"/>
  <c r="X47" i="76" s="1"/>
  <c r="W189" i="84"/>
  <c r="W191" i="84" s="1"/>
  <c r="W206" i="84"/>
  <c r="W207" i="84" s="1"/>
  <c r="W271" i="84" s="1"/>
  <c r="G109" i="79" l="1"/>
  <c r="G110" i="79" s="1"/>
  <c r="G92" i="79"/>
  <c r="G94" i="79" s="1"/>
  <c r="K53" i="114"/>
  <c r="K31" i="114"/>
  <c r="AA7" i="107"/>
  <c r="AB7" i="107" s="1"/>
  <c r="Z7" i="107"/>
  <c r="Y7" i="107"/>
  <c r="I38" i="104"/>
  <c r="S116" i="104"/>
  <c r="N45" i="32"/>
  <c r="N38" i="32" s="1"/>
  <c r="N46" i="32"/>
  <c r="N51" i="32" s="1"/>
  <c r="O43" i="32" s="1"/>
  <c r="V68" i="97"/>
  <c r="V57" i="97"/>
  <c r="V30" i="97"/>
  <c r="O33" i="104"/>
  <c r="O38" i="104" s="1"/>
  <c r="U77" i="97"/>
  <c r="U78" i="97" s="1"/>
  <c r="J74" i="32" s="1"/>
  <c r="J75" i="32" s="1"/>
  <c r="H33" i="96" s="1"/>
  <c r="U69" i="97"/>
  <c r="J33" i="104"/>
  <c r="J38" i="104" s="1"/>
  <c r="J45" i="104" s="1"/>
  <c r="J58" i="104" s="1"/>
  <c r="K32" i="104"/>
  <c r="M32" i="97"/>
  <c r="M39" i="97" s="1"/>
  <c r="M42" i="97" s="1"/>
  <c r="M7" i="32"/>
  <c r="M41" i="32"/>
  <c r="W7" i="107"/>
  <c r="X28" i="97"/>
  <c r="J56" i="114"/>
  <c r="C41" i="114"/>
  <c r="V58" i="97"/>
  <c r="U59" i="97"/>
  <c r="J13" i="97" s="1"/>
  <c r="AH213" i="109"/>
  <c r="S12" i="96"/>
  <c r="L14" i="107"/>
  <c r="W28" i="97"/>
  <c r="W29" i="97"/>
  <c r="M156" i="104"/>
  <c r="M185" i="104" s="1"/>
  <c r="M186" i="104" s="1"/>
  <c r="M7" i="104" s="1"/>
  <c r="T280" i="84"/>
  <c r="T314" i="84" s="1"/>
  <c r="T316" i="84" s="1"/>
  <c r="I91" i="110"/>
  <c r="I93" i="110" s="1"/>
  <c r="H91" i="110"/>
  <c r="H93" i="110" s="1"/>
  <c r="AG213" i="109"/>
  <c r="L156" i="104"/>
  <c r="L185" i="104" s="1"/>
  <c r="L186" i="104" s="1"/>
  <c r="L7" i="104" s="1"/>
  <c r="AY8" i="112"/>
  <c r="H114" i="110"/>
  <c r="H116" i="110" s="1"/>
  <c r="AG257" i="109"/>
  <c r="J186" i="104"/>
  <c r="J7" i="104" s="1"/>
  <c r="AG254" i="109"/>
  <c r="AH254" i="109"/>
  <c r="AJ255" i="109"/>
  <c r="AE254" i="109"/>
  <c r="AI254" i="109"/>
  <c r="J70" i="79"/>
  <c r="AZ15" i="112"/>
  <c r="AZ8" i="112"/>
  <c r="G97" i="79"/>
  <c r="G68" i="102"/>
  <c r="K59" i="79"/>
  <c r="I92" i="79"/>
  <c r="AH163" i="109"/>
  <c r="G116" i="110"/>
  <c r="X49" i="76"/>
  <c r="L31" i="76"/>
  <c r="F107" i="110"/>
  <c r="F105" i="110"/>
  <c r="F104" i="110"/>
  <c r="F103" i="110"/>
  <c r="AY36" i="112"/>
  <c r="AX15" i="112"/>
  <c r="AX8" i="112"/>
  <c r="I116" i="110"/>
  <c r="R314" i="84"/>
  <c r="R316" i="84" s="1"/>
  <c r="G172" i="93"/>
  <c r="G174" i="93" s="1"/>
  <c r="F8" i="93" s="1"/>
  <c r="R295" i="84"/>
  <c r="R297" i="84" s="1"/>
  <c r="R282" i="84"/>
  <c r="R285" i="84" s="1"/>
  <c r="U47" i="110"/>
  <c r="U35" i="110" s="1"/>
  <c r="U44" i="110"/>
  <c r="U32" i="110" s="1"/>
  <c r="U43" i="110"/>
  <c r="U31" i="110" s="1"/>
  <c r="U41" i="110"/>
  <c r="U42" i="110"/>
  <c r="U30" i="110" s="1"/>
  <c r="Q314" i="84"/>
  <c r="Q316" i="84" s="1"/>
  <c r="Q282" i="84"/>
  <c r="Q285" i="84" s="1"/>
  <c r="Q295" i="84"/>
  <c r="Q297" i="84" s="1"/>
  <c r="F172" i="93"/>
  <c r="F174" i="93" s="1"/>
  <c r="E8" i="93" s="1"/>
  <c r="M32" i="76"/>
  <c r="M43" i="76" s="1"/>
  <c r="J70" i="76" s="1"/>
  <c r="L59" i="79"/>
  <c r="J75" i="76"/>
  <c r="G32" i="76"/>
  <c r="G43" i="76" s="1"/>
  <c r="D70" i="76" s="1"/>
  <c r="F59" i="79"/>
  <c r="AI141" i="109"/>
  <c r="N154" i="104"/>
  <c r="U207" i="84"/>
  <c r="U271" i="84" s="1"/>
  <c r="F116" i="110"/>
  <c r="AG163" i="109"/>
  <c r="AF163" i="109"/>
  <c r="AF254" i="109"/>
  <c r="AW15" i="112"/>
  <c r="AW8" i="112"/>
  <c r="F106" i="110"/>
  <c r="S60" i="110"/>
  <c r="S57" i="110"/>
  <c r="S56" i="110"/>
  <c r="S54" i="110"/>
  <c r="S55" i="110"/>
  <c r="I70" i="79"/>
  <c r="AH255" i="109"/>
  <c r="AI255" i="109"/>
  <c r="G104" i="110"/>
  <c r="G103" i="110"/>
  <c r="G107" i="110"/>
  <c r="G105" i="110"/>
  <c r="J41" i="76"/>
  <c r="G71" i="76"/>
  <c r="S29" i="110"/>
  <c r="AJ141" i="109"/>
  <c r="O154" i="104"/>
  <c r="V207" i="84"/>
  <c r="V271" i="84" s="1"/>
  <c r="H107" i="110"/>
  <c r="H105" i="110"/>
  <c r="H103" i="110"/>
  <c r="H104" i="110"/>
  <c r="H8" i="110"/>
  <c r="I32" i="76"/>
  <c r="I43" i="76" s="1"/>
  <c r="F70" i="76" s="1"/>
  <c r="H59" i="79"/>
  <c r="F75" i="76"/>
  <c r="I59" i="79"/>
  <c r="J32" i="76"/>
  <c r="J43" i="76" s="1"/>
  <c r="G70" i="76" s="1"/>
  <c r="AI57" i="109"/>
  <c r="AI60" i="109" s="1"/>
  <c r="J99" i="110" s="1"/>
  <c r="AI46" i="109"/>
  <c r="J83" i="110"/>
  <c r="AJ57" i="109"/>
  <c r="AJ60" i="109" s="1"/>
  <c r="K99" i="110" s="1"/>
  <c r="H68" i="102"/>
  <c r="I104" i="110"/>
  <c r="I103" i="110"/>
  <c r="I105" i="110"/>
  <c r="I107" i="110"/>
  <c r="AG255" i="109"/>
  <c r="W280" i="84"/>
  <c r="W273" i="84"/>
  <c r="K73" i="110"/>
  <c r="K75" i="110"/>
  <c r="K77" i="110"/>
  <c r="K74" i="110"/>
  <c r="I96" i="79"/>
  <c r="I109" i="79"/>
  <c r="I110" i="79" s="1"/>
  <c r="E81" i="76"/>
  <c r="E82" i="76" s="1"/>
  <c r="E86" i="76" s="1"/>
  <c r="E88" i="76" s="1"/>
  <c r="H32" i="76"/>
  <c r="H43" i="76" s="1"/>
  <c r="E70" i="76" s="1"/>
  <c r="G59" i="79"/>
  <c r="E75" i="76"/>
  <c r="K32" i="76"/>
  <c r="K43" i="76" s="1"/>
  <c r="H70" i="76" s="1"/>
  <c r="J59" i="79"/>
  <c r="H75" i="76"/>
  <c r="AI163" i="109"/>
  <c r="AD163" i="109"/>
  <c r="AJ163" i="109"/>
  <c r="Q17" i="110"/>
  <c r="K186" i="104"/>
  <c r="K7" i="104" s="1"/>
  <c r="I78" i="110"/>
  <c r="S8" i="110"/>
  <c r="S20" i="110" s="1"/>
  <c r="S11" i="110"/>
  <c r="S23" i="110" s="1"/>
  <c r="S7" i="110"/>
  <c r="S19" i="110" s="1"/>
  <c r="S5" i="110"/>
  <c r="S6" i="110"/>
  <c r="S18" i="110" s="1"/>
  <c r="I106" i="110"/>
  <c r="H54" i="74"/>
  <c r="W58" i="97" l="1"/>
  <c r="X29" i="97"/>
  <c r="X58" i="97" s="1"/>
  <c r="Y58" i="97"/>
  <c r="X68" i="97"/>
  <c r="X30" i="97"/>
  <c r="X57" i="97"/>
  <c r="X59" i="97" s="1"/>
  <c r="M13" i="97" s="1"/>
  <c r="V59" i="97"/>
  <c r="K13" i="97" s="1"/>
  <c r="S119" i="104"/>
  <c r="T116" i="104"/>
  <c r="W68" i="97"/>
  <c r="W57" i="97"/>
  <c r="W59" i="97" s="1"/>
  <c r="L13" i="97" s="1"/>
  <c r="W30" i="97"/>
  <c r="W8" i="107"/>
  <c r="K33" i="104"/>
  <c r="K38" i="104" s="1"/>
  <c r="L32" i="104"/>
  <c r="V69" i="97"/>
  <c r="V77" i="97"/>
  <c r="V78" i="97" s="1"/>
  <c r="K74" i="32" s="1"/>
  <c r="K75" i="32" s="1"/>
  <c r="I33" i="96" s="1"/>
  <c r="AI257" i="109"/>
  <c r="L17" i="107"/>
  <c r="L7" i="107"/>
  <c r="L10" i="107" s="1"/>
  <c r="V209" i="109"/>
  <c r="J96" i="104"/>
  <c r="J122" i="104" s="1"/>
  <c r="O45" i="32"/>
  <c r="O38" i="32" s="1"/>
  <c r="Z8" i="107"/>
  <c r="Y8" i="107" s="1"/>
  <c r="AA8" i="107"/>
  <c r="AB8" i="107" s="1"/>
  <c r="Y28" i="97"/>
  <c r="Y30" i="97" s="1"/>
  <c r="Y29" i="97"/>
  <c r="N7" i="32"/>
  <c r="N41" i="32"/>
  <c r="I172" i="93"/>
  <c r="I174" i="93" s="1"/>
  <c r="H8" i="93" s="1"/>
  <c r="I8" i="110" s="1"/>
  <c r="T282" i="84"/>
  <c r="T285" i="84" s="1"/>
  <c r="T295" i="84"/>
  <c r="T297" i="84" s="1"/>
  <c r="AH257" i="109"/>
  <c r="AJ257" i="109"/>
  <c r="K33" i="76"/>
  <c r="K35" i="76" s="1"/>
  <c r="K45" i="76" s="1"/>
  <c r="H33" i="76"/>
  <c r="E68" i="76" s="1"/>
  <c r="E69" i="76" s="1"/>
  <c r="E73" i="76" s="1"/>
  <c r="E76" i="76" s="1"/>
  <c r="I108" i="110"/>
  <c r="J33" i="76"/>
  <c r="G68" i="76" s="1"/>
  <c r="G69" i="76" s="1"/>
  <c r="G73" i="76" s="1"/>
  <c r="G76" i="76" s="1"/>
  <c r="G108" i="110"/>
  <c r="I48" i="74"/>
  <c r="J48" i="74" s="1"/>
  <c r="I47" i="74"/>
  <c r="K101" i="110"/>
  <c r="K91" i="110"/>
  <c r="K93" i="110" s="1"/>
  <c r="R45" i="110"/>
  <c r="R9" i="110"/>
  <c r="R58" i="110"/>
  <c r="AI215" i="109"/>
  <c r="AI259" i="109" s="1"/>
  <c r="N183" i="104"/>
  <c r="N156" i="104"/>
  <c r="N185" i="104" s="1"/>
  <c r="AX36" i="112"/>
  <c r="K104" i="79"/>
  <c r="K60" i="79"/>
  <c r="K64" i="79" s="1"/>
  <c r="K67" i="102" s="1"/>
  <c r="N37" i="74"/>
  <c r="J64" i="79"/>
  <c r="J67" i="102" s="1"/>
  <c r="H34" i="74"/>
  <c r="G64" i="79"/>
  <c r="G67" i="102" s="1"/>
  <c r="V273" i="84"/>
  <c r="V280" i="84"/>
  <c r="J114" i="110"/>
  <c r="BA5" i="112"/>
  <c r="BA7" i="112" s="1"/>
  <c r="G33" i="76"/>
  <c r="M33" i="76"/>
  <c r="K108" i="79"/>
  <c r="L40" i="76"/>
  <c r="I75" i="76" s="1"/>
  <c r="C75" i="76" s="1"/>
  <c r="P38" i="74"/>
  <c r="U60" i="110"/>
  <c r="U57" i="110"/>
  <c r="U56" i="110"/>
  <c r="U55" i="110"/>
  <c r="U54" i="110"/>
  <c r="I64" i="79"/>
  <c r="I67" i="102" s="1"/>
  <c r="L36" i="74"/>
  <c r="I33" i="76"/>
  <c r="AJ215" i="109"/>
  <c r="O156" i="104"/>
  <c r="O185" i="104" s="1"/>
  <c r="O183" i="104"/>
  <c r="F8" i="110"/>
  <c r="F108" i="110"/>
  <c r="L32" i="76"/>
  <c r="L43" i="76" s="1"/>
  <c r="I70" i="76" s="1"/>
  <c r="C70" i="76" s="1"/>
  <c r="K78" i="110"/>
  <c r="U6" i="110"/>
  <c r="U18" i="110" s="1"/>
  <c r="U5" i="110"/>
  <c r="U7" i="110"/>
  <c r="U19" i="110" s="1"/>
  <c r="U11" i="110"/>
  <c r="U23" i="110" s="1"/>
  <c r="U8" i="110"/>
  <c r="U20" i="110" s="1"/>
  <c r="J35" i="74"/>
  <c r="H64" i="79"/>
  <c r="H67" i="102" s="1"/>
  <c r="AY57" i="112"/>
  <c r="S17" i="110"/>
  <c r="I68" i="102"/>
  <c r="W295" i="84"/>
  <c r="W297" i="84" s="1"/>
  <c r="W282" i="84"/>
  <c r="W285" i="84" s="1"/>
  <c r="W314" i="84"/>
  <c r="W316" i="84" s="1"/>
  <c r="J85" i="110"/>
  <c r="J91" i="110"/>
  <c r="J93" i="110" s="1"/>
  <c r="J101" i="110"/>
  <c r="H108" i="110"/>
  <c r="BB5" i="112"/>
  <c r="BB7" i="112" s="1"/>
  <c r="K114" i="110"/>
  <c r="AW36" i="112"/>
  <c r="AW17" i="112"/>
  <c r="U273" i="84"/>
  <c r="U280" i="84"/>
  <c r="J69" i="79"/>
  <c r="J74" i="79" s="1"/>
  <c r="F69" i="79"/>
  <c r="F74" i="79" s="1"/>
  <c r="F41" i="102" s="1"/>
  <c r="F33" i="74"/>
  <c r="I69" i="79"/>
  <c r="I74" i="79" s="1"/>
  <c r="I41" i="102" s="1"/>
  <c r="L69" i="79"/>
  <c r="H69" i="79"/>
  <c r="H74" i="79" s="1"/>
  <c r="H41" i="102" s="1"/>
  <c r="F64" i="79"/>
  <c r="F67" i="102" s="1"/>
  <c r="K69" i="79"/>
  <c r="G69" i="79"/>
  <c r="G74" i="79" s="1"/>
  <c r="G41" i="102" s="1"/>
  <c r="R39" i="74"/>
  <c r="L64" i="79"/>
  <c r="L67" i="102" s="1"/>
  <c r="U29" i="110"/>
  <c r="G8" i="110"/>
  <c r="X51" i="76"/>
  <c r="AZ36" i="112"/>
  <c r="AA9" i="107" l="1"/>
  <c r="AB9" i="107" s="1"/>
  <c r="Z9" i="107"/>
  <c r="Y9" i="107"/>
  <c r="O7" i="32"/>
  <c r="O41" i="32"/>
  <c r="Y57" i="97"/>
  <c r="Y59" i="97" s="1"/>
  <c r="T119" i="104"/>
  <c r="T122" i="104"/>
  <c r="O46" i="32"/>
  <c r="O51" i="32" s="1"/>
  <c r="P43" i="32" s="1"/>
  <c r="T12" i="96"/>
  <c r="M14" i="107"/>
  <c r="L33" i="104"/>
  <c r="L38" i="104" s="1"/>
  <c r="M32" i="104"/>
  <c r="X77" i="97"/>
  <c r="X78" i="97" s="1"/>
  <c r="X69" i="97"/>
  <c r="X253" i="109"/>
  <c r="AA253" i="109"/>
  <c r="W253" i="109"/>
  <c r="V253" i="109"/>
  <c r="Z253" i="109"/>
  <c r="Y253" i="109"/>
  <c r="W9" i="107"/>
  <c r="W10" i="107" s="1"/>
  <c r="W69" i="97"/>
  <c r="W77" i="97"/>
  <c r="W78" i="97" s="1"/>
  <c r="L74" i="32" s="1"/>
  <c r="L75" i="32" s="1"/>
  <c r="J33" i="96" s="1"/>
  <c r="H68" i="76"/>
  <c r="H69" i="76" s="1"/>
  <c r="H73" i="76" s="1"/>
  <c r="H76" i="76" s="1"/>
  <c r="H35" i="76"/>
  <c r="H45" i="76" s="1"/>
  <c r="N186" i="104"/>
  <c r="N7" i="104" s="1"/>
  <c r="L33" i="76"/>
  <c r="I68" i="76" s="1"/>
  <c r="I69" i="76" s="1"/>
  <c r="J35" i="76"/>
  <c r="J45" i="76" s="1"/>
  <c r="O186" i="104"/>
  <c r="O7" i="104" s="1"/>
  <c r="R16" i="102"/>
  <c r="Q53" i="102"/>
  <c r="R53" i="102"/>
  <c r="S16" i="102"/>
  <c r="U314" i="84"/>
  <c r="U316" i="84" s="1"/>
  <c r="U295" i="84"/>
  <c r="U297" i="84" s="1"/>
  <c r="U282" i="84"/>
  <c r="U285" i="84" s="1"/>
  <c r="J172" i="93"/>
  <c r="J174" i="93" s="1"/>
  <c r="I8" i="93" s="1"/>
  <c r="S45" i="110"/>
  <c r="S9" i="110"/>
  <c r="S58" i="110"/>
  <c r="BA15" i="112"/>
  <c r="BA8" i="112"/>
  <c r="R33" i="110"/>
  <c r="K104" i="110"/>
  <c r="K103" i="110"/>
  <c r="K105" i="110"/>
  <c r="K107" i="110"/>
  <c r="J107" i="110"/>
  <c r="J105" i="110"/>
  <c r="J103" i="110"/>
  <c r="J104" i="110"/>
  <c r="AJ259" i="109"/>
  <c r="V314" i="84"/>
  <c r="V316" i="84" s="1"/>
  <c r="K172" i="93"/>
  <c r="K174" i="93" s="1"/>
  <c r="J8" i="93" s="1"/>
  <c r="V295" i="84"/>
  <c r="V297" i="84" s="1"/>
  <c r="V282" i="84"/>
  <c r="V285" i="84" s="1"/>
  <c r="AX57" i="112"/>
  <c r="AZ57" i="112"/>
  <c r="Q45" i="110"/>
  <c r="Q9" i="110"/>
  <c r="Q58" i="110"/>
  <c r="P53" i="102"/>
  <c r="Q16" i="102"/>
  <c r="AW18" i="112"/>
  <c r="AW20" i="112"/>
  <c r="AW21" i="112" s="1"/>
  <c r="J106" i="110"/>
  <c r="AY78" i="112"/>
  <c r="P45" i="110"/>
  <c r="P58" i="110"/>
  <c r="P9" i="110"/>
  <c r="M35" i="76"/>
  <c r="M45" i="76" s="1"/>
  <c r="J68" i="76"/>
  <c r="J69" i="76" s="1"/>
  <c r="J73" i="76" s="1"/>
  <c r="J76" i="76" s="1"/>
  <c r="P52" i="74"/>
  <c r="K70" i="79"/>
  <c r="K74" i="79" s="1"/>
  <c r="K41" i="102" s="1"/>
  <c r="L70" i="79"/>
  <c r="L74" i="79" s="1"/>
  <c r="L41" i="102" s="1"/>
  <c r="K106" i="110"/>
  <c r="T16" i="102"/>
  <c r="S53" i="102"/>
  <c r="K116" i="110"/>
  <c r="K109" i="79"/>
  <c r="K110" i="79" s="1"/>
  <c r="K96" i="79"/>
  <c r="I54" i="74"/>
  <c r="J47" i="74"/>
  <c r="G33" i="74"/>
  <c r="G40" i="74" s="1"/>
  <c r="F40" i="74"/>
  <c r="F96" i="74" s="1"/>
  <c r="I35" i="76"/>
  <c r="I45" i="76" s="1"/>
  <c r="F68" i="76"/>
  <c r="F69" i="76" s="1"/>
  <c r="F73" i="76" s="1"/>
  <c r="F76" i="76" s="1"/>
  <c r="J116" i="110"/>
  <c r="J41" i="102"/>
  <c r="N24" i="74"/>
  <c r="AW57" i="112"/>
  <c r="AW38" i="112"/>
  <c r="BB15" i="112"/>
  <c r="BB8" i="112"/>
  <c r="U17" i="110"/>
  <c r="I71" i="76"/>
  <c r="C71" i="76" s="1"/>
  <c r="L41" i="76"/>
  <c r="D68" i="76"/>
  <c r="G35" i="76"/>
  <c r="G45" i="76" s="1"/>
  <c r="K92" i="79"/>
  <c r="R21" i="110"/>
  <c r="T125" i="104" l="1"/>
  <c r="R33" i="97"/>
  <c r="M17" i="107"/>
  <c r="M7" i="107"/>
  <c r="M10" i="107" s="1"/>
  <c r="U116" i="104"/>
  <c r="AA10" i="107"/>
  <c r="AB10" i="107" s="1"/>
  <c r="Z10" i="107"/>
  <c r="Y10" i="107"/>
  <c r="M33" i="104"/>
  <c r="M38" i="104" s="1"/>
  <c r="N38" i="104"/>
  <c r="P45" i="32"/>
  <c r="P38" i="32" s="1"/>
  <c r="P46" i="32"/>
  <c r="P51" i="32" s="1"/>
  <c r="L35" i="76"/>
  <c r="L45" i="76" s="1"/>
  <c r="AW31" i="112"/>
  <c r="AW32" i="112" s="1"/>
  <c r="AW25" i="112"/>
  <c r="V53" i="102"/>
  <c r="W16" i="102"/>
  <c r="P21" i="110"/>
  <c r="BA36" i="112"/>
  <c r="V16" i="102"/>
  <c r="U53" i="102"/>
  <c r="F79" i="79"/>
  <c r="G96" i="74"/>
  <c r="G98" i="74" s="1"/>
  <c r="G102" i="74" s="1"/>
  <c r="Q21" i="110"/>
  <c r="G93" i="102"/>
  <c r="N27" i="74"/>
  <c r="AW39" i="112"/>
  <c r="AW41" i="112"/>
  <c r="AW46" i="112" s="1"/>
  <c r="T53" i="102"/>
  <c r="U16" i="102"/>
  <c r="H33" i="74"/>
  <c r="G80" i="79"/>
  <c r="G112" i="79"/>
  <c r="G113" i="79" s="1"/>
  <c r="I73" i="76"/>
  <c r="I76" i="76" s="1"/>
  <c r="AY99" i="112"/>
  <c r="AX78" i="112"/>
  <c r="K8" i="110"/>
  <c r="K108" i="110"/>
  <c r="S33" i="110"/>
  <c r="D81" i="76"/>
  <c r="D69" i="76"/>
  <c r="C68" i="76"/>
  <c r="AW78" i="112"/>
  <c r="AW59" i="112"/>
  <c r="K68" i="102"/>
  <c r="I93" i="102"/>
  <c r="AX16" i="112"/>
  <c r="J108" i="110"/>
  <c r="BB36" i="112"/>
  <c r="J54" i="74"/>
  <c r="P33" i="110"/>
  <c r="E80" i="112"/>
  <c r="E54" i="112"/>
  <c r="F93" i="102"/>
  <c r="Q33" i="110"/>
  <c r="AZ78" i="112"/>
  <c r="S21" i="110"/>
  <c r="J8" i="110"/>
  <c r="H93" i="102"/>
  <c r="U122" i="104" l="1"/>
  <c r="U119" i="104"/>
  <c r="V116" i="104"/>
  <c r="R36" i="97"/>
  <c r="AA11" i="107"/>
  <c r="AB11" i="107" s="1"/>
  <c r="Z11" i="107"/>
  <c r="Y11" i="107"/>
  <c r="W11" i="107"/>
  <c r="P41" i="32"/>
  <c r="P7" i="32"/>
  <c r="U12" i="96"/>
  <c r="N14" i="107"/>
  <c r="T45" i="110"/>
  <c r="T58" i="110"/>
  <c r="T9" i="110"/>
  <c r="C81" i="76"/>
  <c r="C82" i="76" s="1"/>
  <c r="C86" i="76" s="1"/>
  <c r="C88" i="76" s="1"/>
  <c r="D82" i="76"/>
  <c r="D86" i="76" s="1"/>
  <c r="D88" i="76" s="1"/>
  <c r="AX99" i="112"/>
  <c r="L93" i="102"/>
  <c r="AW42" i="112"/>
  <c r="BB57" i="112"/>
  <c r="K47" i="74"/>
  <c r="K49" i="74"/>
  <c r="L49" i="74" s="1"/>
  <c r="K62" i="74"/>
  <c r="K48" i="74"/>
  <c r="L48" i="74" s="1"/>
  <c r="AW62" i="112"/>
  <c r="E92" i="112" s="1"/>
  <c r="AW60" i="112"/>
  <c r="D73" i="76"/>
  <c r="C69" i="76"/>
  <c r="F38" i="110"/>
  <c r="G115" i="79"/>
  <c r="H105" i="79"/>
  <c r="J93" i="102"/>
  <c r="AW52" i="112"/>
  <c r="AW53" i="112" s="1"/>
  <c r="O24" i="74"/>
  <c r="P24" i="74" s="1"/>
  <c r="O23" i="74"/>
  <c r="P23" i="74" s="1"/>
  <c r="O21" i="74"/>
  <c r="P21" i="74" s="1"/>
  <c r="O20" i="74"/>
  <c r="O22" i="74"/>
  <c r="P22" i="74" s="1"/>
  <c r="K93" i="102"/>
  <c r="AW80" i="112"/>
  <c r="AW99" i="112"/>
  <c r="AY120" i="112"/>
  <c r="D15" i="79"/>
  <c r="AZ99" i="112"/>
  <c r="E81" i="112"/>
  <c r="AW26" i="112"/>
  <c r="AX37" i="112"/>
  <c r="F84" i="79"/>
  <c r="F45" i="102" s="1"/>
  <c r="C14" i="79"/>
  <c r="BA57" i="112"/>
  <c r="AX17" i="112"/>
  <c r="U45" i="110"/>
  <c r="U58" i="110"/>
  <c r="U9" i="110"/>
  <c r="H40" i="74"/>
  <c r="I33" i="74"/>
  <c r="J33" i="74" s="1"/>
  <c r="Z12" i="107" l="1"/>
  <c r="AA12" i="107"/>
  <c r="AB12" i="107" s="1"/>
  <c r="Y12" i="107"/>
  <c r="V122" i="104"/>
  <c r="W116" i="104"/>
  <c r="V119" i="104"/>
  <c r="N17" i="107"/>
  <c r="O14" i="107" s="1"/>
  <c r="N7" i="107"/>
  <c r="N10" i="107" s="1"/>
  <c r="W12" i="107"/>
  <c r="S33" i="97"/>
  <c r="U125" i="104"/>
  <c r="AW67" i="112"/>
  <c r="AW63" i="112"/>
  <c r="E56" i="112" s="1"/>
  <c r="AW73" i="112"/>
  <c r="AW74" i="112" s="1"/>
  <c r="E87" i="112"/>
  <c r="F84" i="112" s="1"/>
  <c r="AW47" i="112"/>
  <c r="AX20" i="112"/>
  <c r="AX31" i="112" s="1"/>
  <c r="F78" i="112"/>
  <c r="AY141" i="112"/>
  <c r="AY142" i="112" s="1"/>
  <c r="D76" i="76"/>
  <c r="C73" i="76"/>
  <c r="C76" i="76" s="1"/>
  <c r="AX18" i="112"/>
  <c r="AW120" i="112"/>
  <c r="AW101" i="112"/>
  <c r="E79" i="112"/>
  <c r="I34" i="74"/>
  <c r="J34" i="74" s="1"/>
  <c r="J40" i="74" s="1"/>
  <c r="H96" i="74"/>
  <c r="AZ120" i="112"/>
  <c r="D74" i="93"/>
  <c r="G13" i="102"/>
  <c r="O16" i="115"/>
  <c r="O17" i="115" s="1"/>
  <c r="O19" i="115" s="1"/>
  <c r="AW81" i="112"/>
  <c r="AW83" i="112"/>
  <c r="AW94" i="112" s="1"/>
  <c r="AX58" i="112"/>
  <c r="AX120" i="112"/>
  <c r="T21" i="110"/>
  <c r="BA78" i="112"/>
  <c r="P55" i="102"/>
  <c r="P57" i="102" s="1"/>
  <c r="P61" i="102" s="1"/>
  <c r="F70" i="102"/>
  <c r="F39" i="110"/>
  <c r="F23" i="110" s="1"/>
  <c r="G99" i="79"/>
  <c r="G44" i="102" s="1"/>
  <c r="G117" i="79"/>
  <c r="G101" i="79" s="1"/>
  <c r="R12" i="102" s="1"/>
  <c r="BB78" i="112"/>
  <c r="E55" i="112"/>
  <c r="E86" i="112"/>
  <c r="T33" i="110"/>
  <c r="U33" i="110"/>
  <c r="AX38" i="112"/>
  <c r="AX39" i="112" s="1"/>
  <c r="K67" i="74"/>
  <c r="H81" i="79" s="1"/>
  <c r="L62" i="74"/>
  <c r="U21" i="110"/>
  <c r="C73" i="93"/>
  <c r="C78" i="93" s="1"/>
  <c r="C81" i="93" s="1"/>
  <c r="F10" i="102"/>
  <c r="F14" i="102" s="1"/>
  <c r="C19" i="79"/>
  <c r="C21" i="79" s="1"/>
  <c r="N30" i="115"/>
  <c r="N35" i="115" s="1"/>
  <c r="N37" i="115" s="1"/>
  <c r="AX23" i="112"/>
  <c r="AW24" i="112"/>
  <c r="AW28" i="112" s="1"/>
  <c r="O27" i="74"/>
  <c r="P20" i="74"/>
  <c r="H93" i="79"/>
  <c r="H94" i="79" s="1"/>
  <c r="H97" i="79" s="1"/>
  <c r="H106" i="79"/>
  <c r="K54" i="74"/>
  <c r="L47" i="74"/>
  <c r="W13" i="107" l="1"/>
  <c r="W119" i="104"/>
  <c r="X116" i="104"/>
  <c r="W122" i="104"/>
  <c r="V125" i="104"/>
  <c r="T33" i="97"/>
  <c r="T36" i="97" s="1"/>
  <c r="O16" i="107"/>
  <c r="O17" i="107" s="1"/>
  <c r="P14" i="107" s="1"/>
  <c r="P17" i="107" s="1"/>
  <c r="Q14" i="107" s="1"/>
  <c r="Q17" i="107" s="1"/>
  <c r="O7" i="107"/>
  <c r="O10" i="107" s="1"/>
  <c r="AA13" i="107"/>
  <c r="AB13" i="107" s="1"/>
  <c r="Z13" i="107"/>
  <c r="Y13" i="107"/>
  <c r="S36" i="97"/>
  <c r="AX21" i="112"/>
  <c r="F80" i="112" s="1"/>
  <c r="AW84" i="112"/>
  <c r="E98" i="112" s="1"/>
  <c r="AW88" i="112"/>
  <c r="F42" i="110"/>
  <c r="E12" i="93" s="1"/>
  <c r="F126" i="110"/>
  <c r="F24" i="110"/>
  <c r="P49" i="110"/>
  <c r="P62" i="110"/>
  <c r="K35" i="74"/>
  <c r="L35" i="74" s="1"/>
  <c r="K33" i="74"/>
  <c r="K34" i="74"/>
  <c r="L34" i="74" s="1"/>
  <c r="J96" i="74"/>
  <c r="L54" i="74"/>
  <c r="P27" i="74"/>
  <c r="AW104" i="112"/>
  <c r="AW109" i="112" s="1"/>
  <c r="AW102" i="112"/>
  <c r="J78" i="79"/>
  <c r="AX59" i="112"/>
  <c r="AX60" i="112" s="1"/>
  <c r="AW122" i="112"/>
  <c r="AW141" i="112"/>
  <c r="AW142" i="112" s="1"/>
  <c r="E77" i="112"/>
  <c r="AW29" i="112"/>
  <c r="L67" i="74"/>
  <c r="E93" i="112"/>
  <c r="AW68" i="112"/>
  <c r="AZ141" i="112"/>
  <c r="AZ142" i="112" s="1"/>
  <c r="AX25" i="112"/>
  <c r="AY37" i="112"/>
  <c r="BA99" i="112"/>
  <c r="E57" i="112"/>
  <c r="H80" i="79"/>
  <c r="H112" i="79"/>
  <c r="H113" i="79" s="1"/>
  <c r="E85" i="112"/>
  <c r="E16" i="79"/>
  <c r="AX41" i="112"/>
  <c r="AX42" i="112" s="1"/>
  <c r="BB99" i="112"/>
  <c r="Q54" i="102"/>
  <c r="G69" i="102"/>
  <c r="E37" i="110"/>
  <c r="E40" i="110" s="1"/>
  <c r="E9" i="110" s="1"/>
  <c r="F36" i="102"/>
  <c r="F37" i="102" s="1"/>
  <c r="F42" i="102" s="1"/>
  <c r="F46" i="102" s="1"/>
  <c r="F50" i="102" s="1"/>
  <c r="I40" i="74"/>
  <c r="AX141" i="112"/>
  <c r="AX142" i="112" s="1"/>
  <c r="AW95" i="112"/>
  <c r="AX79" i="112"/>
  <c r="AY16" i="112"/>
  <c r="AX32" i="112"/>
  <c r="AX44" i="112"/>
  <c r="AW45" i="112"/>
  <c r="AW49" i="112" s="1"/>
  <c r="AA14" i="107" l="1"/>
  <c r="AB14" i="107" s="1"/>
  <c r="Z14" i="107"/>
  <c r="Y14" i="107"/>
  <c r="W14" i="107"/>
  <c r="W125" i="104"/>
  <c r="U33" i="97"/>
  <c r="V137" i="104"/>
  <c r="W137" i="104"/>
  <c r="X119" i="104"/>
  <c r="Y116" i="104"/>
  <c r="X122" i="104"/>
  <c r="AX46" i="112"/>
  <c r="F54" i="112"/>
  <c r="F55" i="112"/>
  <c r="F86" i="112"/>
  <c r="G38" i="110"/>
  <c r="H115" i="79"/>
  <c r="I105" i="79"/>
  <c r="AY58" i="112"/>
  <c r="AX100" i="112"/>
  <c r="AR67" i="109"/>
  <c r="AR81" i="109" s="1"/>
  <c r="AN67" i="109"/>
  <c r="AN81" i="109" s="1"/>
  <c r="AP67" i="109"/>
  <c r="AP81" i="109" s="1"/>
  <c r="AO67" i="109"/>
  <c r="AO81" i="109" s="1"/>
  <c r="AM67" i="109"/>
  <c r="AM81" i="109" s="1"/>
  <c r="AS67" i="109"/>
  <c r="AS81" i="109" s="1"/>
  <c r="AQ67" i="109"/>
  <c r="AQ81" i="109" s="1"/>
  <c r="F81" i="112"/>
  <c r="AX26" i="112"/>
  <c r="AY23" i="112" s="1"/>
  <c r="E99" i="112"/>
  <c r="F96" i="112" s="1"/>
  <c r="AW89" i="112"/>
  <c r="E75" i="93"/>
  <c r="H11" i="102"/>
  <c r="F90" i="112"/>
  <c r="E91" i="112"/>
  <c r="AW125" i="112"/>
  <c r="AW136" i="112" s="1"/>
  <c r="AW123" i="112"/>
  <c r="Q25" i="74"/>
  <c r="R25" i="74" s="1"/>
  <c r="Q22" i="74"/>
  <c r="R22" i="74" s="1"/>
  <c r="Q23" i="74"/>
  <c r="R23" i="74" s="1"/>
  <c r="Q20" i="74"/>
  <c r="Q24" i="74"/>
  <c r="R24" i="74" s="1"/>
  <c r="Q21" i="74"/>
  <c r="R21" i="74" s="1"/>
  <c r="AD67" i="109"/>
  <c r="AD81" i="109" s="1"/>
  <c r="AG67" i="109"/>
  <c r="AG81" i="109" s="1"/>
  <c r="AJ67" i="109"/>
  <c r="AJ81" i="109" s="1"/>
  <c r="AE67" i="109"/>
  <c r="AE81" i="109" s="1"/>
  <c r="AH67" i="109"/>
  <c r="AH81" i="109" s="1"/>
  <c r="AF67" i="109"/>
  <c r="AF81" i="109" s="1"/>
  <c r="AI67" i="109"/>
  <c r="AI81" i="109" s="1"/>
  <c r="F127" i="110"/>
  <c r="F128" i="110" s="1"/>
  <c r="E83" i="112"/>
  <c r="AW50" i="112"/>
  <c r="AY17" i="112"/>
  <c r="AY18" i="112" s="1"/>
  <c r="E121" i="110"/>
  <c r="E11" i="110"/>
  <c r="D10" i="93"/>
  <c r="O10" i="110"/>
  <c r="O46" i="110"/>
  <c r="O59" i="110"/>
  <c r="O61" i="110" s="1"/>
  <c r="BB120" i="112"/>
  <c r="AX52" i="112"/>
  <c r="AX53" i="112" s="1"/>
  <c r="E15" i="79"/>
  <c r="AY38" i="112"/>
  <c r="AW115" i="112"/>
  <c r="AW116" i="112" s="1"/>
  <c r="AW105" i="112"/>
  <c r="K40" i="74"/>
  <c r="L33" i="74"/>
  <c r="AX80" i="112"/>
  <c r="G79" i="79"/>
  <c r="I96" i="74"/>
  <c r="I98" i="74" s="1"/>
  <c r="I102" i="74" s="1"/>
  <c r="BA120" i="112"/>
  <c r="AX65" i="112"/>
  <c r="AW66" i="112"/>
  <c r="AW70" i="112" s="1"/>
  <c r="AW144" i="112"/>
  <c r="F106" i="102"/>
  <c r="F107" i="102" s="1"/>
  <c r="M62" i="74"/>
  <c r="N62" i="74" s="1"/>
  <c r="M61" i="74"/>
  <c r="N61" i="74" s="1"/>
  <c r="M63" i="74"/>
  <c r="N63" i="74" s="1"/>
  <c r="M60" i="74"/>
  <c r="AX62" i="112"/>
  <c r="F92" i="112" s="1"/>
  <c r="J7" i="102"/>
  <c r="J8" i="102" s="1"/>
  <c r="G10" i="79"/>
  <c r="F79" i="112"/>
  <c r="M49" i="74"/>
  <c r="N49" i="74" s="1"/>
  <c r="P49" i="74" s="1"/>
  <c r="M48" i="74"/>
  <c r="N48" i="74" s="1"/>
  <c r="M47" i="74"/>
  <c r="M50" i="74"/>
  <c r="N50" i="74" s="1"/>
  <c r="X125" i="104" l="1"/>
  <c r="V33" i="97"/>
  <c r="V36" i="97" s="1"/>
  <c r="Y137" i="104"/>
  <c r="U137" i="104"/>
  <c r="Y119" i="104"/>
  <c r="Y122" i="104"/>
  <c r="X137" i="104"/>
  <c r="S137" i="104"/>
  <c r="W15" i="107"/>
  <c r="W140" i="104"/>
  <c r="U39" i="97"/>
  <c r="M70" i="104" s="1"/>
  <c r="V140" i="104"/>
  <c r="T39" i="97"/>
  <c r="L70" i="104" s="1"/>
  <c r="Z15" i="107"/>
  <c r="AA15" i="107"/>
  <c r="AB15" i="107" s="1"/>
  <c r="Y15" i="107"/>
  <c r="T137" i="104"/>
  <c r="Z122" i="104"/>
  <c r="U36" i="97"/>
  <c r="AX63" i="112"/>
  <c r="F56" i="112" s="1"/>
  <c r="E97" i="112"/>
  <c r="AX73" i="112"/>
  <c r="AX74" i="112" s="1"/>
  <c r="F93" i="112" s="1"/>
  <c r="E105" i="112"/>
  <c r="AW110" i="112"/>
  <c r="G11" i="79"/>
  <c r="G72" i="93"/>
  <c r="R32" i="115"/>
  <c r="R35" i="115" s="1"/>
  <c r="R37" i="115" s="1"/>
  <c r="AW147" i="112"/>
  <c r="AW152" i="112" s="1"/>
  <c r="AW145" i="112"/>
  <c r="BA141" i="112"/>
  <c r="BA142" i="112" s="1"/>
  <c r="G84" i="79"/>
  <c r="G45" i="102" s="1"/>
  <c r="D14" i="79"/>
  <c r="H79" i="79"/>
  <c r="H84" i="79" s="1"/>
  <c r="H45" i="102" s="1"/>
  <c r="K96" i="74"/>
  <c r="K98" i="74" s="1"/>
  <c r="K102" i="74" s="1"/>
  <c r="AY41" i="112"/>
  <c r="AY42" i="112" s="1"/>
  <c r="M54" i="74"/>
  <c r="N47" i="74"/>
  <c r="N60" i="74"/>
  <c r="M67" i="74"/>
  <c r="I81" i="79" s="1"/>
  <c r="AX83" i="112"/>
  <c r="AX94" i="112" s="1"/>
  <c r="E58" i="112"/>
  <c r="E104" i="112"/>
  <c r="AX67" i="112"/>
  <c r="O63" i="74"/>
  <c r="P63" i="74" s="1"/>
  <c r="F110" i="102"/>
  <c r="F112" i="102" s="1"/>
  <c r="F51" i="102" s="1"/>
  <c r="E89" i="112"/>
  <c r="AW71" i="112"/>
  <c r="AX81" i="112"/>
  <c r="B151" i="94"/>
  <c r="C35" i="94"/>
  <c r="C92" i="94"/>
  <c r="AQ15" i="109"/>
  <c r="AM15" i="109"/>
  <c r="AS15" i="109"/>
  <c r="AO15" i="109"/>
  <c r="AN15" i="109"/>
  <c r="AR15" i="109"/>
  <c r="AP15" i="109"/>
  <c r="Y71" i="110"/>
  <c r="Q27" i="74"/>
  <c r="R20" i="74"/>
  <c r="R27" i="74" s="1"/>
  <c r="AY59" i="112"/>
  <c r="AY60" i="112" s="1"/>
  <c r="O50" i="74"/>
  <c r="P50" i="74" s="1"/>
  <c r="L40" i="74"/>
  <c r="AY39" i="112"/>
  <c r="E74" i="93"/>
  <c r="H13" i="102"/>
  <c r="P16" i="115"/>
  <c r="P17" i="115" s="1"/>
  <c r="P19" i="115" s="1"/>
  <c r="F87" i="112"/>
  <c r="G84" i="112" s="1"/>
  <c r="AX47" i="112"/>
  <c r="O34" i="110"/>
  <c r="O36" i="110" s="1"/>
  <c r="O48" i="110"/>
  <c r="AW126" i="112"/>
  <c r="AW130" i="112"/>
  <c r="I93" i="79"/>
  <c r="I94" i="79" s="1"/>
  <c r="I97" i="79" s="1"/>
  <c r="I106" i="79"/>
  <c r="BB141" i="112"/>
  <c r="BB142" i="112" s="1"/>
  <c r="O22" i="110"/>
  <c r="O24" i="110" s="1"/>
  <c r="O12" i="110"/>
  <c r="AZ16" i="112"/>
  <c r="AW137" i="112"/>
  <c r="AX121" i="112"/>
  <c r="G78" i="112"/>
  <c r="AX101" i="112"/>
  <c r="AX102" i="112" s="1"/>
  <c r="AX24" i="112"/>
  <c r="AX28" i="112" s="1"/>
  <c r="G39" i="110"/>
  <c r="G42" i="110" s="1"/>
  <c r="F12" i="93" s="1"/>
  <c r="H99" i="79"/>
  <c r="H44" i="102" s="1"/>
  <c r="H117" i="79"/>
  <c r="H101" i="79" s="1"/>
  <c r="S12" i="102" s="1"/>
  <c r="AY20" i="112"/>
  <c r="AY21" i="112" s="1"/>
  <c r="AX86" i="112"/>
  <c r="AW87" i="112"/>
  <c r="AW91" i="112" s="1"/>
  <c r="AA16" i="107" l="1"/>
  <c r="AB16" i="107" s="1"/>
  <c r="Z16" i="107"/>
  <c r="Y16" i="107"/>
  <c r="Z137" i="104"/>
  <c r="Z140" i="104" s="1"/>
  <c r="I70" i="104"/>
  <c r="S140" i="104"/>
  <c r="Q39" i="97"/>
  <c r="W143" i="104"/>
  <c r="W146" i="104" s="1"/>
  <c r="M55" i="104"/>
  <c r="V39" i="97"/>
  <c r="N70" i="104" s="1"/>
  <c r="X140" i="104"/>
  <c r="U140" i="104"/>
  <c r="S39" i="97"/>
  <c r="K70" i="104" s="1"/>
  <c r="Y125" i="104"/>
  <c r="Z125" i="104" s="1"/>
  <c r="W33" i="97"/>
  <c r="Y140" i="104"/>
  <c r="W39" i="97"/>
  <c r="O70" i="104" s="1"/>
  <c r="T140" i="104"/>
  <c r="R39" i="97"/>
  <c r="J70" i="104" s="1"/>
  <c r="L55" i="104"/>
  <c r="V143" i="104"/>
  <c r="V146" i="104" s="1"/>
  <c r="W16" i="107"/>
  <c r="AX68" i="112"/>
  <c r="AY65" i="112" s="1"/>
  <c r="AX84" i="112"/>
  <c r="F57" i="112" s="1"/>
  <c r="AX88" i="112"/>
  <c r="E14" i="79"/>
  <c r="E73" i="93" s="1"/>
  <c r="E78" i="93" s="1"/>
  <c r="E81" i="93" s="1"/>
  <c r="G90" i="112"/>
  <c r="F91" i="112"/>
  <c r="AY52" i="112"/>
  <c r="AY53" i="112" s="1"/>
  <c r="AW158" i="112"/>
  <c r="AW159" i="112" s="1"/>
  <c r="G23" i="110"/>
  <c r="G126" i="110" s="1"/>
  <c r="AY46" i="112"/>
  <c r="AW148" i="112"/>
  <c r="E116" i="112" s="1"/>
  <c r="Q63" i="74"/>
  <c r="R63" i="74" s="1"/>
  <c r="S63" i="74" s="1"/>
  <c r="G80" i="112"/>
  <c r="G54" i="112"/>
  <c r="G86" i="112"/>
  <c r="G55" i="112"/>
  <c r="AY100" i="112"/>
  <c r="AX122" i="112"/>
  <c r="AX123" i="112" s="1"/>
  <c r="B147" i="94"/>
  <c r="C31" i="94"/>
  <c r="C88" i="94"/>
  <c r="G15" i="109"/>
  <c r="C15" i="109"/>
  <c r="E122" i="110"/>
  <c r="E123" i="110" s="1"/>
  <c r="I15" i="109"/>
  <c r="E15" i="109"/>
  <c r="D15" i="109"/>
  <c r="Y7" i="110"/>
  <c r="H15" i="109"/>
  <c r="F15" i="109"/>
  <c r="AZ37" i="112"/>
  <c r="AZ58" i="112"/>
  <c r="AP95" i="109"/>
  <c r="AP24" i="109"/>
  <c r="AS24" i="109"/>
  <c r="AS95" i="109"/>
  <c r="C43" i="94"/>
  <c r="D35" i="94"/>
  <c r="C51" i="94"/>
  <c r="I80" i="79"/>
  <c r="I112" i="79"/>
  <c r="I113" i="79" s="1"/>
  <c r="AX143" i="112"/>
  <c r="E95" i="112"/>
  <c r="AW92" i="112"/>
  <c r="AY25" i="112"/>
  <c r="H69" i="102"/>
  <c r="R54" i="102"/>
  <c r="AX104" i="112"/>
  <c r="AX115" i="112" s="1"/>
  <c r="AX116" i="112" s="1"/>
  <c r="E111" i="112"/>
  <c r="F108" i="112" s="1"/>
  <c r="AW131" i="112"/>
  <c r="AX128" i="112" s="1"/>
  <c r="C32" i="94"/>
  <c r="B148" i="94"/>
  <c r="C89" i="94"/>
  <c r="P15" i="109"/>
  <c r="L15" i="109"/>
  <c r="R15" i="109"/>
  <c r="N15" i="109"/>
  <c r="M15" i="109"/>
  <c r="O15" i="109"/>
  <c r="Y23" i="110"/>
  <c r="Q15" i="109"/>
  <c r="B150" i="94"/>
  <c r="C34" i="94"/>
  <c r="C91" i="94"/>
  <c r="AH15" i="109"/>
  <c r="AD15" i="109"/>
  <c r="Y55" i="110"/>
  <c r="AJ15" i="109"/>
  <c r="AF15" i="109"/>
  <c r="AE15" i="109"/>
  <c r="AG15" i="109"/>
  <c r="AI15" i="109"/>
  <c r="S26" i="74"/>
  <c r="S24" i="74"/>
  <c r="S23" i="74"/>
  <c r="S21" i="74"/>
  <c r="S20" i="74"/>
  <c r="S22" i="74"/>
  <c r="S25" i="74"/>
  <c r="AR95" i="109"/>
  <c r="AR24" i="109"/>
  <c r="AM24" i="109"/>
  <c r="AM95" i="109"/>
  <c r="B158" i="94"/>
  <c r="C151" i="94"/>
  <c r="B166" i="94"/>
  <c r="AM175" i="109"/>
  <c r="F16" i="79"/>
  <c r="D19" i="79"/>
  <c r="D21" i="79" s="1"/>
  <c r="D73" i="93"/>
  <c r="D78" i="93" s="1"/>
  <c r="D81" i="93" s="1"/>
  <c r="G10" i="102"/>
  <c r="G14" i="102" s="1"/>
  <c r="G70" i="102"/>
  <c r="Q55" i="102"/>
  <c r="Q57" i="102" s="1"/>
  <c r="Q61" i="102" s="1"/>
  <c r="AX107" i="112"/>
  <c r="AW108" i="112"/>
  <c r="AW112" i="112" s="1"/>
  <c r="F85" i="112"/>
  <c r="AY31" i="112"/>
  <c r="AY32" i="112" s="1"/>
  <c r="AZ17" i="112"/>
  <c r="AZ18" i="112" s="1"/>
  <c r="C33" i="94"/>
  <c r="C90" i="94"/>
  <c r="B149" i="94"/>
  <c r="Y15" i="109"/>
  <c r="U15" i="109"/>
  <c r="AA15" i="109"/>
  <c r="W15" i="109"/>
  <c r="V15" i="109"/>
  <c r="Z15" i="109"/>
  <c r="X15" i="109"/>
  <c r="F55" i="32"/>
  <c r="Y39" i="110"/>
  <c r="M36" i="74"/>
  <c r="N36" i="74" s="1"/>
  <c r="M34" i="74"/>
  <c r="N34" i="74" s="1"/>
  <c r="M35" i="74"/>
  <c r="N35" i="74" s="1"/>
  <c r="M33" i="74"/>
  <c r="L96" i="74"/>
  <c r="K78" i="79"/>
  <c r="AN95" i="109"/>
  <c r="AN24" i="109"/>
  <c r="AQ24" i="109"/>
  <c r="AQ95" i="109"/>
  <c r="AX95" i="112"/>
  <c r="AY79" i="112"/>
  <c r="Q18" i="102"/>
  <c r="F53" i="102"/>
  <c r="N67" i="74"/>
  <c r="H70" i="102"/>
  <c r="R55" i="102"/>
  <c r="F102" i="112"/>
  <c r="F77" i="112"/>
  <c r="AX29" i="112"/>
  <c r="E110" i="112"/>
  <c r="E59" i="112"/>
  <c r="AY44" i="112"/>
  <c r="AX45" i="112"/>
  <c r="AX49" i="112" s="1"/>
  <c r="AY62" i="112"/>
  <c r="AY73" i="112" s="1"/>
  <c r="AY74" i="112" s="1"/>
  <c r="Y72" i="110"/>
  <c r="E18" i="110"/>
  <c r="AO24" i="109"/>
  <c r="AO95" i="109"/>
  <c r="C108" i="94"/>
  <c r="D92" i="94"/>
  <c r="C100" i="94"/>
  <c r="E103" i="112"/>
  <c r="N54" i="74"/>
  <c r="H65" i="115" l="1"/>
  <c r="H66" i="118"/>
  <c r="O55" i="104"/>
  <c r="Y143" i="104"/>
  <c r="Y146" i="104" s="1"/>
  <c r="K55" i="104"/>
  <c r="U143" i="104"/>
  <c r="U146" i="104" s="1"/>
  <c r="M67" i="104"/>
  <c r="Y206" i="109"/>
  <c r="M93" i="104"/>
  <c r="M119" i="104" s="1"/>
  <c r="M136" i="104" s="1"/>
  <c r="S143" i="104"/>
  <c r="S146" i="104" s="1"/>
  <c r="I55" i="104"/>
  <c r="L67" i="104"/>
  <c r="X206" i="109"/>
  <c r="L93" i="104"/>
  <c r="L119" i="104" s="1"/>
  <c r="L136" i="104" s="1"/>
  <c r="I66" i="118"/>
  <c r="I65" i="115"/>
  <c r="J55" i="104"/>
  <c r="T143" i="104"/>
  <c r="T146" i="104" s="1"/>
  <c r="W36" i="97"/>
  <c r="Y33" i="97"/>
  <c r="Y36" i="97" s="1"/>
  <c r="Z17" i="107"/>
  <c r="AA17" i="107"/>
  <c r="AB17" i="107" s="1"/>
  <c r="Y17" i="107"/>
  <c r="W17" i="107"/>
  <c r="X143" i="104"/>
  <c r="X146" i="104" s="1"/>
  <c r="N55" i="104"/>
  <c r="AW129" i="112"/>
  <c r="AW133" i="112" s="1"/>
  <c r="AW134" i="112" s="1"/>
  <c r="F98" i="112"/>
  <c r="E19" i="79"/>
  <c r="E21" i="79" s="1"/>
  <c r="AY63" i="112"/>
  <c r="G56" i="112" s="1"/>
  <c r="AX66" i="112"/>
  <c r="AX70" i="112" s="1"/>
  <c r="AX71" i="112" s="1"/>
  <c r="H10" i="102"/>
  <c r="H14" i="102" s="1"/>
  <c r="B174" i="94"/>
  <c r="Q62" i="110"/>
  <c r="AN68" i="109" s="1"/>
  <c r="AN82" i="109" s="1"/>
  <c r="Q49" i="110"/>
  <c r="AI68" i="109" s="1"/>
  <c r="AI82" i="109" s="1"/>
  <c r="G24" i="110"/>
  <c r="E60" i="112"/>
  <c r="E61" i="112" s="1"/>
  <c r="E73" i="112" s="1"/>
  <c r="E83" i="96" s="1"/>
  <c r="S27" i="74"/>
  <c r="L78" i="79" s="1"/>
  <c r="I10" i="79" s="1"/>
  <c r="F105" i="112"/>
  <c r="G102" i="112" s="1"/>
  <c r="AX110" i="112"/>
  <c r="AY107" i="112" s="1"/>
  <c r="G93" i="112"/>
  <c r="H90" i="112" s="1"/>
  <c r="AY68" i="112"/>
  <c r="AZ65" i="112" s="1"/>
  <c r="O51" i="74"/>
  <c r="P51" i="74" s="1"/>
  <c r="O47" i="74"/>
  <c r="O48" i="74"/>
  <c r="P48" i="74" s="1"/>
  <c r="C116" i="94"/>
  <c r="F83" i="112"/>
  <c r="AX50" i="112"/>
  <c r="O64" i="74"/>
  <c r="P64" i="74" s="1"/>
  <c r="O60" i="74"/>
  <c r="O62" i="74"/>
  <c r="P62" i="74" s="1"/>
  <c r="O61" i="74"/>
  <c r="P61" i="74" s="1"/>
  <c r="F99" i="112"/>
  <c r="AX89" i="112"/>
  <c r="AN180" i="109"/>
  <c r="AN94" i="109"/>
  <c r="AN93" i="109"/>
  <c r="AN92" i="109"/>
  <c r="AN91" i="109"/>
  <c r="AN105" i="109" s="1"/>
  <c r="AN109" i="109"/>
  <c r="AN123" i="109" s="1"/>
  <c r="AN90" i="109"/>
  <c r="AN104" i="109" s="1"/>
  <c r="AN118" i="109" s="1"/>
  <c r="M40" i="74"/>
  <c r="N33" i="74"/>
  <c r="E16" i="110"/>
  <c r="Y40" i="110"/>
  <c r="V95" i="109"/>
  <c r="V24" i="109"/>
  <c r="Y24" i="109"/>
  <c r="Y95" i="109"/>
  <c r="G81" i="112"/>
  <c r="AY26" i="112"/>
  <c r="AZ23" i="112" s="1"/>
  <c r="C166" i="94"/>
  <c r="D151" i="94"/>
  <c r="C158" i="94"/>
  <c r="AN175" i="109"/>
  <c r="AE95" i="109"/>
  <c r="AE24" i="109"/>
  <c r="AD95" i="109"/>
  <c r="AD24" i="109"/>
  <c r="B165" i="94"/>
  <c r="C150" i="94"/>
  <c r="B157" i="94"/>
  <c r="AD175" i="109"/>
  <c r="M95" i="109"/>
  <c r="M24" i="109"/>
  <c r="P24" i="109"/>
  <c r="P95" i="109"/>
  <c r="AX144" i="112"/>
  <c r="C59" i="94"/>
  <c r="AP180" i="109"/>
  <c r="AP109" i="109"/>
  <c r="AP123" i="109" s="1"/>
  <c r="AP93" i="109"/>
  <c r="AP92" i="109"/>
  <c r="AP91" i="109"/>
  <c r="AP105" i="109" s="1"/>
  <c r="AP94" i="109"/>
  <c r="AP90" i="109"/>
  <c r="AP104" i="109" s="1"/>
  <c r="AP118" i="109" s="1"/>
  <c r="AZ38" i="112"/>
  <c r="AZ39" i="112" s="1"/>
  <c r="H95" i="109"/>
  <c r="H24" i="109"/>
  <c r="I24" i="109"/>
  <c r="I95" i="109"/>
  <c r="C93" i="94"/>
  <c r="C104" i="94"/>
  <c r="D88" i="94"/>
  <c r="C96" i="94"/>
  <c r="AY121" i="112"/>
  <c r="AF68" i="109"/>
  <c r="AF82" i="109" s="1"/>
  <c r="D100" i="94"/>
  <c r="E92" i="94"/>
  <c r="D108" i="94"/>
  <c r="F65" i="102"/>
  <c r="F75" i="102" s="1"/>
  <c r="F89" i="102" s="1"/>
  <c r="F61" i="102"/>
  <c r="Q8" i="102" s="1"/>
  <c r="D51" i="96"/>
  <c r="D66" i="96" s="1"/>
  <c r="AQ180" i="109"/>
  <c r="AQ109" i="109"/>
  <c r="AQ123" i="109" s="1"/>
  <c r="AQ90" i="109"/>
  <c r="AQ104" i="109" s="1"/>
  <c r="AQ118" i="109" s="1"/>
  <c r="AQ94" i="109"/>
  <c r="AQ93" i="109"/>
  <c r="AQ92" i="109"/>
  <c r="AQ91" i="109"/>
  <c r="AQ105" i="109" s="1"/>
  <c r="K7" i="102"/>
  <c r="K8" i="102" s="1"/>
  <c r="H10" i="79"/>
  <c r="U44" i="97"/>
  <c r="Q44" i="97"/>
  <c r="X44" i="97"/>
  <c r="T44" i="97"/>
  <c r="V44" i="97"/>
  <c r="S44" i="97"/>
  <c r="F56" i="32"/>
  <c r="F59" i="32" s="1"/>
  <c r="R44" i="97"/>
  <c r="W44" i="97"/>
  <c r="W24" i="109"/>
  <c r="W95" i="109"/>
  <c r="B156" i="94"/>
  <c r="C149" i="94"/>
  <c r="B164" i="94"/>
  <c r="E133" i="110"/>
  <c r="U175" i="109"/>
  <c r="BA16" i="112"/>
  <c r="F75" i="93"/>
  <c r="I11" i="102"/>
  <c r="AR180" i="109"/>
  <c r="AR94" i="109"/>
  <c r="AR93" i="109"/>
  <c r="AR92" i="109"/>
  <c r="AR91" i="109"/>
  <c r="AR105" i="109" s="1"/>
  <c r="AR90" i="109"/>
  <c r="AR104" i="109" s="1"/>
  <c r="AR118" i="109" s="1"/>
  <c r="AR109" i="109"/>
  <c r="AR123" i="109" s="1"/>
  <c r="AF24" i="109"/>
  <c r="AF95" i="109"/>
  <c r="AH24" i="109"/>
  <c r="AH95" i="109"/>
  <c r="Q95" i="109"/>
  <c r="Q24" i="109"/>
  <c r="N24" i="109"/>
  <c r="N95" i="109"/>
  <c r="C97" i="94"/>
  <c r="D89" i="94"/>
  <c r="C105" i="94"/>
  <c r="AX109" i="112"/>
  <c r="AW153" i="112"/>
  <c r="E117" i="112"/>
  <c r="E115" i="112" s="1"/>
  <c r="AS180" i="109"/>
  <c r="AS109" i="109"/>
  <c r="AS123" i="109" s="1"/>
  <c r="AS90" i="109"/>
  <c r="AS104" i="109" s="1"/>
  <c r="AS118" i="109" s="1"/>
  <c r="AS92" i="109"/>
  <c r="AS91" i="109"/>
  <c r="AS105" i="109" s="1"/>
  <c r="AS94" i="109"/>
  <c r="AS93" i="109"/>
  <c r="AZ59" i="112"/>
  <c r="AZ60" i="112" s="1"/>
  <c r="I115" i="79"/>
  <c r="H38" i="110"/>
  <c r="Y8" i="110"/>
  <c r="E14" i="110"/>
  <c r="C39" i="94"/>
  <c r="D31" i="94"/>
  <c r="C47" i="94"/>
  <c r="AY101" i="112"/>
  <c r="E121" i="112"/>
  <c r="AY67" i="112"/>
  <c r="F94" i="102"/>
  <c r="F96" i="102" s="1"/>
  <c r="Q19" i="102"/>
  <c r="N25" i="96" s="1"/>
  <c r="X95" i="109"/>
  <c r="X24" i="109"/>
  <c r="AA24" i="109"/>
  <c r="AA95" i="109"/>
  <c r="C98" i="94"/>
  <c r="C106" i="94"/>
  <c r="D90" i="94"/>
  <c r="U90" i="109"/>
  <c r="AZ20" i="112"/>
  <c r="AZ25" i="112" s="1"/>
  <c r="E101" i="112"/>
  <c r="AW113" i="112"/>
  <c r="F37" i="110"/>
  <c r="F40" i="110" s="1"/>
  <c r="F9" i="110" s="1"/>
  <c r="G36" i="102"/>
  <c r="G37" i="102" s="1"/>
  <c r="G42" i="102" s="1"/>
  <c r="G46" i="102" s="1"/>
  <c r="G50" i="102" s="1"/>
  <c r="AM190" i="109"/>
  <c r="AM220" i="109"/>
  <c r="AM180" i="109"/>
  <c r="AM109" i="109"/>
  <c r="AM123" i="109" s="1"/>
  <c r="AM90" i="109"/>
  <c r="AM104" i="109" s="1"/>
  <c r="AM118" i="109" s="1"/>
  <c r="AM91" i="109"/>
  <c r="AM105" i="109" s="1"/>
  <c r="AM93" i="109"/>
  <c r="AM94" i="109"/>
  <c r="AM92" i="109"/>
  <c r="AI95" i="109"/>
  <c r="AI24" i="109"/>
  <c r="AJ24" i="109"/>
  <c r="AJ95" i="109"/>
  <c r="C107" i="94"/>
  <c r="D91" i="94"/>
  <c r="C99" i="94"/>
  <c r="Y24" i="110"/>
  <c r="E15" i="110"/>
  <c r="R24" i="109"/>
  <c r="R95" i="109"/>
  <c r="B163" i="94"/>
  <c r="B155" i="94"/>
  <c r="C148" i="94"/>
  <c r="AX105" i="112"/>
  <c r="R57" i="102"/>
  <c r="R61" i="102" s="1"/>
  <c r="J105" i="79"/>
  <c r="D95" i="109"/>
  <c r="D24" i="109"/>
  <c r="C24" i="109"/>
  <c r="C95" i="109"/>
  <c r="B154" i="94"/>
  <c r="B162" i="94"/>
  <c r="C147" i="94"/>
  <c r="AO109" i="109"/>
  <c r="AO123" i="109" s="1"/>
  <c r="AO90" i="109"/>
  <c r="AO104" i="109" s="1"/>
  <c r="AO118" i="109" s="1"/>
  <c r="AO180" i="109"/>
  <c r="AO94" i="109"/>
  <c r="AO93" i="109"/>
  <c r="AO92" i="109"/>
  <c r="AO91" i="109"/>
  <c r="AO105" i="109" s="1"/>
  <c r="G92" i="112"/>
  <c r="E109" i="112"/>
  <c r="AY80" i="112"/>
  <c r="AY81" i="112" s="1"/>
  <c r="Z95" i="109"/>
  <c r="Z24" i="109"/>
  <c r="U24" i="109"/>
  <c r="U95" i="109"/>
  <c r="D33" i="94"/>
  <c r="C49" i="94"/>
  <c r="C41" i="94"/>
  <c r="AG95" i="109"/>
  <c r="AG24" i="109"/>
  <c r="E17" i="110"/>
  <c r="Y56" i="110"/>
  <c r="C50" i="94"/>
  <c r="C42" i="94"/>
  <c r="D34" i="94"/>
  <c r="O95" i="109"/>
  <c r="O24" i="109"/>
  <c r="L24" i="109"/>
  <c r="L95" i="109"/>
  <c r="D32" i="94"/>
  <c r="C48" i="94"/>
  <c r="C40" i="94"/>
  <c r="F15" i="79"/>
  <c r="D43" i="94"/>
  <c r="E35" i="94"/>
  <c r="D51" i="94"/>
  <c r="G87" i="112"/>
  <c r="H84" i="112" s="1"/>
  <c r="AY47" i="112"/>
  <c r="AZ44" i="112" s="1"/>
  <c r="F95" i="109"/>
  <c r="F24" i="109"/>
  <c r="E24" i="109"/>
  <c r="E95" i="109"/>
  <c r="G24" i="109"/>
  <c r="G95" i="109"/>
  <c r="AX125" i="112"/>
  <c r="AX136" i="112" s="1"/>
  <c r="AX137" i="112" s="1"/>
  <c r="V206" i="109" l="1"/>
  <c r="J93" i="104"/>
  <c r="J119" i="104" s="1"/>
  <c r="J136" i="104" s="1"/>
  <c r="J67" i="104"/>
  <c r="W206" i="109"/>
  <c r="K93" i="104"/>
  <c r="K119" i="104" s="1"/>
  <c r="K136" i="104" s="1"/>
  <c r="K67" i="104"/>
  <c r="W18" i="107"/>
  <c r="W19" i="107" s="1"/>
  <c r="Z18" i="107"/>
  <c r="AA18" i="107"/>
  <c r="AB18" i="107" s="1"/>
  <c r="Y18" i="107"/>
  <c r="I67" i="104"/>
  <c r="I93" i="104"/>
  <c r="I119" i="104" s="1"/>
  <c r="I136" i="104" s="1"/>
  <c r="U206" i="109"/>
  <c r="AA206" i="109"/>
  <c r="O93" i="104"/>
  <c r="O119" i="104" s="1"/>
  <c r="O136" i="104" s="1"/>
  <c r="O67" i="104"/>
  <c r="Z206" i="109"/>
  <c r="N93" i="104"/>
  <c r="N119" i="104" s="1"/>
  <c r="N136" i="104" s="1"/>
  <c r="N67" i="104"/>
  <c r="F66" i="118"/>
  <c r="F65" i="115"/>
  <c r="E66" i="118"/>
  <c r="E65" i="115"/>
  <c r="G65" i="115"/>
  <c r="G66" i="118"/>
  <c r="AE68" i="109"/>
  <c r="AE82" i="109" s="1"/>
  <c r="AH68" i="109"/>
  <c r="AH82" i="109" s="1"/>
  <c r="F97" i="112"/>
  <c r="AR68" i="109"/>
  <c r="AR82" i="109" s="1"/>
  <c r="F89" i="112"/>
  <c r="AJ68" i="109"/>
  <c r="AJ82" i="109" s="1"/>
  <c r="AG68" i="109"/>
  <c r="AG82" i="109" s="1"/>
  <c r="AS68" i="109"/>
  <c r="AS82" i="109" s="1"/>
  <c r="E107" i="112"/>
  <c r="B171" i="94"/>
  <c r="AD68" i="109"/>
  <c r="AD82" i="109" s="1"/>
  <c r="AM68" i="109"/>
  <c r="AM82" i="109" s="1"/>
  <c r="AO68" i="109"/>
  <c r="AO82" i="109" s="1"/>
  <c r="G91" i="112"/>
  <c r="AY66" i="112"/>
  <c r="AY70" i="112" s="1"/>
  <c r="AY71" i="112" s="1"/>
  <c r="G127" i="110"/>
  <c r="G128" i="110" s="1"/>
  <c r="B173" i="94"/>
  <c r="AP68" i="109"/>
  <c r="AP82" i="109" s="1"/>
  <c r="AQ68" i="109"/>
  <c r="AQ82" i="109" s="1"/>
  <c r="AZ31" i="112"/>
  <c r="AZ32" i="112" s="1"/>
  <c r="AZ26" i="112" s="1"/>
  <c r="BA23" i="112" s="1"/>
  <c r="G85" i="112"/>
  <c r="B167" i="94"/>
  <c r="AZ21" i="112"/>
  <c r="H80" i="112" s="1"/>
  <c r="D116" i="94"/>
  <c r="AY24" i="112"/>
  <c r="AY28" i="112" s="1"/>
  <c r="C52" i="94"/>
  <c r="E120" i="112"/>
  <c r="AX131" i="112"/>
  <c r="AY128" i="112" s="1"/>
  <c r="F111" i="112"/>
  <c r="G108" i="112" s="1"/>
  <c r="I13" i="102"/>
  <c r="F74" i="93"/>
  <c r="Q16" i="115"/>
  <c r="Q17" i="115" s="1"/>
  <c r="Q19" i="115" s="1"/>
  <c r="E34" i="94"/>
  <c r="D50" i="94"/>
  <c r="D42" i="94"/>
  <c r="AO108" i="109"/>
  <c r="AO122" i="109" s="1"/>
  <c r="AO179" i="109"/>
  <c r="C162" i="94"/>
  <c r="D147" i="94"/>
  <c r="C154" i="94"/>
  <c r="AI109" i="109"/>
  <c r="AI123" i="109" s="1"/>
  <c r="AI94" i="109"/>
  <c r="AI91" i="109"/>
  <c r="AI105" i="109" s="1"/>
  <c r="AI119" i="109" s="1"/>
  <c r="AI90" i="109"/>
  <c r="AI104" i="109" s="1"/>
  <c r="AI118" i="109" s="1"/>
  <c r="AM264" i="109"/>
  <c r="AM234" i="109"/>
  <c r="Y89" i="110"/>
  <c r="Y12" i="110"/>
  <c r="BA58" i="112"/>
  <c r="AS177" i="109"/>
  <c r="AS106" i="109"/>
  <c r="AS120" i="109" s="1"/>
  <c r="AR179" i="109"/>
  <c r="AR108" i="109"/>
  <c r="AR122" i="109" s="1"/>
  <c r="W180" i="109"/>
  <c r="W109" i="109"/>
  <c r="W123" i="109" s="1"/>
  <c r="W94" i="109"/>
  <c r="W93" i="109"/>
  <c r="R7" i="102"/>
  <c r="O82" i="96"/>
  <c r="C112" i="94"/>
  <c r="C101" i="94"/>
  <c r="AX147" i="112"/>
  <c r="AX152" i="112" s="1"/>
  <c r="L7" i="102"/>
  <c r="L8" i="102" s="1"/>
  <c r="D166" i="94"/>
  <c r="E151" i="94"/>
  <c r="D158" i="94"/>
  <c r="AM176" i="109"/>
  <c r="AO175" i="109"/>
  <c r="O54" i="74"/>
  <c r="P47" i="74"/>
  <c r="AX130" i="112"/>
  <c r="E51" i="94"/>
  <c r="F51" i="94" s="1"/>
  <c r="E43" i="94"/>
  <c r="U180" i="109"/>
  <c r="U109" i="109"/>
  <c r="U123" i="109" s="1"/>
  <c r="U94" i="109"/>
  <c r="U93" i="109"/>
  <c r="C114" i="94"/>
  <c r="X180" i="109"/>
  <c r="X109" i="109"/>
  <c r="X123" i="109" s="1"/>
  <c r="X93" i="109"/>
  <c r="X94" i="109"/>
  <c r="BA17" i="112"/>
  <c r="I83" i="104"/>
  <c r="I90" i="104" s="1"/>
  <c r="I6" i="104" s="1"/>
  <c r="I9" i="104" s="1"/>
  <c r="Y44" i="97"/>
  <c r="Q50" i="97"/>
  <c r="F12" i="97" s="1"/>
  <c r="H72" i="93"/>
  <c r="H11" i="79"/>
  <c r="AQ177" i="109"/>
  <c r="AQ106" i="109"/>
  <c r="AQ120" i="109" s="1"/>
  <c r="AZ41" i="112"/>
  <c r="AZ42" i="112" s="1"/>
  <c r="AP177" i="109"/>
  <c r="AP106" i="109"/>
  <c r="AP120" i="109" s="1"/>
  <c r="C157" i="94"/>
  <c r="D150" i="94"/>
  <c r="C165" i="94"/>
  <c r="AX126" i="112"/>
  <c r="C57" i="94"/>
  <c r="AO177" i="109"/>
  <c r="AO106" i="109"/>
  <c r="AO120" i="109" s="1"/>
  <c r="B170" i="94"/>
  <c r="B159" i="94"/>
  <c r="F58" i="112"/>
  <c r="F104" i="112"/>
  <c r="C115" i="94"/>
  <c r="G106" i="102"/>
  <c r="G107" i="102" s="1"/>
  <c r="V90" i="109"/>
  <c r="U104" i="109"/>
  <c r="U118" i="109" s="1"/>
  <c r="AY104" i="112"/>
  <c r="AY115" i="112" s="1"/>
  <c r="G180" i="109"/>
  <c r="G109" i="109"/>
  <c r="G123" i="109" s="1"/>
  <c r="G94" i="109"/>
  <c r="G108" i="109" s="1"/>
  <c r="G122" i="109" s="1"/>
  <c r="G91" i="109"/>
  <c r="G90" i="109"/>
  <c r="G93" i="109"/>
  <c r="G92" i="109"/>
  <c r="G106" i="109" s="1"/>
  <c r="G120" i="109" s="1"/>
  <c r="D48" i="94"/>
  <c r="D40" i="94"/>
  <c r="E32" i="94"/>
  <c r="O180" i="109"/>
  <c r="O109" i="109"/>
  <c r="O123" i="109" s="1"/>
  <c r="O93" i="109"/>
  <c r="O92" i="109"/>
  <c r="O94" i="109"/>
  <c r="O90" i="109"/>
  <c r="O91" i="109"/>
  <c r="AO178" i="109"/>
  <c r="AO107" i="109"/>
  <c r="AO121" i="109" s="1"/>
  <c r="C180" i="109"/>
  <c r="C94" i="109"/>
  <c r="C109" i="109"/>
  <c r="C123" i="109" s="1"/>
  <c r="C91" i="109"/>
  <c r="C90" i="109"/>
  <c r="C93" i="109"/>
  <c r="C107" i="109" s="1"/>
  <c r="C121" i="109" s="1"/>
  <c r="C92" i="109"/>
  <c r="J93" i="79"/>
  <c r="J94" i="79" s="1"/>
  <c r="J97" i="79" s="1"/>
  <c r="J106" i="79"/>
  <c r="C155" i="94"/>
  <c r="D148" i="94"/>
  <c r="C163" i="94"/>
  <c r="E91" i="94"/>
  <c r="D107" i="94"/>
  <c r="D99" i="94"/>
  <c r="AD92" i="109"/>
  <c r="AM178" i="109"/>
  <c r="AM107" i="109"/>
  <c r="AM121" i="109" s="1"/>
  <c r="AM225" i="109"/>
  <c r="AM195" i="109"/>
  <c r="E10" i="93"/>
  <c r="P46" i="110"/>
  <c r="P59" i="110"/>
  <c r="P61" i="110" s="1"/>
  <c r="P10" i="110"/>
  <c r="F11" i="110"/>
  <c r="F121" i="110"/>
  <c r="D106" i="94"/>
  <c r="E90" i="94"/>
  <c r="D98" i="94"/>
  <c r="AY102" i="112"/>
  <c r="E19" i="110"/>
  <c r="D35" i="96" s="1"/>
  <c r="AZ62" i="112"/>
  <c r="AZ63" i="112" s="1"/>
  <c r="H56" i="112" s="1"/>
  <c r="AS225" i="109"/>
  <c r="AS195" i="109"/>
  <c r="AX108" i="112"/>
  <c r="AX112" i="112" s="1"/>
  <c r="N180" i="109"/>
  <c r="N109" i="109"/>
  <c r="N123" i="109" s="1"/>
  <c r="N91" i="109"/>
  <c r="N90" i="109"/>
  <c r="N94" i="109"/>
  <c r="N93" i="109"/>
  <c r="N92" i="109"/>
  <c r="AH91" i="109"/>
  <c r="AH105" i="109" s="1"/>
  <c r="AH119" i="109" s="1"/>
  <c r="AH90" i="109"/>
  <c r="AH104" i="109" s="1"/>
  <c r="AH118" i="109" s="1"/>
  <c r="AH109" i="109"/>
  <c r="AH123" i="109" s="1"/>
  <c r="AH94" i="109"/>
  <c r="AR107" i="109"/>
  <c r="AR121" i="109" s="1"/>
  <c r="AR178" i="109"/>
  <c r="U220" i="109"/>
  <c r="U190" i="109"/>
  <c r="V175" i="109"/>
  <c r="B172" i="94"/>
  <c r="J83" i="104"/>
  <c r="L83" i="104"/>
  <c r="AQ179" i="109"/>
  <c r="AQ108" i="109"/>
  <c r="AQ122" i="109" s="1"/>
  <c r="E100" i="94"/>
  <c r="E108" i="94"/>
  <c r="F108" i="94" s="1"/>
  <c r="H180" i="109"/>
  <c r="H93" i="109"/>
  <c r="H92" i="109"/>
  <c r="H106" i="109" s="1"/>
  <c r="H120" i="109" s="1"/>
  <c r="H94" i="109"/>
  <c r="H108" i="109" s="1"/>
  <c r="H122" i="109" s="1"/>
  <c r="H91" i="109"/>
  <c r="H90" i="109"/>
  <c r="H109" i="109"/>
  <c r="H123" i="109" s="1"/>
  <c r="AP179" i="109"/>
  <c r="AP108" i="109"/>
  <c r="AP122" i="109" s="1"/>
  <c r="P180" i="109"/>
  <c r="P94" i="109"/>
  <c r="P91" i="109"/>
  <c r="P90" i="109"/>
  <c r="P92" i="109"/>
  <c r="P93" i="109"/>
  <c r="P109" i="109"/>
  <c r="P123" i="109" s="1"/>
  <c r="AD220" i="109"/>
  <c r="AD190" i="109"/>
  <c r="AE175" i="109"/>
  <c r="AD176" i="109"/>
  <c r="C174" i="94"/>
  <c r="Y94" i="109"/>
  <c r="Y180" i="109"/>
  <c r="Y109" i="109"/>
  <c r="Y123" i="109" s="1"/>
  <c r="Y93" i="109"/>
  <c r="AN178" i="109"/>
  <c r="AN107" i="109"/>
  <c r="AN121" i="109" s="1"/>
  <c r="G96" i="112"/>
  <c r="F180" i="109"/>
  <c r="F109" i="109"/>
  <c r="F123" i="109" s="1"/>
  <c r="F93" i="109"/>
  <c r="F92" i="109"/>
  <c r="F106" i="109" s="1"/>
  <c r="F120" i="109" s="1"/>
  <c r="F94" i="109"/>
  <c r="F108" i="109" s="1"/>
  <c r="F122" i="109" s="1"/>
  <c r="F91" i="109"/>
  <c r="F90" i="109"/>
  <c r="L94" i="109"/>
  <c r="L91" i="109"/>
  <c r="L90" i="109"/>
  <c r="L109" i="109"/>
  <c r="L123" i="109" s="1"/>
  <c r="L93" i="109"/>
  <c r="L180" i="109"/>
  <c r="L92" i="109"/>
  <c r="D49" i="94"/>
  <c r="E33" i="94"/>
  <c r="D41" i="94"/>
  <c r="Z180" i="109"/>
  <c r="Z93" i="109"/>
  <c r="Z109" i="109"/>
  <c r="Z123" i="109" s="1"/>
  <c r="Z94" i="109"/>
  <c r="AZ79" i="112"/>
  <c r="F114" i="112"/>
  <c r="F119" i="112" s="1"/>
  <c r="E122" i="112"/>
  <c r="E16" i="96" s="1"/>
  <c r="D85" i="93" s="1"/>
  <c r="P81" i="97"/>
  <c r="P7" i="97"/>
  <c r="Q7" i="97" s="1"/>
  <c r="F70" i="32"/>
  <c r="F61" i="32"/>
  <c r="F62" i="32" s="1"/>
  <c r="F64" i="32" s="1"/>
  <c r="I72" i="93"/>
  <c r="I11" i="79"/>
  <c r="I180" i="109"/>
  <c r="I109" i="109"/>
  <c r="I123" i="109" s="1"/>
  <c r="I91" i="109"/>
  <c r="I90" i="109"/>
  <c r="I94" i="109"/>
  <c r="I108" i="109" s="1"/>
  <c r="I122" i="109" s="1"/>
  <c r="I92" i="109"/>
  <c r="I106" i="109" s="1"/>
  <c r="I120" i="109" s="1"/>
  <c r="I93" i="109"/>
  <c r="BA37" i="112"/>
  <c r="AP195" i="109"/>
  <c r="AP225" i="109"/>
  <c r="AD91" i="109"/>
  <c r="AD105" i="109" s="1"/>
  <c r="AD119" i="109" s="1"/>
  <c r="AD90" i="109"/>
  <c r="AD104" i="109" s="1"/>
  <c r="AD118" i="109" s="1"/>
  <c r="AD109" i="109"/>
  <c r="AD123" i="109" s="1"/>
  <c r="AD94" i="109"/>
  <c r="H78" i="112"/>
  <c r="AN179" i="109"/>
  <c r="AN108" i="109"/>
  <c r="AN122" i="109" s="1"/>
  <c r="E109" i="109"/>
  <c r="E123" i="109" s="1"/>
  <c r="E91" i="109"/>
  <c r="E90" i="109"/>
  <c r="E94" i="109"/>
  <c r="E108" i="109" s="1"/>
  <c r="E122" i="109" s="1"/>
  <c r="E180" i="109"/>
  <c r="E93" i="109"/>
  <c r="E92" i="109"/>
  <c r="E106" i="109" s="1"/>
  <c r="E120" i="109" s="1"/>
  <c r="C56" i="94"/>
  <c r="C58" i="94"/>
  <c r="AY83" i="112"/>
  <c r="AY84" i="112" s="1"/>
  <c r="AO225" i="109"/>
  <c r="AO195" i="109"/>
  <c r="G79" i="112"/>
  <c r="G37" i="110"/>
  <c r="G40" i="110" s="1"/>
  <c r="G9" i="110" s="1"/>
  <c r="H36" i="102"/>
  <c r="H37" i="102" s="1"/>
  <c r="H42" i="102" s="1"/>
  <c r="H46" i="102" s="1"/>
  <c r="H50" i="102" s="1"/>
  <c r="AJ109" i="109"/>
  <c r="AJ123" i="109" s="1"/>
  <c r="AJ91" i="109"/>
  <c r="AJ105" i="109" s="1"/>
  <c r="AJ119" i="109" s="1"/>
  <c r="AJ90" i="109"/>
  <c r="AJ104" i="109" s="1"/>
  <c r="AJ118" i="109" s="1"/>
  <c r="AJ94" i="109"/>
  <c r="AM177" i="109"/>
  <c r="AM106" i="109"/>
  <c r="AM120" i="109" s="1"/>
  <c r="D39" i="94"/>
  <c r="D47" i="94"/>
  <c r="E31" i="94"/>
  <c r="AS178" i="109"/>
  <c r="AS107" i="109"/>
  <c r="AS121" i="109" s="1"/>
  <c r="AX150" i="112"/>
  <c r="AW151" i="112"/>
  <c r="AW155" i="112" s="1"/>
  <c r="D97" i="94"/>
  <c r="D105" i="94"/>
  <c r="E89" i="94"/>
  <c r="AF109" i="109"/>
  <c r="AF123" i="109" s="1"/>
  <c r="AF91" i="109"/>
  <c r="AF105" i="109" s="1"/>
  <c r="AF119" i="109" s="1"/>
  <c r="AF90" i="109"/>
  <c r="AF104" i="109" s="1"/>
  <c r="AF118" i="109" s="1"/>
  <c r="AF94" i="109"/>
  <c r="AR195" i="109"/>
  <c r="AR225" i="109"/>
  <c r="K83" i="104"/>
  <c r="F99" i="102"/>
  <c r="D96" i="94"/>
  <c r="E88" i="94"/>
  <c r="D93" i="94"/>
  <c r="D104" i="94"/>
  <c r="AX145" i="112"/>
  <c r="N40" i="74"/>
  <c r="AN195" i="109"/>
  <c r="AN225" i="109"/>
  <c r="D59" i="94"/>
  <c r="AG109" i="109"/>
  <c r="AG123" i="109" s="1"/>
  <c r="AG94" i="109"/>
  <c r="AG90" i="109"/>
  <c r="AG104" i="109" s="1"/>
  <c r="AG118" i="109" s="1"/>
  <c r="AG91" i="109"/>
  <c r="AG105" i="109" s="1"/>
  <c r="AG119" i="109" s="1"/>
  <c r="D180" i="109"/>
  <c r="D93" i="109"/>
  <c r="D92" i="109"/>
  <c r="D106" i="109" s="1"/>
  <c r="D120" i="109" s="1"/>
  <c r="D109" i="109"/>
  <c r="D123" i="109" s="1"/>
  <c r="D90" i="109"/>
  <c r="D94" i="109"/>
  <c r="D108" i="109" s="1"/>
  <c r="D122" i="109" s="1"/>
  <c r="D91" i="109"/>
  <c r="R109" i="109"/>
  <c r="R123" i="109" s="1"/>
  <c r="R180" i="109"/>
  <c r="R91" i="109"/>
  <c r="R90" i="109"/>
  <c r="R94" i="109"/>
  <c r="R93" i="109"/>
  <c r="R92" i="109"/>
  <c r="AM179" i="109"/>
  <c r="AM108" i="109"/>
  <c r="AM122" i="109" s="1"/>
  <c r="AA109" i="109"/>
  <c r="AA123" i="109" s="1"/>
  <c r="AA94" i="109"/>
  <c r="AA180" i="109"/>
  <c r="AA93" i="109"/>
  <c r="C55" i="94"/>
  <c r="C44" i="94"/>
  <c r="I99" i="79"/>
  <c r="I44" i="102" s="1"/>
  <c r="H39" i="110"/>
  <c r="H42" i="110" s="1"/>
  <c r="G12" i="93" s="1"/>
  <c r="I117" i="79"/>
  <c r="I101" i="79" s="1"/>
  <c r="T12" i="102" s="1"/>
  <c r="AS179" i="109"/>
  <c r="AS108" i="109"/>
  <c r="AS122" i="109" s="1"/>
  <c r="C113" i="94"/>
  <c r="Q180" i="109"/>
  <c r="Q109" i="109"/>
  <c r="Q123" i="109" s="1"/>
  <c r="Q93" i="109"/>
  <c r="Q92" i="109"/>
  <c r="Q94" i="109"/>
  <c r="Q91" i="109"/>
  <c r="Q90" i="109"/>
  <c r="AR177" i="109"/>
  <c r="AR106" i="109"/>
  <c r="AR120" i="109" s="1"/>
  <c r="D149" i="94"/>
  <c r="C164" i="94"/>
  <c r="C156" i="94"/>
  <c r="O83" i="104"/>
  <c r="N83" i="104"/>
  <c r="M83" i="104"/>
  <c r="AQ178" i="109"/>
  <c r="AQ107" i="109"/>
  <c r="AQ121" i="109" s="1"/>
  <c r="AQ225" i="109"/>
  <c r="AQ195" i="109"/>
  <c r="AY122" i="112"/>
  <c r="AY123" i="112" s="1"/>
  <c r="C109" i="94"/>
  <c r="AP178" i="109"/>
  <c r="AP107" i="109"/>
  <c r="AP121" i="109" s="1"/>
  <c r="M180" i="109"/>
  <c r="M109" i="109"/>
  <c r="M123" i="109" s="1"/>
  <c r="M93" i="109"/>
  <c r="M92" i="109"/>
  <c r="M94" i="109"/>
  <c r="M91" i="109"/>
  <c r="M90" i="109"/>
  <c r="AE94" i="109"/>
  <c r="AE91" i="109"/>
  <c r="AE105" i="109" s="1"/>
  <c r="AE119" i="109" s="1"/>
  <c r="AE90" i="109"/>
  <c r="AE104" i="109" s="1"/>
  <c r="AE118" i="109" s="1"/>
  <c r="AE109" i="109"/>
  <c r="AE123" i="109" s="1"/>
  <c r="AN220" i="109"/>
  <c r="AN190" i="109"/>
  <c r="V180" i="109"/>
  <c r="V93" i="109"/>
  <c r="V109" i="109"/>
  <c r="V123" i="109" s="1"/>
  <c r="V94" i="109"/>
  <c r="I79" i="79"/>
  <c r="M96" i="74"/>
  <c r="M98" i="74" s="1"/>
  <c r="M102" i="74" s="1"/>
  <c r="AN177" i="109"/>
  <c r="AN106" i="109"/>
  <c r="AN120" i="109" s="1"/>
  <c r="AY86" i="112"/>
  <c r="AX87" i="112"/>
  <c r="AX91" i="112" s="1"/>
  <c r="O67" i="74"/>
  <c r="J81" i="79" s="1"/>
  <c r="P60" i="74"/>
  <c r="AY45" i="112"/>
  <c r="AY49" i="112" s="1"/>
  <c r="AA250" i="109" l="1"/>
  <c r="W250" i="109"/>
  <c r="Z250" i="109"/>
  <c r="V250" i="109"/>
  <c r="X250" i="109"/>
  <c r="U250" i="109"/>
  <c r="Y250" i="109"/>
  <c r="AA19" i="107"/>
  <c r="AB19" i="107" s="1"/>
  <c r="Z19" i="107"/>
  <c r="Y19" i="107"/>
  <c r="W20" i="107" s="1"/>
  <c r="G89" i="112"/>
  <c r="D174" i="94"/>
  <c r="AX158" i="112"/>
  <c r="AX159" i="112" s="1"/>
  <c r="E116" i="94"/>
  <c r="F116" i="94" s="1"/>
  <c r="H81" i="112"/>
  <c r="I78" i="112" s="1"/>
  <c r="AZ73" i="112"/>
  <c r="AZ74" i="112" s="1"/>
  <c r="H93" i="112" s="1"/>
  <c r="I90" i="112" s="1"/>
  <c r="H54" i="112"/>
  <c r="G77" i="112"/>
  <c r="AY29" i="112"/>
  <c r="AX148" i="112"/>
  <c r="F60" i="112" s="1"/>
  <c r="C60" i="94"/>
  <c r="H92" i="112"/>
  <c r="D56" i="94"/>
  <c r="C173" i="94"/>
  <c r="AZ46" i="112"/>
  <c r="AX129" i="112"/>
  <c r="AX133" i="112" s="1"/>
  <c r="AX134" i="112" s="1"/>
  <c r="AZ24" i="112"/>
  <c r="AZ28" i="112" s="1"/>
  <c r="AZ29" i="112" s="1"/>
  <c r="U375" i="109"/>
  <c r="U376" i="109" s="1"/>
  <c r="D115" i="94"/>
  <c r="H23" i="110"/>
  <c r="H24" i="110" s="1"/>
  <c r="D109" i="94"/>
  <c r="F100" i="94"/>
  <c r="AZ67" i="112"/>
  <c r="H86" i="112"/>
  <c r="H55" i="112"/>
  <c r="G98" i="112"/>
  <c r="G57" i="112"/>
  <c r="I84" i="79"/>
  <c r="I45" i="102" s="1"/>
  <c r="F14" i="79"/>
  <c r="V225" i="109"/>
  <c r="V195" i="109"/>
  <c r="M176" i="109"/>
  <c r="M105" i="109"/>
  <c r="M119" i="109" s="1"/>
  <c r="AA108" i="109"/>
  <c r="AA122" i="109" s="1"/>
  <c r="AA179" i="109"/>
  <c r="R175" i="109"/>
  <c r="R104" i="109"/>
  <c r="R118" i="109" s="1"/>
  <c r="AN269" i="109"/>
  <c r="AN239" i="109"/>
  <c r="F102" i="102"/>
  <c r="D69" i="96" s="1"/>
  <c r="F101" i="102"/>
  <c r="E113" i="112"/>
  <c r="AW156" i="112"/>
  <c r="AW10" i="112"/>
  <c r="AW11" i="112" s="1"/>
  <c r="D55" i="94"/>
  <c r="D44" i="94"/>
  <c r="AJ108" i="109"/>
  <c r="AJ122" i="109" s="1"/>
  <c r="AJ179" i="109"/>
  <c r="E195" i="109"/>
  <c r="E225" i="109"/>
  <c r="I175" i="109"/>
  <c r="I104" i="109"/>
  <c r="I118" i="109" s="1"/>
  <c r="F66" i="32"/>
  <c r="F6" i="97" s="1"/>
  <c r="E41" i="94"/>
  <c r="E49" i="94"/>
  <c r="F49" i="94" s="1"/>
  <c r="L178" i="109"/>
  <c r="L107" i="109"/>
  <c r="L121" i="109" s="1"/>
  <c r="L179" i="109"/>
  <c r="L108" i="109"/>
  <c r="L122" i="109" s="1"/>
  <c r="Y178" i="109"/>
  <c r="Y107" i="109"/>
  <c r="Y121" i="109" s="1"/>
  <c r="AE220" i="109"/>
  <c r="AE190" i="109"/>
  <c r="AF175" i="109"/>
  <c r="P178" i="109"/>
  <c r="P107" i="109"/>
  <c r="P121" i="109" s="1"/>
  <c r="P179" i="109"/>
  <c r="P108" i="109"/>
  <c r="P122" i="109" s="1"/>
  <c r="AR193" i="109"/>
  <c r="AR223" i="109"/>
  <c r="N179" i="109"/>
  <c r="N108" i="109"/>
  <c r="N122" i="109" s="1"/>
  <c r="N195" i="109"/>
  <c r="N225" i="109"/>
  <c r="AQ16" i="109"/>
  <c r="AM16" i="109"/>
  <c r="Z71" i="110"/>
  <c r="Z72" i="110" s="1"/>
  <c r="F18" i="110" s="1"/>
  <c r="AS16" i="109"/>
  <c r="AO16" i="109"/>
  <c r="AN16" i="109"/>
  <c r="AP16" i="109"/>
  <c r="AR16" i="109"/>
  <c r="AD106" i="109"/>
  <c r="AD120" i="109" s="1"/>
  <c r="AE92" i="109"/>
  <c r="AD93" i="109"/>
  <c r="C175" i="109"/>
  <c r="C104" i="109"/>
  <c r="C118" i="109" s="1"/>
  <c r="B175" i="94"/>
  <c r="AP192" i="109"/>
  <c r="AP222" i="109"/>
  <c r="C117" i="94"/>
  <c r="W178" i="109"/>
  <c r="W107" i="109"/>
  <c r="W121" i="109" s="1"/>
  <c r="AI108" i="109"/>
  <c r="AI122" i="109" s="1"/>
  <c r="AI179" i="109"/>
  <c r="C167" i="94"/>
  <c r="V179" i="109"/>
  <c r="V108" i="109"/>
  <c r="M179" i="109"/>
  <c r="M108" i="109"/>
  <c r="M122" i="109" s="1"/>
  <c r="AQ269" i="109"/>
  <c r="AQ239" i="109"/>
  <c r="D164" i="94"/>
  <c r="E149" i="94"/>
  <c r="D156" i="94"/>
  <c r="Q178" i="109"/>
  <c r="Q107" i="109"/>
  <c r="Q121" i="109" s="1"/>
  <c r="R177" i="109"/>
  <c r="R106" i="109"/>
  <c r="R120" i="109" s="1"/>
  <c r="R176" i="109"/>
  <c r="R105" i="109"/>
  <c r="R119" i="109" s="1"/>
  <c r="AF108" i="109"/>
  <c r="AF122" i="109" s="1"/>
  <c r="AF179" i="109"/>
  <c r="H106" i="102"/>
  <c r="H107" i="102" s="1"/>
  <c r="AO269" i="109"/>
  <c r="AO239" i="109"/>
  <c r="AD108" i="109"/>
  <c r="AD122" i="109" s="1"/>
  <c r="AD179" i="109"/>
  <c r="AP269" i="109"/>
  <c r="AP239" i="109"/>
  <c r="I179" i="109"/>
  <c r="I107" i="109"/>
  <c r="I121" i="109" s="1"/>
  <c r="I177" i="109"/>
  <c r="I176" i="109"/>
  <c r="I105" i="109"/>
  <c r="I119" i="109" s="1"/>
  <c r="F179" i="109"/>
  <c r="F107" i="109"/>
  <c r="F121" i="109" s="1"/>
  <c r="P195" i="109"/>
  <c r="P225" i="109"/>
  <c r="H179" i="109"/>
  <c r="H107" i="109"/>
  <c r="H121" i="109" s="1"/>
  <c r="V220" i="109"/>
  <c r="V190" i="109"/>
  <c r="W175" i="109"/>
  <c r="N104" i="109"/>
  <c r="N118" i="109" s="1"/>
  <c r="N175" i="109"/>
  <c r="C176" i="109"/>
  <c r="C105" i="109"/>
  <c r="C119" i="109" s="1"/>
  <c r="O176" i="109"/>
  <c r="O105" i="109"/>
  <c r="O119" i="109" s="1"/>
  <c r="G179" i="109"/>
  <c r="G107" i="109"/>
  <c r="G121" i="109" s="1"/>
  <c r="AY105" i="112"/>
  <c r="BA20" i="112"/>
  <c r="BA21" i="112" s="1"/>
  <c r="E158" i="94"/>
  <c r="E166" i="94"/>
  <c r="F166" i="94" s="1"/>
  <c r="AP175" i="109"/>
  <c r="W108" i="109"/>
  <c r="W122" i="109" s="1"/>
  <c r="W179" i="109"/>
  <c r="AS222" i="109"/>
  <c r="AS192" i="109"/>
  <c r="E45" i="110"/>
  <c r="G16" i="79"/>
  <c r="AE108" i="109"/>
  <c r="AE179" i="109"/>
  <c r="AP223" i="109"/>
  <c r="AP193" i="109"/>
  <c r="S54" i="102"/>
  <c r="I69" i="102"/>
  <c r="AA178" i="109"/>
  <c r="AA107" i="109"/>
  <c r="AA121" i="109" s="1"/>
  <c r="R178" i="109"/>
  <c r="R107" i="109"/>
  <c r="R121" i="109" s="1"/>
  <c r="R195" i="109"/>
  <c r="R225" i="109"/>
  <c r="D225" i="109"/>
  <c r="D195" i="109"/>
  <c r="AG108" i="109"/>
  <c r="AG122" i="109" s="1"/>
  <c r="AG179" i="109"/>
  <c r="E96" i="94"/>
  <c r="F96" i="94" s="1"/>
  <c r="E104" i="94"/>
  <c r="E93" i="94"/>
  <c r="G83" i="112"/>
  <c r="AY50" i="112"/>
  <c r="F95" i="112"/>
  <c r="AX92" i="112"/>
  <c r="V178" i="109"/>
  <c r="V107" i="109"/>
  <c r="V121" i="109" s="1"/>
  <c r="M175" i="109"/>
  <c r="M104" i="109"/>
  <c r="M118" i="109" s="1"/>
  <c r="M178" i="109"/>
  <c r="M107" i="109"/>
  <c r="M121" i="109" s="1"/>
  <c r="AY125" i="112"/>
  <c r="AY136" i="112" s="1"/>
  <c r="AY137" i="112" s="1"/>
  <c r="AQ223" i="109"/>
  <c r="AQ193" i="109"/>
  <c r="C172" i="94"/>
  <c r="AR192" i="109"/>
  <c r="AR222" i="109"/>
  <c r="Q108" i="109"/>
  <c r="Q122" i="109" s="1"/>
  <c r="Q179" i="109"/>
  <c r="Q225" i="109"/>
  <c r="Q195" i="109"/>
  <c r="AS194" i="109"/>
  <c r="AS224" i="109"/>
  <c r="AA195" i="109"/>
  <c r="AA225" i="109"/>
  <c r="AM194" i="109"/>
  <c r="AM224" i="109"/>
  <c r="R179" i="109"/>
  <c r="R108" i="109"/>
  <c r="R122" i="109" s="1"/>
  <c r="O35" i="74"/>
  <c r="P35" i="74" s="1"/>
  <c r="O33" i="74"/>
  <c r="O37" i="74"/>
  <c r="P37" i="74" s="1"/>
  <c r="O36" i="74"/>
  <c r="P36" i="74" s="1"/>
  <c r="O34" i="74"/>
  <c r="P34" i="74" s="1"/>
  <c r="N96" i="74"/>
  <c r="D101" i="94"/>
  <c r="D112" i="94"/>
  <c r="AR269" i="109"/>
  <c r="AR239" i="109"/>
  <c r="D113" i="94"/>
  <c r="AS223" i="109"/>
  <c r="AS193" i="109"/>
  <c r="D52" i="94"/>
  <c r="AM222" i="109"/>
  <c r="AM192" i="109"/>
  <c r="AY94" i="112"/>
  <c r="AY95" i="112" s="1"/>
  <c r="E179" i="109"/>
  <c r="E107" i="109"/>
  <c r="E121" i="109" s="1"/>
  <c r="E177" i="109"/>
  <c r="E105" i="109"/>
  <c r="E119" i="109" s="1"/>
  <c r="E176" i="109"/>
  <c r="BA38" i="112"/>
  <c r="I195" i="109"/>
  <c r="I225" i="109"/>
  <c r="P89" i="97"/>
  <c r="P73" i="97"/>
  <c r="Z179" i="109"/>
  <c r="Z108" i="109"/>
  <c r="Z122" i="109" s="1"/>
  <c r="D57" i="94"/>
  <c r="L195" i="109"/>
  <c r="L225" i="109"/>
  <c r="L176" i="109"/>
  <c r="L105" i="109"/>
  <c r="L119" i="109" s="1"/>
  <c r="F225" i="109"/>
  <c r="F195" i="109"/>
  <c r="Y179" i="109"/>
  <c r="Y108" i="109"/>
  <c r="Y122" i="109" s="1"/>
  <c r="AE176" i="109"/>
  <c r="AD221" i="109"/>
  <c r="AD191" i="109"/>
  <c r="P176" i="109"/>
  <c r="P105" i="109"/>
  <c r="P119" i="109" s="1"/>
  <c r="AP224" i="109"/>
  <c r="AP194" i="109"/>
  <c r="AQ194" i="109"/>
  <c r="AQ224" i="109"/>
  <c r="U264" i="109"/>
  <c r="U234" i="109"/>
  <c r="N178" i="109"/>
  <c r="N107" i="109"/>
  <c r="N121" i="109" s="1"/>
  <c r="AS239" i="109"/>
  <c r="AS269" i="109"/>
  <c r="E98" i="94"/>
  <c r="F98" i="94" s="1"/>
  <c r="E106" i="94"/>
  <c r="F106" i="94" s="1"/>
  <c r="P22" i="110"/>
  <c r="P24" i="110" s="1"/>
  <c r="P12" i="110"/>
  <c r="E99" i="94"/>
  <c r="E107" i="94"/>
  <c r="F107" i="94" s="1"/>
  <c r="C171" i="94"/>
  <c r="C179" i="109"/>
  <c r="C108" i="109"/>
  <c r="C122" i="109" s="1"/>
  <c r="O179" i="109"/>
  <c r="O108" i="109"/>
  <c r="O122" i="109" s="1"/>
  <c r="O225" i="109"/>
  <c r="O195" i="109"/>
  <c r="G177" i="109"/>
  <c r="G176" i="109"/>
  <c r="G105" i="109"/>
  <c r="G119" i="109" s="1"/>
  <c r="AY109" i="112"/>
  <c r="AZ52" i="112"/>
  <c r="AZ53" i="112" s="1"/>
  <c r="D32" i="96"/>
  <c r="D34" i="96" s="1"/>
  <c r="E65" i="118"/>
  <c r="E64" i="115"/>
  <c r="E59" i="94"/>
  <c r="F59" i="94" s="1"/>
  <c r="F43" i="94"/>
  <c r="J80" i="79"/>
  <c r="G15" i="79" s="1"/>
  <c r="J112" i="79"/>
  <c r="J113" i="79" s="1"/>
  <c r="AM221" i="109"/>
  <c r="AM191" i="109"/>
  <c r="AN176" i="109"/>
  <c r="W195" i="109"/>
  <c r="W225" i="109"/>
  <c r="BA59" i="112"/>
  <c r="BA60" i="112" s="1"/>
  <c r="D162" i="94"/>
  <c r="E147" i="94"/>
  <c r="D154" i="94"/>
  <c r="D58" i="94"/>
  <c r="Q106" i="109"/>
  <c r="Q120" i="109" s="1"/>
  <c r="Q177" i="109"/>
  <c r="D176" i="109"/>
  <c r="D105" i="109"/>
  <c r="D119" i="109" s="1"/>
  <c r="D177" i="109"/>
  <c r="AM269" i="109"/>
  <c r="AM239" i="109"/>
  <c r="C195" i="109"/>
  <c r="C225" i="109"/>
  <c r="O177" i="109"/>
  <c r="O106" i="109"/>
  <c r="O120" i="109" s="1"/>
  <c r="E48" i="94"/>
  <c r="F48" i="94" s="1"/>
  <c r="E40" i="94"/>
  <c r="V104" i="109"/>
  <c r="V118" i="109" s="1"/>
  <c r="W90" i="109"/>
  <c r="D157" i="94"/>
  <c r="D165" i="94"/>
  <c r="E150" i="94"/>
  <c r="X225" i="109"/>
  <c r="X195" i="109"/>
  <c r="U195" i="109"/>
  <c r="U225" i="109"/>
  <c r="P67" i="74"/>
  <c r="M225" i="109"/>
  <c r="M195" i="109"/>
  <c r="H53" i="115" s="1"/>
  <c r="I53" i="115" s="1"/>
  <c r="Q175" i="109"/>
  <c r="Q104" i="109"/>
  <c r="Q118" i="109" s="1"/>
  <c r="D179" i="109"/>
  <c r="D107" i="109"/>
  <c r="D121" i="109" s="1"/>
  <c r="E105" i="94"/>
  <c r="F105" i="94" s="1"/>
  <c r="E97" i="94"/>
  <c r="AY88" i="112"/>
  <c r="Z107" i="109"/>
  <c r="Z121" i="109" s="1"/>
  <c r="Z178" i="109"/>
  <c r="F175" i="109"/>
  <c r="F104" i="109"/>
  <c r="F118" i="109" s="1"/>
  <c r="AN193" i="109"/>
  <c r="AN223" i="109"/>
  <c r="P177" i="109"/>
  <c r="P106" i="109"/>
  <c r="P120" i="109" s="1"/>
  <c r="H104" i="109"/>
  <c r="H118" i="109" s="1"/>
  <c r="H175" i="109"/>
  <c r="AX113" i="112"/>
  <c r="D82" i="96"/>
  <c r="P34" i="110"/>
  <c r="P36" i="110" s="1"/>
  <c r="P48" i="110"/>
  <c r="O178" i="109"/>
  <c r="O107" i="109"/>
  <c r="O121" i="109" s="1"/>
  <c r="F103" i="112"/>
  <c r="F110" i="112"/>
  <c r="F109" i="112" s="1"/>
  <c r="F59" i="112"/>
  <c r="X179" i="109"/>
  <c r="X108" i="109"/>
  <c r="X122" i="109" s="1"/>
  <c r="U178" i="109"/>
  <c r="U107" i="109"/>
  <c r="U121" i="109" s="1"/>
  <c r="U91" i="109"/>
  <c r="AR224" i="109"/>
  <c r="AR194" i="109"/>
  <c r="AO194" i="109"/>
  <c r="AO224" i="109"/>
  <c r="E50" i="94"/>
  <c r="F50" i="94" s="1"/>
  <c r="E42" i="94"/>
  <c r="AN192" i="109"/>
  <c r="AN222" i="109"/>
  <c r="AN264" i="109"/>
  <c r="AN234" i="109"/>
  <c r="M177" i="109"/>
  <c r="M106" i="109"/>
  <c r="M120" i="109" s="1"/>
  <c r="AZ121" i="112"/>
  <c r="Q176" i="109"/>
  <c r="Q105" i="109"/>
  <c r="Q119" i="109" s="1"/>
  <c r="D104" i="109"/>
  <c r="D118" i="109" s="1"/>
  <c r="D175" i="109"/>
  <c r="AY143" i="112"/>
  <c r="E47" i="94"/>
  <c r="E39" i="94"/>
  <c r="F10" i="93"/>
  <c r="Q46" i="110"/>
  <c r="Q10" i="110"/>
  <c r="Q59" i="110"/>
  <c r="Q61" i="110" s="1"/>
  <c r="G121" i="110"/>
  <c r="G11" i="110"/>
  <c r="E175" i="109"/>
  <c r="E104" i="109"/>
  <c r="E118" i="109" s="1"/>
  <c r="AN224" i="109"/>
  <c r="AN194" i="109"/>
  <c r="Q13" i="97"/>
  <c r="E9" i="98" s="1"/>
  <c r="R7" i="97"/>
  <c r="AZ80" i="112"/>
  <c r="AZ81" i="112" s="1"/>
  <c r="Z225" i="109"/>
  <c r="Z195" i="109"/>
  <c r="L177" i="109"/>
  <c r="L106" i="109"/>
  <c r="L120" i="109" s="1"/>
  <c r="L175" i="109"/>
  <c r="L104" i="109"/>
  <c r="L118" i="109" s="1"/>
  <c r="F176" i="109"/>
  <c r="F177" i="109"/>
  <c r="F105" i="109"/>
  <c r="F119" i="109" s="1"/>
  <c r="Y195" i="109"/>
  <c r="Y225" i="109"/>
  <c r="AD264" i="109"/>
  <c r="AD234" i="109"/>
  <c r="P175" i="109"/>
  <c r="P104" i="109"/>
  <c r="P118" i="109" s="1"/>
  <c r="H176" i="109"/>
  <c r="H105" i="109"/>
  <c r="H119" i="109" s="1"/>
  <c r="H177" i="109"/>
  <c r="H225" i="109"/>
  <c r="H195" i="109"/>
  <c r="AH108" i="109"/>
  <c r="AH122" i="109" s="1"/>
  <c r="AH179" i="109"/>
  <c r="N177" i="109"/>
  <c r="N106" i="109"/>
  <c r="N120" i="109" s="1"/>
  <c r="N105" i="109"/>
  <c r="N119" i="109" s="1"/>
  <c r="N176" i="109"/>
  <c r="AY116" i="112"/>
  <c r="AZ100" i="112"/>
  <c r="D114" i="94"/>
  <c r="AM223" i="109"/>
  <c r="AM193" i="109"/>
  <c r="D155" i="94"/>
  <c r="E148" i="94"/>
  <c r="D163" i="94"/>
  <c r="C177" i="109"/>
  <c r="C106" i="109"/>
  <c r="C120" i="109" s="1"/>
  <c r="AO223" i="109"/>
  <c r="AO193" i="109"/>
  <c r="O175" i="109"/>
  <c r="O104" i="109"/>
  <c r="O118" i="109" s="1"/>
  <c r="G175" i="109"/>
  <c r="G104" i="109"/>
  <c r="G118" i="109" s="1"/>
  <c r="G195" i="109"/>
  <c r="G225" i="109"/>
  <c r="G109" i="102"/>
  <c r="G110" i="102" s="1"/>
  <c r="G112" i="102" s="1"/>
  <c r="G51" i="102" s="1"/>
  <c r="AO222" i="109"/>
  <c r="AO192" i="109"/>
  <c r="AQ222" i="109"/>
  <c r="AQ192" i="109"/>
  <c r="BA18" i="112"/>
  <c r="X178" i="109"/>
  <c r="X107" i="109"/>
  <c r="X121" i="109" s="1"/>
  <c r="U108" i="109"/>
  <c r="U122" i="109" s="1"/>
  <c r="U179" i="109"/>
  <c r="P54" i="74"/>
  <c r="AO220" i="109"/>
  <c r="AO190" i="109"/>
  <c r="P81" i="96"/>
  <c r="C170" i="94"/>
  <c r="C159" i="94"/>
  <c r="AA20" i="107" l="1"/>
  <c r="AB20" i="107" s="1"/>
  <c r="Z20" i="107"/>
  <c r="Y20" i="107" s="1"/>
  <c r="H79" i="112"/>
  <c r="H77" i="112" s="1"/>
  <c r="H126" i="110"/>
  <c r="AZ68" i="112"/>
  <c r="BA65" i="112" s="1"/>
  <c r="F116" i="112"/>
  <c r="F121" i="112" s="1"/>
  <c r="F103" i="102"/>
  <c r="G98" i="102" s="1"/>
  <c r="C175" i="94"/>
  <c r="BA31" i="112"/>
  <c r="BA32" i="112" s="1"/>
  <c r="F107" i="112"/>
  <c r="D173" i="94"/>
  <c r="D60" i="94"/>
  <c r="AY130" i="112"/>
  <c r="E281" i="84"/>
  <c r="H51" i="115" s="1"/>
  <c r="I51" i="115" s="1"/>
  <c r="AY126" i="112"/>
  <c r="G110" i="112" s="1"/>
  <c r="BA25" i="112"/>
  <c r="D172" i="94"/>
  <c r="H91" i="112"/>
  <c r="R49" i="110"/>
  <c r="AE69" i="109" s="1"/>
  <c r="AE83" i="109" s="1"/>
  <c r="R62" i="110"/>
  <c r="AN69" i="109" s="1"/>
  <c r="AN83" i="109" s="1"/>
  <c r="D171" i="94"/>
  <c r="AO266" i="109"/>
  <c r="AO236" i="109"/>
  <c r="G269" i="109"/>
  <c r="G239" i="109"/>
  <c r="AZ101" i="112"/>
  <c r="S7" i="97"/>
  <c r="AN268" i="109"/>
  <c r="AN238" i="109"/>
  <c r="AY144" i="112"/>
  <c r="AY145" i="112" s="1"/>
  <c r="AY131" i="112"/>
  <c r="AZ128" i="112" s="1"/>
  <c r="G111" i="112"/>
  <c r="H108" i="112" s="1"/>
  <c r="Y16" i="109"/>
  <c r="U16" i="109"/>
  <c r="AA16" i="109"/>
  <c r="W16" i="109"/>
  <c r="V16" i="109"/>
  <c r="Z39" i="110"/>
  <c r="Z40" i="110" s="1"/>
  <c r="X16" i="109"/>
  <c r="Z16" i="109"/>
  <c r="F101" i="112"/>
  <c r="P222" i="109"/>
  <c r="P192" i="109"/>
  <c r="E165" i="94"/>
  <c r="F165" i="94" s="1"/>
  <c r="E157" i="94"/>
  <c r="O222" i="109"/>
  <c r="O192" i="109"/>
  <c r="I38" i="110"/>
  <c r="J115" i="79"/>
  <c r="D167" i="94"/>
  <c r="BB58" i="112"/>
  <c r="AO176" i="109"/>
  <c r="AN191" i="109"/>
  <c r="AN221" i="109"/>
  <c r="G222" i="109"/>
  <c r="G192" i="109"/>
  <c r="O224" i="109"/>
  <c r="O194" i="109"/>
  <c r="AP268" i="109"/>
  <c r="AP238" i="109"/>
  <c r="AD265" i="109"/>
  <c r="AD235" i="109"/>
  <c r="L221" i="109"/>
  <c r="L191" i="109"/>
  <c r="I239" i="109"/>
  <c r="I269" i="109"/>
  <c r="E222" i="109"/>
  <c r="E192" i="109"/>
  <c r="AS268" i="109"/>
  <c r="AS238" i="109"/>
  <c r="Q194" i="109"/>
  <c r="Q224" i="109"/>
  <c r="M193" i="109"/>
  <c r="M223" i="109"/>
  <c r="V193" i="109"/>
  <c r="V223" i="109"/>
  <c r="F104" i="94"/>
  <c r="F109" i="94" s="1"/>
  <c r="E109" i="94"/>
  <c r="AP267" i="109"/>
  <c r="AP237" i="109"/>
  <c r="G75" i="93"/>
  <c r="J11" i="102"/>
  <c r="AP220" i="109"/>
  <c r="AP190" i="109"/>
  <c r="AQ175" i="109"/>
  <c r="W220" i="109"/>
  <c r="W190" i="109"/>
  <c r="X175" i="109"/>
  <c r="I222" i="109"/>
  <c r="I192" i="109"/>
  <c r="V224" i="109"/>
  <c r="V194" i="109"/>
  <c r="AP236" i="109"/>
  <c r="AP266" i="109"/>
  <c r="C220" i="109"/>
  <c r="C190" i="109"/>
  <c r="AR96" i="109"/>
  <c r="AR25" i="109"/>
  <c r="AS25" i="109"/>
  <c r="AS96" i="109"/>
  <c r="N224" i="109"/>
  <c r="N194" i="109"/>
  <c r="AF220" i="109"/>
  <c r="AF190" i="109"/>
  <c r="AG175" i="109"/>
  <c r="Y223" i="109"/>
  <c r="Y193" i="109"/>
  <c r="L223" i="109"/>
  <c r="L193" i="109"/>
  <c r="F73" i="93"/>
  <c r="F78" i="93" s="1"/>
  <c r="F81" i="93" s="1"/>
  <c r="F19" i="79"/>
  <c r="F21" i="79" s="1"/>
  <c r="I10" i="102"/>
  <c r="I14" i="102" s="1"/>
  <c r="Q52" i="74"/>
  <c r="R52" i="74" s="1"/>
  <c r="Q49" i="74"/>
  <c r="R49" i="74" s="1"/>
  <c r="Q48" i="74"/>
  <c r="R48" i="74" s="1"/>
  <c r="Q47" i="74"/>
  <c r="Q51" i="74"/>
  <c r="R51" i="74" s="1"/>
  <c r="Q50" i="74"/>
  <c r="R50" i="74" s="1"/>
  <c r="O220" i="109"/>
  <c r="O190" i="109"/>
  <c r="C222" i="109"/>
  <c r="C192" i="109"/>
  <c r="AY110" i="112"/>
  <c r="AZ107" i="112" s="1"/>
  <c r="G105" i="112"/>
  <c r="H102" i="112" s="1"/>
  <c r="N222" i="109"/>
  <c r="N192" i="109"/>
  <c r="H221" i="109"/>
  <c r="H191" i="109"/>
  <c r="L190" i="109"/>
  <c r="L220" i="109"/>
  <c r="Z269" i="109"/>
  <c r="Z239" i="109"/>
  <c r="AQ17" i="109"/>
  <c r="AM17" i="109"/>
  <c r="AS17" i="109"/>
  <c r="AO17" i="109"/>
  <c r="AN17" i="109"/>
  <c r="AA71" i="110"/>
  <c r="AA72" i="110" s="1"/>
  <c r="G18" i="110" s="1"/>
  <c r="AR17" i="109"/>
  <c r="AP17" i="109"/>
  <c r="E44" i="94"/>
  <c r="E55" i="94"/>
  <c r="AX153" i="112"/>
  <c r="F117" i="112"/>
  <c r="Q221" i="109"/>
  <c r="Q191" i="109"/>
  <c r="AN266" i="109"/>
  <c r="AN236" i="109"/>
  <c r="AO268" i="109"/>
  <c r="AO238" i="109"/>
  <c r="AR268" i="109"/>
  <c r="AR238" i="109"/>
  <c r="U223" i="109"/>
  <c r="U193" i="109"/>
  <c r="H190" i="109"/>
  <c r="H220" i="109"/>
  <c r="F220" i="109"/>
  <c r="F190" i="109"/>
  <c r="D194" i="109"/>
  <c r="D224" i="109"/>
  <c r="M269" i="109"/>
  <c r="M239" i="109"/>
  <c r="F61" i="112"/>
  <c r="F73" i="112" s="1"/>
  <c r="F83" i="96" s="1"/>
  <c r="E56" i="94"/>
  <c r="F56" i="94" s="1"/>
  <c r="F40" i="94"/>
  <c r="C269" i="109"/>
  <c r="C239" i="109"/>
  <c r="D221" i="109"/>
  <c r="D191" i="109"/>
  <c r="W269" i="109"/>
  <c r="W239" i="109"/>
  <c r="G74" i="93"/>
  <c r="J13" i="102"/>
  <c r="R16" i="115"/>
  <c r="R17" i="115" s="1"/>
  <c r="R19" i="115" s="1"/>
  <c r="E67" i="118"/>
  <c r="F4" i="118"/>
  <c r="E115" i="94"/>
  <c r="F115" i="94" s="1"/>
  <c r="F99" i="94"/>
  <c r="E114" i="94"/>
  <c r="F114" i="94" s="1"/>
  <c r="N223" i="109"/>
  <c r="N193" i="109"/>
  <c r="AQ268" i="109"/>
  <c r="AQ238" i="109"/>
  <c r="AE221" i="109"/>
  <c r="AE191" i="109"/>
  <c r="AF176" i="109"/>
  <c r="L269" i="109"/>
  <c r="L239" i="109"/>
  <c r="Z224" i="109"/>
  <c r="Z194" i="109"/>
  <c r="AS267" i="109"/>
  <c r="AS237" i="109"/>
  <c r="D117" i="94"/>
  <c r="AA269" i="109"/>
  <c r="AA239" i="109"/>
  <c r="E101" i="94"/>
  <c r="E112" i="94"/>
  <c r="D269" i="109"/>
  <c r="D239" i="109"/>
  <c r="R223" i="109"/>
  <c r="R193" i="109"/>
  <c r="AE224" i="109"/>
  <c r="AE194" i="109"/>
  <c r="AS266" i="109"/>
  <c r="AS236" i="109"/>
  <c r="I80" i="112"/>
  <c r="I54" i="112"/>
  <c r="G104" i="112"/>
  <c r="G103" i="112" s="1"/>
  <c r="G58" i="112"/>
  <c r="O221" i="109"/>
  <c r="O191" i="109"/>
  <c r="H194" i="109"/>
  <c r="H224" i="109"/>
  <c r="F194" i="109"/>
  <c r="F224" i="109"/>
  <c r="AD224" i="109"/>
  <c r="AD194" i="109"/>
  <c r="H109" i="102"/>
  <c r="H110" i="102" s="1"/>
  <c r="H112" i="102" s="1"/>
  <c r="H51" i="102" s="1"/>
  <c r="R222" i="109"/>
  <c r="R192" i="109"/>
  <c r="E156" i="94"/>
  <c r="E164" i="94"/>
  <c r="F164" i="94" s="1"/>
  <c r="AI224" i="109"/>
  <c r="AI194" i="109"/>
  <c r="W223" i="109"/>
  <c r="W193" i="109"/>
  <c r="AD107" i="109"/>
  <c r="AD121" i="109" s="1"/>
  <c r="AE93" i="109"/>
  <c r="AP96" i="109"/>
  <c r="AP25" i="109"/>
  <c r="N269" i="109"/>
  <c r="N239" i="109"/>
  <c r="P224" i="109"/>
  <c r="P194" i="109"/>
  <c r="AJ194" i="109"/>
  <c r="AJ224" i="109"/>
  <c r="E19" i="112"/>
  <c r="P50" i="110"/>
  <c r="G55" i="32" s="1"/>
  <c r="F197" i="93"/>
  <c r="Q6" i="102"/>
  <c r="D68" i="96"/>
  <c r="D71" i="96" s="1"/>
  <c r="V269" i="109"/>
  <c r="V239" i="109"/>
  <c r="U224" i="109"/>
  <c r="U194" i="109"/>
  <c r="X223" i="109"/>
  <c r="X193" i="109"/>
  <c r="AQ266" i="109"/>
  <c r="AQ236" i="109"/>
  <c r="R18" i="102"/>
  <c r="G53" i="102"/>
  <c r="AM237" i="109"/>
  <c r="AM267" i="109"/>
  <c r="N221" i="109"/>
  <c r="N191" i="109"/>
  <c r="AH224" i="109"/>
  <c r="AH194" i="109"/>
  <c r="H239" i="109"/>
  <c r="H269" i="109"/>
  <c r="Y269" i="109"/>
  <c r="Y239" i="109"/>
  <c r="F192" i="109"/>
  <c r="F222" i="109"/>
  <c r="BA79" i="112"/>
  <c r="E220" i="109"/>
  <c r="E190" i="109"/>
  <c r="Q22" i="110"/>
  <c r="Q24" i="110" s="1"/>
  <c r="Q12" i="110"/>
  <c r="F47" i="94"/>
  <c r="F52" i="94" s="1"/>
  <c r="E52" i="94"/>
  <c r="D220" i="109"/>
  <c r="D190" i="109"/>
  <c r="M222" i="109"/>
  <c r="M192" i="109"/>
  <c r="O193" i="109"/>
  <c r="O223" i="109"/>
  <c r="AN267" i="109"/>
  <c r="AN237" i="109"/>
  <c r="Z193" i="109"/>
  <c r="Z223" i="109"/>
  <c r="E113" i="94"/>
  <c r="F113" i="94" s="1"/>
  <c r="F97" i="94"/>
  <c r="X269" i="109"/>
  <c r="X239" i="109"/>
  <c r="Q222" i="109"/>
  <c r="Q192" i="109"/>
  <c r="D159" i="94"/>
  <c r="D170" i="94"/>
  <c r="AM235" i="109"/>
  <c r="AM265" i="109"/>
  <c r="D22" i="96"/>
  <c r="O269" i="109"/>
  <c r="O239" i="109"/>
  <c r="C224" i="109"/>
  <c r="C194" i="109"/>
  <c r="G16" i="109"/>
  <c r="C16" i="109"/>
  <c r="I16" i="109"/>
  <c r="E16" i="109"/>
  <c r="D16" i="109"/>
  <c r="F16" i="109"/>
  <c r="Z7" i="110"/>
  <c r="Z8" i="110" s="1"/>
  <c r="F122" i="110"/>
  <c r="F123" i="110" s="1"/>
  <c r="H16" i="109"/>
  <c r="P191" i="109"/>
  <c r="P221" i="109"/>
  <c r="F269" i="109"/>
  <c r="F239" i="109"/>
  <c r="T89" i="97"/>
  <c r="T81" i="97"/>
  <c r="R89" i="97"/>
  <c r="R81" i="97"/>
  <c r="U89" i="97"/>
  <c r="Q81" i="97"/>
  <c r="Q86" i="97" s="1"/>
  <c r="S89" i="97"/>
  <c r="S81" i="97"/>
  <c r="Q89" i="97"/>
  <c r="Q94" i="97" s="1"/>
  <c r="F7" i="97" s="1"/>
  <c r="U81" i="97"/>
  <c r="BA41" i="112"/>
  <c r="BA42" i="112" s="1"/>
  <c r="E221" i="109"/>
  <c r="E191" i="109"/>
  <c r="E224" i="109"/>
  <c r="E194" i="109"/>
  <c r="AM266" i="109"/>
  <c r="AM236" i="109"/>
  <c r="R224" i="109"/>
  <c r="R194" i="109"/>
  <c r="AR266" i="109"/>
  <c r="AR236" i="109"/>
  <c r="AQ267" i="109"/>
  <c r="AQ237" i="109"/>
  <c r="M220" i="109"/>
  <c r="M190" i="109"/>
  <c r="AG224" i="109"/>
  <c r="AG194" i="109"/>
  <c r="R269" i="109"/>
  <c r="R239" i="109"/>
  <c r="AE122" i="109"/>
  <c r="W194" i="109"/>
  <c r="W224" i="109"/>
  <c r="F158" i="94"/>
  <c r="E174" i="94"/>
  <c r="F174" i="94" s="1"/>
  <c r="Y79" i="110" s="1"/>
  <c r="N220" i="109"/>
  <c r="N190" i="109"/>
  <c r="V264" i="109"/>
  <c r="V234" i="109"/>
  <c r="P269" i="109"/>
  <c r="P239" i="109"/>
  <c r="I224" i="109"/>
  <c r="I194" i="109"/>
  <c r="M194" i="109"/>
  <c r="M224" i="109"/>
  <c r="AE106" i="109"/>
  <c r="AE120" i="109" s="1"/>
  <c r="AF92" i="109"/>
  <c r="AN96" i="109"/>
  <c r="AN25" i="109"/>
  <c r="AM25" i="109"/>
  <c r="AM96" i="109"/>
  <c r="AR267" i="109"/>
  <c r="AR237" i="109"/>
  <c r="AE234" i="109"/>
  <c r="AE264" i="109"/>
  <c r="L224" i="109"/>
  <c r="L194" i="109"/>
  <c r="E57" i="94"/>
  <c r="F57" i="94" s="1"/>
  <c r="F41" i="94"/>
  <c r="I220" i="109"/>
  <c r="I190" i="109"/>
  <c r="R190" i="109"/>
  <c r="R220" i="109"/>
  <c r="I70" i="102"/>
  <c r="S55" i="102"/>
  <c r="S57" i="102" s="1"/>
  <c r="S61" i="102" s="1"/>
  <c r="AO264" i="109"/>
  <c r="AO234" i="109"/>
  <c r="BB16" i="112"/>
  <c r="G220" i="109"/>
  <c r="G190" i="109"/>
  <c r="AO267" i="109"/>
  <c r="AO237" i="109"/>
  <c r="E163" i="94"/>
  <c r="F163" i="94" s="1"/>
  <c r="E155" i="94"/>
  <c r="H222" i="109"/>
  <c r="H192" i="109"/>
  <c r="P220" i="109"/>
  <c r="P190" i="109"/>
  <c r="F221" i="109"/>
  <c r="F191" i="109"/>
  <c r="L222" i="109"/>
  <c r="L192" i="109"/>
  <c r="AZ83" i="112"/>
  <c r="AZ94" i="112" s="1"/>
  <c r="AZ95" i="112" s="1"/>
  <c r="Q34" i="110"/>
  <c r="Q36" i="110" s="1"/>
  <c r="Q48" i="110"/>
  <c r="AZ122" i="112"/>
  <c r="E58" i="94"/>
  <c r="F58" i="94" s="1"/>
  <c r="F42" i="94"/>
  <c r="U92" i="109"/>
  <c r="U176" i="109"/>
  <c r="V91" i="109"/>
  <c r="U105" i="109"/>
  <c r="U119" i="109" s="1"/>
  <c r="X224" i="109"/>
  <c r="X194" i="109"/>
  <c r="AH16" i="109"/>
  <c r="AD16" i="109"/>
  <c r="AJ16" i="109"/>
  <c r="AF16" i="109"/>
  <c r="AE16" i="109"/>
  <c r="Z55" i="110"/>
  <c r="Z56" i="110" s="1"/>
  <c r="AI16" i="109"/>
  <c r="AG16" i="109"/>
  <c r="Q220" i="109"/>
  <c r="Q190" i="109"/>
  <c r="Q65" i="74"/>
  <c r="R65" i="74" s="1"/>
  <c r="Q62" i="74"/>
  <c r="R62" i="74" s="1"/>
  <c r="Q61" i="74"/>
  <c r="R61" i="74" s="1"/>
  <c r="Q60" i="74"/>
  <c r="Q64" i="74"/>
  <c r="R64" i="74" s="1"/>
  <c r="U269" i="109"/>
  <c r="U239" i="109"/>
  <c r="W104" i="109"/>
  <c r="W118" i="109" s="1"/>
  <c r="X90" i="109"/>
  <c r="K105" i="79"/>
  <c r="D222" i="109"/>
  <c r="D192" i="109"/>
  <c r="E154" i="94"/>
  <c r="E162" i="94"/>
  <c r="C178" i="109"/>
  <c r="BA62" i="112"/>
  <c r="I92" i="112" s="1"/>
  <c r="H87" i="112"/>
  <c r="AZ47" i="112"/>
  <c r="G221" i="109"/>
  <c r="G191" i="109"/>
  <c r="P16" i="109"/>
  <c r="L16" i="109"/>
  <c r="R16" i="109"/>
  <c r="N16" i="109"/>
  <c r="M16" i="109"/>
  <c r="Q16" i="109"/>
  <c r="Z23" i="110"/>
  <c r="Z24" i="110" s="1"/>
  <c r="O16" i="109"/>
  <c r="Y224" i="109"/>
  <c r="Y194" i="109"/>
  <c r="BA39" i="112"/>
  <c r="G99" i="112"/>
  <c r="AY89" i="112"/>
  <c r="AZ86" i="112" s="1"/>
  <c r="O40" i="74"/>
  <c r="P33" i="74"/>
  <c r="AM268" i="109"/>
  <c r="AM238" i="109"/>
  <c r="F39" i="94"/>
  <c r="Q269" i="109"/>
  <c r="Q239" i="109"/>
  <c r="AA223" i="109"/>
  <c r="AA193" i="109"/>
  <c r="G224" i="109"/>
  <c r="G194" i="109"/>
  <c r="C221" i="109"/>
  <c r="C191" i="109"/>
  <c r="I221" i="109"/>
  <c r="I191" i="109"/>
  <c r="AF194" i="109"/>
  <c r="AF224" i="109"/>
  <c r="R221" i="109"/>
  <c r="R191" i="109"/>
  <c r="Q193" i="109"/>
  <c r="Q223" i="109"/>
  <c r="V122" i="109"/>
  <c r="E279" i="84"/>
  <c r="H49" i="115" s="1"/>
  <c r="AO25" i="109"/>
  <c r="AO96" i="109"/>
  <c r="AQ25" i="109"/>
  <c r="AQ96" i="109"/>
  <c r="P223" i="109"/>
  <c r="P193" i="109"/>
  <c r="F68" i="32"/>
  <c r="E269" i="109"/>
  <c r="E239" i="109"/>
  <c r="AA194" i="109"/>
  <c r="AA224" i="109"/>
  <c r="M221" i="109"/>
  <c r="M191" i="109"/>
  <c r="AA21" i="107" l="1"/>
  <c r="AB21" i="107" s="1"/>
  <c r="Z21" i="107"/>
  <c r="Y21" i="107"/>
  <c r="W21" i="107"/>
  <c r="F29" i="102"/>
  <c r="F31" i="102" s="1"/>
  <c r="AZ66" i="112"/>
  <c r="AZ70" i="112" s="1"/>
  <c r="H89" i="112" s="1"/>
  <c r="AM69" i="109"/>
  <c r="AM83" i="109" s="1"/>
  <c r="F115" i="112"/>
  <c r="F120" i="112" s="1"/>
  <c r="AJ69" i="109"/>
  <c r="AJ83" i="109" s="1"/>
  <c r="AF69" i="109"/>
  <c r="AF83" i="109" s="1"/>
  <c r="AD69" i="109"/>
  <c r="AD83" i="109" s="1"/>
  <c r="BA46" i="112"/>
  <c r="D175" i="94"/>
  <c r="AR69" i="109"/>
  <c r="AR83" i="109" s="1"/>
  <c r="G109" i="112"/>
  <c r="AG69" i="109"/>
  <c r="AG83" i="109" s="1"/>
  <c r="BA73" i="112"/>
  <c r="BA74" i="112" s="1"/>
  <c r="I93" i="112" s="1"/>
  <c r="J90" i="112" s="1"/>
  <c r="F179" i="94"/>
  <c r="AY129" i="112"/>
  <c r="AY133" i="112" s="1"/>
  <c r="BA63" i="112"/>
  <c r="I56" i="112" s="1"/>
  <c r="AZ88" i="112"/>
  <c r="H127" i="110"/>
  <c r="H128" i="110" s="1"/>
  <c r="AH69" i="109"/>
  <c r="AH83" i="109" s="1"/>
  <c r="BA52" i="112"/>
  <c r="BA53" i="112" s="1"/>
  <c r="AQ69" i="109"/>
  <c r="AQ83" i="109" s="1"/>
  <c r="AP69" i="109"/>
  <c r="AP83" i="109" s="1"/>
  <c r="G59" i="112"/>
  <c r="AO69" i="109"/>
  <c r="AO83" i="109" s="1"/>
  <c r="F101" i="94"/>
  <c r="BA67" i="112"/>
  <c r="AZ84" i="112"/>
  <c r="H98" i="112" s="1"/>
  <c r="AI69" i="109"/>
  <c r="AI83" i="109" s="1"/>
  <c r="AS69" i="109"/>
  <c r="AS83" i="109" s="1"/>
  <c r="H99" i="112"/>
  <c r="I96" i="112" s="1"/>
  <c r="AZ89" i="112"/>
  <c r="BA86" i="112" s="1"/>
  <c r="R265" i="109"/>
  <c r="R235" i="109"/>
  <c r="Y268" i="109"/>
  <c r="Y238" i="109"/>
  <c r="L25" i="109"/>
  <c r="L96" i="109"/>
  <c r="BA44" i="112"/>
  <c r="AZ45" i="112"/>
  <c r="AZ49" i="112" s="1"/>
  <c r="E167" i="94"/>
  <c r="F162" i="94"/>
  <c r="F167" i="94" s="1"/>
  <c r="F183" i="94" s="1"/>
  <c r="K93" i="79"/>
  <c r="K94" i="79" s="1"/>
  <c r="K97" i="79" s="1"/>
  <c r="K106" i="79"/>
  <c r="V176" i="109"/>
  <c r="V105" i="109"/>
  <c r="V119" i="109" s="1"/>
  <c r="W91" i="109"/>
  <c r="L236" i="109"/>
  <c r="L266" i="109"/>
  <c r="P264" i="109"/>
  <c r="P234" i="109"/>
  <c r="G234" i="109"/>
  <c r="G264" i="109"/>
  <c r="E265" i="109"/>
  <c r="E235" i="109"/>
  <c r="H96" i="109"/>
  <c r="H25" i="109"/>
  <c r="G25" i="109"/>
  <c r="G96" i="109"/>
  <c r="U268" i="109"/>
  <c r="U238" i="109"/>
  <c r="Q9" i="102"/>
  <c r="Q31" i="102" s="1"/>
  <c r="F32" i="102" s="1"/>
  <c r="O80" i="96"/>
  <c r="O84" i="96" s="1"/>
  <c r="O86" i="96" s="1"/>
  <c r="D11" i="96" s="1"/>
  <c r="D12" i="96" s="1"/>
  <c r="P268" i="109"/>
  <c r="P238" i="109"/>
  <c r="AP181" i="109"/>
  <c r="AP110" i="109"/>
  <c r="AP124" i="109" s="1"/>
  <c r="W267" i="109"/>
  <c r="W237" i="109"/>
  <c r="F156" i="94"/>
  <c r="Y47" i="110" s="1"/>
  <c r="E172" i="94"/>
  <c r="F172" i="94" s="1"/>
  <c r="H37" i="110"/>
  <c r="H40" i="110" s="1"/>
  <c r="H9" i="110" s="1"/>
  <c r="I36" i="102"/>
  <c r="I37" i="102" s="1"/>
  <c r="I42" i="102" s="1"/>
  <c r="I46" i="102" s="1"/>
  <c r="I50" i="102" s="1"/>
  <c r="F264" i="109"/>
  <c r="F234" i="109"/>
  <c r="U237" i="109"/>
  <c r="U267" i="109"/>
  <c r="Q265" i="109"/>
  <c r="Q235" i="109"/>
  <c r="AN97" i="109"/>
  <c r="AN26" i="109"/>
  <c r="H265" i="109"/>
  <c r="H235" i="109"/>
  <c r="Q54" i="74"/>
  <c r="R47" i="74"/>
  <c r="R54" i="74" s="1"/>
  <c r="V268" i="109"/>
  <c r="V238" i="109"/>
  <c r="V267" i="109"/>
  <c r="V237" i="109"/>
  <c r="L265" i="109"/>
  <c r="L235" i="109"/>
  <c r="G266" i="109"/>
  <c r="G236" i="109"/>
  <c r="AO221" i="109"/>
  <c r="AO191" i="109"/>
  <c r="AP176" i="109"/>
  <c r="AZ104" i="112"/>
  <c r="AZ115" i="112" s="1"/>
  <c r="M265" i="109"/>
  <c r="M235" i="109"/>
  <c r="AQ181" i="109"/>
  <c r="AQ110" i="109"/>
  <c r="AQ124" i="109" s="1"/>
  <c r="H96" i="112"/>
  <c r="I84" i="112"/>
  <c r="E159" i="94"/>
  <c r="F154" i="94"/>
  <c r="E170" i="94"/>
  <c r="Y90" i="109"/>
  <c r="X104" i="109"/>
  <c r="X118" i="109" s="1"/>
  <c r="AI96" i="109"/>
  <c r="AI110" i="109" s="1"/>
  <c r="AI124" i="109" s="1"/>
  <c r="AI25" i="109"/>
  <c r="AJ25" i="109"/>
  <c r="AJ96" i="109"/>
  <c r="AJ110" i="109" s="1"/>
  <c r="AJ124" i="109" s="1"/>
  <c r="AH17" i="109"/>
  <c r="AD17" i="109"/>
  <c r="AJ17" i="109"/>
  <c r="AF17" i="109"/>
  <c r="AA55" i="110"/>
  <c r="AA56" i="110" s="1"/>
  <c r="AE17" i="109"/>
  <c r="AG17" i="109"/>
  <c r="AI17" i="109"/>
  <c r="I81" i="112"/>
  <c r="BA26" i="112"/>
  <c r="M268" i="109"/>
  <c r="M238" i="109"/>
  <c r="R268" i="109"/>
  <c r="R238" i="109"/>
  <c r="Q266" i="109"/>
  <c r="Q236" i="109"/>
  <c r="O237" i="109"/>
  <c r="O267" i="109"/>
  <c r="G17" i="109"/>
  <c r="C17" i="109"/>
  <c r="I17" i="109"/>
  <c r="E17" i="109"/>
  <c r="G122" i="110"/>
  <c r="G123" i="110" s="1"/>
  <c r="D17" i="109"/>
  <c r="H17" i="109"/>
  <c r="F17" i="109"/>
  <c r="AA7" i="110"/>
  <c r="AA8" i="110" s="1"/>
  <c r="E51" i="96"/>
  <c r="E66" i="96" s="1"/>
  <c r="G61" i="102"/>
  <c r="R8" i="102" s="1"/>
  <c r="G65" i="102"/>
  <c r="G75" i="102" s="1"/>
  <c r="G89" i="102" s="1"/>
  <c r="H268" i="109"/>
  <c r="H238" i="109"/>
  <c r="F112" i="94"/>
  <c r="F117" i="94" s="1"/>
  <c r="E117" i="94"/>
  <c r="D265" i="109"/>
  <c r="D235" i="109"/>
  <c r="D268" i="109"/>
  <c r="D238" i="109"/>
  <c r="H264" i="109"/>
  <c r="H234" i="109"/>
  <c r="AP97" i="109"/>
  <c r="AP26" i="109"/>
  <c r="Y267" i="109"/>
  <c r="Y237" i="109"/>
  <c r="W264" i="109"/>
  <c r="W234" i="109"/>
  <c r="AP264" i="109"/>
  <c r="AP234" i="109"/>
  <c r="Q268" i="109"/>
  <c r="Q238" i="109"/>
  <c r="BB59" i="112"/>
  <c r="F157" i="94"/>
  <c r="E173" i="94"/>
  <c r="F173" i="94" s="1"/>
  <c r="Y63" i="110" s="1"/>
  <c r="Z96" i="109"/>
  <c r="Z25" i="109"/>
  <c r="W25" i="109"/>
  <c r="W96" i="109"/>
  <c r="AZ143" i="112"/>
  <c r="AZ102" i="112"/>
  <c r="AA268" i="109"/>
  <c r="AA238" i="109"/>
  <c r="F44" i="94"/>
  <c r="J79" i="79"/>
  <c r="O96" i="74"/>
  <c r="O98" i="74" s="1"/>
  <c r="O102" i="74" s="1"/>
  <c r="BB37" i="112"/>
  <c r="O96" i="109"/>
  <c r="O25" i="109"/>
  <c r="N25" i="109"/>
  <c r="N96" i="109"/>
  <c r="Q67" i="74"/>
  <c r="K81" i="79" s="1"/>
  <c r="R60" i="74"/>
  <c r="R67" i="74" s="1"/>
  <c r="F17" i="110"/>
  <c r="AD25" i="109"/>
  <c r="AD96" i="109"/>
  <c r="AD110" i="109" s="1"/>
  <c r="AD124" i="109" s="1"/>
  <c r="X268" i="109"/>
  <c r="X238" i="109"/>
  <c r="U177" i="109"/>
  <c r="U106" i="109"/>
  <c r="U120" i="109" s="1"/>
  <c r="V92" i="109"/>
  <c r="AZ125" i="112"/>
  <c r="AZ130" i="112" s="1"/>
  <c r="Y17" i="109"/>
  <c r="U17" i="109"/>
  <c r="AA17" i="109"/>
  <c r="W17" i="109"/>
  <c r="V17" i="109"/>
  <c r="AA39" i="110"/>
  <c r="AA40" i="110" s="1"/>
  <c r="Z17" i="109"/>
  <c r="X17" i="109"/>
  <c r="F265" i="109"/>
  <c r="F235" i="109"/>
  <c r="H266" i="109"/>
  <c r="H236" i="109"/>
  <c r="BB17" i="112"/>
  <c r="BB18" i="112" s="1"/>
  <c r="I264" i="109"/>
  <c r="I234" i="109"/>
  <c r="L238" i="109"/>
  <c r="L268" i="109"/>
  <c r="AN181" i="109"/>
  <c r="AN110" i="109"/>
  <c r="AN124" i="109" s="1"/>
  <c r="N264" i="109"/>
  <c r="N234" i="109"/>
  <c r="E268" i="109"/>
  <c r="E238" i="109"/>
  <c r="F25" i="97"/>
  <c r="F14" i="97"/>
  <c r="F14" i="110"/>
  <c r="Z12" i="110"/>
  <c r="Z89" i="110"/>
  <c r="I25" i="109"/>
  <c r="I96" i="109"/>
  <c r="C238" i="109"/>
  <c r="C268" i="109"/>
  <c r="D264" i="109"/>
  <c r="D234" i="109"/>
  <c r="P17" i="109"/>
  <c r="L17" i="109"/>
  <c r="R17" i="109"/>
  <c r="N17" i="109"/>
  <c r="M17" i="109"/>
  <c r="AA23" i="110"/>
  <c r="AA24" i="110" s="1"/>
  <c r="O17" i="109"/>
  <c r="Q17" i="109"/>
  <c r="BA80" i="112"/>
  <c r="G94" i="102"/>
  <c r="G96" i="102" s="1"/>
  <c r="R19" i="102"/>
  <c r="X267" i="109"/>
  <c r="X237" i="109"/>
  <c r="AJ148" i="109"/>
  <c r="AF148" i="109"/>
  <c r="AH147" i="109"/>
  <c r="AD147" i="109"/>
  <c r="AH148" i="109"/>
  <c r="AD148" i="109"/>
  <c r="AJ147" i="109"/>
  <c r="AF147" i="109"/>
  <c r="AG148" i="109"/>
  <c r="AE148" i="109"/>
  <c r="AI147" i="109"/>
  <c r="AE147" i="109"/>
  <c r="P63" i="110"/>
  <c r="F132" i="110" s="1"/>
  <c r="AI148" i="109"/>
  <c r="AG147" i="109"/>
  <c r="AI238" i="109"/>
  <c r="AI268" i="109"/>
  <c r="R266" i="109"/>
  <c r="R236" i="109"/>
  <c r="AD268" i="109"/>
  <c r="AD238" i="109"/>
  <c r="R267" i="109"/>
  <c r="R237" i="109"/>
  <c r="AE265" i="109"/>
  <c r="AE235" i="109"/>
  <c r="N267" i="109"/>
  <c r="N237" i="109"/>
  <c r="AY108" i="112"/>
  <c r="AY112" i="112" s="1"/>
  <c r="AY150" i="112"/>
  <c r="AX151" i="112"/>
  <c r="AX155" i="112" s="1"/>
  <c r="AR97" i="109"/>
  <c r="AR26" i="109"/>
  <c r="AS26" i="109"/>
  <c r="AS97" i="109"/>
  <c r="N266" i="109"/>
  <c r="N236" i="109"/>
  <c r="C266" i="109"/>
  <c r="C236" i="109"/>
  <c r="H85" i="112"/>
  <c r="AG220" i="109"/>
  <c r="AG190" i="109"/>
  <c r="AH175" i="109"/>
  <c r="N268" i="109"/>
  <c r="N238" i="109"/>
  <c r="AR181" i="109"/>
  <c r="AR110" i="109"/>
  <c r="AR124" i="109" s="1"/>
  <c r="I266" i="109"/>
  <c r="I236" i="109"/>
  <c r="M267" i="109"/>
  <c r="M237" i="109"/>
  <c r="O268" i="109"/>
  <c r="O238" i="109"/>
  <c r="AN265" i="109"/>
  <c r="AN235" i="109"/>
  <c r="P266" i="109"/>
  <c r="P236" i="109"/>
  <c r="X96" i="109"/>
  <c r="X25" i="109"/>
  <c r="AA25" i="109"/>
  <c r="AA96" i="109"/>
  <c r="AY147" i="112"/>
  <c r="AY152" i="112" s="1"/>
  <c r="T7" i="97"/>
  <c r="P267" i="109"/>
  <c r="P237" i="109"/>
  <c r="I265" i="109"/>
  <c r="I235" i="109"/>
  <c r="Q96" i="109"/>
  <c r="Q25" i="109"/>
  <c r="AG96" i="109"/>
  <c r="AG110" i="109" s="1"/>
  <c r="AG124" i="109" s="1"/>
  <c r="AG25" i="109"/>
  <c r="AF25" i="109"/>
  <c r="AF96" i="109"/>
  <c r="AF110" i="109" s="1"/>
  <c r="AF124" i="109" s="1"/>
  <c r="I268" i="109"/>
  <c r="I238" i="109"/>
  <c r="D96" i="109"/>
  <c r="D25" i="109"/>
  <c r="Z267" i="109"/>
  <c r="Z237" i="109"/>
  <c r="M266" i="109"/>
  <c r="M236" i="109"/>
  <c r="E264" i="109"/>
  <c r="E234" i="109"/>
  <c r="S18" i="102"/>
  <c r="H53" i="102"/>
  <c r="AF221" i="109"/>
  <c r="AF191" i="109"/>
  <c r="AG176" i="109"/>
  <c r="AQ26" i="109"/>
  <c r="AQ97" i="109"/>
  <c r="L264" i="109"/>
  <c r="L234" i="109"/>
  <c r="O264" i="109"/>
  <c r="O234" i="109"/>
  <c r="AF264" i="109"/>
  <c r="AF234" i="109"/>
  <c r="C264" i="109"/>
  <c r="C234" i="109"/>
  <c r="E266" i="109"/>
  <c r="E236" i="109"/>
  <c r="J99" i="79"/>
  <c r="J44" i="102" s="1"/>
  <c r="I39" i="110"/>
  <c r="I42" i="110" s="1"/>
  <c r="H12" i="93" s="1"/>
  <c r="J117" i="79"/>
  <c r="J101" i="79" s="1"/>
  <c r="U12" i="102" s="1"/>
  <c r="X45" i="97"/>
  <c r="T45" i="97"/>
  <c r="W45" i="97"/>
  <c r="S45" i="97"/>
  <c r="U45" i="97"/>
  <c r="G56" i="32"/>
  <c r="G59" i="32" s="1"/>
  <c r="V45" i="97"/>
  <c r="R45" i="97"/>
  <c r="V96" i="109"/>
  <c r="V25" i="109"/>
  <c r="Y25" i="109"/>
  <c r="Y96" i="109"/>
  <c r="Q267" i="109"/>
  <c r="Q237" i="109"/>
  <c r="AF238" i="109"/>
  <c r="AF268" i="109"/>
  <c r="G268" i="109"/>
  <c r="G238" i="109"/>
  <c r="P40" i="74"/>
  <c r="M96" i="109"/>
  <c r="M25" i="109"/>
  <c r="P25" i="109"/>
  <c r="P96" i="109"/>
  <c r="U221" i="109"/>
  <c r="U191" i="109"/>
  <c r="W268" i="109"/>
  <c r="W238" i="109"/>
  <c r="AG238" i="109"/>
  <c r="AG268" i="109"/>
  <c r="I55" i="112"/>
  <c r="I86" i="112"/>
  <c r="P12" i="98"/>
  <c r="Q96" i="97"/>
  <c r="F15" i="97" s="1"/>
  <c r="P265" i="109"/>
  <c r="P235" i="109"/>
  <c r="E25" i="109"/>
  <c r="E96" i="109"/>
  <c r="D23" i="96"/>
  <c r="D109" i="96" s="1"/>
  <c r="N63" i="115"/>
  <c r="N265" i="109"/>
  <c r="N235" i="109"/>
  <c r="AE107" i="109"/>
  <c r="AE121" i="109" s="1"/>
  <c r="AF93" i="109"/>
  <c r="Z268" i="109"/>
  <c r="Z238" i="109"/>
  <c r="G114" i="112"/>
  <c r="G119" i="112" s="1"/>
  <c r="F122" i="112"/>
  <c r="F16" i="96" s="1"/>
  <c r="E85" i="93" s="1"/>
  <c r="AO26" i="109"/>
  <c r="AO97" i="109"/>
  <c r="D43" i="96"/>
  <c r="F5" i="97"/>
  <c r="F8" i="97" s="1"/>
  <c r="F11" i="32"/>
  <c r="AO181" i="109"/>
  <c r="AO110" i="109"/>
  <c r="AO124" i="109" s="1"/>
  <c r="I49" i="115"/>
  <c r="C265" i="109"/>
  <c r="C235" i="109"/>
  <c r="AA267" i="109"/>
  <c r="AA237" i="109"/>
  <c r="F15" i="110"/>
  <c r="R25" i="109"/>
  <c r="R96" i="109"/>
  <c r="G265" i="109"/>
  <c r="G235" i="109"/>
  <c r="C223" i="109"/>
  <c r="D178" i="109"/>
  <c r="C193" i="109"/>
  <c r="D266" i="109"/>
  <c r="D236" i="109"/>
  <c r="Q234" i="109"/>
  <c r="Q264" i="109"/>
  <c r="AE96" i="109"/>
  <c r="AE110" i="109" s="1"/>
  <c r="AE124" i="109" s="1"/>
  <c r="AE25" i="109"/>
  <c r="AH25" i="109"/>
  <c r="AH96" i="109"/>
  <c r="AH110" i="109" s="1"/>
  <c r="AH124" i="109" s="1"/>
  <c r="AZ123" i="112"/>
  <c r="F155" i="94"/>
  <c r="E171" i="94"/>
  <c r="F171" i="94" s="1"/>
  <c r="Y31" i="110" s="1"/>
  <c r="R264" i="109"/>
  <c r="R234" i="109"/>
  <c r="AM110" i="109"/>
  <c r="AM124" i="109" s="1"/>
  <c r="AM181" i="109"/>
  <c r="AF106" i="109"/>
  <c r="AF120" i="109" s="1"/>
  <c r="AG92" i="109"/>
  <c r="M264" i="109"/>
  <c r="M234" i="109"/>
  <c r="F96" i="109"/>
  <c r="F25" i="109"/>
  <c r="C25" i="109"/>
  <c r="C96" i="109"/>
  <c r="F236" i="109"/>
  <c r="F266" i="109"/>
  <c r="AH238" i="109"/>
  <c r="AH268" i="109"/>
  <c r="G97" i="112"/>
  <c r="AJ238" i="109"/>
  <c r="AJ268" i="109"/>
  <c r="F238" i="109"/>
  <c r="F268" i="109"/>
  <c r="O265" i="109"/>
  <c r="O235" i="109"/>
  <c r="AE238" i="109"/>
  <c r="AE268" i="109"/>
  <c r="F55" i="94"/>
  <c r="F60" i="94" s="1"/>
  <c r="E60" i="94"/>
  <c r="AM26" i="109"/>
  <c r="AM97" i="109"/>
  <c r="L237" i="109"/>
  <c r="L267" i="109"/>
  <c r="AS110" i="109"/>
  <c r="AS124" i="109" s="1"/>
  <c r="AS181" i="109"/>
  <c r="X220" i="109"/>
  <c r="X190" i="109"/>
  <c r="Y175" i="109"/>
  <c r="AQ190" i="109"/>
  <c r="AQ220" i="109"/>
  <c r="AR175" i="109"/>
  <c r="O266" i="109"/>
  <c r="O236" i="109"/>
  <c r="AY87" i="112"/>
  <c r="AY91" i="112" s="1"/>
  <c r="F16" i="110"/>
  <c r="U25" i="109"/>
  <c r="U96" i="109"/>
  <c r="W22" i="107" l="1"/>
  <c r="AA22" i="107"/>
  <c r="AB22" i="107" s="1"/>
  <c r="Z22" i="107"/>
  <c r="Y22" i="107" s="1"/>
  <c r="AZ71" i="112"/>
  <c r="AZ136" i="112"/>
  <c r="G107" i="112"/>
  <c r="H57" i="112"/>
  <c r="BA68" i="112"/>
  <c r="I23" i="110"/>
  <c r="S49" i="110" s="1"/>
  <c r="Q70" i="110"/>
  <c r="AY134" i="112"/>
  <c r="T70" i="110"/>
  <c r="X264" i="109"/>
  <c r="X234" i="109"/>
  <c r="AO226" i="109"/>
  <c r="AO196" i="109"/>
  <c r="AF107" i="109"/>
  <c r="AF121" i="109" s="1"/>
  <c r="AG93" i="109"/>
  <c r="AG178" i="109" s="1"/>
  <c r="E181" i="109"/>
  <c r="E110" i="109"/>
  <c r="E124" i="109" s="1"/>
  <c r="U265" i="109"/>
  <c r="U235" i="109"/>
  <c r="O67" i="110" s="1"/>
  <c r="M84" i="104"/>
  <c r="D181" i="109"/>
  <c r="D110" i="109"/>
  <c r="D124" i="109" s="1"/>
  <c r="AR196" i="109"/>
  <c r="AR226" i="109"/>
  <c r="F113" i="112"/>
  <c r="AX156" i="112"/>
  <c r="AX10" i="112"/>
  <c r="AX11" i="112" s="1"/>
  <c r="AI161" i="109"/>
  <c r="AH161" i="109"/>
  <c r="G15" i="110"/>
  <c r="L26" i="109"/>
  <c r="L97" i="109"/>
  <c r="U26" i="109"/>
  <c r="U97" i="109"/>
  <c r="U222" i="109"/>
  <c r="U192" i="109"/>
  <c r="S64" i="74"/>
  <c r="S60" i="74"/>
  <c r="S66" i="74"/>
  <c r="S65" i="74"/>
  <c r="S62" i="74"/>
  <c r="S61" i="74"/>
  <c r="O181" i="109"/>
  <c r="O110" i="109"/>
  <c r="O124" i="109" s="1"/>
  <c r="J84" i="79"/>
  <c r="J45" i="102" s="1"/>
  <c r="G14" i="79"/>
  <c r="D97" i="109"/>
  <c r="D26" i="109"/>
  <c r="BB23" i="112"/>
  <c r="BA24" i="112"/>
  <c r="BA28" i="112" s="1"/>
  <c r="AF97" i="109"/>
  <c r="AF111" i="109" s="1"/>
  <c r="AF125" i="109" s="1"/>
  <c r="AF26" i="109"/>
  <c r="L181" i="109"/>
  <c r="L110" i="109"/>
  <c r="L124" i="109" s="1"/>
  <c r="D193" i="109"/>
  <c r="E178" i="109"/>
  <c r="D223" i="109"/>
  <c r="R110" i="109"/>
  <c r="R124" i="109" s="1"/>
  <c r="R181" i="109"/>
  <c r="AY148" i="112"/>
  <c r="AI162" i="109"/>
  <c r="AD162" i="109"/>
  <c r="AD178" i="109"/>
  <c r="O70" i="110"/>
  <c r="F24" i="97"/>
  <c r="F28" i="97" s="1"/>
  <c r="F16" i="97"/>
  <c r="E29" i="98" s="1"/>
  <c r="H16" i="79"/>
  <c r="BB38" i="112"/>
  <c r="BB39" i="112" s="1"/>
  <c r="J78" i="112"/>
  <c r="Y104" i="109"/>
  <c r="Y118" i="109" s="1"/>
  <c r="Z90" i="109"/>
  <c r="AZ105" i="112"/>
  <c r="AP196" i="109"/>
  <c r="AP226" i="109"/>
  <c r="G181" i="109"/>
  <c r="G110" i="109"/>
  <c r="G124" i="109" s="1"/>
  <c r="V221" i="109"/>
  <c r="V191" i="109"/>
  <c r="Y190" i="109"/>
  <c r="Z175" i="109"/>
  <c r="Y220" i="109"/>
  <c r="AS226" i="109"/>
  <c r="AS196" i="109"/>
  <c r="I79" i="112"/>
  <c r="C110" i="109"/>
  <c r="C124" i="109" s="1"/>
  <c r="C181" i="109"/>
  <c r="AG106" i="109"/>
  <c r="AG120" i="109" s="1"/>
  <c r="AH92" i="109"/>
  <c r="BA121" i="112"/>
  <c r="AZ137" i="112"/>
  <c r="C237" i="109"/>
  <c r="C267" i="109"/>
  <c r="F12" i="32"/>
  <c r="F13" i="32" s="1"/>
  <c r="AO182" i="109"/>
  <c r="AO111" i="109"/>
  <c r="AO125" i="109" s="1"/>
  <c r="Q37" i="74"/>
  <c r="R37" i="74" s="1"/>
  <c r="Q36" i="74"/>
  <c r="R36" i="74" s="1"/>
  <c r="Q34" i="74"/>
  <c r="R34" i="74" s="1"/>
  <c r="Q38" i="74"/>
  <c r="R38" i="74" s="1"/>
  <c r="Q35" i="74"/>
  <c r="R35" i="74" s="1"/>
  <c r="Q33" i="74"/>
  <c r="P96" i="74"/>
  <c r="N84" i="104"/>
  <c r="O84" i="104"/>
  <c r="H61" i="102"/>
  <c r="S8" i="102" s="1"/>
  <c r="Q82" i="96" s="1"/>
  <c r="H65" i="102"/>
  <c r="H75" i="102" s="1"/>
  <c r="H89" i="102" s="1"/>
  <c r="F51" i="96"/>
  <c r="F66" i="96" s="1"/>
  <c r="U70" i="110"/>
  <c r="AY158" i="112"/>
  <c r="AY159" i="112" s="1"/>
  <c r="AG162" i="109"/>
  <c r="AH162" i="109"/>
  <c r="AJ162" i="109"/>
  <c r="Q97" i="109"/>
  <c r="Q26" i="109"/>
  <c r="N26" i="109"/>
  <c r="N97" i="109"/>
  <c r="P66" i="110"/>
  <c r="I110" i="109"/>
  <c r="I124" i="109" s="1"/>
  <c r="I181" i="109"/>
  <c r="F19" i="110"/>
  <c r="AN196" i="109"/>
  <c r="AN226" i="109"/>
  <c r="X97" i="109"/>
  <c r="X26" i="109"/>
  <c r="W26" i="109"/>
  <c r="W97" i="109"/>
  <c r="AZ126" i="112"/>
  <c r="V177" i="109"/>
  <c r="W92" i="109"/>
  <c r="V106" i="109"/>
  <c r="V120" i="109" s="1"/>
  <c r="I87" i="112"/>
  <c r="J84" i="112" s="1"/>
  <c r="BA47" i="112"/>
  <c r="Z181" i="109"/>
  <c r="Z110" i="109"/>
  <c r="Z124" i="109" s="1"/>
  <c r="P70" i="110"/>
  <c r="G99" i="102"/>
  <c r="F97" i="109"/>
  <c r="F26" i="109"/>
  <c r="E26" i="109"/>
  <c r="E97" i="109"/>
  <c r="AE97" i="109"/>
  <c r="AE111" i="109" s="1"/>
  <c r="AE125" i="109" s="1"/>
  <c r="AE26" i="109"/>
  <c r="AD26" i="109"/>
  <c r="AD97" i="109"/>
  <c r="AD111" i="109" s="1"/>
  <c r="AD125" i="109" s="1"/>
  <c r="E175" i="94"/>
  <c r="F170" i="94"/>
  <c r="AQ226" i="109"/>
  <c r="AQ196" i="109"/>
  <c r="AZ109" i="112"/>
  <c r="S51" i="74"/>
  <c r="S50" i="74"/>
  <c r="S47" i="74"/>
  <c r="S49" i="74"/>
  <c r="S53" i="74"/>
  <c r="S52" i="74"/>
  <c r="S48" i="74"/>
  <c r="I106" i="102"/>
  <c r="I107" i="102" s="1"/>
  <c r="AZ87" i="112"/>
  <c r="AZ91" i="112" s="1"/>
  <c r="H83" i="112"/>
  <c r="AZ50" i="112"/>
  <c r="AQ264" i="109"/>
  <c r="AQ234" i="109"/>
  <c r="AM226" i="109"/>
  <c r="AM196" i="109"/>
  <c r="M181" i="109"/>
  <c r="M110" i="109"/>
  <c r="M124" i="109" s="1"/>
  <c r="V181" i="109"/>
  <c r="V110" i="109"/>
  <c r="V124" i="109" s="1"/>
  <c r="Q66" i="110"/>
  <c r="AA181" i="109"/>
  <c r="AA110" i="109"/>
  <c r="AA124" i="109" s="1"/>
  <c r="AS111" i="109"/>
  <c r="AS125" i="109" s="1"/>
  <c r="AS182" i="109"/>
  <c r="G101" i="112"/>
  <c r="AY113" i="112"/>
  <c r="AG177" i="109"/>
  <c r="AG161" i="109"/>
  <c r="AJ161" i="109"/>
  <c r="BA83" i="112"/>
  <c r="BA88" i="112" s="1"/>
  <c r="G16" i="110"/>
  <c r="BA100" i="112"/>
  <c r="AZ116" i="112"/>
  <c r="BB62" i="112"/>
  <c r="BB67" i="112" s="1"/>
  <c r="C26" i="109"/>
  <c r="C97" i="109"/>
  <c r="AI97" i="109"/>
  <c r="AI111" i="109" s="1"/>
  <c r="AI125" i="109" s="1"/>
  <c r="AI26" i="109"/>
  <c r="H181" i="109"/>
  <c r="H110" i="109"/>
  <c r="H124" i="109" s="1"/>
  <c r="AM182" i="109"/>
  <c r="AM111" i="109"/>
  <c r="AM125" i="109" s="1"/>
  <c r="F181" i="109"/>
  <c r="F110" i="109"/>
  <c r="F124" i="109" s="1"/>
  <c r="P181" i="109"/>
  <c r="P110" i="109"/>
  <c r="P124" i="109" s="1"/>
  <c r="Y181" i="109"/>
  <c r="Y110" i="109"/>
  <c r="Y124" i="109" s="1"/>
  <c r="J84" i="104"/>
  <c r="J90" i="104" s="1"/>
  <c r="J6" i="104" s="1"/>
  <c r="J9" i="104" s="1"/>
  <c r="Y45" i="97"/>
  <c r="R50" i="97"/>
  <c r="G12" i="97" s="1"/>
  <c r="K84" i="104"/>
  <c r="O66" i="110"/>
  <c r="AQ182" i="109"/>
  <c r="AQ111" i="109"/>
  <c r="AQ125" i="109" s="1"/>
  <c r="AF265" i="109"/>
  <c r="AF235" i="109"/>
  <c r="AG264" i="109"/>
  <c r="AG234" i="109"/>
  <c r="AE162" i="109"/>
  <c r="H40" i="115" s="1"/>
  <c r="I40" i="115" s="1"/>
  <c r="AE178" i="109"/>
  <c r="AF178" i="109"/>
  <c r="AF162" i="109"/>
  <c r="BA81" i="112"/>
  <c r="M97" i="109"/>
  <c r="M26" i="109"/>
  <c r="P26" i="109"/>
  <c r="P97" i="109"/>
  <c r="V97" i="109"/>
  <c r="V26" i="109"/>
  <c r="Y26" i="109"/>
  <c r="Y97" i="109"/>
  <c r="N181" i="109"/>
  <c r="N110" i="109"/>
  <c r="N124" i="109" s="1"/>
  <c r="AZ144" i="112"/>
  <c r="AA89" i="110"/>
  <c r="G14" i="110"/>
  <c r="AA12" i="110"/>
  <c r="G26" i="109"/>
  <c r="G97" i="109"/>
  <c r="AG97" i="109"/>
  <c r="AG111" i="109" s="1"/>
  <c r="AG125" i="109" s="1"/>
  <c r="AG26" i="109"/>
  <c r="AJ26" i="109"/>
  <c r="AJ97" i="109"/>
  <c r="AJ111" i="109" s="1"/>
  <c r="AJ125" i="109" s="1"/>
  <c r="AP221" i="109"/>
  <c r="AP191" i="109"/>
  <c r="AQ176" i="109"/>
  <c r="U181" i="109"/>
  <c r="U110" i="109"/>
  <c r="U124" i="109" s="1"/>
  <c r="G95" i="112"/>
  <c r="AY92" i="112"/>
  <c r="AR220" i="109"/>
  <c r="AR190" i="109"/>
  <c r="AS175" i="109"/>
  <c r="R70" i="110"/>
  <c r="E25" i="98"/>
  <c r="E27" i="98" s="1"/>
  <c r="S70" i="110"/>
  <c r="G61" i="32"/>
  <c r="G62" i="32" s="1"/>
  <c r="G64" i="32" s="1"/>
  <c r="P82" i="97"/>
  <c r="P8" i="97"/>
  <c r="R8" i="97" s="1"/>
  <c r="G70" i="32"/>
  <c r="L84" i="104"/>
  <c r="J69" i="102"/>
  <c r="T54" i="102"/>
  <c r="AG221" i="109"/>
  <c r="AH176" i="109"/>
  <c r="AG191" i="109"/>
  <c r="H94" i="102"/>
  <c r="H96" i="102" s="1"/>
  <c r="S19" i="102"/>
  <c r="Q181" i="109"/>
  <c r="Q110" i="109"/>
  <c r="Q124" i="109" s="1"/>
  <c r="U7" i="97"/>
  <c r="X181" i="109"/>
  <c r="X110" i="109"/>
  <c r="X124" i="109" s="1"/>
  <c r="AH190" i="109"/>
  <c r="AI175" i="109"/>
  <c r="AH220" i="109"/>
  <c r="AR182" i="109"/>
  <c r="AR111" i="109"/>
  <c r="AR125" i="109" s="1"/>
  <c r="AE161" i="109"/>
  <c r="AE177" i="109"/>
  <c r="AF177" i="109"/>
  <c r="AF161" i="109"/>
  <c r="AD161" i="109"/>
  <c r="AD177" i="109"/>
  <c r="O97" i="109"/>
  <c r="O26" i="109"/>
  <c r="R26" i="109"/>
  <c r="R97" i="109"/>
  <c r="BB20" i="112"/>
  <c r="BB25" i="112" s="1"/>
  <c r="Z97" i="109"/>
  <c r="Z26" i="109"/>
  <c r="AA26" i="109"/>
  <c r="AA97" i="109"/>
  <c r="I91" i="112"/>
  <c r="W110" i="109"/>
  <c r="W124" i="109" s="1"/>
  <c r="W181" i="109"/>
  <c r="BB60" i="112"/>
  <c r="AP182" i="109"/>
  <c r="AP111" i="109"/>
  <c r="AP125" i="109" s="1"/>
  <c r="F178" i="94"/>
  <c r="F180" i="94" s="1"/>
  <c r="P82" i="96"/>
  <c r="S7" i="102"/>
  <c r="H97" i="109"/>
  <c r="H26" i="109"/>
  <c r="I26" i="109"/>
  <c r="I97" i="109"/>
  <c r="H97" i="112"/>
  <c r="G17" i="110"/>
  <c r="AH26" i="109"/>
  <c r="AH97" i="109"/>
  <c r="AH111" i="109" s="1"/>
  <c r="AH125" i="109" s="1"/>
  <c r="F159" i="94"/>
  <c r="F182" i="94" s="1"/>
  <c r="F184" i="94" s="1"/>
  <c r="AO265" i="109"/>
  <c r="AO235" i="109"/>
  <c r="K80" i="79"/>
  <c r="H15" i="79" s="1"/>
  <c r="K112" i="79"/>
  <c r="K113" i="79" s="1"/>
  <c r="L105" i="79" s="1"/>
  <c r="AN182" i="109"/>
  <c r="AN111" i="109"/>
  <c r="AN125" i="109" s="1"/>
  <c r="G10" i="93"/>
  <c r="R10" i="110"/>
  <c r="R59" i="110"/>
  <c r="R61" i="110" s="1"/>
  <c r="R46" i="110"/>
  <c r="H121" i="110"/>
  <c r="H11" i="110"/>
  <c r="W176" i="109"/>
  <c r="W105" i="109"/>
  <c r="W119" i="109" s="1"/>
  <c r="X91" i="109"/>
  <c r="AA23" i="107" l="1"/>
  <c r="AB23" i="107" s="1"/>
  <c r="Z23" i="107"/>
  <c r="Y23" i="107"/>
  <c r="W23" i="107"/>
  <c r="BB21" i="112"/>
  <c r="J54" i="112" s="1"/>
  <c r="I85" i="112"/>
  <c r="I24" i="110"/>
  <c r="I126" i="110"/>
  <c r="S62" i="110"/>
  <c r="AP70" i="109" s="1"/>
  <c r="AP84" i="109" s="1"/>
  <c r="R66" i="110"/>
  <c r="V375" i="109"/>
  <c r="V376" i="109" s="1"/>
  <c r="BB65" i="112"/>
  <c r="BA66" i="112"/>
  <c r="BA70" i="112" s="1"/>
  <c r="BA71" i="112" s="1"/>
  <c r="BA84" i="112"/>
  <c r="I98" i="112" s="1"/>
  <c r="F18" i="97"/>
  <c r="F78" i="97" s="1"/>
  <c r="F80" i="97" s="1"/>
  <c r="BA94" i="112"/>
  <c r="BA95" i="112" s="1"/>
  <c r="R34" i="110"/>
  <c r="R36" i="110" s="1"/>
  <c r="R48" i="110"/>
  <c r="H74" i="93"/>
  <c r="K13" i="102"/>
  <c r="F188" i="94"/>
  <c r="O84" i="110"/>
  <c r="AI220" i="109"/>
  <c r="AI190" i="109"/>
  <c r="AJ175" i="109"/>
  <c r="AG265" i="109"/>
  <c r="AG235" i="109"/>
  <c r="AQ221" i="109"/>
  <c r="AR176" i="109"/>
  <c r="AQ191" i="109"/>
  <c r="M182" i="109"/>
  <c r="M111" i="109"/>
  <c r="M125" i="109" s="1"/>
  <c r="H196" i="109"/>
  <c r="H226" i="109"/>
  <c r="AS227" i="109"/>
  <c r="AS197" i="109"/>
  <c r="L93" i="79"/>
  <c r="L94" i="79" s="1"/>
  <c r="L97" i="79" s="1"/>
  <c r="L106" i="79"/>
  <c r="AQ270" i="109"/>
  <c r="AQ240" i="109"/>
  <c r="K11" i="102"/>
  <c r="H75" i="93"/>
  <c r="T55" i="102"/>
  <c r="T57" i="102" s="1"/>
  <c r="T61" i="102" s="1"/>
  <c r="J70" i="102"/>
  <c r="AQ18" i="109"/>
  <c r="AM18" i="109"/>
  <c r="AS18" i="109"/>
  <c r="AO18" i="109"/>
  <c r="AB71" i="110"/>
  <c r="AB72" i="110" s="1"/>
  <c r="H18" i="110" s="1"/>
  <c r="AN18" i="109"/>
  <c r="AP18" i="109"/>
  <c r="AR18" i="109"/>
  <c r="H182" i="109"/>
  <c r="H111" i="109"/>
  <c r="H125" i="109" s="1"/>
  <c r="Z182" i="109"/>
  <c r="Z111" i="109"/>
  <c r="Z125" i="109" s="1"/>
  <c r="O182" i="109"/>
  <c r="O111" i="109"/>
  <c r="O125" i="109" s="1"/>
  <c r="AR197" i="109"/>
  <c r="AR227" i="109"/>
  <c r="X196" i="109"/>
  <c r="X226" i="109"/>
  <c r="Q196" i="109"/>
  <c r="Q226" i="109"/>
  <c r="E12" i="98"/>
  <c r="V182" i="109"/>
  <c r="V111" i="109"/>
  <c r="V125" i="109" s="1"/>
  <c r="F196" i="109"/>
  <c r="F226" i="109"/>
  <c r="AZ110" i="112"/>
  <c r="BA107" i="112" s="1"/>
  <c r="H105" i="112"/>
  <c r="AG222" i="109"/>
  <c r="AG192" i="109"/>
  <c r="M196" i="109"/>
  <c r="M226" i="109"/>
  <c r="H110" i="112"/>
  <c r="H59" i="112"/>
  <c r="F45" i="110"/>
  <c r="E35" i="96"/>
  <c r="Q182" i="109"/>
  <c r="Q111" i="109"/>
  <c r="Q125" i="109" s="1"/>
  <c r="BA122" i="112"/>
  <c r="AS240" i="109"/>
  <c r="AS270" i="109"/>
  <c r="H104" i="112"/>
  <c r="H58" i="112"/>
  <c r="AD223" i="109"/>
  <c r="AD193" i="109"/>
  <c r="R22" i="110"/>
  <c r="R24" i="110" s="1"/>
  <c r="R12" i="110"/>
  <c r="Q81" i="96"/>
  <c r="T7" i="102"/>
  <c r="W226" i="109"/>
  <c r="W196" i="109"/>
  <c r="R182" i="109"/>
  <c r="R111" i="109"/>
  <c r="R125" i="109" s="1"/>
  <c r="AE192" i="109"/>
  <c r="AE222" i="109"/>
  <c r="V7" i="97"/>
  <c r="G66" i="32"/>
  <c r="G6" i="97" s="1"/>
  <c r="AR264" i="109"/>
  <c r="AR234" i="109"/>
  <c r="AP265" i="109"/>
  <c r="AP235" i="109"/>
  <c r="AZ147" i="112"/>
  <c r="AZ152" i="112" s="1"/>
  <c r="W221" i="109"/>
  <c r="W191" i="109"/>
  <c r="X176" i="109"/>
  <c r="BB31" i="112"/>
  <c r="BB32" i="112" s="1"/>
  <c r="H39" i="115"/>
  <c r="AH264" i="109"/>
  <c r="AH234" i="109"/>
  <c r="AH221" i="109"/>
  <c r="AI176" i="109"/>
  <c r="AH191" i="109"/>
  <c r="U226" i="109"/>
  <c r="U196" i="109"/>
  <c r="G19" i="110"/>
  <c r="AH70" i="109"/>
  <c r="AH84" i="109" s="1"/>
  <c r="AJ70" i="109"/>
  <c r="AJ84" i="109" s="1"/>
  <c r="AG70" i="109"/>
  <c r="AG84" i="109" s="1"/>
  <c r="AI70" i="109"/>
  <c r="AI84" i="109" s="1"/>
  <c r="AE70" i="109"/>
  <c r="AE84" i="109" s="1"/>
  <c r="AD70" i="109"/>
  <c r="AD84" i="109" s="1"/>
  <c r="AF70" i="109"/>
  <c r="AF84" i="109" s="1"/>
  <c r="AZ145" i="112"/>
  <c r="AF223" i="109"/>
  <c r="AF193" i="109"/>
  <c r="AM227" i="109"/>
  <c r="AM197" i="109"/>
  <c r="C182" i="109"/>
  <c r="C111" i="109"/>
  <c r="C125" i="109" s="1"/>
  <c r="BB63" i="112"/>
  <c r="J56" i="112" s="1"/>
  <c r="V196" i="109"/>
  <c r="V226" i="109"/>
  <c r="AM270" i="109"/>
  <c r="AM240" i="109"/>
  <c r="I109" i="102"/>
  <c r="I110" i="102" s="1"/>
  <c r="I112" i="102" s="1"/>
  <c r="I51" i="102" s="1"/>
  <c r="BB44" i="112"/>
  <c r="BA45" i="112"/>
  <c r="BA49" i="112" s="1"/>
  <c r="W177" i="109"/>
  <c r="W106" i="109"/>
  <c r="W120" i="109" s="1"/>
  <c r="X92" i="109"/>
  <c r="AN270" i="109"/>
  <c r="AN240" i="109"/>
  <c r="AG193" i="109"/>
  <c r="AG223" i="109"/>
  <c r="Z220" i="109"/>
  <c r="AA175" i="109"/>
  <c r="Z190" i="109"/>
  <c r="V265" i="109"/>
  <c r="V235" i="109"/>
  <c r="G226" i="109"/>
  <c r="G196" i="109"/>
  <c r="D267" i="109"/>
  <c r="D237" i="109"/>
  <c r="I77" i="112"/>
  <c r="BA29" i="112"/>
  <c r="G73" i="93"/>
  <c r="G78" i="93" s="1"/>
  <c r="G81" i="93" s="1"/>
  <c r="J10" i="102"/>
  <c r="J14" i="102" s="1"/>
  <c r="G19" i="79"/>
  <c r="G21" i="79" s="1"/>
  <c r="S67" i="74"/>
  <c r="L81" i="79" s="1"/>
  <c r="I16" i="79" s="1"/>
  <c r="U182" i="109"/>
  <c r="U111" i="109"/>
  <c r="U125" i="109" s="1"/>
  <c r="AG107" i="109"/>
  <c r="AG121" i="109" s="1"/>
  <c r="AH93" i="109"/>
  <c r="S8" i="97"/>
  <c r="R13" i="97"/>
  <c r="F9" i="98" s="1"/>
  <c r="AS220" i="109"/>
  <c r="AS190" i="109"/>
  <c r="G182" i="109"/>
  <c r="G111" i="109"/>
  <c r="G125" i="109" s="1"/>
  <c r="AE193" i="109"/>
  <c r="AE223" i="109"/>
  <c r="E32" i="96"/>
  <c r="E34" i="96" s="1"/>
  <c r="F64" i="115"/>
  <c r="F65" i="118"/>
  <c r="P226" i="109"/>
  <c r="P196" i="109"/>
  <c r="BB73" i="112"/>
  <c r="BB74" i="112" s="1"/>
  <c r="AA226" i="109"/>
  <c r="AA196" i="109"/>
  <c r="V222" i="109"/>
  <c r="V192" i="109"/>
  <c r="Q40" i="74"/>
  <c r="R33" i="74"/>
  <c r="R40" i="74" s="1"/>
  <c r="AO227" i="109"/>
  <c r="AO197" i="109"/>
  <c r="H111" i="112"/>
  <c r="I108" i="112" s="1"/>
  <c r="AZ131" i="112"/>
  <c r="E223" i="109"/>
  <c r="E193" i="109"/>
  <c r="F178" i="109"/>
  <c r="Y91" i="109"/>
  <c r="X105" i="109"/>
  <c r="X119" i="109" s="1"/>
  <c r="AN197" i="109"/>
  <c r="AN227" i="109"/>
  <c r="AF222" i="109"/>
  <c r="AF192" i="109"/>
  <c r="P74" i="97"/>
  <c r="P90" i="97"/>
  <c r="N226" i="109"/>
  <c r="N196" i="109"/>
  <c r="P182" i="109"/>
  <c r="P111" i="109"/>
  <c r="P125" i="109" s="1"/>
  <c r="BB79" i="112"/>
  <c r="AQ227" i="109"/>
  <c r="AQ197" i="109"/>
  <c r="J92" i="112"/>
  <c r="J38" i="110"/>
  <c r="K115" i="79"/>
  <c r="F182" i="109"/>
  <c r="F111" i="109"/>
  <c r="F125" i="109" s="1"/>
  <c r="X182" i="109"/>
  <c r="X111" i="109"/>
  <c r="X125" i="109" s="1"/>
  <c r="C226" i="109"/>
  <c r="C196" i="109"/>
  <c r="AP270" i="109"/>
  <c r="AP240" i="109"/>
  <c r="G116" i="112"/>
  <c r="G60" i="112"/>
  <c r="G61" i="112" s="1"/>
  <c r="G73" i="112" s="1"/>
  <c r="G83" i="96" s="1"/>
  <c r="R226" i="109"/>
  <c r="R196" i="109"/>
  <c r="L226" i="109"/>
  <c r="L196" i="109"/>
  <c r="I111" i="109"/>
  <c r="I125" i="109" s="1"/>
  <c r="I182" i="109"/>
  <c r="AP197" i="109"/>
  <c r="AP227" i="109"/>
  <c r="AA182" i="109"/>
  <c r="AA111" i="109"/>
  <c r="AA125" i="109" s="1"/>
  <c r="AD222" i="109"/>
  <c r="AD192" i="109"/>
  <c r="Y182" i="109"/>
  <c r="Y111" i="109"/>
  <c r="Y125" i="109" s="1"/>
  <c r="Y226" i="109"/>
  <c r="Y196" i="109"/>
  <c r="BA101" i="112"/>
  <c r="BA102" i="112" s="1"/>
  <c r="H95" i="112"/>
  <c r="AZ92" i="112"/>
  <c r="S54" i="74"/>
  <c r="F175" i="94"/>
  <c r="O83" i="110" s="1"/>
  <c r="Y15" i="110"/>
  <c r="E182" i="109"/>
  <c r="E111" i="109"/>
  <c r="E125" i="109" s="1"/>
  <c r="G101" i="102"/>
  <c r="G102" i="102"/>
  <c r="E69" i="96" s="1"/>
  <c r="Z196" i="109"/>
  <c r="Z226" i="109"/>
  <c r="W111" i="109"/>
  <c r="W125" i="109" s="1"/>
  <c r="W182" i="109"/>
  <c r="I226" i="109"/>
  <c r="I196" i="109"/>
  <c r="N111" i="109"/>
  <c r="N125" i="109" s="1"/>
  <c r="N182" i="109"/>
  <c r="AY153" i="112"/>
  <c r="G117" i="112"/>
  <c r="AI92" i="109"/>
  <c r="AH106" i="109"/>
  <c r="AH120" i="109" s="1"/>
  <c r="Y264" i="109"/>
  <c r="Y234" i="109"/>
  <c r="Z104" i="109"/>
  <c r="Z118" i="109" s="1"/>
  <c r="AA90" i="109"/>
  <c r="AA104" i="109" s="1"/>
  <c r="AA118" i="109" s="1"/>
  <c r="BB41" i="112"/>
  <c r="BB42" i="112" s="1"/>
  <c r="P15" i="98"/>
  <c r="E31" i="98"/>
  <c r="E33" i="98" s="1"/>
  <c r="E36" i="98" s="1"/>
  <c r="D182" i="109"/>
  <c r="D111" i="109"/>
  <c r="D125" i="109" s="1"/>
  <c r="O196" i="109"/>
  <c r="O226" i="109"/>
  <c r="U236" i="109"/>
  <c r="U266" i="109"/>
  <c r="L182" i="109"/>
  <c r="L111" i="109"/>
  <c r="L125" i="109" s="1"/>
  <c r="AH177" i="109"/>
  <c r="F19" i="112"/>
  <c r="Q50" i="110"/>
  <c r="G197" i="93"/>
  <c r="AR270" i="109"/>
  <c r="AR240" i="109"/>
  <c r="D196" i="109"/>
  <c r="D226" i="109"/>
  <c r="E226" i="109"/>
  <c r="E196" i="109"/>
  <c r="AO240" i="109"/>
  <c r="AO270" i="109"/>
  <c r="W24" i="107" l="1"/>
  <c r="W25" i="107" s="1"/>
  <c r="Z24" i="107"/>
  <c r="AA24" i="107"/>
  <c r="AB24" i="107" s="1"/>
  <c r="Y24" i="107"/>
  <c r="I127" i="110"/>
  <c r="I128" i="110" s="1"/>
  <c r="J80" i="112"/>
  <c r="I57" i="112"/>
  <c r="AZ108" i="112"/>
  <c r="AZ112" i="112" s="1"/>
  <c r="AZ113" i="112" s="1"/>
  <c r="AO70" i="109"/>
  <c r="AO84" i="109" s="1"/>
  <c r="AQ70" i="109"/>
  <c r="AQ84" i="109" s="1"/>
  <c r="AN70" i="109"/>
  <c r="AN84" i="109" s="1"/>
  <c r="AS70" i="109"/>
  <c r="AS84" i="109" s="1"/>
  <c r="AR70" i="109"/>
  <c r="AR84" i="109" s="1"/>
  <c r="AM70" i="109"/>
  <c r="AM84" i="109" s="1"/>
  <c r="AZ148" i="112"/>
  <c r="H60" i="112" s="1"/>
  <c r="H61" i="112" s="1"/>
  <c r="H73" i="112" s="1"/>
  <c r="H83" i="96" s="1"/>
  <c r="G68" i="32"/>
  <c r="G5" i="97" s="1"/>
  <c r="G103" i="102"/>
  <c r="H98" i="102" s="1"/>
  <c r="H99" i="102" s="1"/>
  <c r="W375" i="109"/>
  <c r="W376" i="109" s="1"/>
  <c r="AZ158" i="112"/>
  <c r="AZ159" i="112" s="1"/>
  <c r="I89" i="112"/>
  <c r="BB46" i="112"/>
  <c r="BB52" i="112"/>
  <c r="BB53" i="112" s="1"/>
  <c r="J87" i="112" s="1"/>
  <c r="J93" i="112"/>
  <c r="J91" i="112" s="1"/>
  <c r="BB68" i="112"/>
  <c r="BB66" i="112" s="1"/>
  <c r="BB70" i="112" s="1"/>
  <c r="G29" i="102"/>
  <c r="G31" i="102" s="1"/>
  <c r="D197" i="109"/>
  <c r="D227" i="109"/>
  <c r="AZ150" i="112"/>
  <c r="AY151" i="112"/>
  <c r="AY155" i="112" s="1"/>
  <c r="AA227" i="109"/>
  <c r="AA197" i="109"/>
  <c r="BB80" i="112"/>
  <c r="BB81" i="112" s="1"/>
  <c r="S39" i="74"/>
  <c r="S38" i="74"/>
  <c r="S35" i="74"/>
  <c r="S33" i="74"/>
  <c r="S34" i="74"/>
  <c r="S37" i="74"/>
  <c r="S36" i="74"/>
  <c r="R96" i="74"/>
  <c r="G4" i="118"/>
  <c r="F67" i="118"/>
  <c r="G270" i="109"/>
  <c r="G240" i="109"/>
  <c r="AA220" i="109"/>
  <c r="AA190" i="109"/>
  <c r="AM271" i="109"/>
  <c r="AM241" i="109"/>
  <c r="H42" i="115"/>
  <c r="H44" i="115" s="1"/>
  <c r="I39" i="115"/>
  <c r="I42" i="115" s="1"/>
  <c r="I44" i="115" s="1"/>
  <c r="P18" i="109"/>
  <c r="L18" i="109"/>
  <c r="R18" i="109"/>
  <c r="N18" i="109"/>
  <c r="M18" i="109"/>
  <c r="AB23" i="110"/>
  <c r="AB24" i="110" s="1"/>
  <c r="Q18" i="109"/>
  <c r="O18" i="109"/>
  <c r="Q197" i="109"/>
  <c r="Q227" i="109"/>
  <c r="AR98" i="109"/>
  <c r="AR27" i="109"/>
  <c r="AO98" i="109"/>
  <c r="AO27" i="109"/>
  <c r="J86" i="112"/>
  <c r="J55" i="112"/>
  <c r="S66" i="110"/>
  <c r="L80" i="79"/>
  <c r="I15" i="79" s="1"/>
  <c r="L112" i="79"/>
  <c r="L113" i="79" s="1"/>
  <c r="BA104" i="112"/>
  <c r="BA109" i="112" s="1"/>
  <c r="AP271" i="109"/>
  <c r="AP241" i="109"/>
  <c r="L270" i="109"/>
  <c r="L240" i="109"/>
  <c r="J39" i="110"/>
  <c r="J23" i="110" s="1"/>
  <c r="K99" i="79"/>
  <c r="K44" i="102" s="1"/>
  <c r="K117" i="79"/>
  <c r="K101" i="79" s="1"/>
  <c r="V12" i="102" s="1"/>
  <c r="BA89" i="112"/>
  <c r="I99" i="112"/>
  <c r="I97" i="112" s="1"/>
  <c r="I75" i="93"/>
  <c r="L11" i="102"/>
  <c r="P67" i="110"/>
  <c r="T18" i="102"/>
  <c r="I53" i="102"/>
  <c r="C227" i="109"/>
  <c r="C197" i="109"/>
  <c r="AF267" i="109"/>
  <c r="AF237" i="109"/>
  <c r="F85" i="97"/>
  <c r="H109" i="112"/>
  <c r="X270" i="109"/>
  <c r="X240" i="109"/>
  <c r="AP98" i="109"/>
  <c r="AP27" i="109"/>
  <c r="H270" i="109"/>
  <c r="H240" i="109"/>
  <c r="M197" i="109"/>
  <c r="M227" i="109"/>
  <c r="AQ265" i="109"/>
  <c r="AQ235" i="109"/>
  <c r="AH18" i="109"/>
  <c r="AD18" i="109"/>
  <c r="AJ18" i="109"/>
  <c r="AF18" i="109"/>
  <c r="AE18" i="109"/>
  <c r="AI18" i="109"/>
  <c r="AB55" i="110"/>
  <c r="AB56" i="110" s="1"/>
  <c r="AG18" i="109"/>
  <c r="Q63" i="110"/>
  <c r="AG150" i="109"/>
  <c r="AF150" i="109"/>
  <c r="AJ150" i="109"/>
  <c r="AD150" i="109"/>
  <c r="AH150" i="109"/>
  <c r="AI150" i="109"/>
  <c r="AE150" i="109"/>
  <c r="G132" i="110"/>
  <c r="H55" i="32"/>
  <c r="L227" i="109"/>
  <c r="L197" i="109"/>
  <c r="Y84" i="110"/>
  <c r="AD236" i="109"/>
  <c r="AD266" i="109"/>
  <c r="C270" i="109"/>
  <c r="C240" i="109"/>
  <c r="X197" i="109"/>
  <c r="X227" i="109"/>
  <c r="AF266" i="109"/>
  <c r="AF236" i="109"/>
  <c r="Y105" i="109"/>
  <c r="Y119" i="109" s="1"/>
  <c r="Z91" i="109"/>
  <c r="E22" i="96"/>
  <c r="AG237" i="109"/>
  <c r="AG267" i="109"/>
  <c r="I83" i="112"/>
  <c r="BA50" i="112"/>
  <c r="BA143" i="112"/>
  <c r="I37" i="110"/>
  <c r="I40" i="110" s="1"/>
  <c r="I9" i="110" s="1"/>
  <c r="J36" i="102"/>
  <c r="J37" i="102" s="1"/>
  <c r="J42" i="102" s="1"/>
  <c r="J46" i="102" s="1"/>
  <c r="J50" i="102" s="1"/>
  <c r="R227" i="109"/>
  <c r="R197" i="109"/>
  <c r="AD267" i="109"/>
  <c r="AD237" i="109"/>
  <c r="O69" i="110" s="1"/>
  <c r="AG266" i="109"/>
  <c r="AG236" i="109"/>
  <c r="E13" i="98"/>
  <c r="F51" i="97"/>
  <c r="O197" i="109"/>
  <c r="O227" i="109"/>
  <c r="H197" i="109"/>
  <c r="H227" i="109"/>
  <c r="AN27" i="109"/>
  <c r="AN98" i="109"/>
  <c r="AM27" i="109"/>
  <c r="AM98" i="109"/>
  <c r="AS271" i="109"/>
  <c r="AS241" i="109"/>
  <c r="AI264" i="109"/>
  <c r="AI234" i="109"/>
  <c r="F190" i="94"/>
  <c r="N110" i="96"/>
  <c r="N112" i="96" s="1"/>
  <c r="D42" i="96" s="1"/>
  <c r="Y18" i="109"/>
  <c r="U18" i="109"/>
  <c r="AA18" i="109"/>
  <c r="W18" i="109"/>
  <c r="V18" i="109"/>
  <c r="X18" i="109"/>
  <c r="AB39" i="110"/>
  <c r="AB40" i="110" s="1"/>
  <c r="Z18" i="109"/>
  <c r="AH222" i="109"/>
  <c r="AH192" i="109"/>
  <c r="I270" i="109"/>
  <c r="I240" i="109"/>
  <c r="BB100" i="112"/>
  <c r="F197" i="109"/>
  <c r="F227" i="109"/>
  <c r="BA128" i="112"/>
  <c r="AZ129" i="112"/>
  <c r="AZ133" i="112" s="1"/>
  <c r="V266" i="109"/>
  <c r="V236" i="109"/>
  <c r="U227" i="109"/>
  <c r="U197" i="109"/>
  <c r="AI221" i="109"/>
  <c r="AI191" i="109"/>
  <c r="AJ176" i="109"/>
  <c r="W270" i="109"/>
  <c r="W240" i="109"/>
  <c r="BA125" i="112"/>
  <c r="BA136" i="112" s="1"/>
  <c r="Z197" i="109"/>
  <c r="Z227" i="109"/>
  <c r="AR221" i="109"/>
  <c r="AR191" i="109"/>
  <c r="AS176" i="109"/>
  <c r="AJ220" i="109"/>
  <c r="AJ190" i="109"/>
  <c r="D270" i="109"/>
  <c r="D240" i="109"/>
  <c r="O270" i="109"/>
  <c r="O240" i="109"/>
  <c r="AI106" i="109"/>
  <c r="AI120" i="109" s="1"/>
  <c r="AJ92" i="109"/>
  <c r="AI177" i="109"/>
  <c r="N227" i="109"/>
  <c r="N197" i="109"/>
  <c r="W227" i="109"/>
  <c r="W197" i="109"/>
  <c r="E227" i="109"/>
  <c r="E197" i="109"/>
  <c r="G115" i="112"/>
  <c r="G120" i="112" s="1"/>
  <c r="G121" i="112"/>
  <c r="N270" i="109"/>
  <c r="N240" i="109"/>
  <c r="F223" i="109"/>
  <c r="F193" i="109"/>
  <c r="G178" i="109"/>
  <c r="K79" i="79"/>
  <c r="Q96" i="74"/>
  <c r="Q98" i="74" s="1"/>
  <c r="Q102" i="74" s="1"/>
  <c r="AS264" i="109"/>
  <c r="AS234" i="109"/>
  <c r="Z234" i="109"/>
  <c r="Z264" i="109"/>
  <c r="W222" i="109"/>
  <c r="W192" i="109"/>
  <c r="X177" i="109"/>
  <c r="V270" i="109"/>
  <c r="V240" i="109"/>
  <c r="U270" i="109"/>
  <c r="U240" i="109"/>
  <c r="AH265" i="109"/>
  <c r="AH235" i="109"/>
  <c r="X221" i="109"/>
  <c r="Y176" i="109"/>
  <c r="X191" i="109"/>
  <c r="W7" i="97"/>
  <c r="R81" i="96"/>
  <c r="H103" i="112"/>
  <c r="BA123" i="112"/>
  <c r="E82" i="96"/>
  <c r="F270" i="109"/>
  <c r="F240" i="109"/>
  <c r="V197" i="109"/>
  <c r="V227" i="109"/>
  <c r="AS98" i="109"/>
  <c r="AS27" i="109"/>
  <c r="E240" i="109"/>
  <c r="E270" i="109"/>
  <c r="F52" i="97"/>
  <c r="H114" i="112"/>
  <c r="H119" i="112" s="1"/>
  <c r="G122" i="112"/>
  <c r="G16" i="96" s="1"/>
  <c r="F85" i="93" s="1"/>
  <c r="Z270" i="109"/>
  <c r="Z240" i="109"/>
  <c r="E68" i="96"/>
  <c r="E71" i="96" s="1"/>
  <c r="R6" i="102"/>
  <c r="O85" i="110"/>
  <c r="Y270" i="109"/>
  <c r="Y240" i="109"/>
  <c r="Y227" i="109"/>
  <c r="Y197" i="109"/>
  <c r="I227" i="109"/>
  <c r="I197" i="109"/>
  <c r="R270" i="109"/>
  <c r="R240" i="109"/>
  <c r="AQ241" i="109"/>
  <c r="AQ271" i="109"/>
  <c r="P227" i="109"/>
  <c r="P197" i="109"/>
  <c r="V90" i="97"/>
  <c r="R90" i="97"/>
  <c r="R94" i="97" s="1"/>
  <c r="G7" i="97" s="1"/>
  <c r="V82" i="97"/>
  <c r="R82" i="97"/>
  <c r="R86" i="97" s="1"/>
  <c r="T90" i="97"/>
  <c r="T82" i="97"/>
  <c r="U90" i="97"/>
  <c r="S90" i="97"/>
  <c r="U82" i="97"/>
  <c r="S82" i="97"/>
  <c r="AN271" i="109"/>
  <c r="AN241" i="109"/>
  <c r="E267" i="109"/>
  <c r="E237" i="109"/>
  <c r="AO271" i="109"/>
  <c r="AO241" i="109"/>
  <c r="AA270" i="109"/>
  <c r="AA240" i="109"/>
  <c r="P270" i="109"/>
  <c r="P240" i="109"/>
  <c r="AE267" i="109"/>
  <c r="AE237" i="109"/>
  <c r="P69" i="110" s="1"/>
  <c r="G227" i="109"/>
  <c r="G197" i="109"/>
  <c r="T8" i="97"/>
  <c r="AI93" i="109"/>
  <c r="AH107" i="109"/>
  <c r="AH121" i="109" s="1"/>
  <c r="AH178" i="109"/>
  <c r="X106" i="109"/>
  <c r="X120" i="109" s="1"/>
  <c r="Y92" i="109"/>
  <c r="F281" i="84"/>
  <c r="G45" i="110"/>
  <c r="F35" i="96"/>
  <c r="J81" i="112"/>
  <c r="BB26" i="112"/>
  <c r="BB24" i="112" s="1"/>
  <c r="BB28" i="112" s="1"/>
  <c r="W265" i="109"/>
  <c r="W235" i="109"/>
  <c r="AE266" i="109"/>
  <c r="AE236" i="109"/>
  <c r="G18" i="109"/>
  <c r="C18" i="109"/>
  <c r="I18" i="109"/>
  <c r="E18" i="109"/>
  <c r="D18" i="109"/>
  <c r="H122" i="110"/>
  <c r="H123" i="110" s="1"/>
  <c r="AB7" i="110"/>
  <c r="AB8" i="110" s="1"/>
  <c r="F18" i="109"/>
  <c r="H18" i="109"/>
  <c r="M270" i="109"/>
  <c r="M240" i="109"/>
  <c r="I102" i="112"/>
  <c r="Q270" i="109"/>
  <c r="Q240" i="109"/>
  <c r="AR271" i="109"/>
  <c r="AR241" i="109"/>
  <c r="AQ27" i="109"/>
  <c r="AQ98" i="109"/>
  <c r="AA25" i="107" l="1"/>
  <c r="AB25" i="107" s="1"/>
  <c r="Z25" i="107"/>
  <c r="Y25" i="107" s="1"/>
  <c r="J79" i="112"/>
  <c r="E43" i="96"/>
  <c r="H101" i="112"/>
  <c r="H116" i="112"/>
  <c r="H121" i="112" s="1"/>
  <c r="G11" i="32"/>
  <c r="G12" i="32" s="1"/>
  <c r="G13" i="32" s="1"/>
  <c r="BB47" i="112"/>
  <c r="BB45" i="112" s="1"/>
  <c r="BB49" i="112" s="1"/>
  <c r="BB50" i="112" s="1"/>
  <c r="BA115" i="112"/>
  <c r="BA116" i="112" s="1"/>
  <c r="I105" i="112" s="1"/>
  <c r="J102" i="112" s="1"/>
  <c r="F279" i="84"/>
  <c r="J85" i="112"/>
  <c r="BA126" i="112"/>
  <c r="I110" i="112" s="1"/>
  <c r="J42" i="110"/>
  <c r="I12" i="93" s="1"/>
  <c r="BA105" i="112"/>
  <c r="I58" i="112" s="1"/>
  <c r="BA130" i="112"/>
  <c r="E27" i="109"/>
  <c r="E98" i="109"/>
  <c r="P271" i="109"/>
  <c r="P241" i="109"/>
  <c r="V271" i="109"/>
  <c r="V241" i="109"/>
  <c r="X192" i="109"/>
  <c r="Y177" i="109"/>
  <c r="X222" i="109"/>
  <c r="T66" i="110"/>
  <c r="G223" i="109"/>
  <c r="G193" i="109"/>
  <c r="H178" i="109"/>
  <c r="U271" i="109"/>
  <c r="U241" i="109"/>
  <c r="D76" i="96"/>
  <c r="D78" i="96" s="1"/>
  <c r="F12" i="118"/>
  <c r="BA144" i="112"/>
  <c r="BA145" i="112" s="1"/>
  <c r="L271" i="109"/>
  <c r="L241" i="109"/>
  <c r="AF180" i="109"/>
  <c r="AF164" i="109"/>
  <c r="I94" i="102"/>
  <c r="I96" i="102" s="1"/>
  <c r="T19" i="102"/>
  <c r="I74" i="93"/>
  <c r="L13" i="102"/>
  <c r="Q271" i="109"/>
  <c r="Q241" i="109"/>
  <c r="Q98" i="109"/>
  <c r="Q27" i="109"/>
  <c r="R98" i="109"/>
  <c r="R27" i="109"/>
  <c r="AA264" i="109"/>
  <c r="AA234" i="109"/>
  <c r="H101" i="102"/>
  <c r="F68" i="96" s="1"/>
  <c r="H14" i="110"/>
  <c r="AB12" i="110"/>
  <c r="AB89" i="110"/>
  <c r="I27" i="109"/>
  <c r="I98" i="109"/>
  <c r="G25" i="97"/>
  <c r="G14" i="97"/>
  <c r="N271" i="109"/>
  <c r="N241" i="109"/>
  <c r="H16" i="110"/>
  <c r="AN183" i="109"/>
  <c r="AN112" i="109"/>
  <c r="AN126" i="109" s="1"/>
  <c r="O271" i="109"/>
  <c r="O241" i="109"/>
  <c r="AZ153" i="112"/>
  <c r="BA150" i="112" s="1"/>
  <c r="H117" i="112"/>
  <c r="E23" i="96"/>
  <c r="E109" i="96" s="1"/>
  <c r="O63" i="115"/>
  <c r="AH180" i="109"/>
  <c r="AH164" i="109"/>
  <c r="AI98" i="109"/>
  <c r="AI112" i="109" s="1"/>
  <c r="AI126" i="109" s="1"/>
  <c r="AI27" i="109"/>
  <c r="H15" i="110"/>
  <c r="L27" i="109"/>
  <c r="L98" i="109"/>
  <c r="S40" i="74"/>
  <c r="D271" i="109"/>
  <c r="D241" i="109"/>
  <c r="C27" i="109"/>
  <c r="C98" i="109"/>
  <c r="F82" i="96"/>
  <c r="AH223" i="109"/>
  <c r="AH193" i="109"/>
  <c r="U8" i="97"/>
  <c r="I271" i="109"/>
  <c r="I241" i="109"/>
  <c r="BB121" i="112"/>
  <c r="BA137" i="112"/>
  <c r="W266" i="109"/>
  <c r="W236" i="109"/>
  <c r="Q68" i="110" s="1"/>
  <c r="F267" i="109"/>
  <c r="F237" i="109"/>
  <c r="AI192" i="109"/>
  <c r="AI222" i="109"/>
  <c r="AR265" i="109"/>
  <c r="AR235" i="109"/>
  <c r="AI265" i="109"/>
  <c r="AI235" i="109"/>
  <c r="AH266" i="109"/>
  <c r="AH236" i="109"/>
  <c r="X98" i="109"/>
  <c r="X27" i="109"/>
  <c r="U27" i="109"/>
  <c r="U98" i="109"/>
  <c r="K38" i="110"/>
  <c r="L115" i="79"/>
  <c r="R271" i="109"/>
  <c r="R241" i="109"/>
  <c r="J106" i="102"/>
  <c r="J107" i="102" s="1"/>
  <c r="J126" i="110"/>
  <c r="J24" i="110"/>
  <c r="T49" i="110"/>
  <c r="T62" i="110"/>
  <c r="AD180" i="109"/>
  <c r="AD164" i="109"/>
  <c r="AE27" i="109"/>
  <c r="AE98" i="109"/>
  <c r="AE112" i="109" s="1"/>
  <c r="AE126" i="109" s="1"/>
  <c r="AH27" i="109"/>
  <c r="AH98" i="109"/>
  <c r="AH112" i="109" s="1"/>
  <c r="AH126" i="109" s="1"/>
  <c r="M271" i="109"/>
  <c r="M241" i="109"/>
  <c r="C271" i="109"/>
  <c r="C241" i="109"/>
  <c r="U54" i="102"/>
  <c r="K69" i="102"/>
  <c r="M98" i="109"/>
  <c r="M27" i="109"/>
  <c r="P27" i="109"/>
  <c r="P98" i="109"/>
  <c r="E60" i="115"/>
  <c r="C4" i="115"/>
  <c r="BB83" i="112"/>
  <c r="BB94" i="112" s="1"/>
  <c r="BB95" i="112" s="1"/>
  <c r="J89" i="112"/>
  <c r="BB71" i="112"/>
  <c r="F98" i="109"/>
  <c r="F27" i="109"/>
  <c r="AI107" i="109"/>
  <c r="AI121" i="109" s="1"/>
  <c r="AJ93" i="109"/>
  <c r="AI178" i="109"/>
  <c r="G271" i="109"/>
  <c r="G241" i="109"/>
  <c r="Y271" i="109"/>
  <c r="Y241" i="109"/>
  <c r="P80" i="96"/>
  <c r="P84" i="96" s="1"/>
  <c r="P86" i="96" s="1"/>
  <c r="E11" i="96" s="1"/>
  <c r="E12" i="96" s="1"/>
  <c r="R9" i="102"/>
  <c r="R31" i="102" s="1"/>
  <c r="G32" i="102" s="1"/>
  <c r="Y191" i="109"/>
  <c r="Z176" i="109"/>
  <c r="Y221" i="109"/>
  <c r="AS221" i="109"/>
  <c r="AS191" i="109"/>
  <c r="AJ221" i="109"/>
  <c r="AJ191" i="109"/>
  <c r="W98" i="109"/>
  <c r="W27" i="109"/>
  <c r="AI164" i="109"/>
  <c r="AI180" i="109"/>
  <c r="H17" i="110"/>
  <c r="AJ98" i="109"/>
  <c r="AJ112" i="109" s="1"/>
  <c r="AJ126" i="109" s="1"/>
  <c r="AJ27" i="109"/>
  <c r="BB86" i="112"/>
  <c r="BA87" i="112"/>
  <c r="BA91" i="112" s="1"/>
  <c r="G281" i="84"/>
  <c r="AQ183" i="109"/>
  <c r="AQ112" i="109"/>
  <c r="AQ126" i="109" s="1"/>
  <c r="Q67" i="110"/>
  <c r="Q69" i="110"/>
  <c r="X265" i="109"/>
  <c r="X235" i="109"/>
  <c r="E271" i="109"/>
  <c r="E241" i="109"/>
  <c r="Z271" i="109"/>
  <c r="Z241" i="109"/>
  <c r="P68" i="110"/>
  <c r="F271" i="109"/>
  <c r="F241" i="109"/>
  <c r="AA98" i="109"/>
  <c r="AA27" i="109"/>
  <c r="Z105" i="109"/>
  <c r="Z119" i="109" s="1"/>
  <c r="AA91" i="109"/>
  <c r="AA105" i="109" s="1"/>
  <c r="AA119" i="109" s="1"/>
  <c r="W46" i="97"/>
  <c r="S46" i="97"/>
  <c r="V46" i="97"/>
  <c r="T46" i="97"/>
  <c r="X46" i="97"/>
  <c r="U46" i="97"/>
  <c r="H56" i="32"/>
  <c r="H59" i="32" s="1"/>
  <c r="AG180" i="109"/>
  <c r="AG164" i="109"/>
  <c r="AD98" i="109"/>
  <c r="AD112" i="109" s="1"/>
  <c r="AD126" i="109" s="1"/>
  <c r="AD27" i="109"/>
  <c r="AR183" i="109"/>
  <c r="AR112" i="109"/>
  <c r="AR126" i="109" s="1"/>
  <c r="H98" i="109"/>
  <c r="H27" i="109"/>
  <c r="D98" i="109"/>
  <c r="D27" i="109"/>
  <c r="G27" i="109"/>
  <c r="G98" i="109"/>
  <c r="J77" i="112"/>
  <c r="BB29" i="112"/>
  <c r="Z92" i="109"/>
  <c r="Y106" i="109"/>
  <c r="Y120" i="109" s="1"/>
  <c r="Q12" i="98"/>
  <c r="R96" i="97"/>
  <c r="G15" i="97" s="1"/>
  <c r="AS183" i="109"/>
  <c r="AS112" i="109"/>
  <c r="AS126" i="109" s="1"/>
  <c r="X7" i="97"/>
  <c r="K84" i="79"/>
  <c r="K45" i="102" s="1"/>
  <c r="H14" i="79"/>
  <c r="W271" i="109"/>
  <c r="W241" i="109"/>
  <c r="AJ106" i="109"/>
  <c r="AJ120" i="109" s="1"/>
  <c r="AJ177" i="109"/>
  <c r="AJ264" i="109"/>
  <c r="AJ234" i="109"/>
  <c r="H107" i="112"/>
  <c r="AZ134" i="112"/>
  <c r="BB101" i="112"/>
  <c r="BB102" i="112" s="1"/>
  <c r="Z98" i="109"/>
  <c r="Z27" i="109"/>
  <c r="V27" i="109"/>
  <c r="V98" i="109"/>
  <c r="Y27" i="109"/>
  <c r="Y98" i="109"/>
  <c r="AM183" i="109"/>
  <c r="AM112" i="109"/>
  <c r="AM126" i="109" s="1"/>
  <c r="H271" i="109"/>
  <c r="H241" i="109"/>
  <c r="H10" i="93"/>
  <c r="S46" i="110"/>
  <c r="S59" i="110"/>
  <c r="S61" i="110" s="1"/>
  <c r="S10" i="110"/>
  <c r="I121" i="110"/>
  <c r="I11" i="110"/>
  <c r="X271" i="109"/>
  <c r="X241" i="109"/>
  <c r="AE164" i="109"/>
  <c r="AE180" i="109"/>
  <c r="AJ180" i="109"/>
  <c r="AJ164" i="109"/>
  <c r="AG98" i="109"/>
  <c r="AG112" i="109" s="1"/>
  <c r="AG126" i="109" s="1"/>
  <c r="AG27" i="109"/>
  <c r="AF98" i="109"/>
  <c r="AF112" i="109" s="1"/>
  <c r="AF126" i="109" s="1"/>
  <c r="AF27" i="109"/>
  <c r="AP183" i="109"/>
  <c r="AP112" i="109"/>
  <c r="AP126" i="109" s="1"/>
  <c r="G51" i="96"/>
  <c r="G66" i="96" s="1"/>
  <c r="I61" i="102"/>
  <c r="T8" i="102" s="1"/>
  <c r="I65" i="102"/>
  <c r="I75" i="102" s="1"/>
  <c r="I89" i="102" s="1"/>
  <c r="J96" i="112"/>
  <c r="AO112" i="109"/>
  <c r="AO126" i="109" s="1"/>
  <c r="AO183" i="109"/>
  <c r="O98" i="109"/>
  <c r="O27" i="109"/>
  <c r="N27" i="109"/>
  <c r="N98" i="109"/>
  <c r="G8" i="97"/>
  <c r="AA241" i="109"/>
  <c r="AA271" i="109"/>
  <c r="G113" i="112"/>
  <c r="AY156" i="112"/>
  <c r="AY10" i="112"/>
  <c r="AY11" i="112" s="1"/>
  <c r="O68" i="110"/>
  <c r="AA26" i="107" l="1"/>
  <c r="AB26" i="107" s="1"/>
  <c r="Z26" i="107"/>
  <c r="Y26" i="107"/>
  <c r="W26" i="107"/>
  <c r="BA110" i="112"/>
  <c r="BB107" i="112" s="1"/>
  <c r="J83" i="112"/>
  <c r="I59" i="112"/>
  <c r="I104" i="112"/>
  <c r="I103" i="112" s="1"/>
  <c r="BB84" i="112"/>
  <c r="J57" i="112" s="1"/>
  <c r="G279" i="84"/>
  <c r="J99" i="112"/>
  <c r="BB89" i="112"/>
  <c r="AP198" i="109"/>
  <c r="AP228" i="109"/>
  <c r="H281" i="84"/>
  <c r="Z183" i="109"/>
  <c r="Z112" i="109"/>
  <c r="Z126" i="109" s="1"/>
  <c r="P83" i="97"/>
  <c r="P9" i="97"/>
  <c r="S9" i="97" s="1"/>
  <c r="H61" i="32"/>
  <c r="H62" i="32" s="1"/>
  <c r="H64" i="32" s="1"/>
  <c r="H70" i="32"/>
  <c r="AA112" i="109"/>
  <c r="AA126" i="109" s="1"/>
  <c r="AA183" i="109"/>
  <c r="I95" i="112"/>
  <c r="BA92" i="112"/>
  <c r="AD71" i="109"/>
  <c r="AD85" i="109" s="1"/>
  <c r="AG71" i="109"/>
  <c r="AG85" i="109" s="1"/>
  <c r="AJ71" i="109"/>
  <c r="AJ85" i="109" s="1"/>
  <c r="AI71" i="109"/>
  <c r="AI85" i="109" s="1"/>
  <c r="AF71" i="109"/>
  <c r="AF85" i="109" s="1"/>
  <c r="AE71" i="109"/>
  <c r="AE85" i="109" s="1"/>
  <c r="AH71" i="109"/>
  <c r="AH85" i="109" s="1"/>
  <c r="J127" i="110"/>
  <c r="J128" i="110" s="1"/>
  <c r="X183" i="109"/>
  <c r="X112" i="109"/>
  <c r="X126" i="109" s="1"/>
  <c r="BB122" i="112"/>
  <c r="L79" i="79"/>
  <c r="S96" i="74"/>
  <c r="S98" i="74" s="1"/>
  <c r="S102" i="74" s="1"/>
  <c r="I114" i="112"/>
  <c r="I119" i="112" s="1"/>
  <c r="H122" i="112"/>
  <c r="H16" i="96" s="1"/>
  <c r="G85" i="93" s="1"/>
  <c r="E280" i="84"/>
  <c r="H50" i="115" s="1"/>
  <c r="H193" i="109"/>
  <c r="H223" i="109"/>
  <c r="I178" i="109"/>
  <c r="N112" i="109"/>
  <c r="N126" i="109" s="1"/>
  <c r="N183" i="109"/>
  <c r="AM228" i="109"/>
  <c r="AM198" i="109"/>
  <c r="V183" i="109"/>
  <c r="V112" i="109"/>
  <c r="V126" i="109" s="1"/>
  <c r="H19" i="79"/>
  <c r="H21" i="79" s="1"/>
  <c r="H73" i="93"/>
  <c r="H78" i="93" s="1"/>
  <c r="H81" i="93" s="1"/>
  <c r="K10" i="102"/>
  <c r="K14" i="102" s="1"/>
  <c r="M85" i="104"/>
  <c r="K85" i="104"/>
  <c r="K90" i="104" s="1"/>
  <c r="K6" i="104" s="1"/>
  <c r="K9" i="104" s="1"/>
  <c r="Y46" i="97"/>
  <c r="S50" i="97"/>
  <c r="H12" i="97" s="1"/>
  <c r="AI193" i="109"/>
  <c r="AI223" i="109"/>
  <c r="M183" i="109"/>
  <c r="M112" i="109"/>
  <c r="M126" i="109" s="1"/>
  <c r="V8" i="97"/>
  <c r="AN198" i="109"/>
  <c r="AN228" i="109"/>
  <c r="R183" i="109"/>
  <c r="R112" i="109"/>
  <c r="R126" i="109" s="1"/>
  <c r="AF225" i="109"/>
  <c r="AF195" i="109"/>
  <c r="X236" i="109"/>
  <c r="R68" i="110" s="1"/>
  <c r="X266" i="109"/>
  <c r="AJ225" i="109"/>
  <c r="AJ195" i="109"/>
  <c r="S22" i="110"/>
  <c r="S24" i="110" s="1"/>
  <c r="S12" i="110"/>
  <c r="BB104" i="112"/>
  <c r="BB115" i="112" s="1"/>
  <c r="BB116" i="112" s="1"/>
  <c r="U55" i="102"/>
  <c r="U57" i="102" s="1"/>
  <c r="U61" i="102" s="1"/>
  <c r="K70" i="102"/>
  <c r="AS228" i="109"/>
  <c r="AS198" i="109"/>
  <c r="Z106" i="109"/>
  <c r="Z120" i="109" s="1"/>
  <c r="AA92" i="109"/>
  <c r="AA106" i="109" s="1"/>
  <c r="AA120" i="109" s="1"/>
  <c r="G183" i="109"/>
  <c r="G112" i="109"/>
  <c r="G126" i="109" s="1"/>
  <c r="O85" i="104"/>
  <c r="R67" i="110"/>
  <c r="AJ107" i="109"/>
  <c r="AJ121" i="109" s="1"/>
  <c r="AJ178" i="109"/>
  <c r="BB88" i="112"/>
  <c r="P183" i="109"/>
  <c r="P112" i="109"/>
  <c r="P126" i="109" s="1"/>
  <c r="K39" i="110"/>
  <c r="K23" i="110" s="1"/>
  <c r="L99" i="79"/>
  <c r="L44" i="102" s="1"/>
  <c r="L117" i="79"/>
  <c r="L101" i="79" s="1"/>
  <c r="W12" i="102" s="1"/>
  <c r="I183" i="109"/>
  <c r="I112" i="109"/>
  <c r="I126" i="109" s="1"/>
  <c r="H19" i="110"/>
  <c r="H102" i="102"/>
  <c r="BA147" i="112"/>
  <c r="BA158" i="112" s="1"/>
  <c r="BA159" i="112" s="1"/>
  <c r="G267" i="109"/>
  <c r="G237" i="109"/>
  <c r="Y222" i="109"/>
  <c r="Z177" i="109"/>
  <c r="Y192" i="109"/>
  <c r="H115" i="112"/>
  <c r="H120" i="112" s="1"/>
  <c r="F25" i="98"/>
  <c r="F27" i="98" s="1"/>
  <c r="O183" i="109"/>
  <c r="O112" i="109"/>
  <c r="O126" i="109" s="1"/>
  <c r="S34" i="110"/>
  <c r="S36" i="110" s="1"/>
  <c r="S48" i="110"/>
  <c r="N85" i="104"/>
  <c r="W183" i="109"/>
  <c r="W112" i="109"/>
  <c r="W126" i="109" s="1"/>
  <c r="AJ265" i="109"/>
  <c r="AJ235" i="109"/>
  <c r="AS265" i="109"/>
  <c r="AS235" i="109"/>
  <c r="Y265" i="109"/>
  <c r="Y235" i="109"/>
  <c r="AD225" i="109"/>
  <c r="AD195" i="109"/>
  <c r="U66" i="110"/>
  <c r="AO228" i="109"/>
  <c r="AO198" i="109"/>
  <c r="R82" i="96"/>
  <c r="U7" i="102"/>
  <c r="AJ222" i="109"/>
  <c r="AJ192" i="109"/>
  <c r="D183" i="109"/>
  <c r="D112" i="109"/>
  <c r="D126" i="109" s="1"/>
  <c r="AR198" i="109"/>
  <c r="AR228" i="109"/>
  <c r="AQ228" i="109"/>
  <c r="AQ198" i="109"/>
  <c r="Z221" i="109"/>
  <c r="Z191" i="109"/>
  <c r="AA176" i="109"/>
  <c r="J109" i="102"/>
  <c r="J110" i="102" s="1"/>
  <c r="J112" i="102" s="1"/>
  <c r="J51" i="102" s="1"/>
  <c r="U112" i="109"/>
  <c r="U126" i="109" s="1"/>
  <c r="U183" i="109"/>
  <c r="AI266" i="109"/>
  <c r="AI236" i="109"/>
  <c r="BB143" i="112"/>
  <c r="G19" i="112"/>
  <c r="R50" i="110"/>
  <c r="H197" i="93"/>
  <c r="AE195" i="109"/>
  <c r="AE225" i="109"/>
  <c r="AQ19" i="109"/>
  <c r="AM19" i="109"/>
  <c r="AS19" i="109"/>
  <c r="AO19" i="109"/>
  <c r="AN19" i="109"/>
  <c r="AC71" i="110"/>
  <c r="AC72" i="110" s="1"/>
  <c r="I18" i="110" s="1"/>
  <c r="AR19" i="109"/>
  <c r="AP19" i="109"/>
  <c r="Y183" i="109"/>
  <c r="Y112" i="109"/>
  <c r="Y126" i="109" s="1"/>
  <c r="H183" i="109"/>
  <c r="H112" i="109"/>
  <c r="H126" i="109" s="1"/>
  <c r="AG195" i="109"/>
  <c r="AG225" i="109"/>
  <c r="L85" i="104"/>
  <c r="AI195" i="109"/>
  <c r="AI225" i="109"/>
  <c r="F183" i="109"/>
  <c r="F112" i="109"/>
  <c r="F126" i="109" s="1"/>
  <c r="E4" i="115"/>
  <c r="AR71" i="109"/>
  <c r="AR85" i="109" s="1"/>
  <c r="AN71" i="109"/>
  <c r="AN85" i="109" s="1"/>
  <c r="AP71" i="109"/>
  <c r="AP85" i="109" s="1"/>
  <c r="AO71" i="109"/>
  <c r="AO85" i="109" s="1"/>
  <c r="AM71" i="109"/>
  <c r="AM85" i="109" s="1"/>
  <c r="AS71" i="109"/>
  <c r="AS85" i="109" s="1"/>
  <c r="AQ71" i="109"/>
  <c r="AQ85" i="109" s="1"/>
  <c r="R69" i="110"/>
  <c r="BA131" i="112"/>
  <c r="I111" i="112"/>
  <c r="I109" i="112" s="1"/>
  <c r="AH267" i="109"/>
  <c r="AH237" i="109"/>
  <c r="C183" i="109"/>
  <c r="C112" i="109"/>
  <c r="C126" i="109" s="1"/>
  <c r="L183" i="109"/>
  <c r="L112" i="109"/>
  <c r="L126" i="109" s="1"/>
  <c r="AH225" i="109"/>
  <c r="AH195" i="109"/>
  <c r="G24" i="97"/>
  <c r="G28" i="97" s="1"/>
  <c r="G16" i="97"/>
  <c r="F29" i="98" s="1"/>
  <c r="Q183" i="109"/>
  <c r="Q112" i="109"/>
  <c r="Q126" i="109" s="1"/>
  <c r="E112" i="109"/>
  <c r="E126" i="109" s="1"/>
  <c r="E183" i="109"/>
  <c r="AZ151" i="112"/>
  <c r="AZ155" i="112" s="1"/>
  <c r="Z27" i="107" l="1"/>
  <c r="Y27" i="107" s="1"/>
  <c r="AA27" i="107"/>
  <c r="AB27" i="107" s="1"/>
  <c r="W27" i="107"/>
  <c r="BA108" i="112"/>
  <c r="BA112" i="112" s="1"/>
  <c r="BA113" i="112" s="1"/>
  <c r="K42" i="110"/>
  <c r="J12" i="93" s="1"/>
  <c r="BA148" i="112"/>
  <c r="I60" i="112" s="1"/>
  <c r="I61" i="112" s="1"/>
  <c r="I73" i="112" s="1"/>
  <c r="I83" i="96" s="1"/>
  <c r="BA152" i="112"/>
  <c r="J98" i="112"/>
  <c r="J97" i="112" s="1"/>
  <c r="G18" i="97"/>
  <c r="G78" i="97" s="1"/>
  <c r="G80" i="97" s="1"/>
  <c r="X375" i="109"/>
  <c r="X376" i="109" s="1"/>
  <c r="BB109" i="112"/>
  <c r="K126" i="110"/>
  <c r="K24" i="110"/>
  <c r="U49" i="110"/>
  <c r="U62" i="110"/>
  <c r="BB110" i="112"/>
  <c r="J105" i="112"/>
  <c r="U18" i="102"/>
  <c r="J53" i="102"/>
  <c r="I117" i="112"/>
  <c r="J114" i="112" s="1"/>
  <c r="BA153" i="112"/>
  <c r="BB150" i="112" s="1"/>
  <c r="H66" i="32"/>
  <c r="H6" i="97" s="1"/>
  <c r="Q198" i="109"/>
  <c r="Q228" i="109"/>
  <c r="AG239" i="109"/>
  <c r="AG269" i="109"/>
  <c r="AP99" i="109"/>
  <c r="AP28" i="109"/>
  <c r="AO99" i="109"/>
  <c r="AO28" i="109"/>
  <c r="AE269" i="109"/>
  <c r="AE239" i="109"/>
  <c r="P71" i="110" s="1"/>
  <c r="AQ272" i="109"/>
  <c r="AQ242" i="109"/>
  <c r="AH19" i="109"/>
  <c r="AD19" i="109"/>
  <c r="AC55" i="110"/>
  <c r="AC56" i="110" s="1"/>
  <c r="AJ19" i="109"/>
  <c r="AF19" i="109"/>
  <c r="AE19" i="109"/>
  <c r="AG19" i="109"/>
  <c r="AI19" i="109"/>
  <c r="Z222" i="109"/>
  <c r="AA177" i="109"/>
  <c r="Z192" i="109"/>
  <c r="F69" i="96"/>
  <c r="F71" i="96" s="1"/>
  <c r="S6" i="102"/>
  <c r="H103" i="102"/>
  <c r="L69" i="102"/>
  <c r="V54" i="102"/>
  <c r="AJ223" i="109"/>
  <c r="AJ193" i="109"/>
  <c r="G228" i="109"/>
  <c r="G198" i="109"/>
  <c r="BB125" i="112"/>
  <c r="BB126" i="112" s="1"/>
  <c r="Z198" i="109"/>
  <c r="Z228" i="109"/>
  <c r="AH239" i="109"/>
  <c r="S71" i="110" s="1"/>
  <c r="AH269" i="109"/>
  <c r="Z265" i="109"/>
  <c r="Z235" i="109"/>
  <c r="D198" i="109"/>
  <c r="D228" i="109"/>
  <c r="S81" i="96"/>
  <c r="F12" i="98"/>
  <c r="Y266" i="109"/>
  <c r="Y236" i="109"/>
  <c r="S68" i="110" s="1"/>
  <c r="H45" i="110"/>
  <c r="G35" i="96"/>
  <c r="P228" i="109"/>
  <c r="P198" i="109"/>
  <c r="AF239" i="109"/>
  <c r="AF269" i="109"/>
  <c r="W8" i="97"/>
  <c r="BB123" i="112"/>
  <c r="T9" i="97"/>
  <c r="S13" i="97"/>
  <c r="G9" i="98" s="1"/>
  <c r="F31" i="98"/>
  <c r="F33" i="98" s="1"/>
  <c r="F36" i="98" s="1"/>
  <c r="Q15" i="98"/>
  <c r="C228" i="109"/>
  <c r="C198" i="109"/>
  <c r="BB128" i="112"/>
  <c r="BA129" i="112"/>
  <c r="BA133" i="112" s="1"/>
  <c r="F198" i="109"/>
  <c r="F228" i="109"/>
  <c r="AI239" i="109"/>
  <c r="T71" i="110" s="1"/>
  <c r="AI269" i="109"/>
  <c r="I101" i="112"/>
  <c r="AM99" i="109"/>
  <c r="AM28" i="109"/>
  <c r="U228" i="109"/>
  <c r="U198" i="109"/>
  <c r="AR242" i="109"/>
  <c r="AR272" i="109"/>
  <c r="S69" i="110"/>
  <c r="BB87" i="112"/>
  <c r="BB91" i="112" s="1"/>
  <c r="BB105" i="112"/>
  <c r="AJ239" i="109"/>
  <c r="U71" i="110" s="1"/>
  <c r="AJ269" i="109"/>
  <c r="AN272" i="109"/>
  <c r="AN242" i="109"/>
  <c r="AI267" i="109"/>
  <c r="AI237" i="109"/>
  <c r="V198" i="109"/>
  <c r="V228" i="109"/>
  <c r="I223" i="109"/>
  <c r="I193" i="109"/>
  <c r="I50" i="115"/>
  <c r="P91" i="97"/>
  <c r="P75" i="97"/>
  <c r="E228" i="109"/>
  <c r="E198" i="109"/>
  <c r="AO272" i="109"/>
  <c r="AO242" i="109"/>
  <c r="J37" i="110"/>
  <c r="J40" i="110" s="1"/>
  <c r="J9" i="110" s="1"/>
  <c r="K36" i="102"/>
  <c r="K37" i="102" s="1"/>
  <c r="K42" i="102" s="1"/>
  <c r="K46" i="102" s="1"/>
  <c r="K50" i="102" s="1"/>
  <c r="W228" i="109"/>
  <c r="W198" i="109"/>
  <c r="AS272" i="109"/>
  <c r="AS242" i="109"/>
  <c r="P19" i="109"/>
  <c r="L19" i="109"/>
  <c r="R19" i="109"/>
  <c r="N19" i="109"/>
  <c r="M19" i="109"/>
  <c r="O19" i="109"/>
  <c r="AC23" i="110"/>
  <c r="AC24" i="110" s="1"/>
  <c r="Q19" i="109"/>
  <c r="M198" i="109"/>
  <c r="M228" i="109"/>
  <c r="AM272" i="109"/>
  <c r="AM242" i="109"/>
  <c r="J108" i="112"/>
  <c r="AR99" i="109"/>
  <c r="AR28" i="109"/>
  <c r="AS99" i="109"/>
  <c r="AS28" i="109"/>
  <c r="BB144" i="112"/>
  <c r="BB145" i="112" s="1"/>
  <c r="S67" i="110"/>
  <c r="Y19" i="109"/>
  <c r="U19" i="109"/>
  <c r="AA19" i="109"/>
  <c r="W19" i="109"/>
  <c r="V19" i="109"/>
  <c r="Z19" i="109"/>
  <c r="X19" i="109"/>
  <c r="AC39" i="110"/>
  <c r="AC40" i="110" s="1"/>
  <c r="H113" i="112"/>
  <c r="AZ156" i="112"/>
  <c r="AZ10" i="112"/>
  <c r="AZ11" i="112" s="1"/>
  <c r="L228" i="109"/>
  <c r="L198" i="109"/>
  <c r="H198" i="109"/>
  <c r="H228" i="109"/>
  <c r="Y228" i="109"/>
  <c r="Y198" i="109"/>
  <c r="AN99" i="109"/>
  <c r="AN28" i="109"/>
  <c r="AQ28" i="109"/>
  <c r="AQ99" i="109"/>
  <c r="AE151" i="109"/>
  <c r="AJ151" i="109"/>
  <c r="AG151" i="109"/>
  <c r="AH151" i="109"/>
  <c r="AI151" i="109"/>
  <c r="AF151" i="109"/>
  <c r="AD151" i="109"/>
  <c r="H132" i="110"/>
  <c r="I55" i="32"/>
  <c r="AA221" i="109"/>
  <c r="AA191" i="109"/>
  <c r="AJ266" i="109"/>
  <c r="AJ236" i="109"/>
  <c r="AD269" i="109"/>
  <c r="AD239" i="109"/>
  <c r="O71" i="110" s="1"/>
  <c r="O198" i="109"/>
  <c r="O228" i="109"/>
  <c r="I228" i="109"/>
  <c r="I198" i="109"/>
  <c r="G19" i="109"/>
  <c r="C19" i="109"/>
  <c r="I122" i="110"/>
  <c r="I123" i="110" s="1"/>
  <c r="I19" i="109"/>
  <c r="E19" i="109"/>
  <c r="D19" i="109"/>
  <c r="AC7" i="110"/>
  <c r="AC8" i="110" s="1"/>
  <c r="H19" i="109"/>
  <c r="F19" i="109"/>
  <c r="R228" i="109"/>
  <c r="R198" i="109"/>
  <c r="F32" i="96"/>
  <c r="F34" i="96" s="1"/>
  <c r="G65" i="118"/>
  <c r="G64" i="115"/>
  <c r="N228" i="109"/>
  <c r="N198" i="109"/>
  <c r="H267" i="109"/>
  <c r="H237" i="109"/>
  <c r="L84" i="79"/>
  <c r="L45" i="102" s="1"/>
  <c r="I14" i="79"/>
  <c r="X198" i="109"/>
  <c r="X228" i="109"/>
  <c r="AA228" i="109"/>
  <c r="AA198" i="109"/>
  <c r="AP272" i="109"/>
  <c r="AP242" i="109"/>
  <c r="AA28" i="107" l="1"/>
  <c r="AB28" i="107" s="1"/>
  <c r="Z28" i="107"/>
  <c r="Y28" i="107"/>
  <c r="W28" i="107"/>
  <c r="I116" i="112"/>
  <c r="I115" i="112" s="1"/>
  <c r="I120" i="112" s="1"/>
  <c r="BB108" i="112"/>
  <c r="BB112" i="112" s="1"/>
  <c r="BB113" i="112" s="1"/>
  <c r="BA151" i="112"/>
  <c r="BA155" i="112" s="1"/>
  <c r="BA10" i="112" s="1"/>
  <c r="BA11" i="112" s="1"/>
  <c r="H68" i="32"/>
  <c r="H11" i="32" s="1"/>
  <c r="J59" i="112"/>
  <c r="J110" i="112"/>
  <c r="AA272" i="109"/>
  <c r="AA242" i="109"/>
  <c r="F22" i="96"/>
  <c r="D99" i="109"/>
  <c r="D28" i="109"/>
  <c r="C99" i="109"/>
  <c r="C28" i="109"/>
  <c r="AA265" i="109"/>
  <c r="AA235" i="109"/>
  <c r="AG181" i="109"/>
  <c r="AG165" i="109"/>
  <c r="O99" i="109"/>
  <c r="O28" i="109"/>
  <c r="L28" i="109"/>
  <c r="L99" i="109"/>
  <c r="K106" i="102"/>
  <c r="K107" i="102" s="1"/>
  <c r="T91" i="97"/>
  <c r="U83" i="97"/>
  <c r="V91" i="97"/>
  <c r="W83" i="97"/>
  <c r="S83" i="97"/>
  <c r="S86" i="97" s="1"/>
  <c r="W91" i="97"/>
  <c r="V83" i="97"/>
  <c r="U91" i="97"/>
  <c r="T83" i="97"/>
  <c r="S91" i="97"/>
  <c r="S94" i="97" s="1"/>
  <c r="H7" i="97" s="1"/>
  <c r="V272" i="109"/>
  <c r="V242" i="109"/>
  <c r="I107" i="112"/>
  <c r="BA134" i="112"/>
  <c r="U9" i="97"/>
  <c r="Q71" i="110"/>
  <c r="F13" i="98"/>
  <c r="G51" i="97"/>
  <c r="AA222" i="109"/>
  <c r="AA192" i="109"/>
  <c r="AE28" i="109"/>
  <c r="AE99" i="109"/>
  <c r="AE113" i="109" s="1"/>
  <c r="AE127" i="109" s="1"/>
  <c r="AD28" i="109"/>
  <c r="AD99" i="109"/>
  <c r="AD113" i="109" s="1"/>
  <c r="AD127" i="109" s="1"/>
  <c r="AP184" i="109"/>
  <c r="AP113" i="109"/>
  <c r="AP127" i="109" s="1"/>
  <c r="AG72" i="109"/>
  <c r="AH72" i="109"/>
  <c r="AE72" i="109"/>
  <c r="AD72" i="109"/>
  <c r="AI72" i="109"/>
  <c r="AF72" i="109"/>
  <c r="AJ72" i="109"/>
  <c r="K127" i="110"/>
  <c r="K128" i="110" s="1"/>
  <c r="X272" i="109"/>
  <c r="X242" i="109"/>
  <c r="F99" i="109"/>
  <c r="F28" i="109"/>
  <c r="G28" i="109"/>
  <c r="G99" i="109"/>
  <c r="AJ181" i="109"/>
  <c r="AJ165" i="109"/>
  <c r="H272" i="109"/>
  <c r="H242" i="109"/>
  <c r="L272" i="109"/>
  <c r="L242" i="109"/>
  <c r="BB147" i="112"/>
  <c r="BB152" i="112" s="1"/>
  <c r="AR184" i="109"/>
  <c r="AR113" i="109"/>
  <c r="AR127" i="109" s="1"/>
  <c r="M28" i="109"/>
  <c r="M99" i="109"/>
  <c r="P28" i="109"/>
  <c r="P99" i="109"/>
  <c r="I10" i="93"/>
  <c r="T46" i="110"/>
  <c r="T59" i="110"/>
  <c r="T61" i="110" s="1"/>
  <c r="T10" i="110"/>
  <c r="J11" i="110"/>
  <c r="J121" i="110"/>
  <c r="BB130" i="112"/>
  <c r="AJ267" i="109"/>
  <c r="AJ237" i="109"/>
  <c r="S9" i="102"/>
  <c r="S31" i="102" s="1"/>
  <c r="Q80" i="96"/>
  <c r="Q84" i="96" s="1"/>
  <c r="Q86" i="96" s="1"/>
  <c r="F11" i="96" s="1"/>
  <c r="F12" i="96" s="1"/>
  <c r="Z266" i="109"/>
  <c r="Z236" i="109"/>
  <c r="T68" i="110" s="1"/>
  <c r="AF99" i="109"/>
  <c r="AF113" i="109" s="1"/>
  <c r="AF127" i="109" s="1"/>
  <c r="AF28" i="109"/>
  <c r="AH99" i="109"/>
  <c r="AH113" i="109" s="1"/>
  <c r="AH127" i="109" s="1"/>
  <c r="AH28" i="109"/>
  <c r="H99" i="109"/>
  <c r="H28" i="109"/>
  <c r="I99" i="109"/>
  <c r="I28" i="109"/>
  <c r="O272" i="109"/>
  <c r="O242" i="109"/>
  <c r="X47" i="97"/>
  <c r="T47" i="97"/>
  <c r="W47" i="97"/>
  <c r="I56" i="32"/>
  <c r="I59" i="32" s="1"/>
  <c r="V47" i="97"/>
  <c r="U47" i="97"/>
  <c r="AI165" i="109"/>
  <c r="AI181" i="109"/>
  <c r="AE165" i="109"/>
  <c r="AE181" i="109"/>
  <c r="AN184" i="109"/>
  <c r="AN113" i="109"/>
  <c r="AN127" i="109" s="1"/>
  <c r="X99" i="109"/>
  <c r="X28" i="109"/>
  <c r="AA99" i="109"/>
  <c r="AA28" i="109"/>
  <c r="I122" i="112"/>
  <c r="I16" i="96" s="1"/>
  <c r="H85" i="93" s="1"/>
  <c r="Q99" i="109"/>
  <c r="Q28" i="109"/>
  <c r="N99" i="109"/>
  <c r="N28" i="109"/>
  <c r="J104" i="112"/>
  <c r="J58" i="112"/>
  <c r="AM184" i="109"/>
  <c r="AM113" i="109"/>
  <c r="AM127" i="109" s="1"/>
  <c r="F272" i="109"/>
  <c r="F242" i="109"/>
  <c r="X8" i="97"/>
  <c r="P272" i="109"/>
  <c r="P242" i="109"/>
  <c r="T67" i="110"/>
  <c r="Z272" i="109"/>
  <c r="Z242" i="109"/>
  <c r="BB136" i="112"/>
  <c r="BB137" i="112" s="1"/>
  <c r="AI99" i="109"/>
  <c r="AI113" i="109" s="1"/>
  <c r="AI127" i="109" s="1"/>
  <c r="AI28" i="109"/>
  <c r="AJ99" i="109"/>
  <c r="AJ113" i="109" s="1"/>
  <c r="AJ127" i="109" s="1"/>
  <c r="AJ28" i="109"/>
  <c r="AO113" i="109"/>
  <c r="AO127" i="109" s="1"/>
  <c r="AO184" i="109"/>
  <c r="R71" i="110"/>
  <c r="J65" i="102"/>
  <c r="J75" i="102" s="1"/>
  <c r="J89" i="102" s="1"/>
  <c r="J61" i="102"/>
  <c r="U8" i="102" s="1"/>
  <c r="H51" i="96"/>
  <c r="H66" i="96" s="1"/>
  <c r="L70" i="102"/>
  <c r="V55" i="102"/>
  <c r="V57" i="102" s="1"/>
  <c r="V61" i="102" s="1"/>
  <c r="N272" i="109"/>
  <c r="N242" i="109"/>
  <c r="R242" i="109"/>
  <c r="R272" i="109"/>
  <c r="I272" i="109"/>
  <c r="I242" i="109"/>
  <c r="AD181" i="109"/>
  <c r="AD165" i="109"/>
  <c r="Y272" i="109"/>
  <c r="Y242" i="109"/>
  <c r="V28" i="109"/>
  <c r="V99" i="109"/>
  <c r="Y28" i="109"/>
  <c r="Y99" i="109"/>
  <c r="U272" i="109"/>
  <c r="U242" i="109"/>
  <c r="G52" i="97"/>
  <c r="D272" i="109"/>
  <c r="D242" i="109"/>
  <c r="I98" i="102"/>
  <c r="I99" i="102" s="1"/>
  <c r="H29" i="102"/>
  <c r="H31" i="102" s="1"/>
  <c r="T69" i="110"/>
  <c r="E99" i="109"/>
  <c r="E28" i="109"/>
  <c r="AF181" i="109"/>
  <c r="AF165" i="109"/>
  <c r="I16" i="110"/>
  <c r="W99" i="109"/>
  <c r="W28" i="109"/>
  <c r="G83" i="97"/>
  <c r="G85" i="97" s="1"/>
  <c r="F82" i="97"/>
  <c r="F86" i="97" s="1"/>
  <c r="F20" i="97" s="1"/>
  <c r="I73" i="93"/>
  <c r="I78" i="93" s="1"/>
  <c r="I81" i="93" s="1"/>
  <c r="L10" i="102"/>
  <c r="I19" i="79"/>
  <c r="I21" i="79" s="1"/>
  <c r="G67" i="118"/>
  <c r="H4" i="118"/>
  <c r="AC89" i="110"/>
  <c r="AC12" i="110"/>
  <c r="I14" i="110"/>
  <c r="AH181" i="109"/>
  <c r="AH165" i="109"/>
  <c r="AQ184" i="109"/>
  <c r="AQ113" i="109"/>
  <c r="AQ127" i="109" s="1"/>
  <c r="H19" i="112"/>
  <c r="S50" i="110"/>
  <c r="I197" i="93"/>
  <c r="Z99" i="109"/>
  <c r="Z28" i="109"/>
  <c r="U99" i="109"/>
  <c r="U28" i="109"/>
  <c r="AS184" i="109"/>
  <c r="AS113" i="109"/>
  <c r="AS127" i="109" s="1"/>
  <c r="J119" i="112"/>
  <c r="M272" i="109"/>
  <c r="M242" i="109"/>
  <c r="I15" i="110"/>
  <c r="R99" i="109"/>
  <c r="R28" i="109"/>
  <c r="W242" i="109"/>
  <c r="W272" i="109"/>
  <c r="E272" i="109"/>
  <c r="E242" i="109"/>
  <c r="I267" i="109"/>
  <c r="I237" i="109"/>
  <c r="J95" i="112"/>
  <c r="BB92" i="112"/>
  <c r="C272" i="109"/>
  <c r="C242" i="109"/>
  <c r="G82" i="96"/>
  <c r="G272" i="109"/>
  <c r="G242" i="109"/>
  <c r="AG99" i="109"/>
  <c r="AG113" i="109" s="1"/>
  <c r="AG127" i="109" s="1"/>
  <c r="AG28" i="109"/>
  <c r="I17" i="110"/>
  <c r="Q272" i="109"/>
  <c r="Q242" i="109"/>
  <c r="J94" i="102"/>
  <c r="J96" i="102" s="1"/>
  <c r="U19" i="102"/>
  <c r="AP72" i="109"/>
  <c r="AP86" i="109" s="1"/>
  <c r="AR72" i="109"/>
  <c r="AR86" i="109" s="1"/>
  <c r="AN72" i="109"/>
  <c r="AN86" i="109" s="1"/>
  <c r="AO72" i="109"/>
  <c r="AO86" i="109" s="1"/>
  <c r="AM72" i="109"/>
  <c r="AM86" i="109" s="1"/>
  <c r="AS72" i="109"/>
  <c r="AS86" i="109" s="1"/>
  <c r="AQ72" i="109"/>
  <c r="AQ86" i="109" s="1"/>
  <c r="W29" i="107" l="1"/>
  <c r="AA29" i="107"/>
  <c r="AB29" i="107" s="1"/>
  <c r="Z29" i="107"/>
  <c r="Y29" i="107" s="1"/>
  <c r="I121" i="112"/>
  <c r="BA156" i="112"/>
  <c r="F43" i="96"/>
  <c r="H5" i="97"/>
  <c r="H8" i="97" s="1"/>
  <c r="G25" i="98" s="1"/>
  <c r="G27" i="98" s="1"/>
  <c r="BB148" i="112"/>
  <c r="J116" i="112" s="1"/>
  <c r="J121" i="112" s="1"/>
  <c r="I113" i="112"/>
  <c r="BB158" i="112"/>
  <c r="BB159" i="112" s="1"/>
  <c r="J117" i="112" s="1"/>
  <c r="H32" i="102"/>
  <c r="BB131" i="112"/>
  <c r="BB129" i="112" s="1"/>
  <c r="BB133" i="112" s="1"/>
  <c r="J111" i="112"/>
  <c r="J109" i="112" s="1"/>
  <c r="R113" i="109"/>
  <c r="R127" i="109" s="1"/>
  <c r="R184" i="109"/>
  <c r="N184" i="109"/>
  <c r="N113" i="109"/>
  <c r="N127" i="109" s="1"/>
  <c r="N86" i="104"/>
  <c r="AJ226" i="109"/>
  <c r="AJ196" i="109"/>
  <c r="H25" i="97"/>
  <c r="H14" i="97"/>
  <c r="U67" i="110"/>
  <c r="C184" i="109"/>
  <c r="C113" i="109"/>
  <c r="C127" i="109" s="1"/>
  <c r="AF226" i="109"/>
  <c r="AF196" i="109"/>
  <c r="AI196" i="109"/>
  <c r="AI226" i="109"/>
  <c r="AJ73" i="109"/>
  <c r="AJ86" i="109"/>
  <c r="AP199" i="109"/>
  <c r="AP229" i="109"/>
  <c r="I281" i="84"/>
  <c r="AQ229" i="109"/>
  <c r="AQ199" i="109"/>
  <c r="H279" i="84"/>
  <c r="V184" i="109"/>
  <c r="V113" i="109"/>
  <c r="V127" i="109" s="1"/>
  <c r="S82" i="96"/>
  <c r="V7" i="102"/>
  <c r="AO229" i="109"/>
  <c r="AO199" i="109"/>
  <c r="J103" i="112"/>
  <c r="Q184" i="109"/>
  <c r="Q113" i="109"/>
  <c r="Q127" i="109" s="1"/>
  <c r="AA113" i="109"/>
  <c r="AA127" i="109" s="1"/>
  <c r="AA184" i="109"/>
  <c r="AN199" i="109"/>
  <c r="AN229" i="109"/>
  <c r="O86" i="104"/>
  <c r="AQ20" i="109"/>
  <c r="AM20" i="109"/>
  <c r="AD71" i="110"/>
  <c r="AD72" i="110" s="1"/>
  <c r="J18" i="110" s="1"/>
  <c r="AS20" i="109"/>
  <c r="AO20" i="109"/>
  <c r="AN20" i="109"/>
  <c r="AP20" i="109"/>
  <c r="AR20" i="109"/>
  <c r="AR199" i="109"/>
  <c r="AR229" i="109"/>
  <c r="G184" i="109"/>
  <c r="G113" i="109"/>
  <c r="G127" i="109" s="1"/>
  <c r="AF86" i="109"/>
  <c r="AF73" i="109"/>
  <c r="AH86" i="109"/>
  <c r="AH73" i="109"/>
  <c r="V9" i="97"/>
  <c r="D184" i="109"/>
  <c r="D113" i="109"/>
  <c r="D127" i="109" s="1"/>
  <c r="U69" i="110"/>
  <c r="AH226" i="109"/>
  <c r="AH196" i="109"/>
  <c r="Y184" i="109"/>
  <c r="Y113" i="109"/>
  <c r="Y127" i="109" s="1"/>
  <c r="L36" i="102"/>
  <c r="L37" i="102" s="1"/>
  <c r="L42" i="102" s="1"/>
  <c r="L46" i="102" s="1"/>
  <c r="L50" i="102" s="1"/>
  <c r="K37" i="110"/>
  <c r="K40" i="110" s="1"/>
  <c r="K9" i="110" s="1"/>
  <c r="X184" i="109"/>
  <c r="X113" i="109"/>
  <c r="X127" i="109" s="1"/>
  <c r="AD86" i="109"/>
  <c r="AD73" i="109"/>
  <c r="L113" i="109"/>
  <c r="L127" i="109" s="1"/>
  <c r="L184" i="109"/>
  <c r="U184" i="109"/>
  <c r="U113" i="109"/>
  <c r="U127" i="109" s="1"/>
  <c r="M32" i="102"/>
  <c r="L14" i="102"/>
  <c r="W184" i="109"/>
  <c r="W113" i="109"/>
  <c r="W127" i="109" s="1"/>
  <c r="I101" i="102"/>
  <c r="I102" i="102" s="1"/>
  <c r="G69" i="96" s="1"/>
  <c r="P84" i="97"/>
  <c r="P10" i="97"/>
  <c r="T10" i="97" s="1"/>
  <c r="I61" i="32"/>
  <c r="I62" i="32" s="1"/>
  <c r="I64" i="32" s="1"/>
  <c r="I70" i="32"/>
  <c r="I184" i="109"/>
  <c r="I113" i="109"/>
  <c r="I127" i="109" s="1"/>
  <c r="T22" i="110"/>
  <c r="T24" i="110" s="1"/>
  <c r="T12" i="110"/>
  <c r="P184" i="109"/>
  <c r="P113" i="109"/>
  <c r="P127" i="109" s="1"/>
  <c r="F184" i="109"/>
  <c r="F113" i="109"/>
  <c r="F127" i="109" s="1"/>
  <c r="AE86" i="109"/>
  <c r="AE73" i="109"/>
  <c r="S96" i="97"/>
  <c r="H15" i="97" s="1"/>
  <c r="R12" i="98"/>
  <c r="AS229" i="109"/>
  <c r="AS199" i="109"/>
  <c r="Z184" i="109"/>
  <c r="Z113" i="109"/>
  <c r="Z127" i="109" s="1"/>
  <c r="AJ152" i="109"/>
  <c r="AG152" i="109"/>
  <c r="AH152" i="109"/>
  <c r="AD152" i="109"/>
  <c r="AI152" i="109"/>
  <c r="AF152" i="109"/>
  <c r="AE152" i="109"/>
  <c r="I132" i="110"/>
  <c r="J55" i="32"/>
  <c r="I19" i="110"/>
  <c r="E37" i="98"/>
  <c r="F22" i="97"/>
  <c r="F44" i="97" s="1"/>
  <c r="F48" i="97" s="1"/>
  <c r="E113" i="109"/>
  <c r="E127" i="109" s="1"/>
  <c r="E184" i="109"/>
  <c r="AD226" i="109"/>
  <c r="AD196" i="109"/>
  <c r="AM229" i="109"/>
  <c r="AM199" i="109"/>
  <c r="AE196" i="109"/>
  <c r="AE226" i="109"/>
  <c r="M86" i="104"/>
  <c r="L86" i="104"/>
  <c r="L90" i="104" s="1"/>
  <c r="L6" i="104" s="1"/>
  <c r="L9" i="104" s="1"/>
  <c r="Y47" i="97"/>
  <c r="T50" i="97"/>
  <c r="I12" i="97" s="1"/>
  <c r="H184" i="109"/>
  <c r="H113" i="109"/>
  <c r="H127" i="109" s="1"/>
  <c r="H12" i="32"/>
  <c r="H13" i="32" s="1"/>
  <c r="T34" i="110"/>
  <c r="T36" i="110" s="1"/>
  <c r="T48" i="110"/>
  <c r="M184" i="109"/>
  <c r="M113" i="109"/>
  <c r="M127" i="109" s="1"/>
  <c r="AI86" i="109"/>
  <c r="AI73" i="109"/>
  <c r="AG73" i="109"/>
  <c r="AG86" i="109"/>
  <c r="AA266" i="109"/>
  <c r="AA236" i="109"/>
  <c r="U68" i="110" s="1"/>
  <c r="I19" i="112"/>
  <c r="T50" i="110"/>
  <c r="J197" i="93"/>
  <c r="K109" i="102"/>
  <c r="K110" i="102" s="1"/>
  <c r="K112" i="102" s="1"/>
  <c r="K51" i="102" s="1"/>
  <c r="O184" i="109"/>
  <c r="O113" i="109"/>
  <c r="O127" i="109" s="1"/>
  <c r="AG226" i="109"/>
  <c r="AG196" i="109"/>
  <c r="F23" i="96"/>
  <c r="F109" i="96" s="1"/>
  <c r="P63" i="115"/>
  <c r="AA30" i="107" l="1"/>
  <c r="AB30" i="107" s="1"/>
  <c r="Z30" i="107"/>
  <c r="Y30" i="107"/>
  <c r="W30" i="107"/>
  <c r="J60" i="112"/>
  <c r="J61" i="112" s="1"/>
  <c r="J73" i="112" s="1"/>
  <c r="J83" i="96" s="1"/>
  <c r="BB153" i="112"/>
  <c r="BB151" i="112" s="1"/>
  <c r="BB155" i="112" s="1"/>
  <c r="BB156" i="112" s="1"/>
  <c r="Y375" i="109"/>
  <c r="Y376" i="109" s="1"/>
  <c r="V18" i="102"/>
  <c r="K53" i="102"/>
  <c r="AG153" i="109"/>
  <c r="AH153" i="109"/>
  <c r="AF153" i="109"/>
  <c r="AD153" i="109"/>
  <c r="AJ153" i="109"/>
  <c r="AI153" i="109"/>
  <c r="AE153" i="109"/>
  <c r="J132" i="110"/>
  <c r="AH20" i="109"/>
  <c r="AD20" i="109"/>
  <c r="AJ20" i="109"/>
  <c r="AF20" i="109"/>
  <c r="AE20" i="109"/>
  <c r="AI20" i="109"/>
  <c r="AD55" i="110"/>
  <c r="AD56" i="110" s="1"/>
  <c r="AG20" i="109"/>
  <c r="V48" i="97"/>
  <c r="U48" i="97"/>
  <c r="X48" i="97"/>
  <c r="W48" i="97"/>
  <c r="J56" i="32"/>
  <c r="J59" i="32" s="1"/>
  <c r="AJ182" i="109"/>
  <c r="AJ166" i="109"/>
  <c r="AS273" i="109"/>
  <c r="AS243" i="109"/>
  <c r="G20" i="109"/>
  <c r="C20" i="109"/>
  <c r="I20" i="109"/>
  <c r="E20" i="109"/>
  <c r="D20" i="109"/>
  <c r="J122" i="110"/>
  <c r="J123" i="110" s="1"/>
  <c r="F20" i="109"/>
  <c r="AD7" i="110"/>
  <c r="AD8" i="110" s="1"/>
  <c r="H20" i="109"/>
  <c r="AH240" i="109"/>
  <c r="S72" i="110" s="1"/>
  <c r="AH270" i="109"/>
  <c r="AO100" i="109"/>
  <c r="AO29" i="109"/>
  <c r="J107" i="112"/>
  <c r="BB134" i="112"/>
  <c r="BB10" i="112"/>
  <c r="BB11" i="112" s="1"/>
  <c r="Y20" i="109"/>
  <c r="U20" i="109"/>
  <c r="AA20" i="109"/>
  <c r="W20" i="109"/>
  <c r="V20" i="109"/>
  <c r="AD39" i="110"/>
  <c r="AD40" i="110" s="1"/>
  <c r="X20" i="109"/>
  <c r="Z20" i="109"/>
  <c r="K55" i="32"/>
  <c r="AE270" i="109"/>
  <c r="AE240" i="109"/>
  <c r="P72" i="110" s="1"/>
  <c r="AD270" i="109"/>
  <c r="AD240" i="109"/>
  <c r="AD166" i="109"/>
  <c r="AD182" i="109"/>
  <c r="J115" i="112"/>
  <c r="J113" i="112" s="1"/>
  <c r="G68" i="96"/>
  <c r="G71" i="96" s="1"/>
  <c r="T6" i="102"/>
  <c r="U229" i="109"/>
  <c r="U199" i="109"/>
  <c r="D199" i="109"/>
  <c r="D229" i="109"/>
  <c r="AR100" i="109"/>
  <c r="AR29" i="109"/>
  <c r="J101" i="112"/>
  <c r="AO273" i="109"/>
  <c r="AO243" i="109"/>
  <c r="AP273" i="109"/>
  <c r="AP243" i="109"/>
  <c r="AI240" i="109"/>
  <c r="AI270" i="109"/>
  <c r="G12" i="98"/>
  <c r="L109" i="102"/>
  <c r="L110" i="102" s="1"/>
  <c r="L112" i="102" s="1"/>
  <c r="L51" i="102" s="1"/>
  <c r="W18" i="102" s="1"/>
  <c r="G32" i="96"/>
  <c r="G34" i="96" s="1"/>
  <c r="H64" i="115"/>
  <c r="H65" i="118"/>
  <c r="AG240" i="109"/>
  <c r="R72" i="110" s="1"/>
  <c r="AG270" i="109"/>
  <c r="M199" i="109"/>
  <c r="M229" i="109"/>
  <c r="AF182" i="109"/>
  <c r="AF166" i="109"/>
  <c r="AG182" i="109"/>
  <c r="AG166" i="109"/>
  <c r="P229" i="109"/>
  <c r="P199" i="109"/>
  <c r="I229" i="109"/>
  <c r="I199" i="109"/>
  <c r="U10" i="97"/>
  <c r="T13" i="97"/>
  <c r="H9" i="98" s="1"/>
  <c r="X199" i="109"/>
  <c r="X229" i="109"/>
  <c r="L106" i="102"/>
  <c r="AR273" i="109"/>
  <c r="AR243" i="109"/>
  <c r="AN29" i="109"/>
  <c r="AN100" i="109"/>
  <c r="AM29" i="109"/>
  <c r="AM100" i="109"/>
  <c r="Q199" i="109"/>
  <c r="Q229" i="109"/>
  <c r="V199" i="109"/>
  <c r="V229" i="109"/>
  <c r="AF240" i="109"/>
  <c r="Q72" i="110" s="1"/>
  <c r="AF270" i="109"/>
  <c r="C229" i="109"/>
  <c r="C199" i="109"/>
  <c r="H24" i="97"/>
  <c r="H28" i="97" s="1"/>
  <c r="H16" i="97"/>
  <c r="AJ240" i="109"/>
  <c r="U72" i="110" s="1"/>
  <c r="AJ270" i="109"/>
  <c r="N229" i="109"/>
  <c r="N199" i="109"/>
  <c r="AM273" i="109"/>
  <c r="AM243" i="109"/>
  <c r="AI166" i="109"/>
  <c r="AI182" i="109"/>
  <c r="I66" i="32"/>
  <c r="I6" i="97" s="1"/>
  <c r="P76" i="97"/>
  <c r="P92" i="97"/>
  <c r="W229" i="109"/>
  <c r="W199" i="109"/>
  <c r="L229" i="109"/>
  <c r="L199" i="109"/>
  <c r="AQ29" i="109"/>
  <c r="AQ100" i="109"/>
  <c r="AA229" i="109"/>
  <c r="AA199" i="109"/>
  <c r="O199" i="109"/>
  <c r="O229" i="109"/>
  <c r="P17" i="98"/>
  <c r="E38" i="98"/>
  <c r="E46" i="98" s="1"/>
  <c r="P7" i="98" s="1"/>
  <c r="P8" i="98" s="1"/>
  <c r="P20" i="109"/>
  <c r="L20" i="109"/>
  <c r="R20" i="109"/>
  <c r="N20" i="109"/>
  <c r="M20" i="109"/>
  <c r="Q20" i="109"/>
  <c r="O20" i="109"/>
  <c r="AD23" i="110"/>
  <c r="AD24" i="110" s="1"/>
  <c r="AS100" i="109"/>
  <c r="AS29" i="109"/>
  <c r="R229" i="109"/>
  <c r="R199" i="109"/>
  <c r="H199" i="109"/>
  <c r="H229" i="109"/>
  <c r="E229" i="109"/>
  <c r="E199" i="109"/>
  <c r="I45" i="110"/>
  <c r="H35" i="96"/>
  <c r="AE166" i="109"/>
  <c r="AE182" i="109"/>
  <c r="AH182" i="109"/>
  <c r="AH166" i="109"/>
  <c r="Z199" i="109"/>
  <c r="Z229" i="109"/>
  <c r="F199" i="109"/>
  <c r="F229" i="109"/>
  <c r="I103" i="102"/>
  <c r="J10" i="93"/>
  <c r="U46" i="110"/>
  <c r="U59" i="110"/>
  <c r="U61" i="110" s="1"/>
  <c r="U10" i="110"/>
  <c r="K121" i="110"/>
  <c r="K11" i="110"/>
  <c r="Y229" i="109"/>
  <c r="Y199" i="109"/>
  <c r="W9" i="97"/>
  <c r="G229" i="109"/>
  <c r="G199" i="109"/>
  <c r="AP100" i="109"/>
  <c r="AP29" i="109"/>
  <c r="AN273" i="109"/>
  <c r="AN243" i="109"/>
  <c r="T81" i="96"/>
  <c r="AQ273" i="109"/>
  <c r="AQ243" i="109"/>
  <c r="J122" i="112"/>
  <c r="J16" i="96" s="1"/>
  <c r="I85" i="93" s="1"/>
  <c r="W31" i="107" l="1"/>
  <c r="AA31" i="107"/>
  <c r="AB31" i="107" s="1"/>
  <c r="Z31" i="107"/>
  <c r="Y31" i="107" s="1"/>
  <c r="J120" i="112"/>
  <c r="I68" i="32"/>
  <c r="G43" i="96" s="1"/>
  <c r="AP185" i="109"/>
  <c r="AP114" i="109"/>
  <c r="AP128" i="109" s="1"/>
  <c r="AP129" i="109" s="1"/>
  <c r="AB74" i="110" s="1"/>
  <c r="X9" i="97"/>
  <c r="Z273" i="109"/>
  <c r="Z243" i="109"/>
  <c r="M29" i="109"/>
  <c r="M31" i="109" s="1"/>
  <c r="M100" i="109"/>
  <c r="P29" i="109"/>
  <c r="P31" i="109" s="1"/>
  <c r="P100" i="109"/>
  <c r="O273" i="109"/>
  <c r="O243" i="109"/>
  <c r="C273" i="109"/>
  <c r="C243" i="109"/>
  <c r="I273" i="109"/>
  <c r="I243" i="109"/>
  <c r="M273" i="109"/>
  <c r="M243" i="109"/>
  <c r="H51" i="97"/>
  <c r="G13" i="98"/>
  <c r="U273" i="109"/>
  <c r="U243" i="109"/>
  <c r="X100" i="109"/>
  <c r="X29" i="109"/>
  <c r="AA100" i="109"/>
  <c r="AA29" i="109"/>
  <c r="F100" i="109"/>
  <c r="F29" i="109"/>
  <c r="F31" i="109" s="1"/>
  <c r="I100" i="109"/>
  <c r="I29" i="109"/>
  <c r="O87" i="104"/>
  <c r="AE100" i="109"/>
  <c r="AE114" i="109" s="1"/>
  <c r="AE128" i="109" s="1"/>
  <c r="AE129" i="109" s="1"/>
  <c r="Z58" i="110" s="1"/>
  <c r="AE29" i="109"/>
  <c r="AH29" i="109"/>
  <c r="AH100" i="109"/>
  <c r="AH114" i="109" s="1"/>
  <c r="AH128" i="109" s="1"/>
  <c r="AH129" i="109" s="1"/>
  <c r="AC58" i="110" s="1"/>
  <c r="AJ167" i="109"/>
  <c r="AJ183" i="109"/>
  <c r="I29" i="102"/>
  <c r="I31" i="102" s="1"/>
  <c r="J98" i="102"/>
  <c r="J99" i="102" s="1"/>
  <c r="V92" i="97"/>
  <c r="W84" i="97"/>
  <c r="X92" i="97"/>
  <c r="T92" i="97"/>
  <c r="T94" i="97" s="1"/>
  <c r="I7" i="97" s="1"/>
  <c r="U84" i="97"/>
  <c r="W92" i="97"/>
  <c r="U92" i="97"/>
  <c r="V84" i="97"/>
  <c r="T84" i="97"/>
  <c r="T86" i="97" s="1"/>
  <c r="AN185" i="109"/>
  <c r="AN114" i="109"/>
  <c r="AN128" i="109" s="1"/>
  <c r="AN129" i="109" s="1"/>
  <c r="Z74" i="110" s="1"/>
  <c r="D273" i="109"/>
  <c r="D243" i="109"/>
  <c r="J16" i="110"/>
  <c r="U29" i="109"/>
  <c r="U100" i="109"/>
  <c r="C29" i="109"/>
  <c r="C31" i="109" s="1"/>
  <c r="C100" i="109"/>
  <c r="AG100" i="109"/>
  <c r="AG114" i="109" s="1"/>
  <c r="AG128" i="109" s="1"/>
  <c r="AG129" i="109" s="1"/>
  <c r="AB58" i="110" s="1"/>
  <c r="AG29" i="109"/>
  <c r="AF100" i="109"/>
  <c r="AF114" i="109" s="1"/>
  <c r="AF128" i="109" s="1"/>
  <c r="AF129" i="109" s="1"/>
  <c r="AA58" i="110" s="1"/>
  <c r="AF29" i="109"/>
  <c r="AD183" i="109"/>
  <c r="AD167" i="109"/>
  <c r="AD154" i="109"/>
  <c r="I51" i="96"/>
  <c r="I66" i="96" s="1"/>
  <c r="K65" i="102"/>
  <c r="K75" i="102" s="1"/>
  <c r="K89" i="102" s="1"/>
  <c r="K61" i="102"/>
  <c r="V8" i="102" s="1"/>
  <c r="G273" i="109"/>
  <c r="G243" i="109"/>
  <c r="Y273" i="109"/>
  <c r="Y243" i="109"/>
  <c r="AQ21" i="109"/>
  <c r="AM21" i="109"/>
  <c r="AS21" i="109"/>
  <c r="AO21" i="109"/>
  <c r="AN21" i="109"/>
  <c r="AR21" i="109"/>
  <c r="AE71" i="110"/>
  <c r="AE72" i="110" s="1"/>
  <c r="K18" i="110" s="1"/>
  <c r="AP21" i="109"/>
  <c r="F273" i="109"/>
  <c r="F243" i="109"/>
  <c r="H82" i="96"/>
  <c r="E273" i="109"/>
  <c r="E243" i="109"/>
  <c r="R273" i="109"/>
  <c r="R243" i="109"/>
  <c r="O100" i="109"/>
  <c r="O29" i="109"/>
  <c r="O31" i="109" s="1"/>
  <c r="R100" i="109"/>
  <c r="R29" i="109"/>
  <c r="AQ185" i="109"/>
  <c r="AQ114" i="109"/>
  <c r="AQ128" i="109" s="1"/>
  <c r="AQ129" i="109" s="1"/>
  <c r="AC74" i="110" s="1"/>
  <c r="N273" i="109"/>
  <c r="N243" i="109"/>
  <c r="L53" i="102"/>
  <c r="V10" i="97"/>
  <c r="P273" i="109"/>
  <c r="P243" i="109"/>
  <c r="G22" i="96"/>
  <c r="F280" i="84"/>
  <c r="O72" i="110"/>
  <c r="X49" i="97"/>
  <c r="X50" i="97" s="1"/>
  <c r="M12" i="97" s="1"/>
  <c r="K56" i="32"/>
  <c r="K59" i="32" s="1"/>
  <c r="W49" i="97"/>
  <c r="O88" i="104" s="1"/>
  <c r="V49" i="97"/>
  <c r="V50" i="97" s="1"/>
  <c r="K12" i="97" s="1"/>
  <c r="V29" i="109"/>
  <c r="V100" i="109"/>
  <c r="Y29" i="109"/>
  <c r="Y100" i="109"/>
  <c r="H100" i="109"/>
  <c r="H29" i="109"/>
  <c r="D29" i="109"/>
  <c r="D31" i="109" s="1"/>
  <c r="D100" i="109"/>
  <c r="G29" i="109"/>
  <c r="G31" i="109" s="1"/>
  <c r="G100" i="109"/>
  <c r="AJ227" i="109"/>
  <c r="AJ197" i="109"/>
  <c r="M87" i="104"/>
  <c r="M90" i="104" s="1"/>
  <c r="M6" i="104" s="1"/>
  <c r="M9" i="104" s="1"/>
  <c r="Y48" i="97"/>
  <c r="U50" i="97"/>
  <c r="J12" i="97" s="1"/>
  <c r="J17" i="110"/>
  <c r="AJ100" i="109"/>
  <c r="AJ114" i="109" s="1"/>
  <c r="AJ128" i="109" s="1"/>
  <c r="AJ129" i="109" s="1"/>
  <c r="AE58" i="110" s="1"/>
  <c r="K51" i="110" s="1"/>
  <c r="AJ29" i="109"/>
  <c r="AE167" i="109"/>
  <c r="AE183" i="109"/>
  <c r="AE154" i="109"/>
  <c r="AF183" i="109"/>
  <c r="AF167" i="109"/>
  <c r="AF154" i="109"/>
  <c r="K94" i="102"/>
  <c r="K96" i="102" s="1"/>
  <c r="V19" i="102"/>
  <c r="AE197" i="109"/>
  <c r="AE227" i="109"/>
  <c r="AS114" i="109"/>
  <c r="AS128" i="109" s="1"/>
  <c r="AS129" i="109" s="1"/>
  <c r="AE74" i="110" s="1"/>
  <c r="AS185" i="109"/>
  <c r="AI197" i="109"/>
  <c r="AI227" i="109"/>
  <c r="I4" i="118"/>
  <c r="H67" i="118"/>
  <c r="T72" i="110"/>
  <c r="AR185" i="109"/>
  <c r="AR114" i="109"/>
  <c r="AR128" i="109" s="1"/>
  <c r="AR129" i="109" s="1"/>
  <c r="AD74" i="110" s="1"/>
  <c r="AD227" i="109"/>
  <c r="AD197" i="109"/>
  <c r="AG183" i="109"/>
  <c r="AG167" i="109"/>
  <c r="AG154" i="109"/>
  <c r="U22" i="110"/>
  <c r="U24" i="110" s="1"/>
  <c r="U12" i="110"/>
  <c r="J15" i="110"/>
  <c r="N100" i="109"/>
  <c r="N29" i="109"/>
  <c r="N31" i="109" s="1"/>
  <c r="AA273" i="109"/>
  <c r="AA243" i="109"/>
  <c r="L273" i="109"/>
  <c r="L243" i="109"/>
  <c r="G29" i="98"/>
  <c r="H18" i="97"/>
  <c r="Q273" i="109"/>
  <c r="Q243" i="109"/>
  <c r="AG227" i="109"/>
  <c r="AG197" i="109"/>
  <c r="R80" i="96"/>
  <c r="R84" i="96" s="1"/>
  <c r="R86" i="96" s="1"/>
  <c r="G11" i="96" s="1"/>
  <c r="G12" i="96" s="1"/>
  <c r="T9" i="102"/>
  <c r="T31" i="102" s="1"/>
  <c r="U34" i="110"/>
  <c r="U36" i="110" s="1"/>
  <c r="U48" i="110"/>
  <c r="AH227" i="109"/>
  <c r="AH197" i="109"/>
  <c r="H273" i="109"/>
  <c r="H243" i="109"/>
  <c r="Q100" i="109"/>
  <c r="Q29" i="109"/>
  <c r="L100" i="109"/>
  <c r="L29" i="109"/>
  <c r="L31" i="109" s="1"/>
  <c r="F53" i="97"/>
  <c r="F55" i="97" s="1"/>
  <c r="F59" i="97" s="1"/>
  <c r="F70" i="97" s="1"/>
  <c r="P18" i="98"/>
  <c r="P20" i="98" s="1"/>
  <c r="W243" i="109"/>
  <c r="W273" i="109"/>
  <c r="V273" i="109"/>
  <c r="V243" i="109"/>
  <c r="AM114" i="109"/>
  <c r="AM128" i="109" s="1"/>
  <c r="AM129" i="109" s="1"/>
  <c r="Y74" i="110" s="1"/>
  <c r="AM185" i="109"/>
  <c r="X273" i="109"/>
  <c r="X243" i="109"/>
  <c r="AF227" i="109"/>
  <c r="AF197" i="109"/>
  <c r="L94" i="102"/>
  <c r="L96" i="102" s="1"/>
  <c r="W19" i="102"/>
  <c r="Z100" i="109"/>
  <c r="Z29" i="109"/>
  <c r="W100" i="109"/>
  <c r="W29" i="109"/>
  <c r="J19" i="112"/>
  <c r="U50" i="110"/>
  <c r="K197" i="93"/>
  <c r="AO185" i="109"/>
  <c r="AO114" i="109"/>
  <c r="AO128" i="109" s="1"/>
  <c r="AO129" i="109" s="1"/>
  <c r="AA74" i="110" s="1"/>
  <c r="AD89" i="110"/>
  <c r="J14" i="110"/>
  <c r="AD12" i="110"/>
  <c r="E100" i="109"/>
  <c r="E29" i="109"/>
  <c r="E31" i="109" s="1"/>
  <c r="P85" i="97"/>
  <c r="J70" i="32"/>
  <c r="P11" i="97"/>
  <c r="U11" i="97" s="1"/>
  <c r="V11" i="97" s="1"/>
  <c r="W11" i="97" s="1"/>
  <c r="X11" i="97" s="1"/>
  <c r="J61" i="32"/>
  <c r="J62" i="32" s="1"/>
  <c r="J64" i="32" s="1"/>
  <c r="N87" i="104"/>
  <c r="AI100" i="109"/>
  <c r="AI114" i="109" s="1"/>
  <c r="AI128" i="109" s="1"/>
  <c r="AI129" i="109" s="1"/>
  <c r="AD58" i="110" s="1"/>
  <c r="J51" i="110" s="1"/>
  <c r="AI29" i="109"/>
  <c r="AD100" i="109"/>
  <c r="AD114" i="109" s="1"/>
  <c r="AD128" i="109" s="1"/>
  <c r="AD129" i="109" s="1"/>
  <c r="Y58" i="110" s="1"/>
  <c r="AD29" i="109"/>
  <c r="AI183" i="109"/>
  <c r="AI154" i="109"/>
  <c r="AI167" i="109"/>
  <c r="AH183" i="109"/>
  <c r="AH154" i="109"/>
  <c r="AH167" i="109"/>
  <c r="AA32" i="107" l="1"/>
  <c r="AB32" i="107" s="1"/>
  <c r="Z32" i="107"/>
  <c r="Y32" i="107"/>
  <c r="W32" i="107"/>
  <c r="I11" i="32"/>
  <c r="I12" i="32" s="1"/>
  <c r="I13" i="32" s="1"/>
  <c r="I5" i="97"/>
  <c r="I8" i="97" s="1"/>
  <c r="H25" i="98" s="1"/>
  <c r="H27" i="98" s="1"/>
  <c r="O90" i="104"/>
  <c r="O6" i="104" s="1"/>
  <c r="O9" i="104" s="1"/>
  <c r="L4" i="118" s="1"/>
  <c r="J19" i="110"/>
  <c r="I35" i="96" s="1"/>
  <c r="AH184" i="109"/>
  <c r="AH168" i="109"/>
  <c r="AH155" i="109"/>
  <c r="AI228" i="109"/>
  <c r="AI198" i="109"/>
  <c r="G57" i="97"/>
  <c r="E17" i="98"/>
  <c r="E20" i="98" s="1"/>
  <c r="E21" i="98" s="1"/>
  <c r="AH241" i="109"/>
  <c r="S73" i="110" s="1"/>
  <c r="AH271" i="109"/>
  <c r="AG184" i="109"/>
  <c r="AG168" i="109"/>
  <c r="AG155" i="109"/>
  <c r="AE271" i="109"/>
  <c r="AE241" i="109"/>
  <c r="P73" i="110" s="1"/>
  <c r="G185" i="109"/>
  <c r="G114" i="109"/>
  <c r="G128" i="109" s="1"/>
  <c r="G129" i="109" s="1"/>
  <c r="P12" i="97"/>
  <c r="V12" i="97" s="1"/>
  <c r="W12" i="97" s="1"/>
  <c r="X12" i="97" s="1"/>
  <c r="K61" i="32"/>
  <c r="K62" i="32" s="1"/>
  <c r="K64" i="32" s="1"/>
  <c r="U13" i="97"/>
  <c r="I9" i="98" s="1"/>
  <c r="AO101" i="109"/>
  <c r="AO30" i="109"/>
  <c r="AO31" i="109" s="1"/>
  <c r="T82" i="96"/>
  <c r="W7" i="102"/>
  <c r="U81" i="96" s="1"/>
  <c r="AJ228" i="109"/>
  <c r="AJ198" i="109"/>
  <c r="I279" i="84"/>
  <c r="P185" i="109"/>
  <c r="P114" i="109"/>
  <c r="P128" i="109" s="1"/>
  <c r="P129" i="109" s="1"/>
  <c r="AC26" i="110" s="1"/>
  <c r="AH228" i="109"/>
  <c r="AH198" i="109"/>
  <c r="AJ154" i="109"/>
  <c r="K132" i="110"/>
  <c r="AF168" i="109"/>
  <c r="AF184" i="109"/>
  <c r="AF155" i="109"/>
  <c r="AE198" i="109"/>
  <c r="AE228" i="109"/>
  <c r="H32" i="96"/>
  <c r="H34" i="96" s="1"/>
  <c r="I64" i="115"/>
  <c r="I65" i="118"/>
  <c r="H185" i="109"/>
  <c r="H114" i="109"/>
  <c r="H128" i="109" s="1"/>
  <c r="H129" i="109" s="1"/>
  <c r="G23" i="96"/>
  <c r="G109" i="96" s="1"/>
  <c r="Q63" i="115"/>
  <c r="W10" i="97"/>
  <c r="AC76" i="110"/>
  <c r="I52" i="110"/>
  <c r="R114" i="109"/>
  <c r="R128" i="109" s="1"/>
  <c r="R129" i="109" s="1"/>
  <c r="AE26" i="110" s="1"/>
  <c r="R185" i="109"/>
  <c r="AS101" i="109"/>
  <c r="AS30" i="109"/>
  <c r="AS31" i="109" s="1"/>
  <c r="AD228" i="109"/>
  <c r="AD198" i="109"/>
  <c r="H51" i="110"/>
  <c r="AB60" i="110"/>
  <c r="S12" i="98"/>
  <c r="T96" i="97"/>
  <c r="I15" i="97" s="1"/>
  <c r="F51" i="110"/>
  <c r="Z60" i="110"/>
  <c r="I114" i="109"/>
  <c r="I128" i="109" s="1"/>
  <c r="I129" i="109" s="1"/>
  <c r="I185" i="109"/>
  <c r="AA185" i="109"/>
  <c r="AA114" i="109"/>
  <c r="AA128" i="109" s="1"/>
  <c r="AA129" i="109" s="1"/>
  <c r="AE42" i="110" s="1"/>
  <c r="K50" i="110" s="1"/>
  <c r="H52" i="110"/>
  <c r="AB76" i="110"/>
  <c r="E51" i="110"/>
  <c r="Y60" i="110"/>
  <c r="E185" i="109"/>
  <c r="E114" i="109"/>
  <c r="E128" i="109" s="1"/>
  <c r="E129" i="109" s="1"/>
  <c r="AA76" i="110"/>
  <c r="G52" i="110"/>
  <c r="Z185" i="109"/>
  <c r="Z114" i="109"/>
  <c r="Z128" i="109" s="1"/>
  <c r="Z129" i="109" s="1"/>
  <c r="AD42" i="110" s="1"/>
  <c r="AF241" i="109"/>
  <c r="Q73" i="110" s="1"/>
  <c r="AF271" i="109"/>
  <c r="AM230" i="109"/>
  <c r="AM200" i="109"/>
  <c r="L185" i="109"/>
  <c r="L114" i="109"/>
  <c r="L128" i="109" s="1"/>
  <c r="L129" i="109" s="1"/>
  <c r="Y26" i="110" s="1"/>
  <c r="Y21" i="109"/>
  <c r="U21" i="109"/>
  <c r="AA21" i="109"/>
  <c r="W21" i="109"/>
  <c r="V21" i="109"/>
  <c r="AE39" i="110"/>
  <c r="AE40" i="110" s="1"/>
  <c r="Z21" i="109"/>
  <c r="X21" i="109"/>
  <c r="L55" i="32"/>
  <c r="L56" i="32" s="1"/>
  <c r="L59" i="32" s="1"/>
  <c r="N185" i="109"/>
  <c r="N114" i="109"/>
  <c r="N128" i="109" s="1"/>
  <c r="N129" i="109" s="1"/>
  <c r="AA26" i="110" s="1"/>
  <c r="G21" i="109"/>
  <c r="G101" i="109" s="1"/>
  <c r="C21" i="109"/>
  <c r="C101" i="109" s="1"/>
  <c r="I21" i="109"/>
  <c r="E21" i="109"/>
  <c r="E101" i="109" s="1"/>
  <c r="K122" i="110"/>
  <c r="K123" i="110" s="1"/>
  <c r="D21" i="109"/>
  <c r="D101" i="109" s="1"/>
  <c r="H21" i="109"/>
  <c r="F21" i="109"/>
  <c r="F101" i="109" s="1"/>
  <c r="AE7" i="110"/>
  <c r="AE8" i="110" s="1"/>
  <c r="AG198" i="109"/>
  <c r="AG228" i="109"/>
  <c r="AR200" i="109"/>
  <c r="AR230" i="109"/>
  <c r="AS230" i="109"/>
  <c r="AS200" i="109"/>
  <c r="AD60" i="110"/>
  <c r="D185" i="109"/>
  <c r="D114" i="109"/>
  <c r="D128" i="109" s="1"/>
  <c r="D129" i="109" s="1"/>
  <c r="Y185" i="109"/>
  <c r="Y114" i="109"/>
  <c r="Y128" i="109" s="1"/>
  <c r="Y129" i="109" s="1"/>
  <c r="AC42" i="110" s="1"/>
  <c r="N88" i="104"/>
  <c r="N90" i="104" s="1"/>
  <c r="N6" i="104" s="1"/>
  <c r="N9" i="104" s="1"/>
  <c r="Y49" i="97"/>
  <c r="Y50" i="97" s="1"/>
  <c r="L61" i="102"/>
  <c r="W8" i="102" s="1"/>
  <c r="U82" i="96" s="1"/>
  <c r="L65" i="102"/>
  <c r="L75" i="102" s="1"/>
  <c r="L89" i="102" s="1"/>
  <c r="J51" i="96"/>
  <c r="J66" i="96" s="1"/>
  <c r="AQ230" i="109"/>
  <c r="AQ200" i="109"/>
  <c r="AR101" i="109"/>
  <c r="AR30" i="109"/>
  <c r="AR31" i="109" s="1"/>
  <c r="AM101" i="109"/>
  <c r="AM30" i="109"/>
  <c r="AM31" i="109" s="1"/>
  <c r="C114" i="109"/>
  <c r="C128" i="109" s="1"/>
  <c r="C129" i="109" s="1"/>
  <c r="C185" i="109"/>
  <c r="I14" i="97"/>
  <c r="I25" i="97"/>
  <c r="J101" i="102"/>
  <c r="J102" i="102" s="1"/>
  <c r="H69" i="96" s="1"/>
  <c r="I51" i="110"/>
  <c r="AC60" i="110"/>
  <c r="W50" i="97"/>
  <c r="L12" i="97" s="1"/>
  <c r="M185" i="109"/>
  <c r="M114" i="109"/>
  <c r="M128" i="109" s="1"/>
  <c r="M129" i="109" s="1"/>
  <c r="Z26" i="110" s="1"/>
  <c r="AP200" i="109"/>
  <c r="AP230" i="109"/>
  <c r="W114" i="109"/>
  <c r="W128" i="109" s="1"/>
  <c r="W129" i="109" s="1"/>
  <c r="AA42" i="110" s="1"/>
  <c r="W185" i="109"/>
  <c r="Q185" i="109"/>
  <c r="Q114" i="109"/>
  <c r="Q128" i="109" s="1"/>
  <c r="Q129" i="109" s="1"/>
  <c r="AD26" i="110" s="1"/>
  <c r="AG241" i="109"/>
  <c r="R73" i="110" s="1"/>
  <c r="AG271" i="109"/>
  <c r="G31" i="98"/>
  <c r="G33" i="98" s="1"/>
  <c r="G36" i="98" s="1"/>
  <c r="R15" i="98"/>
  <c r="AD271" i="109"/>
  <c r="AD241" i="109"/>
  <c r="AE168" i="109"/>
  <c r="AE184" i="109"/>
  <c r="AE155" i="109"/>
  <c r="V185" i="109"/>
  <c r="V114" i="109"/>
  <c r="V128" i="109" s="1"/>
  <c r="V129" i="109" s="1"/>
  <c r="Z42" i="110" s="1"/>
  <c r="AP101" i="109"/>
  <c r="AP30" i="109"/>
  <c r="AP31" i="109" s="1"/>
  <c r="U185" i="109"/>
  <c r="U114" i="109"/>
  <c r="U128" i="109" s="1"/>
  <c r="U129" i="109" s="1"/>
  <c r="Y42" i="110" s="1"/>
  <c r="Y100" i="110" s="1"/>
  <c r="Y102" i="110" s="1"/>
  <c r="Y104" i="110" s="1"/>
  <c r="AN200" i="109"/>
  <c r="AN230" i="109"/>
  <c r="J66" i="32"/>
  <c r="J6" i="97" s="1"/>
  <c r="AH21" i="109"/>
  <c r="AD21" i="109"/>
  <c r="AJ21" i="109"/>
  <c r="AF21" i="109"/>
  <c r="AE55" i="110"/>
  <c r="AE56" i="110" s="1"/>
  <c r="AE21" i="109"/>
  <c r="AG21" i="109"/>
  <c r="AI21" i="109"/>
  <c r="AD76" i="110"/>
  <c r="J52" i="110"/>
  <c r="AI184" i="109"/>
  <c r="AI155" i="109"/>
  <c r="AI168" i="109"/>
  <c r="P93" i="97"/>
  <c r="P77" i="97"/>
  <c r="AO230" i="109"/>
  <c r="AO200" i="109"/>
  <c r="E52" i="110"/>
  <c r="Y76" i="110"/>
  <c r="H78" i="97"/>
  <c r="H80" i="97" s="1"/>
  <c r="P21" i="109"/>
  <c r="P101" i="109" s="1"/>
  <c r="L21" i="109"/>
  <c r="L101" i="109" s="1"/>
  <c r="R21" i="109"/>
  <c r="N21" i="109"/>
  <c r="N101" i="109" s="1"/>
  <c r="M21" i="109"/>
  <c r="M101" i="109" s="1"/>
  <c r="AE23" i="110"/>
  <c r="AE24" i="110" s="1"/>
  <c r="O21" i="109"/>
  <c r="O101" i="109" s="1"/>
  <c r="Q21" i="109"/>
  <c r="AI241" i="109"/>
  <c r="T73" i="110" s="1"/>
  <c r="AI271" i="109"/>
  <c r="K52" i="110"/>
  <c r="AE76" i="110"/>
  <c r="AF228" i="109"/>
  <c r="AF198" i="109"/>
  <c r="AJ241" i="109"/>
  <c r="U73" i="110" s="1"/>
  <c r="AJ271" i="109"/>
  <c r="O185" i="109"/>
  <c r="O114" i="109"/>
  <c r="O128" i="109" s="1"/>
  <c r="O129" i="109" s="1"/>
  <c r="AB26" i="110" s="1"/>
  <c r="AN30" i="109"/>
  <c r="AN31" i="109" s="1"/>
  <c r="AN101" i="109"/>
  <c r="AQ30" i="109"/>
  <c r="AQ31" i="109" s="1"/>
  <c r="AQ101" i="109"/>
  <c r="AD184" i="109"/>
  <c r="AD168" i="109"/>
  <c r="AD155" i="109"/>
  <c r="G51" i="110"/>
  <c r="AA60" i="110"/>
  <c r="Z76" i="110"/>
  <c r="F52" i="110"/>
  <c r="I32" i="102"/>
  <c r="F185" i="109"/>
  <c r="F114" i="109"/>
  <c r="F128" i="109" s="1"/>
  <c r="F129" i="109" s="1"/>
  <c r="X185" i="109"/>
  <c r="X114" i="109"/>
  <c r="X128" i="109" s="1"/>
  <c r="X129" i="109" s="1"/>
  <c r="AB42" i="110" s="1"/>
  <c r="W33" i="107" l="1"/>
  <c r="Z33" i="107"/>
  <c r="Y33" i="107" s="1"/>
  <c r="AA33" i="107"/>
  <c r="AB33" i="107" s="1"/>
  <c r="J45" i="110"/>
  <c r="J32" i="96"/>
  <c r="J34" i="96" s="1"/>
  <c r="J68" i="32"/>
  <c r="J11" i="32" s="1"/>
  <c r="V13" i="97"/>
  <c r="J9" i="98" s="1"/>
  <c r="AD185" i="109"/>
  <c r="AD169" i="109"/>
  <c r="AD156" i="109"/>
  <c r="N115" i="109"/>
  <c r="N186" i="109"/>
  <c r="N201" i="109" s="1"/>
  <c r="H12" i="98"/>
  <c r="AO274" i="109"/>
  <c r="AO244" i="109"/>
  <c r="AF101" i="109"/>
  <c r="AF115" i="109" s="1"/>
  <c r="AF30" i="109"/>
  <c r="AF31" i="109" s="1"/>
  <c r="AE169" i="109"/>
  <c r="AE185" i="109"/>
  <c r="AE156" i="109"/>
  <c r="G50" i="110"/>
  <c r="AA44" i="110"/>
  <c r="AP274" i="109"/>
  <c r="AP244" i="109"/>
  <c r="F186" i="109"/>
  <c r="F201" i="109" s="1"/>
  <c r="F115" i="109"/>
  <c r="AA90" i="110"/>
  <c r="AA91" i="110" s="1"/>
  <c r="G49" i="110"/>
  <c r="AA28" i="110"/>
  <c r="Z101" i="109"/>
  <c r="Z30" i="109"/>
  <c r="Z31" i="109" s="1"/>
  <c r="AA101" i="109"/>
  <c r="AA30" i="109"/>
  <c r="AA31" i="109" s="1"/>
  <c r="K66" i="32"/>
  <c r="K6" i="97" s="1"/>
  <c r="G230" i="109"/>
  <c r="G200" i="109"/>
  <c r="F200" i="109"/>
  <c r="F230" i="109"/>
  <c r="AN186" i="109"/>
  <c r="AN115" i="109"/>
  <c r="R101" i="109"/>
  <c r="R30" i="109"/>
  <c r="R31" i="109" s="1"/>
  <c r="AI229" i="109"/>
  <c r="AI199" i="109"/>
  <c r="AJ101" i="109"/>
  <c r="AJ115" i="109" s="1"/>
  <c r="AJ30" i="109"/>
  <c r="AJ31" i="109" s="1"/>
  <c r="AP186" i="109"/>
  <c r="AP115" i="109"/>
  <c r="J49" i="110"/>
  <c r="AD90" i="110"/>
  <c r="AD91" i="110" s="1"/>
  <c r="AD28" i="110"/>
  <c r="AQ274" i="109"/>
  <c r="AQ244" i="109"/>
  <c r="AS274" i="109"/>
  <c r="AS244" i="109"/>
  <c r="H101" i="109"/>
  <c r="H30" i="109"/>
  <c r="H31" i="109" s="1"/>
  <c r="AE44" i="110"/>
  <c r="K16" i="110"/>
  <c r="L230" i="109"/>
  <c r="L200" i="109"/>
  <c r="AM274" i="109"/>
  <c r="AM244" i="109"/>
  <c r="Z375" i="109"/>
  <c r="Z376" i="109" s="1"/>
  <c r="AF169" i="109"/>
  <c r="AF185" i="109"/>
  <c r="AF156" i="109"/>
  <c r="AH185" i="109"/>
  <c r="AH169" i="109"/>
  <c r="AH156" i="109"/>
  <c r="AD229" i="109"/>
  <c r="AD199" i="109"/>
  <c r="J22" i="96"/>
  <c r="J23" i="96" s="1"/>
  <c r="K15" i="110"/>
  <c r="AE28" i="110"/>
  <c r="L186" i="109"/>
  <c r="L201" i="109" s="1"/>
  <c r="L115" i="109"/>
  <c r="AE30" i="109"/>
  <c r="AE31" i="109" s="1"/>
  <c r="AE101" i="109"/>
  <c r="AE115" i="109" s="1"/>
  <c r="AD101" i="109"/>
  <c r="AD115" i="109" s="1"/>
  <c r="AD30" i="109"/>
  <c r="AD31" i="109" s="1"/>
  <c r="U230" i="109"/>
  <c r="U200" i="109"/>
  <c r="F50" i="110"/>
  <c r="Z44" i="110"/>
  <c r="Q200" i="109"/>
  <c r="Q230" i="109"/>
  <c r="F49" i="110"/>
  <c r="F53" i="110" s="1"/>
  <c r="F55" i="110" s="1"/>
  <c r="E15" i="96" s="1"/>
  <c r="Z90" i="110"/>
  <c r="Z91" i="110" s="1"/>
  <c r="Z28" i="110"/>
  <c r="H68" i="96"/>
  <c r="H71" i="96" s="1"/>
  <c r="U6" i="102"/>
  <c r="I24" i="97"/>
  <c r="I28" i="97" s="1"/>
  <c r="I16" i="97"/>
  <c r="AM115" i="109"/>
  <c r="AM186" i="109"/>
  <c r="K4" i="118"/>
  <c r="I32" i="96"/>
  <c r="I34" i="96" s="1"/>
  <c r="D200" i="109"/>
  <c r="D230" i="109"/>
  <c r="D186" i="109"/>
  <c r="D201" i="109" s="1"/>
  <c r="D115" i="109"/>
  <c r="C186" i="109"/>
  <c r="C201" i="109" s="1"/>
  <c r="C115" i="109"/>
  <c r="L61" i="32"/>
  <c r="L62" i="32" s="1"/>
  <c r="L64" i="32" s="1"/>
  <c r="V101" i="109"/>
  <c r="V30" i="109"/>
  <c r="V31" i="109" s="1"/>
  <c r="Y30" i="109"/>
  <c r="Y31" i="109" s="1"/>
  <c r="Y101" i="109"/>
  <c r="I230" i="109"/>
  <c r="I200" i="109"/>
  <c r="AE90" i="110"/>
  <c r="K49" i="110"/>
  <c r="K53" i="110" s="1"/>
  <c r="X10" i="97"/>
  <c r="X13" i="97" s="1"/>
  <c r="L9" i="98" s="1"/>
  <c r="W13" i="97"/>
  <c r="K9" i="98" s="1"/>
  <c r="H22" i="96"/>
  <c r="AF229" i="109"/>
  <c r="AF199" i="109"/>
  <c r="AJ184" i="109"/>
  <c r="AJ155" i="109"/>
  <c r="AJ168" i="109"/>
  <c r="AC90" i="110"/>
  <c r="AC91" i="110" s="1"/>
  <c r="I49" i="110"/>
  <c r="AC28" i="110"/>
  <c r="AO186" i="109"/>
  <c r="AO115" i="109"/>
  <c r="AG199" i="109"/>
  <c r="AG229" i="109"/>
  <c r="O200" i="109"/>
  <c r="O230" i="109"/>
  <c r="Q101" i="109"/>
  <c r="Q30" i="109"/>
  <c r="Q31" i="109" s="1"/>
  <c r="AI169" i="109"/>
  <c r="AI185" i="109"/>
  <c r="AI156" i="109"/>
  <c r="AI101" i="109"/>
  <c r="AI115" i="109" s="1"/>
  <c r="AI30" i="109"/>
  <c r="AI31" i="109" s="1"/>
  <c r="H43" i="96"/>
  <c r="C230" i="109"/>
  <c r="C200" i="109"/>
  <c r="AR186" i="109"/>
  <c r="AR115" i="109"/>
  <c r="Y230" i="109"/>
  <c r="Y200" i="109"/>
  <c r="E186" i="109"/>
  <c r="E201" i="109" s="1"/>
  <c r="E115" i="109"/>
  <c r="Y90" i="110"/>
  <c r="Y91" i="110" s="1"/>
  <c r="E49" i="110"/>
  <c r="Y28" i="110"/>
  <c r="J50" i="110"/>
  <c r="AD44" i="110"/>
  <c r="AS115" i="109"/>
  <c r="AS186" i="109"/>
  <c r="I67" i="118"/>
  <c r="J4" i="118"/>
  <c r="AG185" i="109"/>
  <c r="AG169" i="109"/>
  <c r="AG156" i="109"/>
  <c r="AI242" i="109"/>
  <c r="T74" i="110" s="1"/>
  <c r="AI272" i="109"/>
  <c r="O186" i="109"/>
  <c r="O201" i="109" s="1"/>
  <c r="O115" i="109"/>
  <c r="X93" i="97"/>
  <c r="X94" i="97" s="1"/>
  <c r="M7" i="97" s="1"/>
  <c r="V85" i="97"/>
  <c r="V86" i="97" s="1"/>
  <c r="V93" i="97"/>
  <c r="V94" i="97" s="1"/>
  <c r="K7" i="97" s="1"/>
  <c r="X85" i="97"/>
  <c r="X86" i="97" s="1"/>
  <c r="W93" i="97"/>
  <c r="W94" i="97" s="1"/>
  <c r="L7" i="97" s="1"/>
  <c r="W85" i="97"/>
  <c r="W86" i="97" s="1"/>
  <c r="U93" i="97"/>
  <c r="U94" i="97" s="1"/>
  <c r="J7" i="97" s="1"/>
  <c r="U85" i="97"/>
  <c r="U86" i="97" s="1"/>
  <c r="AG101" i="109"/>
  <c r="AG115" i="109" s="1"/>
  <c r="AG30" i="109"/>
  <c r="AG31" i="109" s="1"/>
  <c r="E50" i="110"/>
  <c r="Y44" i="110"/>
  <c r="AE199" i="109"/>
  <c r="AE229" i="109"/>
  <c r="H52" i="97"/>
  <c r="I82" i="96"/>
  <c r="AG272" i="109"/>
  <c r="AG242" i="109"/>
  <c r="R74" i="110" s="1"/>
  <c r="I101" i="109"/>
  <c r="I30" i="109"/>
  <c r="I31" i="109" s="1"/>
  <c r="N230" i="109"/>
  <c r="N200" i="109"/>
  <c r="U101" i="109"/>
  <c r="U30" i="109"/>
  <c r="Z200" i="109"/>
  <c r="Z230" i="109"/>
  <c r="E230" i="109"/>
  <c r="E200" i="109"/>
  <c r="AA230" i="109"/>
  <c r="AA200" i="109"/>
  <c r="AD272" i="109"/>
  <c r="AD242" i="109"/>
  <c r="R230" i="109"/>
  <c r="R200" i="109"/>
  <c r="AH242" i="109"/>
  <c r="S74" i="110" s="1"/>
  <c r="AH272" i="109"/>
  <c r="H50" i="110"/>
  <c r="AB44" i="110"/>
  <c r="H83" i="97"/>
  <c r="H85" i="97" s="1"/>
  <c r="G82" i="97"/>
  <c r="G86" i="97" s="1"/>
  <c r="G20" i="97" s="1"/>
  <c r="X200" i="109"/>
  <c r="X230" i="109"/>
  <c r="AQ115" i="109"/>
  <c r="AQ186" i="109"/>
  <c r="H49" i="110"/>
  <c r="AB90" i="110"/>
  <c r="AB91" i="110" s="1"/>
  <c r="AB28" i="110"/>
  <c r="AF272" i="109"/>
  <c r="AF242" i="109"/>
  <c r="Q74" i="110" s="1"/>
  <c r="M186" i="109"/>
  <c r="M201" i="109" s="1"/>
  <c r="M115" i="109"/>
  <c r="P186" i="109"/>
  <c r="P201" i="109" s="1"/>
  <c r="P115" i="109"/>
  <c r="AE60" i="110"/>
  <c r="K17" i="110"/>
  <c r="AH30" i="109"/>
  <c r="AH31" i="109" s="1"/>
  <c r="AH101" i="109"/>
  <c r="AH115" i="109" s="1"/>
  <c r="AN274" i="109"/>
  <c r="AN244" i="109"/>
  <c r="V200" i="109"/>
  <c r="V230" i="109"/>
  <c r="G280" i="84"/>
  <c r="O73" i="110"/>
  <c r="W230" i="109"/>
  <c r="W200" i="109"/>
  <c r="M200" i="109"/>
  <c r="M230" i="109"/>
  <c r="J103" i="102"/>
  <c r="I50" i="110"/>
  <c r="AC44" i="110"/>
  <c r="AR274" i="109"/>
  <c r="AR244" i="109"/>
  <c r="AE89" i="110"/>
  <c r="K14" i="110"/>
  <c r="AE12" i="110"/>
  <c r="G186" i="109"/>
  <c r="G201" i="109" s="1"/>
  <c r="G115" i="109"/>
  <c r="X101" i="109"/>
  <c r="X30" i="109"/>
  <c r="X31" i="109" s="1"/>
  <c r="W101" i="109"/>
  <c r="W30" i="109"/>
  <c r="W31" i="109" s="1"/>
  <c r="H200" i="109"/>
  <c r="H230" i="109"/>
  <c r="AE272" i="109"/>
  <c r="AE242" i="109"/>
  <c r="P74" i="110" s="1"/>
  <c r="P230" i="109"/>
  <c r="P200" i="109"/>
  <c r="AJ242" i="109"/>
  <c r="U74" i="110" s="1"/>
  <c r="AJ272" i="109"/>
  <c r="AH229" i="109"/>
  <c r="AH199" i="109"/>
  <c r="AA34" i="107" l="1"/>
  <c r="AB34" i="107" s="1"/>
  <c r="Z34" i="107"/>
  <c r="Y34" i="107"/>
  <c r="W34" i="107"/>
  <c r="J5" i="97"/>
  <c r="J8" i="97" s="1"/>
  <c r="I53" i="110"/>
  <c r="I55" i="110" s="1"/>
  <c r="H15" i="96" s="1"/>
  <c r="S97" i="110" s="1"/>
  <c r="T84" i="110" s="1"/>
  <c r="L202" i="109"/>
  <c r="Y32" i="110" s="1"/>
  <c r="K19" i="110"/>
  <c r="J35" i="96" s="1"/>
  <c r="P202" i="109"/>
  <c r="AC32" i="110" s="1"/>
  <c r="D202" i="109"/>
  <c r="Z16" i="110" s="1"/>
  <c r="F202" i="109"/>
  <c r="AB16" i="110" s="1"/>
  <c r="E53" i="110"/>
  <c r="E55" i="110" s="1"/>
  <c r="D15" i="96" s="1"/>
  <c r="O97" i="110" s="1"/>
  <c r="P84" i="110" s="1"/>
  <c r="L66" i="32"/>
  <c r="L6" i="97" s="1"/>
  <c r="AH273" i="109"/>
  <c r="AH243" i="109"/>
  <c r="S75" i="110" s="1"/>
  <c r="P274" i="109"/>
  <c r="P276" i="109" s="1"/>
  <c r="P244" i="109"/>
  <c r="P246" i="109" s="1"/>
  <c r="X186" i="109"/>
  <c r="X115" i="109"/>
  <c r="W274" i="109"/>
  <c r="W276" i="109" s="1"/>
  <c r="W244" i="109"/>
  <c r="F37" i="98"/>
  <c r="G22" i="97"/>
  <c r="G44" i="97" s="1"/>
  <c r="G48" i="97" s="1"/>
  <c r="AA375" i="109"/>
  <c r="AA376" i="109" s="1"/>
  <c r="U31" i="109"/>
  <c r="U12" i="98"/>
  <c r="V96" i="97"/>
  <c r="K15" i="97" s="1"/>
  <c r="AS231" i="109"/>
  <c r="AS201" i="109"/>
  <c r="AS202" i="109" s="1"/>
  <c r="AE80" i="110" s="1"/>
  <c r="AI170" i="109"/>
  <c r="AI171" i="109" s="1"/>
  <c r="J30" i="110" s="1"/>
  <c r="AI186" i="109"/>
  <c r="Q186" i="109"/>
  <c r="Q201" i="109" s="1"/>
  <c r="Q202" i="109" s="1"/>
  <c r="AD32" i="110" s="1"/>
  <c r="Q115" i="109"/>
  <c r="AJ229" i="109"/>
  <c r="AJ199" i="109"/>
  <c r="H29" i="98"/>
  <c r="I18" i="97"/>
  <c r="AH230" i="109"/>
  <c r="AH200" i="109"/>
  <c r="L274" i="109"/>
  <c r="L276" i="109" s="1"/>
  <c r="L244" i="109"/>
  <c r="L246" i="109" s="1"/>
  <c r="Y33" i="110" s="1"/>
  <c r="AD170" i="109"/>
  <c r="AD171" i="109" s="1"/>
  <c r="E30" i="110" s="1"/>
  <c r="AD186" i="109"/>
  <c r="AE91" i="110"/>
  <c r="M274" i="109"/>
  <c r="M276" i="109" s="1"/>
  <c r="M244" i="109"/>
  <c r="M246" i="109" s="1"/>
  <c r="U186" i="109"/>
  <c r="U115" i="109"/>
  <c r="L25" i="97"/>
  <c r="L14" i="97"/>
  <c r="AI200" i="109"/>
  <c r="AI230" i="109"/>
  <c r="O274" i="109"/>
  <c r="O276" i="109" s="1"/>
  <c r="O244" i="109"/>
  <c r="O246" i="109" s="1"/>
  <c r="D274" i="109"/>
  <c r="D276" i="109" s="1"/>
  <c r="D244" i="109"/>
  <c r="U274" i="109"/>
  <c r="U276" i="109" s="1"/>
  <c r="U244" i="109"/>
  <c r="AD273" i="109"/>
  <c r="AD243" i="109"/>
  <c r="O75" i="110" s="1"/>
  <c r="AI243" i="109"/>
  <c r="T75" i="110" s="1"/>
  <c r="AI273" i="109"/>
  <c r="AE170" i="109"/>
  <c r="AE171" i="109" s="1"/>
  <c r="F30" i="110" s="1"/>
  <c r="AE186" i="109"/>
  <c r="G202" i="109"/>
  <c r="AC16" i="110" s="1"/>
  <c r="X274" i="109"/>
  <c r="X276" i="109" s="1"/>
  <c r="X244" i="109"/>
  <c r="T12" i="98"/>
  <c r="U96" i="97"/>
  <c r="J15" i="97" s="1"/>
  <c r="H274" i="109"/>
  <c r="H276" i="109" s="1"/>
  <c r="H244" i="109"/>
  <c r="K98" i="102"/>
  <c r="K99" i="102" s="1"/>
  <c r="J29" i="102"/>
  <c r="J31" i="102" s="1"/>
  <c r="V244" i="109"/>
  <c r="V274" i="109"/>
  <c r="V276" i="109" s="1"/>
  <c r="H53" i="110"/>
  <c r="H55" i="110" s="1"/>
  <c r="G15" i="96" s="1"/>
  <c r="R274" i="109"/>
  <c r="R276" i="109" s="1"/>
  <c r="R244" i="109"/>
  <c r="R246" i="109" s="1"/>
  <c r="AE33" i="110" s="1"/>
  <c r="AA274" i="109"/>
  <c r="AA276" i="109" s="1"/>
  <c r="AA244" i="109"/>
  <c r="N274" i="109"/>
  <c r="N276" i="109" s="1"/>
  <c r="N244" i="109"/>
  <c r="N246" i="109" s="1"/>
  <c r="J25" i="97"/>
  <c r="J14" i="97"/>
  <c r="K25" i="97"/>
  <c r="K14" i="97"/>
  <c r="O202" i="109"/>
  <c r="AB32" i="110" s="1"/>
  <c r="AG186" i="109"/>
  <c r="AG170" i="109"/>
  <c r="AG171" i="109" s="1"/>
  <c r="H30" i="110" s="1"/>
  <c r="AG273" i="109"/>
  <c r="AG243" i="109"/>
  <c r="R75" i="110" s="1"/>
  <c r="AJ185" i="109"/>
  <c r="AJ169" i="109"/>
  <c r="AJ156" i="109"/>
  <c r="H23" i="96"/>
  <c r="H109" i="96" s="1"/>
  <c r="R63" i="115"/>
  <c r="Y186" i="109"/>
  <c r="Y115" i="109"/>
  <c r="I22" i="96"/>
  <c r="I23" i="96" s="1"/>
  <c r="I109" i="96" s="1"/>
  <c r="Q274" i="109"/>
  <c r="Q276" i="109" s="1"/>
  <c r="Q244" i="109"/>
  <c r="Q246" i="109" s="1"/>
  <c r="J53" i="110"/>
  <c r="J55" i="110" s="1"/>
  <c r="I15" i="96" s="1"/>
  <c r="R186" i="109"/>
  <c r="R201" i="109" s="1"/>
  <c r="R202" i="109" s="1"/>
  <c r="AE32" i="110" s="1"/>
  <c r="R115" i="109"/>
  <c r="K68" i="32"/>
  <c r="Z186" i="109"/>
  <c r="Z115" i="109"/>
  <c r="AQ231" i="109"/>
  <c r="AQ201" i="109"/>
  <c r="AQ202" i="109" s="1"/>
  <c r="AC80" i="110" s="1"/>
  <c r="H280" i="84"/>
  <c r="O74" i="110"/>
  <c r="AE273" i="109"/>
  <c r="AE243" i="109"/>
  <c r="P75" i="110" s="1"/>
  <c r="V12" i="98"/>
  <c r="W96" i="97"/>
  <c r="L15" i="97" s="1"/>
  <c r="E202" i="109"/>
  <c r="AA16" i="110" s="1"/>
  <c r="AR201" i="109"/>
  <c r="AR202" i="109" s="1"/>
  <c r="AD80" i="110" s="1"/>
  <c r="AR231" i="109"/>
  <c r="J12" i="32"/>
  <c r="J13" i="32" s="1"/>
  <c r="H186" i="109"/>
  <c r="H201" i="109" s="1"/>
  <c r="H202" i="109" s="1"/>
  <c r="AD16" i="110" s="1"/>
  <c r="H115" i="109"/>
  <c r="E274" i="109"/>
  <c r="E276" i="109" s="1"/>
  <c r="E244" i="109"/>
  <c r="I115" i="109"/>
  <c r="I186" i="109"/>
  <c r="I201" i="109" s="1"/>
  <c r="I202" i="109" s="1"/>
  <c r="AE16" i="110" s="1"/>
  <c r="M14" i="97"/>
  <c r="M8" i="97"/>
  <c r="M25" i="97"/>
  <c r="AG200" i="109"/>
  <c r="AG230" i="109"/>
  <c r="AF186" i="109"/>
  <c r="AF170" i="109"/>
  <c r="AF171" i="109" s="1"/>
  <c r="G30" i="110" s="1"/>
  <c r="AP201" i="109"/>
  <c r="AP202" i="109" s="1"/>
  <c r="AB80" i="110" s="1"/>
  <c r="AP231" i="109"/>
  <c r="AN201" i="109"/>
  <c r="AN202" i="109" s="1"/>
  <c r="Z80" i="110" s="1"/>
  <c r="AN231" i="109"/>
  <c r="G274" i="109"/>
  <c r="G276" i="109" s="1"/>
  <c r="G244" i="109"/>
  <c r="AA186" i="109"/>
  <c r="AA115" i="109"/>
  <c r="G53" i="110"/>
  <c r="G55" i="110" s="1"/>
  <c r="F15" i="96" s="1"/>
  <c r="H13" i="98"/>
  <c r="I51" i="97"/>
  <c r="W115" i="109"/>
  <c r="W186" i="109"/>
  <c r="M202" i="109"/>
  <c r="Z32" i="110" s="1"/>
  <c r="Z274" i="109"/>
  <c r="Z276" i="109" s="1"/>
  <c r="Z244" i="109"/>
  <c r="W12" i="98"/>
  <c r="X96" i="97"/>
  <c r="M15" i="97" s="1"/>
  <c r="Y274" i="109"/>
  <c r="Y276" i="109" s="1"/>
  <c r="Y244" i="109"/>
  <c r="C274" i="109"/>
  <c r="C276" i="109" s="1"/>
  <c r="C244" i="109"/>
  <c r="AO231" i="109"/>
  <c r="AO201" i="109"/>
  <c r="AO202" i="109" s="1"/>
  <c r="AA80" i="110" s="1"/>
  <c r="AF273" i="109"/>
  <c r="AF243" i="109"/>
  <c r="Q75" i="110" s="1"/>
  <c r="I274" i="109"/>
  <c r="I276" i="109" s="1"/>
  <c r="I244" i="109"/>
  <c r="V186" i="109"/>
  <c r="V115" i="109"/>
  <c r="C202" i="109"/>
  <c r="Y16" i="110" s="1"/>
  <c r="AM231" i="109"/>
  <c r="AM201" i="109"/>
  <c r="AM202" i="109" s="1"/>
  <c r="Y80" i="110" s="1"/>
  <c r="U9" i="102"/>
  <c r="U31" i="102" s="1"/>
  <c r="S80" i="96"/>
  <c r="S84" i="96" s="1"/>
  <c r="S86" i="96" s="1"/>
  <c r="H11" i="96" s="1"/>
  <c r="H12" i="96" s="1"/>
  <c r="P97" i="110"/>
  <c r="Q84" i="110" s="1"/>
  <c r="D84" i="93"/>
  <c r="AH186" i="109"/>
  <c r="AH170" i="109"/>
  <c r="AH171" i="109" s="1"/>
  <c r="I30" i="110" s="1"/>
  <c r="AF230" i="109"/>
  <c r="AF200" i="109"/>
  <c r="F274" i="109"/>
  <c r="F276" i="109" s="1"/>
  <c r="F244" i="109"/>
  <c r="AE200" i="109"/>
  <c r="AE230" i="109"/>
  <c r="N202" i="109"/>
  <c r="AA32" i="110" s="1"/>
  <c r="AD230" i="109"/>
  <c r="AD200" i="109"/>
  <c r="W35" i="107" l="1"/>
  <c r="W36" i="107" s="1"/>
  <c r="AA35" i="107"/>
  <c r="AB35" i="107" s="1"/>
  <c r="Z35" i="107"/>
  <c r="Y35" i="107"/>
  <c r="G84" i="93"/>
  <c r="C84" i="93"/>
  <c r="K55" i="110"/>
  <c r="J15" i="96" s="1"/>
  <c r="I84" i="93" s="1"/>
  <c r="Y34" i="110"/>
  <c r="Z31" i="110" s="1"/>
  <c r="J109" i="96"/>
  <c r="K45" i="110"/>
  <c r="L68" i="32"/>
  <c r="J43" i="96" s="1"/>
  <c r="AD274" i="109"/>
  <c r="AD276" i="109" s="1"/>
  <c r="AD244" i="109"/>
  <c r="O76" i="110" s="1"/>
  <c r="F246" i="109"/>
  <c r="V201" i="109"/>
  <c r="V202" i="109" s="1"/>
  <c r="Z48" i="110" s="1"/>
  <c r="V231" i="109"/>
  <c r="V245" i="109" s="1"/>
  <c r="G246" i="109"/>
  <c r="AG274" i="109"/>
  <c r="AG276" i="109" s="1"/>
  <c r="AG244" i="109"/>
  <c r="R76" i="110" s="1"/>
  <c r="M24" i="97"/>
  <c r="M28" i="97" s="1"/>
  <c r="M16" i="97"/>
  <c r="L29" i="98" s="1"/>
  <c r="AJ186" i="109"/>
  <c r="AJ170" i="109"/>
  <c r="AJ171" i="109" s="1"/>
  <c r="K30" i="110" s="1"/>
  <c r="H246" i="109"/>
  <c r="J32" i="110"/>
  <c r="J204" i="93"/>
  <c r="J206" i="93" s="1"/>
  <c r="I9" i="93" s="1"/>
  <c r="I13" i="93" s="1"/>
  <c r="Q17" i="98"/>
  <c r="F38" i="98"/>
  <c r="F46" i="98" s="1"/>
  <c r="Q7" i="98" s="1"/>
  <c r="Q8" i="98" s="1"/>
  <c r="AH201" i="109"/>
  <c r="AH202" i="109" s="1"/>
  <c r="AC64" i="110" s="1"/>
  <c r="AH231" i="109"/>
  <c r="AH245" i="109" s="1"/>
  <c r="AM275" i="109"/>
  <c r="AM276" i="109" s="1"/>
  <c r="AM245" i="109"/>
  <c r="AM246" i="109" s="1"/>
  <c r="Y81" i="110" s="1"/>
  <c r="Y82" i="110" s="1"/>
  <c r="I246" i="109"/>
  <c r="AE17" i="110" s="1"/>
  <c r="W231" i="109"/>
  <c r="W245" i="109" s="1"/>
  <c r="W201" i="109"/>
  <c r="W202" i="109" s="1"/>
  <c r="AA48" i="110" s="1"/>
  <c r="Y231" i="109"/>
  <c r="Y245" i="109" s="1"/>
  <c r="Y201" i="109"/>
  <c r="Y202" i="109" s="1"/>
  <c r="AC48" i="110" s="1"/>
  <c r="I25" i="98"/>
  <c r="I27" i="98" s="1"/>
  <c r="AE274" i="109"/>
  <c r="AE276" i="109" s="1"/>
  <c r="AE244" i="109"/>
  <c r="P76" i="110" s="1"/>
  <c r="AF274" i="109"/>
  <c r="AF276" i="109" s="1"/>
  <c r="AF244" i="109"/>
  <c r="Q76" i="110" s="1"/>
  <c r="C246" i="109"/>
  <c r="Y17" i="110" s="1"/>
  <c r="Y18" i="110" s="1"/>
  <c r="AA231" i="109"/>
  <c r="AA245" i="109" s="1"/>
  <c r="AA246" i="109" s="1"/>
  <c r="AE49" i="110" s="1"/>
  <c r="AA201" i="109"/>
  <c r="AA202" i="109" s="1"/>
  <c r="AE48" i="110" s="1"/>
  <c r="AF201" i="109"/>
  <c r="AF202" i="109" s="1"/>
  <c r="AA64" i="110" s="1"/>
  <c r="AF231" i="109"/>
  <c r="AF245" i="109" s="1"/>
  <c r="L25" i="98"/>
  <c r="L27" i="98" s="1"/>
  <c r="E246" i="109"/>
  <c r="AR275" i="109"/>
  <c r="AR276" i="109" s="1"/>
  <c r="AR245" i="109"/>
  <c r="AR246" i="109" s="1"/>
  <c r="AD81" i="110" s="1"/>
  <c r="K11" i="32"/>
  <c r="I43" i="96"/>
  <c r="K5" i="97"/>
  <c r="K8" i="97" s="1"/>
  <c r="AG231" i="109"/>
  <c r="AG245" i="109" s="1"/>
  <c r="AG201" i="109"/>
  <c r="AG202" i="109" s="1"/>
  <c r="AB64" i="110" s="1"/>
  <c r="J24" i="97"/>
  <c r="J28" i="97" s="1"/>
  <c r="J16" i="97"/>
  <c r="I29" i="98" s="1"/>
  <c r="R97" i="110"/>
  <c r="S84" i="110" s="1"/>
  <c r="F84" i="93"/>
  <c r="K101" i="102"/>
  <c r="K102" i="102" s="1"/>
  <c r="I69" i="96" s="1"/>
  <c r="AE231" i="109"/>
  <c r="AE245" i="109" s="1"/>
  <c r="AE201" i="109"/>
  <c r="AE202" i="109" s="1"/>
  <c r="Z64" i="110" s="1"/>
  <c r="D246" i="109"/>
  <c r="AI274" i="109"/>
  <c r="AI276" i="109" s="1"/>
  <c r="AI244" i="109"/>
  <c r="T76" i="110" s="1"/>
  <c r="L24" i="97"/>
  <c r="L28" i="97" s="1"/>
  <c r="L16" i="97"/>
  <c r="K29" i="98" s="1"/>
  <c r="E278" i="84"/>
  <c r="Z33" i="110"/>
  <c r="E204" i="93"/>
  <c r="E206" i="93" s="1"/>
  <c r="D9" i="93" s="1"/>
  <c r="D13" i="93" s="1"/>
  <c r="E32" i="110"/>
  <c r="AH274" i="109"/>
  <c r="AH276" i="109" s="1"/>
  <c r="AH244" i="109"/>
  <c r="S76" i="110" s="1"/>
  <c r="AI231" i="109"/>
  <c r="AI245" i="109" s="1"/>
  <c r="AI201" i="109"/>
  <c r="AI202" i="109" s="1"/>
  <c r="AD64" i="110" s="1"/>
  <c r="I32" i="110"/>
  <c r="I204" i="93"/>
  <c r="I206" i="93" s="1"/>
  <c r="H9" i="93" s="1"/>
  <c r="H13" i="93" s="1"/>
  <c r="AP275" i="109"/>
  <c r="AP276" i="109" s="1"/>
  <c r="AP245" i="109"/>
  <c r="AP246" i="109" s="1"/>
  <c r="AB81" i="110" s="1"/>
  <c r="I278" i="84"/>
  <c r="AD33" i="110"/>
  <c r="F32" i="110"/>
  <c r="F204" i="93"/>
  <c r="F206" i="93" s="1"/>
  <c r="E9" i="93" s="1"/>
  <c r="E13" i="93" s="1"/>
  <c r="I78" i="97"/>
  <c r="I80" i="97" s="1"/>
  <c r="AJ243" i="109"/>
  <c r="U75" i="110" s="1"/>
  <c r="AJ273" i="109"/>
  <c r="X201" i="109"/>
  <c r="X202" i="109" s="1"/>
  <c r="AB48" i="110" s="1"/>
  <c r="X231" i="109"/>
  <c r="X245" i="109" s="1"/>
  <c r="Q97" i="110"/>
  <c r="R84" i="110" s="1"/>
  <c r="E84" i="93"/>
  <c r="AQ275" i="109"/>
  <c r="AQ276" i="109" s="1"/>
  <c r="AQ245" i="109"/>
  <c r="AQ246" i="109" s="1"/>
  <c r="AC81" i="110" s="1"/>
  <c r="K24" i="97"/>
  <c r="K28" i="97" s="1"/>
  <c r="K16" i="97"/>
  <c r="J29" i="98" s="1"/>
  <c r="AA33" i="110"/>
  <c r="F278" i="84"/>
  <c r="AB33" i="110"/>
  <c r="G278" i="84"/>
  <c r="S15" i="98"/>
  <c r="H31" i="98"/>
  <c r="H33" i="98" s="1"/>
  <c r="H36" i="98" s="1"/>
  <c r="AC33" i="110"/>
  <c r="H278" i="84"/>
  <c r="AO245" i="109"/>
  <c r="AO246" i="109" s="1"/>
  <c r="AA81" i="110" s="1"/>
  <c r="AO275" i="109"/>
  <c r="AO276" i="109" s="1"/>
  <c r="AN275" i="109"/>
  <c r="AN276" i="109" s="1"/>
  <c r="AN245" i="109"/>
  <c r="AN246" i="109" s="1"/>
  <c r="Z81" i="110" s="1"/>
  <c r="G32" i="110"/>
  <c r="G204" i="93"/>
  <c r="G206" i="93" s="1"/>
  <c r="F9" i="93" s="1"/>
  <c r="F13" i="93" s="1"/>
  <c r="J82" i="96"/>
  <c r="Z201" i="109"/>
  <c r="Z202" i="109" s="1"/>
  <c r="AD48" i="110" s="1"/>
  <c r="Z231" i="109"/>
  <c r="Z245" i="109" s="1"/>
  <c r="T97" i="110"/>
  <c r="U84" i="110" s="1"/>
  <c r="H84" i="93"/>
  <c r="AJ230" i="109"/>
  <c r="AJ200" i="109"/>
  <c r="H204" i="93"/>
  <c r="H206" i="93" s="1"/>
  <c r="G9" i="93" s="1"/>
  <c r="G13" i="93" s="1"/>
  <c r="H32" i="110"/>
  <c r="J32" i="102"/>
  <c r="U231" i="109"/>
  <c r="U245" i="109" s="1"/>
  <c r="U201" i="109"/>
  <c r="U202" i="109" s="1"/>
  <c r="Y48" i="110" s="1"/>
  <c r="AD231" i="109"/>
  <c r="AD245" i="109" s="1"/>
  <c r="AD201" i="109"/>
  <c r="AD202" i="109" s="1"/>
  <c r="Y64" i="110" s="1"/>
  <c r="AS275" i="109"/>
  <c r="AS276" i="109" s="1"/>
  <c r="AS245" i="109"/>
  <c r="AS246" i="109" s="1"/>
  <c r="AE81" i="110" s="1"/>
  <c r="Z36" i="107" l="1"/>
  <c r="Y36" i="107" s="1"/>
  <c r="AA36" i="107"/>
  <c r="AB36" i="107" s="1"/>
  <c r="E58" i="110"/>
  <c r="U97" i="110"/>
  <c r="L11" i="32"/>
  <c r="M18" i="97"/>
  <c r="M22" i="97" s="1"/>
  <c r="M44" i="97" s="1"/>
  <c r="L5" i="97"/>
  <c r="L8" i="97" s="1"/>
  <c r="L18" i="97" s="1"/>
  <c r="AI246" i="109"/>
  <c r="AD65" i="110" s="1"/>
  <c r="AB85" i="110"/>
  <c r="Z85" i="110"/>
  <c r="T77" i="110"/>
  <c r="T78" i="110" s="1"/>
  <c r="AG246" i="109"/>
  <c r="AB65" i="110" s="1"/>
  <c r="AD85" i="110"/>
  <c r="AA85" i="110"/>
  <c r="AD246" i="109"/>
  <c r="Y65" i="110" s="1"/>
  <c r="Y66" i="110" s="1"/>
  <c r="Z34" i="110"/>
  <c r="F58" i="110" s="1"/>
  <c r="J18" i="97"/>
  <c r="J78" i="97" s="1"/>
  <c r="J80" i="97" s="1"/>
  <c r="AE246" i="109"/>
  <c r="Z65" i="110" s="1"/>
  <c r="AC85" i="110"/>
  <c r="J31" i="98"/>
  <c r="U15" i="98"/>
  <c r="M78" i="97"/>
  <c r="J131" i="110"/>
  <c r="J34" i="110"/>
  <c r="T87" i="110"/>
  <c r="G131" i="110"/>
  <c r="G34" i="110"/>
  <c r="Q87" i="110"/>
  <c r="Y85" i="110"/>
  <c r="E131" i="110"/>
  <c r="O87" i="110"/>
  <c r="E34" i="110"/>
  <c r="L12" i="32"/>
  <c r="L13" i="32" s="1"/>
  <c r="I277" i="84"/>
  <c r="AD17" i="110"/>
  <c r="W15" i="98"/>
  <c r="L31" i="98"/>
  <c r="L33" i="98" s="1"/>
  <c r="L36" i="98" s="1"/>
  <c r="L38" i="98" s="1"/>
  <c r="L46" i="98" s="1"/>
  <c r="AC17" i="110"/>
  <c r="H277" i="84"/>
  <c r="H282" i="84" s="1"/>
  <c r="H284" i="84" s="1"/>
  <c r="H61" i="115" s="1"/>
  <c r="H131" i="110"/>
  <c r="H34" i="110"/>
  <c r="R87" i="110"/>
  <c r="E57" i="110"/>
  <c r="Z15" i="110"/>
  <c r="I52" i="97"/>
  <c r="I131" i="110"/>
  <c r="I34" i="110"/>
  <c r="S87" i="110"/>
  <c r="I68" i="96"/>
  <c r="I71" i="96" s="1"/>
  <c r="V6" i="102"/>
  <c r="I31" i="98"/>
  <c r="I33" i="98" s="1"/>
  <c r="I36" i="98" s="1"/>
  <c r="T15" i="98"/>
  <c r="J25" i="98"/>
  <c r="J27" i="98" s="1"/>
  <c r="K18" i="97"/>
  <c r="AH246" i="109"/>
  <c r="AC65" i="110" s="1"/>
  <c r="K32" i="110"/>
  <c r="K204" i="93"/>
  <c r="K206" i="93" s="1"/>
  <c r="J9" i="93" s="1"/>
  <c r="J13" i="93" s="1"/>
  <c r="P77" i="110"/>
  <c r="P78" i="110" s="1"/>
  <c r="V246" i="109"/>
  <c r="Z49" i="110" s="1"/>
  <c r="O77" i="110"/>
  <c r="O78" i="110" s="1"/>
  <c r="U246" i="109"/>
  <c r="Y49" i="110" s="1"/>
  <c r="Z246" i="109"/>
  <c r="AD49" i="110" s="1"/>
  <c r="F131" i="110"/>
  <c r="P87" i="110"/>
  <c r="F34" i="110"/>
  <c r="Z79" i="110"/>
  <c r="E61" i="110"/>
  <c r="S77" i="110"/>
  <c r="S78" i="110" s="1"/>
  <c r="Y246" i="109"/>
  <c r="AC49" i="110" s="1"/>
  <c r="AJ201" i="109"/>
  <c r="AJ202" i="109" s="1"/>
  <c r="AE64" i="110" s="1"/>
  <c r="AE85" i="110" s="1"/>
  <c r="AJ231" i="109"/>
  <c r="AJ245" i="109" s="1"/>
  <c r="I280" i="84"/>
  <c r="AJ244" i="109"/>
  <c r="U76" i="110" s="1"/>
  <c r="AJ274" i="109"/>
  <c r="AJ276" i="109" s="1"/>
  <c r="R77" i="110"/>
  <c r="R78" i="110" s="1"/>
  <c r="X246" i="109"/>
  <c r="AB49" i="110" s="1"/>
  <c r="V15" i="98"/>
  <c r="V18" i="98" s="1"/>
  <c r="K31" i="98"/>
  <c r="E277" i="84"/>
  <c r="Z17" i="110"/>
  <c r="K12" i="32"/>
  <c r="K13" i="32" s="1"/>
  <c r="L12" i="98"/>
  <c r="AB17" i="110"/>
  <c r="G277" i="84"/>
  <c r="G282" i="84" s="1"/>
  <c r="G284" i="84" s="1"/>
  <c r="G61" i="115" s="1"/>
  <c r="I83" i="97"/>
  <c r="I85" i="97" s="1"/>
  <c r="H82" i="97"/>
  <c r="H86" i="97" s="1"/>
  <c r="H20" i="97" s="1"/>
  <c r="K103" i="102"/>
  <c r="AA17" i="110"/>
  <c r="F277" i="84"/>
  <c r="F282" i="84" s="1"/>
  <c r="F284" i="84" s="1"/>
  <c r="F61" i="115" s="1"/>
  <c r="AF246" i="109"/>
  <c r="AA65" i="110" s="1"/>
  <c r="K25" i="98"/>
  <c r="K27" i="98" s="1"/>
  <c r="I12" i="98"/>
  <c r="Q77" i="110"/>
  <c r="Q78" i="110" s="1"/>
  <c r="W246" i="109"/>
  <c r="AA49" i="110" s="1"/>
  <c r="G53" i="97"/>
  <c r="G55" i="97" s="1"/>
  <c r="G59" i="97" s="1"/>
  <c r="G70" i="97" s="1"/>
  <c r="Q18" i="98"/>
  <c r="Q20" i="98" s="1"/>
  <c r="AA37" i="107" l="1"/>
  <c r="AB37" i="107" s="1"/>
  <c r="Z37" i="107"/>
  <c r="Y37" i="107"/>
  <c r="W37" i="107"/>
  <c r="Z63" i="110"/>
  <c r="Z66" i="110" s="1"/>
  <c r="F60" i="110" s="1"/>
  <c r="E60" i="110"/>
  <c r="Y86" i="110"/>
  <c r="Y87" i="110" s="1"/>
  <c r="Y93" i="110" s="1"/>
  <c r="AB86" i="110"/>
  <c r="R79" i="110" s="1"/>
  <c r="AA86" i="110"/>
  <c r="Q79" i="110" s="1"/>
  <c r="AJ246" i="109"/>
  <c r="AE65" i="110" s="1"/>
  <c r="AE86" i="110" s="1"/>
  <c r="AC86" i="110"/>
  <c r="S79" i="110" s="1"/>
  <c r="AD86" i="110"/>
  <c r="T79" i="110" s="1"/>
  <c r="Y50" i="110"/>
  <c r="Z47" i="110" s="1"/>
  <c r="AA31" i="110"/>
  <c r="AA34" i="110" s="1"/>
  <c r="AB31" i="110" s="1"/>
  <c r="AB34" i="110" s="1"/>
  <c r="Z86" i="110"/>
  <c r="P79" i="110" s="1"/>
  <c r="U77" i="110"/>
  <c r="U78" i="110" s="1"/>
  <c r="J36" i="96" s="1"/>
  <c r="J51" i="97"/>
  <c r="I13" i="98"/>
  <c r="E282" i="84"/>
  <c r="E284" i="84" s="1"/>
  <c r="H52" i="115"/>
  <c r="F185" i="110"/>
  <c r="F134" i="110"/>
  <c r="I82" i="97"/>
  <c r="I86" i="97" s="1"/>
  <c r="I20" i="97" s="1"/>
  <c r="Z82" i="110"/>
  <c r="AA79" i="110" s="1"/>
  <c r="P91" i="110"/>
  <c r="E36" i="96"/>
  <c r="W18" i="98"/>
  <c r="M52" i="97"/>
  <c r="Q91" i="110"/>
  <c r="F36" i="96"/>
  <c r="K12" i="98"/>
  <c r="M51" i="97" s="1"/>
  <c r="K33" i="98"/>
  <c r="K36" i="98" s="1"/>
  <c r="K38" i="98" s="1"/>
  <c r="K46" i="98" s="1"/>
  <c r="G37" i="98"/>
  <c r="H22" i="97"/>
  <c r="H44" i="97" s="1"/>
  <c r="H48" i="97" s="1"/>
  <c r="S91" i="110"/>
  <c r="H36" i="96"/>
  <c r="O91" i="110"/>
  <c r="D36" i="96"/>
  <c r="K131" i="110"/>
  <c r="K34" i="110"/>
  <c r="U87" i="110"/>
  <c r="J33" i="98"/>
  <c r="J36" i="98" s="1"/>
  <c r="J12" i="98"/>
  <c r="H185" i="110"/>
  <c r="H134" i="110"/>
  <c r="I282" i="84"/>
  <c r="I284" i="84" s="1"/>
  <c r="I61" i="115" s="1"/>
  <c r="J185" i="110"/>
  <c r="J134" i="110"/>
  <c r="K52" i="97"/>
  <c r="K64" i="97"/>
  <c r="K29" i="102"/>
  <c r="K31" i="102" s="1"/>
  <c r="L98" i="102"/>
  <c r="L99" i="102" s="1"/>
  <c r="L13" i="98"/>
  <c r="R91" i="110"/>
  <c r="G36" i="96"/>
  <c r="J52" i="97"/>
  <c r="Y96" i="110"/>
  <c r="O89" i="110"/>
  <c r="F17" i="98"/>
  <c r="F20" i="98" s="1"/>
  <c r="F21" i="98" s="1"/>
  <c r="H57" i="97"/>
  <c r="E185" i="110"/>
  <c r="E134" i="110"/>
  <c r="L78" i="97"/>
  <c r="L22" i="97"/>
  <c r="L44" i="97" s="1"/>
  <c r="J83" i="97"/>
  <c r="J85" i="97" s="1"/>
  <c r="K78" i="97"/>
  <c r="K80" i="97" s="1"/>
  <c r="T80" i="96"/>
  <c r="T84" i="96" s="1"/>
  <c r="T86" i="96" s="1"/>
  <c r="I11" i="96" s="1"/>
  <c r="I12" i="96" s="1"/>
  <c r="V9" i="102"/>
  <c r="V31" i="102" s="1"/>
  <c r="I185" i="110"/>
  <c r="I134" i="110"/>
  <c r="Z18" i="110"/>
  <c r="G134" i="110"/>
  <c r="G185" i="110"/>
  <c r="T91" i="110"/>
  <c r="I36" i="96"/>
  <c r="W38" i="107" l="1"/>
  <c r="O93" i="110"/>
  <c r="AA63" i="110"/>
  <c r="AA66" i="110" s="1"/>
  <c r="AB63" i="110" s="1"/>
  <c r="AB66" i="110" s="1"/>
  <c r="AA38" i="107"/>
  <c r="AB38" i="107" s="1"/>
  <c r="Z38" i="107"/>
  <c r="Y38" i="107" s="1"/>
  <c r="M55" i="97"/>
  <c r="O79" i="110"/>
  <c r="U79" i="110"/>
  <c r="U91" i="110"/>
  <c r="Z50" i="110"/>
  <c r="F59" i="110" s="1"/>
  <c r="Z84" i="110"/>
  <c r="Z87" i="110" s="1"/>
  <c r="Z93" i="110" s="1"/>
  <c r="J82" i="97"/>
  <c r="J86" i="97" s="1"/>
  <c r="J20" i="97" s="1"/>
  <c r="I37" i="98" s="1"/>
  <c r="E59" i="110"/>
  <c r="E62" i="110" s="1"/>
  <c r="C83" i="93" s="1"/>
  <c r="C86" i="93" s="1"/>
  <c r="C89" i="93" s="1"/>
  <c r="C91" i="93" s="1"/>
  <c r="C93" i="93" s="1"/>
  <c r="D18" i="93" s="1"/>
  <c r="D21" i="93" s="1"/>
  <c r="G58" i="110"/>
  <c r="K185" i="110"/>
  <c r="K134" i="110"/>
  <c r="I81" i="96"/>
  <c r="I85" i="96" s="1"/>
  <c r="T20" i="96"/>
  <c r="K6" i="118"/>
  <c r="K32" i="102"/>
  <c r="D81" i="96"/>
  <c r="D85" i="96" s="1"/>
  <c r="O20" i="96"/>
  <c r="E66" i="115"/>
  <c r="E67" i="115" s="1"/>
  <c r="F6" i="118"/>
  <c r="H37" i="98"/>
  <c r="I22" i="97"/>
  <c r="I44" i="97" s="1"/>
  <c r="I48" i="97" s="1"/>
  <c r="F57" i="110"/>
  <c r="AA15" i="110"/>
  <c r="AA18" i="110" s="1"/>
  <c r="J81" i="96"/>
  <c r="J85" i="96" s="1"/>
  <c r="U20" i="96"/>
  <c r="L6" i="118"/>
  <c r="L51" i="97"/>
  <c r="K13" i="98"/>
  <c r="L101" i="102"/>
  <c r="L102" i="102" s="1"/>
  <c r="J69" i="96" s="1"/>
  <c r="J13" i="98"/>
  <c r="K51" i="97"/>
  <c r="H81" i="96"/>
  <c r="H85" i="96" s="1"/>
  <c r="S20" i="96"/>
  <c r="J6" i="118"/>
  <c r="I66" i="115"/>
  <c r="I67" i="115" s="1"/>
  <c r="R17" i="98"/>
  <c r="G38" i="98"/>
  <c r="G46" i="98" s="1"/>
  <c r="R7" i="98" s="1"/>
  <c r="R8" i="98" s="1"/>
  <c r="F66" i="115"/>
  <c r="F67" i="115" s="1"/>
  <c r="E81" i="96"/>
  <c r="E85" i="96" s="1"/>
  <c r="G6" i="118"/>
  <c r="P20" i="96"/>
  <c r="K83" i="97"/>
  <c r="K85" i="97" s="1"/>
  <c r="H66" i="115"/>
  <c r="H67" i="115" s="1"/>
  <c r="I6" i="118"/>
  <c r="G81" i="96"/>
  <c r="G85" i="96" s="1"/>
  <c r="R20" i="96"/>
  <c r="F81" i="96"/>
  <c r="F85" i="96" s="1"/>
  <c r="Q20" i="96"/>
  <c r="H6" i="118"/>
  <c r="G66" i="115"/>
  <c r="G67" i="115" s="1"/>
  <c r="AA82" i="110"/>
  <c r="AB79" i="110" s="1"/>
  <c r="AC31" i="110"/>
  <c r="AC34" i="110" s="1"/>
  <c r="H58" i="110"/>
  <c r="I52" i="115"/>
  <c r="I54" i="115" s="1"/>
  <c r="H54" i="115"/>
  <c r="H56" i="115" s="1"/>
  <c r="G60" i="110" l="1"/>
  <c r="Z39" i="107"/>
  <c r="Y39" i="107" s="1"/>
  <c r="AA39" i="107"/>
  <c r="AB39" i="107" s="1"/>
  <c r="W39" i="107"/>
  <c r="AA47" i="110"/>
  <c r="AA50" i="110" s="1"/>
  <c r="AB47" i="110" s="1"/>
  <c r="AB50" i="110" s="1"/>
  <c r="D14" i="96"/>
  <c r="O96" i="110" s="1"/>
  <c r="J22" i="97"/>
  <c r="J44" i="97" s="1"/>
  <c r="J48" i="97" s="1"/>
  <c r="L103" i="102"/>
  <c r="L29" i="102" s="1"/>
  <c r="L31" i="102" s="1"/>
  <c r="H110" i="96"/>
  <c r="C5" i="115"/>
  <c r="E61" i="115"/>
  <c r="E62" i="115" s="1"/>
  <c r="E69" i="115" s="1"/>
  <c r="I56" i="115"/>
  <c r="G110" i="96"/>
  <c r="K82" i="97"/>
  <c r="K86" i="97" s="1"/>
  <c r="K20" i="97" s="1"/>
  <c r="F110" i="96"/>
  <c r="I58" i="110"/>
  <c r="AD31" i="110"/>
  <c r="AD34" i="110" s="1"/>
  <c r="H53" i="97"/>
  <c r="H55" i="97" s="1"/>
  <c r="H59" i="97" s="1"/>
  <c r="H70" i="97" s="1"/>
  <c r="R18" i="98"/>
  <c r="R20" i="98" s="1"/>
  <c r="I110" i="96"/>
  <c r="J68" i="96"/>
  <c r="J71" i="96" s="1"/>
  <c r="W6" i="102"/>
  <c r="J110" i="96"/>
  <c r="AC63" i="110"/>
  <c r="AC66" i="110" s="1"/>
  <c r="H60" i="110"/>
  <c r="D37" i="96"/>
  <c r="D25" i="93"/>
  <c r="AB82" i="110"/>
  <c r="AC79" i="110" s="1"/>
  <c r="G59" i="110"/>
  <c r="G57" i="110"/>
  <c r="AB15" i="110"/>
  <c r="AB18" i="110" s="1"/>
  <c r="S17" i="98"/>
  <c r="H38" i="98"/>
  <c r="H46" i="98" s="1"/>
  <c r="S7" i="98" s="1"/>
  <c r="S8" i="98" s="1"/>
  <c r="K62" i="97"/>
  <c r="F62" i="110"/>
  <c r="D110" i="96"/>
  <c r="E110" i="96"/>
  <c r="T17" i="98"/>
  <c r="I38" i="98"/>
  <c r="I46" i="98" s="1"/>
  <c r="AA40" i="107" l="1"/>
  <c r="AB40" i="107" s="1"/>
  <c r="Z40" i="107"/>
  <c r="Y40" i="107"/>
  <c r="W40" i="107"/>
  <c r="AA84" i="110"/>
  <c r="AA87" i="110" s="1"/>
  <c r="AA93" i="110" s="1"/>
  <c r="D17" i="96"/>
  <c r="G62" i="110"/>
  <c r="E83" i="93" s="1"/>
  <c r="E86" i="93" s="1"/>
  <c r="E89" i="93" s="1"/>
  <c r="E91" i="93" s="1"/>
  <c r="E93" i="93" s="1"/>
  <c r="F18" i="93" s="1"/>
  <c r="F21" i="93" s="1"/>
  <c r="T7" i="98"/>
  <c r="T8" i="98" s="1"/>
  <c r="AB84" i="110"/>
  <c r="AB87" i="110" s="1"/>
  <c r="AB93" i="110" s="1"/>
  <c r="W9" i="102"/>
  <c r="W31" i="102" s="1"/>
  <c r="L32" i="102" s="1"/>
  <c r="U80" i="96"/>
  <c r="U84" i="96" s="1"/>
  <c r="U86" i="96" s="1"/>
  <c r="J11" i="96" s="1"/>
  <c r="J12" i="96" s="1"/>
  <c r="I57" i="97"/>
  <c r="G17" i="98"/>
  <c r="G20" i="98" s="1"/>
  <c r="G21" i="98" s="1"/>
  <c r="E71" i="115"/>
  <c r="E15" i="115" s="1"/>
  <c r="F60" i="115"/>
  <c r="F62" i="115" s="1"/>
  <c r="F69" i="115" s="1"/>
  <c r="E14" i="96"/>
  <c r="D83" i="93"/>
  <c r="D86" i="93" s="1"/>
  <c r="D89" i="93" s="1"/>
  <c r="D91" i="93" s="1"/>
  <c r="D93" i="93" s="1"/>
  <c r="E18" i="93" s="1"/>
  <c r="E21" i="93" s="1"/>
  <c r="I53" i="97"/>
  <c r="I55" i="97" s="1"/>
  <c r="S18" i="98"/>
  <c r="S20" i="98" s="1"/>
  <c r="AC47" i="110"/>
  <c r="AC50" i="110" s="1"/>
  <c r="H59" i="110"/>
  <c r="I60" i="110"/>
  <c r="AD63" i="110"/>
  <c r="AD66" i="110" s="1"/>
  <c r="E5" i="115"/>
  <c r="E10" i="115" s="1"/>
  <c r="C10" i="115"/>
  <c r="AC82" i="110"/>
  <c r="AD79" i="110" s="1"/>
  <c r="O98" i="110"/>
  <c r="O100" i="110" s="1"/>
  <c r="P83" i="110"/>
  <c r="P85" i="110" s="1"/>
  <c r="P89" i="110" s="1"/>
  <c r="P93" i="110" s="1"/>
  <c r="J53" i="97"/>
  <c r="J55" i="97" s="1"/>
  <c r="T18" i="98"/>
  <c r="AC15" i="110"/>
  <c r="AC18" i="110" s="1"/>
  <c r="H57" i="110"/>
  <c r="F7" i="118"/>
  <c r="F9" i="118" s="1"/>
  <c r="F11" i="118" s="1"/>
  <c r="F14" i="118" s="1"/>
  <c r="F17" i="118" s="1"/>
  <c r="D39" i="96"/>
  <c r="D41" i="96" s="1"/>
  <c r="D45" i="96" s="1"/>
  <c r="J58" i="110"/>
  <c r="AE31" i="110"/>
  <c r="AE34" i="110" s="1"/>
  <c r="K58" i="110" s="1"/>
  <c r="J37" i="98"/>
  <c r="K22" i="97"/>
  <c r="K44" i="97" s="1"/>
  <c r="K48" i="97" s="1"/>
  <c r="W41" i="107" l="1"/>
  <c r="W42" i="107" s="1"/>
  <c r="AA41" i="107"/>
  <c r="AB41" i="107" s="1"/>
  <c r="Z41" i="107"/>
  <c r="Y41" i="107"/>
  <c r="T20" i="98"/>
  <c r="F14" i="96"/>
  <c r="F17" i="96" s="1"/>
  <c r="H62" i="110"/>
  <c r="F83" i="93" s="1"/>
  <c r="F86" i="93" s="1"/>
  <c r="F89" i="93" s="1"/>
  <c r="F91" i="93" s="1"/>
  <c r="F93" i="93" s="1"/>
  <c r="G18" i="93" s="1"/>
  <c r="G21" i="93" s="1"/>
  <c r="I59" i="97"/>
  <c r="I70" i="97" s="1"/>
  <c r="H17" i="98" s="1"/>
  <c r="H20" i="98" s="1"/>
  <c r="H21" i="98" s="1"/>
  <c r="AE63" i="110"/>
  <c r="AE66" i="110" s="1"/>
  <c r="K60" i="110" s="1"/>
  <c r="J60" i="110"/>
  <c r="U17" i="98"/>
  <c r="J38" i="98"/>
  <c r="D119" i="96"/>
  <c r="D120" i="96" s="1"/>
  <c r="E37" i="96"/>
  <c r="E25" i="93"/>
  <c r="AD82" i="110"/>
  <c r="AE79" i="110" s="1"/>
  <c r="F71" i="115"/>
  <c r="F15" i="115" s="1"/>
  <c r="G60" i="115"/>
  <c r="G62" i="115" s="1"/>
  <c r="G69" i="115" s="1"/>
  <c r="I57" i="110"/>
  <c r="AD15" i="110"/>
  <c r="AD18" i="110" s="1"/>
  <c r="F20" i="118"/>
  <c r="F54" i="118" s="1"/>
  <c r="F56" i="118" s="1"/>
  <c r="AC84" i="110"/>
  <c r="AC87" i="110" s="1"/>
  <c r="AC93" i="110" s="1"/>
  <c r="I59" i="110"/>
  <c r="AD47" i="110"/>
  <c r="AD50" i="110" s="1"/>
  <c r="P96" i="110"/>
  <c r="E17" i="96"/>
  <c r="F37" i="96"/>
  <c r="F25" i="93"/>
  <c r="AA42" i="107" l="1"/>
  <c r="AB42" i="107" s="1"/>
  <c r="Z42" i="107"/>
  <c r="Y42" i="107"/>
  <c r="W43" i="107"/>
  <c r="Q96" i="110"/>
  <c r="Q98" i="110" s="1"/>
  <c r="G14" i="96"/>
  <c r="G17" i="96" s="1"/>
  <c r="J57" i="97"/>
  <c r="J59" i="97" s="1"/>
  <c r="J70" i="97" s="1"/>
  <c r="K57" i="97" s="1"/>
  <c r="I62" i="110"/>
  <c r="G83" i="93" s="1"/>
  <c r="G86" i="93" s="1"/>
  <c r="G89" i="93" s="1"/>
  <c r="G91" i="93" s="1"/>
  <c r="G93" i="93" s="1"/>
  <c r="H18" i="93" s="1"/>
  <c r="H21" i="93" s="1"/>
  <c r="G37" i="96"/>
  <c r="G25" i="93"/>
  <c r="K66" i="97"/>
  <c r="K53" i="97"/>
  <c r="K55" i="97" s="1"/>
  <c r="L53" i="97"/>
  <c r="L55" i="97" s="1"/>
  <c r="U18" i="98"/>
  <c r="Q83" i="110"/>
  <c r="Q85" i="110" s="1"/>
  <c r="Q89" i="110" s="1"/>
  <c r="Q93" i="110" s="1"/>
  <c r="P98" i="110"/>
  <c r="P100" i="110" s="1"/>
  <c r="AE82" i="110"/>
  <c r="AD84" i="110"/>
  <c r="AD87" i="110" s="1"/>
  <c r="AD93" i="110" s="1"/>
  <c r="D123" i="96"/>
  <c r="D125" i="96" s="1"/>
  <c r="D47" i="96" s="1"/>
  <c r="J57" i="110"/>
  <c r="AE15" i="110"/>
  <c r="AE18" i="110" s="1"/>
  <c r="K57" i="110" s="1"/>
  <c r="G7" i="118"/>
  <c r="G9" i="118" s="1"/>
  <c r="G11" i="118" s="1"/>
  <c r="G14" i="118" s="1"/>
  <c r="G17" i="118" s="1"/>
  <c r="E39" i="96"/>
  <c r="E41" i="96" s="1"/>
  <c r="E45" i="96" s="1"/>
  <c r="AE47" i="110"/>
  <c r="AE50" i="110" s="1"/>
  <c r="K59" i="110" s="1"/>
  <c r="J59" i="110"/>
  <c r="H7" i="118"/>
  <c r="H9" i="118" s="1"/>
  <c r="H11" i="118" s="1"/>
  <c r="H14" i="118" s="1"/>
  <c r="H17" i="118" s="1"/>
  <c r="H20" i="118" s="1"/>
  <c r="H54" i="118" s="1"/>
  <c r="H56" i="118" s="1"/>
  <c r="F39" i="96"/>
  <c r="F41" i="96" s="1"/>
  <c r="F45" i="96" s="1"/>
  <c r="H60" i="115"/>
  <c r="H62" i="115" s="1"/>
  <c r="H69" i="115" s="1"/>
  <c r="G71" i="115"/>
  <c r="G15" i="115" s="1"/>
  <c r="R96" i="110"/>
  <c r="W44" i="107" l="1"/>
  <c r="Z43" i="107"/>
  <c r="AA43" i="107"/>
  <c r="AB43" i="107" s="1"/>
  <c r="Y43" i="107"/>
  <c r="R83" i="110"/>
  <c r="R85" i="110" s="1"/>
  <c r="R89" i="110" s="1"/>
  <c r="R93" i="110" s="1"/>
  <c r="I17" i="98"/>
  <c r="I20" i="98" s="1"/>
  <c r="I21" i="98" s="1"/>
  <c r="K59" i="97"/>
  <c r="K69" i="97" s="1"/>
  <c r="J44" i="98" s="1"/>
  <c r="J46" i="98" s="1"/>
  <c r="U7" i="98" s="1"/>
  <c r="H14" i="96"/>
  <c r="S96" i="110" s="1"/>
  <c r="K62" i="110"/>
  <c r="J14" i="96" s="1"/>
  <c r="J62" i="110"/>
  <c r="H83" i="93" s="1"/>
  <c r="H86" i="93" s="1"/>
  <c r="H89" i="93" s="1"/>
  <c r="H91" i="93" s="1"/>
  <c r="H93" i="93" s="1"/>
  <c r="I18" i="93" s="1"/>
  <c r="I21" i="93" s="1"/>
  <c r="O22" i="96"/>
  <c r="D49" i="96"/>
  <c r="D53" i="96" s="1"/>
  <c r="I7" i="118"/>
  <c r="I9" i="118" s="1"/>
  <c r="I11" i="118" s="1"/>
  <c r="I14" i="118" s="1"/>
  <c r="I17" i="118" s="1"/>
  <c r="I20" i="118" s="1"/>
  <c r="I54" i="118" s="1"/>
  <c r="I56" i="118" s="1"/>
  <c r="G39" i="96"/>
  <c r="G41" i="96" s="1"/>
  <c r="G45" i="96" s="1"/>
  <c r="S83" i="110"/>
  <c r="S85" i="110" s="1"/>
  <c r="S89" i="110" s="1"/>
  <c r="S93" i="110" s="1"/>
  <c r="R98" i="110"/>
  <c r="E119" i="96"/>
  <c r="E120" i="96" s="1"/>
  <c r="I14" i="96"/>
  <c r="AE84" i="110"/>
  <c r="AE87" i="110" s="1"/>
  <c r="AE93" i="110" s="1"/>
  <c r="I60" i="115"/>
  <c r="I62" i="115" s="1"/>
  <c r="I69" i="115" s="1"/>
  <c r="I71" i="115" s="1"/>
  <c r="I15" i="115" s="1"/>
  <c r="H71" i="115"/>
  <c r="H15" i="115" s="1"/>
  <c r="F119" i="96"/>
  <c r="F120" i="96" s="1"/>
  <c r="H37" i="96"/>
  <c r="H25" i="93"/>
  <c r="G20" i="118"/>
  <c r="G54" i="118" s="1"/>
  <c r="G56" i="118" s="1"/>
  <c r="Q100" i="110"/>
  <c r="AA44" i="107" l="1"/>
  <c r="AB44" i="107" s="1"/>
  <c r="Z44" i="107"/>
  <c r="Y44" i="107" s="1"/>
  <c r="R100" i="110"/>
  <c r="I83" i="93"/>
  <c r="I86" i="93" s="1"/>
  <c r="I89" i="93" s="1"/>
  <c r="I91" i="93" s="1"/>
  <c r="I93" i="93" s="1"/>
  <c r="J18" i="93" s="1"/>
  <c r="J21" i="93" s="1"/>
  <c r="J37" i="96" s="1"/>
  <c r="H17" i="96"/>
  <c r="K70" i="97"/>
  <c r="J17" i="98" s="1"/>
  <c r="J20" i="98" s="1"/>
  <c r="I37" i="96"/>
  <c r="I25" i="93"/>
  <c r="T96" i="110"/>
  <c r="I17" i="96"/>
  <c r="D63" i="96"/>
  <c r="D87" i="96" s="1"/>
  <c r="D101" i="96" s="1"/>
  <c r="D106" i="96" s="1"/>
  <c r="D59" i="96"/>
  <c r="O8" i="96"/>
  <c r="U8" i="98"/>
  <c r="U20" i="98" s="1"/>
  <c r="V7" i="98"/>
  <c r="J7" i="118"/>
  <c r="J9" i="118" s="1"/>
  <c r="J11" i="118" s="1"/>
  <c r="J14" i="118" s="1"/>
  <c r="J17" i="118" s="1"/>
  <c r="H39" i="96"/>
  <c r="H41" i="96" s="1"/>
  <c r="H45" i="96" s="1"/>
  <c r="G119" i="96"/>
  <c r="G120" i="96" s="1"/>
  <c r="D111" i="96"/>
  <c r="O23" i="96"/>
  <c r="S98" i="110"/>
  <c r="S100" i="110" s="1"/>
  <c r="T83" i="110"/>
  <c r="T85" i="110" s="1"/>
  <c r="T89" i="110" s="1"/>
  <c r="T93" i="110" s="1"/>
  <c r="U96" i="110"/>
  <c r="U98" i="110" s="1"/>
  <c r="J17" i="96"/>
  <c r="E122" i="96"/>
  <c r="F122" i="96" s="1"/>
  <c r="F123" i="96" s="1"/>
  <c r="F125" i="96" s="1"/>
  <c r="F47" i="96" s="1"/>
  <c r="AA45" i="107" l="1"/>
  <c r="AB45" i="107" s="1"/>
  <c r="Z45" i="107"/>
  <c r="Y45" i="107"/>
  <c r="W45" i="107"/>
  <c r="J25" i="93"/>
  <c r="L57" i="97"/>
  <c r="L59" i="97" s="1"/>
  <c r="L70" i="97" s="1"/>
  <c r="M57" i="97" s="1"/>
  <c r="M59" i="97" s="1"/>
  <c r="M70" i="97" s="1"/>
  <c r="L17" i="98" s="1"/>
  <c r="L20" i="98" s="1"/>
  <c r="Q22" i="96"/>
  <c r="F49" i="96"/>
  <c r="F53" i="96" s="1"/>
  <c r="G122" i="96"/>
  <c r="G123" i="96" s="1"/>
  <c r="G125" i="96" s="1"/>
  <c r="G47" i="96" s="1"/>
  <c r="O9" i="96"/>
  <c r="O27" i="96" s="1"/>
  <c r="P7" i="96"/>
  <c r="E123" i="96"/>
  <c r="E125" i="96" s="1"/>
  <c r="E47" i="96" s="1"/>
  <c r="V8" i="98"/>
  <c r="V20" i="98" s="1"/>
  <c r="W7" i="98"/>
  <c r="W8" i="98" s="1"/>
  <c r="W20" i="98" s="1"/>
  <c r="D113" i="96"/>
  <c r="D116" i="96" s="1"/>
  <c r="J21" i="98"/>
  <c r="L7" i="118"/>
  <c r="L9" i="118" s="1"/>
  <c r="L11" i="118" s="1"/>
  <c r="L14" i="118" s="1"/>
  <c r="L17" i="118" s="1"/>
  <c r="L20" i="118" s="1"/>
  <c r="L54" i="118" s="1"/>
  <c r="L56" i="118" s="1"/>
  <c r="J39" i="96"/>
  <c r="J41" i="96" s="1"/>
  <c r="J45" i="96" s="1"/>
  <c r="H119" i="96"/>
  <c r="H120" i="96" s="1"/>
  <c r="K7" i="118"/>
  <c r="K9" i="118" s="1"/>
  <c r="K11" i="118" s="1"/>
  <c r="K14" i="118" s="1"/>
  <c r="K17" i="118" s="1"/>
  <c r="K20" i="118" s="1"/>
  <c r="K54" i="118" s="1"/>
  <c r="K56" i="118" s="1"/>
  <c r="I39" i="96"/>
  <c r="I41" i="96" s="1"/>
  <c r="I45" i="96" s="1"/>
  <c r="O25" i="96"/>
  <c r="N64" i="115"/>
  <c r="J20" i="118"/>
  <c r="J54" i="118" s="1"/>
  <c r="J56" i="118" s="1"/>
  <c r="F58" i="118" s="1"/>
  <c r="F23" i="118"/>
  <c r="F26" i="118" s="1"/>
  <c r="F28" i="118" s="1"/>
  <c r="U83" i="110"/>
  <c r="U85" i="110" s="1"/>
  <c r="U89" i="110" s="1"/>
  <c r="U93" i="110" s="1"/>
  <c r="U100" i="110" s="1"/>
  <c r="T98" i="110"/>
  <c r="T100" i="110" s="1"/>
  <c r="W46" i="107" l="1"/>
  <c r="AA46" i="107"/>
  <c r="AB46" i="107" s="1"/>
  <c r="Z46" i="107"/>
  <c r="Y46" i="107" s="1"/>
  <c r="K17" i="98"/>
  <c r="K20" i="98" s="1"/>
  <c r="K21" i="98" s="1"/>
  <c r="L21" i="98"/>
  <c r="R22" i="96"/>
  <c r="G49" i="96"/>
  <c r="G53" i="96" s="1"/>
  <c r="I119" i="96"/>
  <c r="I120" i="96" s="1"/>
  <c r="E115" i="96"/>
  <c r="D25" i="96"/>
  <c r="F61" i="118"/>
  <c r="F60" i="118"/>
  <c r="F59" i="96"/>
  <c r="F63" i="96"/>
  <c r="F87" i="96" s="1"/>
  <c r="F101" i="96" s="1"/>
  <c r="F106" i="96" s="1"/>
  <c r="Q8" i="96"/>
  <c r="H122" i="96"/>
  <c r="H123" i="96" s="1"/>
  <c r="H125" i="96" s="1"/>
  <c r="H47" i="96" s="1"/>
  <c r="J119" i="96"/>
  <c r="P22" i="96"/>
  <c r="E111" i="96" s="1"/>
  <c r="E49" i="96"/>
  <c r="E53" i="96" s="1"/>
  <c r="Q23" i="96"/>
  <c r="Z47" i="107" l="1"/>
  <c r="Y47" i="107" s="1"/>
  <c r="AA47" i="107"/>
  <c r="AB47" i="107" s="1"/>
  <c r="W47" i="107"/>
  <c r="S22" i="96"/>
  <c r="H111" i="96" s="1"/>
  <c r="H49" i="96"/>
  <c r="H53" i="96" s="1"/>
  <c r="I122" i="96"/>
  <c r="J122" i="96" s="1"/>
  <c r="J123" i="96" s="1"/>
  <c r="J125" i="96" s="1"/>
  <c r="J47" i="96" s="1"/>
  <c r="P64" i="115"/>
  <c r="Q25" i="96"/>
  <c r="E55" i="96"/>
  <c r="E63" i="96"/>
  <c r="E87" i="96" s="1"/>
  <c r="E101" i="96" s="1"/>
  <c r="E106" i="96" s="1"/>
  <c r="N62" i="115"/>
  <c r="N65" i="115" s="1"/>
  <c r="N67" i="115" s="1"/>
  <c r="E16" i="115" s="1"/>
  <c r="E17" i="115" s="1"/>
  <c r="D27" i="96"/>
  <c r="D28" i="96" s="1"/>
  <c r="R8" i="96"/>
  <c r="G63" i="96"/>
  <c r="G87" i="96" s="1"/>
  <c r="G101" i="96" s="1"/>
  <c r="G106" i="96" s="1"/>
  <c r="G59" i="96"/>
  <c r="F111" i="96"/>
  <c r="G111" i="96"/>
  <c r="R23" i="96"/>
  <c r="AA48" i="107" l="1"/>
  <c r="AB48" i="107" s="1"/>
  <c r="Z48" i="107"/>
  <c r="Y48" i="107"/>
  <c r="W48" i="107"/>
  <c r="U22" i="96"/>
  <c r="J49" i="96"/>
  <c r="J53" i="96" s="1"/>
  <c r="I123" i="96"/>
  <c r="I125" i="96" s="1"/>
  <c r="I47" i="96" s="1"/>
  <c r="E20" i="115"/>
  <c r="E19" i="115"/>
  <c r="E57" i="96"/>
  <c r="P44" i="96"/>
  <c r="E112" i="96"/>
  <c r="E113" i="96" s="1"/>
  <c r="E116" i="96" s="1"/>
  <c r="H63" i="96"/>
  <c r="H87" i="96" s="1"/>
  <c r="H101" i="96" s="1"/>
  <c r="H106" i="96" s="1"/>
  <c r="R25" i="96"/>
  <c r="Q64" i="115"/>
  <c r="G113" i="96"/>
  <c r="W49" i="107" l="1"/>
  <c r="W50" i="107" s="1"/>
  <c r="AA49" i="107"/>
  <c r="AB49" i="107" s="1"/>
  <c r="Z49" i="107"/>
  <c r="Y49" i="107"/>
  <c r="F112" i="96"/>
  <c r="F113" i="96" s="1"/>
  <c r="P21" i="96"/>
  <c r="Q45" i="96"/>
  <c r="J63" i="96"/>
  <c r="J87" i="96" s="1"/>
  <c r="J101" i="96" s="1"/>
  <c r="J106" i="96" s="1"/>
  <c r="P49" i="96"/>
  <c r="P47" i="96"/>
  <c r="F115" i="96"/>
  <c r="E25" i="96"/>
  <c r="T22" i="96"/>
  <c r="I111" i="96" s="1"/>
  <c r="I49" i="96"/>
  <c r="I53" i="96" s="1"/>
  <c r="E59" i="96"/>
  <c r="AA50" i="107" l="1"/>
  <c r="AB50" i="107" s="1"/>
  <c r="Z50" i="107"/>
  <c r="Y50" i="107" s="1"/>
  <c r="J111" i="96"/>
  <c r="Q47" i="96"/>
  <c r="Q49" i="96"/>
  <c r="P51" i="96"/>
  <c r="H46" i="114"/>
  <c r="H48" i="114" s="1"/>
  <c r="H54" i="114" s="1"/>
  <c r="H55" i="114" s="1"/>
  <c r="P23" i="96"/>
  <c r="P8" i="96"/>
  <c r="I63" i="96"/>
  <c r="I87" i="96" s="1"/>
  <c r="I101" i="96" s="1"/>
  <c r="I106" i="96" s="1"/>
  <c r="O62" i="115"/>
  <c r="E27" i="96"/>
  <c r="F116" i="96"/>
  <c r="AA51" i="107" l="1"/>
  <c r="AB51" i="107" s="1"/>
  <c r="Z51" i="107"/>
  <c r="Y51" i="107"/>
  <c r="W51" i="107"/>
  <c r="Q51" i="96"/>
  <c r="I46" i="114"/>
  <c r="I48" i="114" s="1"/>
  <c r="I54" i="114" s="1"/>
  <c r="I55" i="114" s="1"/>
  <c r="G115" i="96"/>
  <c r="G116" i="96" s="1"/>
  <c r="F25" i="96"/>
  <c r="H56" i="114"/>
  <c r="C39" i="114"/>
  <c r="P9" i="96"/>
  <c r="P27" i="96" s="1"/>
  <c r="E28" i="96" s="1"/>
  <c r="Q7" i="96"/>
  <c r="P25" i="96"/>
  <c r="O64" i="115"/>
  <c r="O65" i="115" s="1"/>
  <c r="O67" i="115" s="1"/>
  <c r="F16" i="115" s="1"/>
  <c r="F17" i="115" s="1"/>
  <c r="Z52" i="107" l="1"/>
  <c r="AA52" i="107"/>
  <c r="AB52" i="107" s="1"/>
  <c r="Y52" i="107"/>
  <c r="W52" i="107"/>
  <c r="F20" i="115"/>
  <c r="F19" i="115"/>
  <c r="C40" i="114"/>
  <c r="I56" i="114"/>
  <c r="H115" i="96"/>
  <c r="G25" i="96"/>
  <c r="Q9" i="96"/>
  <c r="Q27" i="96" s="1"/>
  <c r="R7" i="96"/>
  <c r="P62" i="115"/>
  <c r="P65" i="115" s="1"/>
  <c r="P67" i="115" s="1"/>
  <c r="G16" i="115" s="1"/>
  <c r="G17" i="115" s="1"/>
  <c r="F27" i="96"/>
  <c r="AA53" i="107" l="1"/>
  <c r="AB53" i="107" s="1"/>
  <c r="Z53" i="107"/>
  <c r="Y53" i="107"/>
  <c r="W53" i="107"/>
  <c r="F28" i="96"/>
  <c r="R9" i="96"/>
  <c r="R27" i="96" s="1"/>
  <c r="S7" i="96"/>
  <c r="Q62" i="115"/>
  <c r="Q65" i="115" s="1"/>
  <c r="Q67" i="115" s="1"/>
  <c r="H16" i="115" s="1"/>
  <c r="H17" i="115" s="1"/>
  <c r="G27" i="96"/>
  <c r="G19" i="115"/>
  <c r="G20" i="115"/>
  <c r="W54" i="107" l="1"/>
  <c r="W55" i="107" s="1"/>
  <c r="AA54" i="107"/>
  <c r="AB54" i="107" s="1"/>
  <c r="Z54" i="107"/>
  <c r="Y54" i="107"/>
  <c r="G28" i="96"/>
  <c r="H19" i="115"/>
  <c r="H20" i="115"/>
  <c r="H55" i="96"/>
  <c r="AA55" i="107" l="1"/>
  <c r="AB55" i="107" s="1"/>
  <c r="Z55" i="107"/>
  <c r="Y55" i="107" s="1"/>
  <c r="H112" i="96"/>
  <c r="H113" i="96" s="1"/>
  <c r="S44" i="96"/>
  <c r="H57" i="96"/>
  <c r="H59" i="96" s="1"/>
  <c r="Z56" i="107" l="1"/>
  <c r="AA56" i="107"/>
  <c r="AB56" i="107" s="1"/>
  <c r="Y56" i="107"/>
  <c r="W56" i="107"/>
  <c r="T45" i="96"/>
  <c r="S21" i="96"/>
  <c r="S49" i="96"/>
  <c r="W57" i="107" l="1"/>
  <c r="AA57" i="107"/>
  <c r="AB57" i="107" s="1"/>
  <c r="Z57" i="107"/>
  <c r="Y57" i="107" s="1"/>
  <c r="K46" i="114"/>
  <c r="K48" i="114" s="1"/>
  <c r="S23" i="96"/>
  <c r="S8" i="96"/>
  <c r="AA58" i="107" l="1"/>
  <c r="AB58" i="107" s="1"/>
  <c r="Z58" i="107"/>
  <c r="Y58" i="107"/>
  <c r="W58" i="107"/>
  <c r="K54" i="114"/>
  <c r="K55" i="114" s="1"/>
  <c r="K50" i="114"/>
  <c r="T7" i="96"/>
  <c r="S25" i="96"/>
  <c r="R64" i="115"/>
  <c r="W59" i="107" l="1"/>
  <c r="W60" i="107" s="1"/>
  <c r="AA59" i="107"/>
  <c r="AB59" i="107" s="1"/>
  <c r="Z59" i="107"/>
  <c r="Y59" i="107"/>
  <c r="C42" i="114"/>
  <c r="K56" i="114"/>
  <c r="I55" i="96"/>
  <c r="Z60" i="107" l="1"/>
  <c r="AA60" i="107"/>
  <c r="AB60" i="107" s="1"/>
  <c r="Y60" i="107"/>
  <c r="I57" i="96"/>
  <c r="T44" i="96"/>
  <c r="I112" i="96"/>
  <c r="I113" i="96" s="1"/>
  <c r="S118" i="96" l="1"/>
  <c r="T49" i="96"/>
  <c r="T21" i="96"/>
  <c r="U45" i="96"/>
  <c r="I59" i="96"/>
  <c r="T116" i="96" l="1"/>
  <c r="S6" i="96"/>
  <c r="H114" i="96"/>
  <c r="H116" i="96" s="1"/>
  <c r="S46" i="96"/>
  <c r="S120" i="96"/>
  <c r="T23" i="96"/>
  <c r="T8" i="96"/>
  <c r="L46" i="114"/>
  <c r="L48" i="114" s="1"/>
  <c r="S9" i="96" l="1"/>
  <c r="S27" i="96" s="1"/>
  <c r="S50" i="96"/>
  <c r="S51" i="96" s="1"/>
  <c r="S47" i="96"/>
  <c r="H25" i="96"/>
  <c r="I115" i="96"/>
  <c r="L50" i="114"/>
  <c r="L54" i="114"/>
  <c r="L55" i="114" s="1"/>
  <c r="L56" i="114" s="1"/>
  <c r="C44" i="114"/>
  <c r="U7" i="96"/>
  <c r="J55" i="96" s="1"/>
  <c r="H27" i="96" l="1"/>
  <c r="H28" i="96" s="1"/>
  <c r="R62" i="115"/>
  <c r="R65" i="115" s="1"/>
  <c r="R67" i="115" s="1"/>
  <c r="I16" i="115" s="1"/>
  <c r="I17" i="115" s="1"/>
  <c r="U44" i="96"/>
  <c r="J57" i="96"/>
  <c r="U21" i="96" s="1"/>
  <c r="U23" i="96" s="1"/>
  <c r="J112" i="96"/>
  <c r="J113" i="96" s="1"/>
  <c r="T118" i="96" s="1"/>
  <c r="I20" i="115" l="1"/>
  <c r="I19" i="115"/>
  <c r="T120" i="96"/>
  <c r="T46" i="96"/>
  <c r="I114" i="96"/>
  <c r="I116" i="96" s="1"/>
  <c r="T6" i="96"/>
  <c r="T9" i="96" s="1"/>
  <c r="T27" i="96" s="1"/>
  <c r="U116" i="96"/>
  <c r="J59" i="96"/>
  <c r="U8" i="96"/>
  <c r="U49" i="96"/>
  <c r="J115" i="96" l="1"/>
  <c r="U118" i="96" s="1"/>
  <c r="J114" i="96" s="1"/>
  <c r="J116" i="96" s="1"/>
  <c r="J25" i="96" s="1"/>
  <c r="J27" i="96" s="1"/>
  <c r="I25" i="96"/>
  <c r="I27" i="96" s="1"/>
  <c r="T50" i="96"/>
  <c r="T51" i="96" s="1"/>
  <c r="T47" i="96"/>
  <c r="I28" i="96"/>
  <c r="M46" i="114"/>
  <c r="M48" i="114" s="1"/>
  <c r="U6" i="96" l="1"/>
  <c r="U9" i="96" s="1"/>
  <c r="U27" i="96" s="1"/>
  <c r="J28" i="96" s="1"/>
  <c r="U120" i="96"/>
  <c r="U46" i="96"/>
  <c r="U47" i="96" s="1"/>
  <c r="C45" i="114"/>
  <c r="M50" i="114"/>
  <c r="M54" i="114"/>
  <c r="M55" i="114" s="1"/>
  <c r="M56" i="114" s="1"/>
  <c r="U50" i="96" l="1"/>
  <c r="U51" i="96" s="1"/>
  <c r="C51" i="114"/>
  <c r="C53" i="114" s="1"/>
  <c r="C47" i="114"/>
</calcChain>
</file>

<file path=xl/sharedStrings.xml><?xml version="1.0" encoding="utf-8"?>
<sst xmlns="http://schemas.openxmlformats.org/spreadsheetml/2006/main" count="3809" uniqueCount="1212">
  <si>
    <t xml:space="preserve"> </t>
  </si>
  <si>
    <t>Loan to value</t>
  </si>
  <si>
    <t>Forecast</t>
  </si>
  <si>
    <t xml:space="preserve">Total Investment </t>
  </si>
  <si>
    <t xml:space="preserve">Annual redemption </t>
  </si>
  <si>
    <t>Total costs</t>
  </si>
  <si>
    <t xml:space="preserve">Loan dec. 31 </t>
  </si>
  <si>
    <t>Redemption</t>
  </si>
  <si>
    <t>Loan</t>
  </si>
  <si>
    <t xml:space="preserve">Repayment rate </t>
  </si>
  <si>
    <t>Operating result before tax</t>
  </si>
  <si>
    <t>Operating period</t>
  </si>
  <si>
    <t>Total Interest</t>
  </si>
  <si>
    <t xml:space="preserve">Interest loans </t>
  </si>
  <si>
    <t>Loan 1</t>
  </si>
  <si>
    <t>Start date</t>
  </si>
  <si>
    <t>Loan repayment</t>
  </si>
  <si>
    <t>Loans</t>
  </si>
  <si>
    <t xml:space="preserve">Interest </t>
  </si>
  <si>
    <t xml:space="preserve">Net operating income </t>
  </si>
  <si>
    <t>New Equity</t>
  </si>
  <si>
    <t>Operational costs</t>
  </si>
  <si>
    <t>Amount</t>
  </si>
  <si>
    <t>Duration</t>
  </si>
  <si>
    <t>Year start</t>
  </si>
  <si>
    <t>Year ending</t>
  </si>
  <si>
    <t>Total</t>
  </si>
  <si>
    <t>Experation date</t>
  </si>
  <si>
    <t>Wage indexation</t>
  </si>
  <si>
    <t>Income</t>
  </si>
  <si>
    <t>Depreciation</t>
  </si>
  <si>
    <t>Operating result after tax</t>
  </si>
  <si>
    <t>Corporate taks</t>
  </si>
  <si>
    <t>Annual amortization</t>
  </si>
  <si>
    <t>Free cash flow</t>
  </si>
  <si>
    <t>Dividend</t>
  </si>
  <si>
    <t>Corporate taks to be paid</t>
  </si>
  <si>
    <t>Remaining Cash flow</t>
  </si>
  <si>
    <t>Cash flow</t>
  </si>
  <si>
    <t>Cash flow company</t>
  </si>
  <si>
    <t>Non taks related cash flow</t>
  </si>
  <si>
    <t>IRR</t>
  </si>
  <si>
    <t>Book value</t>
  </si>
  <si>
    <t>Capex</t>
  </si>
  <si>
    <t>Value at start</t>
  </si>
  <si>
    <t>Financial Statement</t>
  </si>
  <si>
    <t>Assets</t>
  </si>
  <si>
    <t>Liabilities</t>
  </si>
  <si>
    <t>Equity</t>
  </si>
  <si>
    <t>Non-current liabilities</t>
  </si>
  <si>
    <t>Payable to suppliers and trading credits</t>
  </si>
  <si>
    <t>Payable dividend to shareholder</t>
  </si>
  <si>
    <t>Tax and social insurance contributions</t>
  </si>
  <si>
    <t>Trade receivables</t>
  </si>
  <si>
    <t>Current Liabilities</t>
  </si>
  <si>
    <t>Current assets</t>
  </si>
  <si>
    <t>Cash and cash equivalents</t>
  </si>
  <si>
    <t>Totaal assets</t>
  </si>
  <si>
    <t>Total liabilities</t>
  </si>
  <si>
    <t xml:space="preserve">Net revenu </t>
  </si>
  <si>
    <t>Operating costs</t>
  </si>
  <si>
    <t xml:space="preserve">Operating result </t>
  </si>
  <si>
    <t>Financial income and expenses</t>
  </si>
  <si>
    <t>Result before tax</t>
  </si>
  <si>
    <t>Tax</t>
  </si>
  <si>
    <t>Result after taks</t>
  </si>
  <si>
    <t>Interim dividend</t>
  </si>
  <si>
    <t>Corrections</t>
  </si>
  <si>
    <t>Dividend to Investors</t>
  </si>
  <si>
    <t>Nett cashflow</t>
  </si>
  <si>
    <t>Liquidation of strucutre</t>
  </si>
  <si>
    <t>Remaining Cash Flow</t>
  </si>
  <si>
    <t xml:space="preserve">Profit and loss statement </t>
  </si>
  <si>
    <t>Shortterm non-current liabilities</t>
  </si>
  <si>
    <t>VAT Bulgaria</t>
  </si>
  <si>
    <t>Real Estate taxes</t>
  </si>
  <si>
    <t>Date</t>
  </si>
  <si>
    <t>Maintenance (% of the building costs)</t>
  </si>
  <si>
    <t>Frequency in years</t>
  </si>
  <si>
    <t>First deferred maintenance</t>
  </si>
  <si>
    <t>Second deferred maintanance</t>
  </si>
  <si>
    <t xml:space="preserve">Rent indexation (average) </t>
  </si>
  <si>
    <t xml:space="preserve">Inflation (average) </t>
  </si>
  <si>
    <t>Building Insurance</t>
  </si>
  <si>
    <t>Real Estate costs</t>
  </si>
  <si>
    <t>Purchase price</t>
  </si>
  <si>
    <t>Other OPEX</t>
  </si>
  <si>
    <t xml:space="preserve">Total </t>
  </si>
  <si>
    <t>Value year end</t>
  </si>
  <si>
    <t>Value Object</t>
  </si>
  <si>
    <t>Share capital</t>
  </si>
  <si>
    <t>Premium payments</t>
  </si>
  <si>
    <t>Reserves</t>
  </si>
  <si>
    <t>Major maintenance</t>
  </si>
  <si>
    <t>Repayment premium payment</t>
  </si>
  <si>
    <t>Addition to reserves</t>
  </si>
  <si>
    <t>Buildings</t>
  </si>
  <si>
    <t>Corporate Taks</t>
  </si>
  <si>
    <t>Mutation deffered taks</t>
  </si>
  <si>
    <t>No</t>
  </si>
  <si>
    <t>Land</t>
  </si>
  <si>
    <t>Loan 2</t>
  </si>
  <si>
    <t>Leverage</t>
  </si>
  <si>
    <t>Total investment</t>
  </si>
  <si>
    <t>Yes</t>
  </si>
  <si>
    <t>VAT</t>
  </si>
  <si>
    <t>Type</t>
  </si>
  <si>
    <t>Annual</t>
  </si>
  <si>
    <t>Others</t>
  </si>
  <si>
    <t>Startup investment</t>
  </si>
  <si>
    <t>Total Startup Investments</t>
  </si>
  <si>
    <t>Startup costs</t>
  </si>
  <si>
    <t>Legal advise fees</t>
  </si>
  <si>
    <t>Total Startup costs</t>
  </si>
  <si>
    <t>Machinery</t>
  </si>
  <si>
    <t>Devestments</t>
  </si>
  <si>
    <t>Total devestments</t>
  </si>
  <si>
    <t>Subsidy</t>
  </si>
  <si>
    <t>Total subsidy</t>
  </si>
  <si>
    <t>Maintenance</t>
  </si>
  <si>
    <t xml:space="preserve">Value </t>
  </si>
  <si>
    <t>Value by start</t>
  </si>
  <si>
    <t>Ground</t>
  </si>
  <si>
    <t>Total assets</t>
  </si>
  <si>
    <t>Capacity</t>
  </si>
  <si>
    <t>Inventories</t>
  </si>
  <si>
    <t>Third deferred maintanance</t>
  </si>
  <si>
    <t>Value for depreciation</t>
  </si>
  <si>
    <t>Annual depreciation</t>
  </si>
  <si>
    <t>Capex annual (% of the building costs)</t>
  </si>
  <si>
    <t>Building</t>
  </si>
  <si>
    <t>PPE</t>
  </si>
  <si>
    <t>Equipment</t>
  </si>
  <si>
    <t>Depreciation rates</t>
  </si>
  <si>
    <t>Investments</t>
  </si>
  <si>
    <t>Total investments</t>
  </si>
  <si>
    <t>Residual value of investments</t>
  </si>
  <si>
    <t xml:space="preserve">Factor in year of investment </t>
  </si>
  <si>
    <t>Depreciation rate</t>
  </si>
  <si>
    <t>Property</t>
  </si>
  <si>
    <t>Accountant</t>
  </si>
  <si>
    <t>Office costs</t>
  </si>
  <si>
    <t>Free capacity</t>
  </si>
  <si>
    <t>March</t>
  </si>
  <si>
    <t>Stock</t>
  </si>
  <si>
    <t>Maintanance</t>
  </si>
  <si>
    <t>Subsidies</t>
  </si>
  <si>
    <t>Ratio</t>
  </si>
  <si>
    <t>Loans Annuity</t>
  </si>
  <si>
    <t xml:space="preserve">Loan 1 </t>
  </si>
  <si>
    <t xml:space="preserve">Loan 2 </t>
  </si>
  <si>
    <t xml:space="preserve">Loan 3 </t>
  </si>
  <si>
    <t>Aflossing</t>
  </si>
  <si>
    <t>Rente</t>
  </si>
  <si>
    <t xml:space="preserve">jan </t>
  </si>
  <si>
    <t xml:space="preserve">feb </t>
  </si>
  <si>
    <t>mrt</t>
  </si>
  <si>
    <t xml:space="preserve">    Interest Loan 1</t>
  </si>
  <si>
    <t>apr</t>
  </si>
  <si>
    <t xml:space="preserve">    Interest Loan 2</t>
  </si>
  <si>
    <t>mei</t>
  </si>
  <si>
    <t>jun</t>
  </si>
  <si>
    <t>jul</t>
  </si>
  <si>
    <t>aug</t>
  </si>
  <si>
    <t>sep</t>
  </si>
  <si>
    <t>okt</t>
  </si>
  <si>
    <t>nov</t>
  </si>
  <si>
    <t>jaar</t>
  </si>
  <si>
    <t>dec</t>
  </si>
  <si>
    <t>Inflation</t>
  </si>
  <si>
    <t>jan</t>
  </si>
  <si>
    <t>feb</t>
  </si>
  <si>
    <t>Linear</t>
  </si>
  <si>
    <t>Interest loan</t>
  </si>
  <si>
    <t xml:space="preserve">Loan </t>
  </si>
  <si>
    <t>Loan 3</t>
  </si>
  <si>
    <t>Interest equity</t>
  </si>
  <si>
    <t>Annual redemption equity</t>
  </si>
  <si>
    <t>Additional Redemption from cashflow</t>
  </si>
  <si>
    <t>Loan 1 - pre-loan</t>
  </si>
  <si>
    <t>Loan 2 - Principal</t>
  </si>
  <si>
    <t>Other</t>
  </si>
  <si>
    <t>Gross margin</t>
  </si>
  <si>
    <t xml:space="preserve">Installment </t>
  </si>
  <si>
    <t>Stored</t>
  </si>
  <si>
    <t>Investment</t>
  </si>
  <si>
    <t>Former years</t>
  </si>
  <si>
    <t>% investment subsidized</t>
  </si>
  <si>
    <t>To be activated in results</t>
  </si>
  <si>
    <t>Remaining subsidy</t>
  </si>
  <si>
    <t>Total subsidies</t>
  </si>
  <si>
    <t>Activated in results</t>
  </si>
  <si>
    <t>Ratio of use of type of grapes per wine type</t>
  </si>
  <si>
    <t>Type of wines</t>
  </si>
  <si>
    <t>Grapes</t>
  </si>
  <si>
    <t>Sold within years</t>
  </si>
  <si>
    <t>White</t>
  </si>
  <si>
    <t>Bottle</t>
  </si>
  <si>
    <t>Rose</t>
  </si>
  <si>
    <t xml:space="preserve">Cabernet Sauvignon </t>
  </si>
  <si>
    <t xml:space="preserve">Merlot </t>
  </si>
  <si>
    <t>Classic</t>
  </si>
  <si>
    <t>Barrel</t>
  </si>
  <si>
    <t xml:space="preserve">Cabernet Franc </t>
  </si>
  <si>
    <t xml:space="preserve">Mavrud </t>
  </si>
  <si>
    <t>Premium</t>
  </si>
  <si>
    <t>Selection individuelle</t>
  </si>
  <si>
    <t>Prognosis</t>
  </si>
  <si>
    <t>Varieties</t>
  </si>
  <si>
    <t>Hectares</t>
  </si>
  <si>
    <t>Merlot</t>
  </si>
  <si>
    <t>Mavrud</t>
  </si>
  <si>
    <t>Cabernet sauvignon</t>
  </si>
  <si>
    <t>Cabernet franc</t>
  </si>
  <si>
    <t>Muscat petit grain</t>
  </si>
  <si>
    <t xml:space="preserve">Grape type </t>
  </si>
  <si>
    <t>Total litres</t>
  </si>
  <si>
    <t>Ratio Kilo/Litre</t>
  </si>
  <si>
    <t>Average harvesting and loss per vine</t>
  </si>
  <si>
    <t xml:space="preserve">Hectares </t>
  </si>
  <si>
    <t>Vines</t>
  </si>
  <si>
    <t>Average kilo per vine per year</t>
  </si>
  <si>
    <t>total kilo per year</t>
  </si>
  <si>
    <t>Average total harvesting loss %</t>
  </si>
  <si>
    <t>Average total harvesting loss in KG</t>
  </si>
  <si>
    <t xml:space="preserve">Average total selection loss % * </t>
  </si>
  <si>
    <t>Average total selection loss in KG</t>
  </si>
  <si>
    <t>total net kilo per year</t>
  </si>
  <si>
    <t>Total loss</t>
  </si>
  <si>
    <t xml:space="preserve">* % of total kilo available for selection </t>
  </si>
  <si>
    <t>Forecast harvesting in KG</t>
  </si>
  <si>
    <t>Forecast total harvesting loss %</t>
  </si>
  <si>
    <t>Forecast total selection loss %</t>
  </si>
  <si>
    <t xml:space="preserve">Net kilo </t>
  </si>
  <si>
    <t>Total nett kilo</t>
  </si>
  <si>
    <t>Litres</t>
  </si>
  <si>
    <t>Total net litre</t>
  </si>
  <si>
    <t>Litres for production</t>
  </si>
  <si>
    <t>Differences in composition due to rounding up</t>
  </si>
  <si>
    <t>Rounded for filling barrels or bottles</t>
  </si>
  <si>
    <t>Volume of a barrel</t>
  </si>
  <si>
    <t>Bottles</t>
  </si>
  <si>
    <t>Used litres per vine type</t>
  </si>
  <si>
    <t>Remaining litres</t>
  </si>
  <si>
    <t>Net kilo of grapes not used</t>
  </si>
  <si>
    <t>Total litres per type of wine</t>
  </si>
  <si>
    <t>Total new Barrels</t>
  </si>
  <si>
    <t>Total new bottles</t>
  </si>
  <si>
    <t>Total bottles</t>
  </si>
  <si>
    <t>Entity</t>
  </si>
  <si>
    <t>Asset</t>
  </si>
  <si>
    <t>Year</t>
  </si>
  <si>
    <t>Red Church Assets</t>
  </si>
  <si>
    <t>Shares</t>
  </si>
  <si>
    <t>Red Church Vineyard</t>
  </si>
  <si>
    <t>Red Church Holding</t>
  </si>
  <si>
    <t>Information Memorandum</t>
  </si>
  <si>
    <t>Tube machine line 1</t>
  </si>
  <si>
    <t>Reversed</t>
  </si>
  <si>
    <t>Tube machine line 2</t>
  </si>
  <si>
    <t xml:space="preserve">Purchasing additional plots </t>
  </si>
  <si>
    <t>Exempt</t>
  </si>
  <si>
    <t>Marketing budget for brand awareness</t>
  </si>
  <si>
    <t>Subsidy investments</t>
  </si>
  <si>
    <t>Barrels</t>
  </si>
  <si>
    <t>VAT return</t>
  </si>
  <si>
    <t>Execute</t>
  </si>
  <si>
    <t>Irrigation System</t>
  </si>
  <si>
    <t>Tractor and other agricultural machinery</t>
  </si>
  <si>
    <t>Cellar improvement subsidy program</t>
  </si>
  <si>
    <t>Vine convertion subsidy program</t>
  </si>
  <si>
    <t>Marketing</t>
  </si>
  <si>
    <t>Euro/BGN</t>
  </si>
  <si>
    <t>Vehicles</t>
  </si>
  <si>
    <t>Own capital</t>
  </si>
  <si>
    <t>budget</t>
  </si>
  <si>
    <t>Net total investment</t>
  </si>
  <si>
    <t>per liter</t>
  </si>
  <si>
    <t>Wijn &lt; =8,5%</t>
  </si>
  <si>
    <t>Mousserende wijn &lt; =8,5%</t>
  </si>
  <si>
    <t xml:space="preserve">Wijn &gt; 8,5% &lt; =15% </t>
  </si>
  <si>
    <t>Wijn &gt; 15%</t>
  </si>
  <si>
    <t>Discount</t>
  </si>
  <si>
    <t>Excise duty</t>
  </si>
  <si>
    <t>Per bottle</t>
  </si>
  <si>
    <t>Fixed interest</t>
  </si>
  <si>
    <t>Trustee</t>
  </si>
  <si>
    <t>Management fee</t>
  </si>
  <si>
    <t>Admistration fee</t>
  </si>
  <si>
    <t xml:space="preserve">Issuer </t>
  </si>
  <si>
    <t>Variable Interest</t>
  </si>
  <si>
    <t>Outstanding Bond</t>
  </si>
  <si>
    <t>Conversion value</t>
  </si>
  <si>
    <t>Pre-payment</t>
  </si>
  <si>
    <t>Remaining Bond</t>
  </si>
  <si>
    <t>Participations</t>
  </si>
  <si>
    <t>Conversion</t>
  </si>
  <si>
    <t>Converted participations</t>
  </si>
  <si>
    <t>Remaining participations</t>
  </si>
  <si>
    <t xml:space="preserve">Purchase right in bottles </t>
  </si>
  <si>
    <t>Total value</t>
  </si>
  <si>
    <t>VAT due in NL</t>
  </si>
  <si>
    <t>Total variable interest</t>
  </si>
  <si>
    <t>Fixed and variable interest</t>
  </si>
  <si>
    <t xml:space="preserve">Surplus interest </t>
  </si>
  <si>
    <t>Total interest amount</t>
  </si>
  <si>
    <t>Effectuating right</t>
  </si>
  <si>
    <t>bottles</t>
  </si>
  <si>
    <t>increase % by new bottles</t>
  </si>
  <si>
    <t>Prognosis of the price per bottle</t>
  </si>
  <si>
    <t>Price increase year on year</t>
  </si>
  <si>
    <t>Price increase total</t>
  </si>
  <si>
    <t>Price per bottle</t>
  </si>
  <si>
    <t>Value change per year</t>
  </si>
  <si>
    <t>Selling prices :</t>
  </si>
  <si>
    <t>incl. VAT</t>
  </si>
  <si>
    <t>excl. VAT</t>
  </si>
  <si>
    <t>BGN</t>
  </si>
  <si>
    <t>EURO</t>
  </si>
  <si>
    <t>General Standard cost breakdown on an annual basis</t>
  </si>
  <si>
    <t>Costs</t>
  </si>
  <si>
    <t>Enological materials / addetives</t>
  </si>
  <si>
    <t>Enzymes</t>
  </si>
  <si>
    <t>Clarifiers</t>
  </si>
  <si>
    <t>Tannin</t>
  </si>
  <si>
    <t>Food for frogs</t>
  </si>
  <si>
    <t>Frogs</t>
  </si>
  <si>
    <t>Activated carbon</t>
  </si>
  <si>
    <t>Total BGN</t>
  </si>
  <si>
    <t>Total EURO</t>
  </si>
  <si>
    <t>White/rose</t>
  </si>
  <si>
    <t>Red wines</t>
  </si>
  <si>
    <t>Total costs per wine type</t>
  </si>
  <si>
    <t>Total costs per liter</t>
  </si>
  <si>
    <t>Remote safeguarding</t>
  </si>
  <si>
    <t>Remonts</t>
  </si>
  <si>
    <t>Laboratory</t>
  </si>
  <si>
    <t>Bottling</t>
  </si>
  <si>
    <t>Cork</t>
  </si>
  <si>
    <t>Labels</t>
  </si>
  <si>
    <t>Capsules</t>
  </si>
  <si>
    <t>Carton boxes</t>
  </si>
  <si>
    <t>Pallets</t>
  </si>
  <si>
    <t>Folio</t>
  </si>
  <si>
    <t>Cost price bottling per bottle</t>
  </si>
  <si>
    <t xml:space="preserve">Cost price bottling </t>
  </si>
  <si>
    <t>Waste</t>
  </si>
  <si>
    <t>Cost of waste per bottle</t>
  </si>
  <si>
    <t>Waste costs</t>
  </si>
  <si>
    <t>Capacity in liters</t>
  </si>
  <si>
    <t>Quantity in liters</t>
  </si>
  <si>
    <t>Reservoir</t>
  </si>
  <si>
    <t>Insulated Tank</t>
  </si>
  <si>
    <t>А3</t>
  </si>
  <si>
    <t>А5</t>
  </si>
  <si>
    <t>А6</t>
  </si>
  <si>
    <t>Subsidiaries</t>
  </si>
  <si>
    <t>Cost price</t>
  </si>
  <si>
    <t>Cost of goods sold</t>
  </si>
  <si>
    <t>Interest cost</t>
  </si>
  <si>
    <t>Goodwill</t>
  </si>
  <si>
    <t>Tax (with depreciation)</t>
  </si>
  <si>
    <t/>
  </si>
  <si>
    <t>Dividend income</t>
  </si>
  <si>
    <t>Repayment share premium</t>
  </si>
  <si>
    <t xml:space="preserve">Financial Statement </t>
  </si>
  <si>
    <t>Premium capital</t>
  </si>
  <si>
    <t>Obligation on non-current liabilities</t>
  </si>
  <si>
    <t>Taks</t>
  </si>
  <si>
    <t>Equity contribution</t>
  </si>
  <si>
    <t xml:space="preserve">New shares </t>
  </si>
  <si>
    <t>Total shares</t>
  </si>
  <si>
    <t>Gross profit</t>
  </si>
  <si>
    <t>Nominal value per sahre</t>
  </si>
  <si>
    <t>New share capital</t>
  </si>
  <si>
    <t>Total operating expenses</t>
  </si>
  <si>
    <t>Payment for new shares</t>
  </si>
  <si>
    <t>Result</t>
  </si>
  <si>
    <t>Addition to free reserve</t>
  </si>
  <si>
    <t>Cash Flow</t>
  </si>
  <si>
    <t>Sale wines</t>
  </si>
  <si>
    <t>Interest income</t>
  </si>
  <si>
    <t xml:space="preserve">Participation </t>
  </si>
  <si>
    <t>Start-up costs</t>
  </si>
  <si>
    <t>Conversion into shares</t>
  </si>
  <si>
    <t>Loan issued</t>
  </si>
  <si>
    <t xml:space="preserve">Tax </t>
  </si>
  <si>
    <t>Repayment share captial</t>
  </si>
  <si>
    <t>Liquidation dividend</t>
  </si>
  <si>
    <t>Issued loan</t>
  </si>
  <si>
    <t xml:space="preserve">Dividend by sale </t>
  </si>
  <si>
    <t>Net result</t>
  </si>
  <si>
    <t>Annual result</t>
  </si>
  <si>
    <t>Repayment</t>
  </si>
  <si>
    <t>Result till sale</t>
  </si>
  <si>
    <t>Value of result by sale for purchaser</t>
  </si>
  <si>
    <t xml:space="preserve">Investors </t>
  </si>
  <si>
    <t>Stichting Red Church Bondholders</t>
  </si>
  <si>
    <t>Investment structure</t>
  </si>
  <si>
    <t>Red Church Estate EooD</t>
  </si>
  <si>
    <t xml:space="preserve">Bottles in storage </t>
  </si>
  <si>
    <t>End Date</t>
  </si>
  <si>
    <t>Certificates</t>
  </si>
  <si>
    <t>Nominal value per certificate</t>
  </si>
  <si>
    <t>Bottles in storage</t>
  </si>
  <si>
    <t>Certificate value</t>
  </si>
  <si>
    <t>Nett return</t>
  </si>
  <si>
    <t>Price increase for new production</t>
  </si>
  <si>
    <t>Transport costs</t>
  </si>
  <si>
    <t>Expected price per bottle</t>
  </si>
  <si>
    <t xml:space="preserve">Storage costs </t>
  </si>
  <si>
    <t xml:space="preserve">Transport costs </t>
  </si>
  <si>
    <t>Stored bottles value</t>
  </si>
  <si>
    <t>Sold bottles value</t>
  </si>
  <si>
    <t>Price mutation stored bottles</t>
  </si>
  <si>
    <t>Production year</t>
  </si>
  <si>
    <t>Purchasing wines</t>
  </si>
  <si>
    <t>With holding taks on interest</t>
  </si>
  <si>
    <t>Bond</t>
  </si>
  <si>
    <t xml:space="preserve">Bond </t>
  </si>
  <si>
    <t>Operating capital / share premium</t>
  </si>
  <si>
    <t xml:space="preserve">VAT </t>
  </si>
  <si>
    <t>Vouchers</t>
  </si>
  <si>
    <t>internal community</t>
  </si>
  <si>
    <t>Time</t>
  </si>
  <si>
    <t>Wine purchase</t>
  </si>
  <si>
    <t>Wine delivery</t>
  </si>
  <si>
    <t>none</t>
  </si>
  <si>
    <t xml:space="preserve">Vouchers </t>
  </si>
  <si>
    <t>Remaining</t>
  </si>
  <si>
    <t>Redeemed</t>
  </si>
  <si>
    <t>Value provided vouchers</t>
  </si>
  <si>
    <t>VAT on provided vouchers</t>
  </si>
  <si>
    <t>Value of option right</t>
  </si>
  <si>
    <t xml:space="preserve">Purchase option </t>
  </si>
  <si>
    <t>Effectuating right in bottles</t>
  </si>
  <si>
    <t>VAT on operating costs pre paid</t>
  </si>
  <si>
    <t xml:space="preserve">Additional </t>
  </si>
  <si>
    <t>Value redeemed vouchers</t>
  </si>
  <si>
    <t>Voucher costs (non-recoverable VAT)</t>
  </si>
  <si>
    <t>Voucher costs (redeemed)</t>
  </si>
  <si>
    <t xml:space="preserve">Corporate taks </t>
  </si>
  <si>
    <t>&lt;</t>
  </si>
  <si>
    <t>&gt;</t>
  </si>
  <si>
    <t>Annual Result</t>
  </si>
  <si>
    <t xml:space="preserve">Carry back </t>
  </si>
  <si>
    <t>Carry forward</t>
  </si>
  <si>
    <t>Corporate taks defenitive</t>
  </si>
  <si>
    <t xml:space="preserve">Bond loan </t>
  </si>
  <si>
    <t>Early repayment</t>
  </si>
  <si>
    <t>Net interest</t>
  </si>
  <si>
    <t>Withholding taks</t>
  </si>
  <si>
    <t>rate per hl</t>
  </si>
  <si>
    <t>wine type</t>
  </si>
  <si>
    <t>Volume per bottle</t>
  </si>
  <si>
    <t>per bottle 0,75</t>
  </si>
  <si>
    <t>Excise rate the Netherlands</t>
  </si>
  <si>
    <t>Plots</t>
  </si>
  <si>
    <t>Machinery and equipment</t>
  </si>
  <si>
    <t>Active dam Clemens TC</t>
  </si>
  <si>
    <t>Cultivator Clemens Hexagon</t>
  </si>
  <si>
    <t>MMATR400 sprayer</t>
  </si>
  <si>
    <t>Starmix Project Sprayer</t>
  </si>
  <si>
    <t>Drip irrigation system</t>
  </si>
  <si>
    <t>Lamborghini tractor</t>
  </si>
  <si>
    <t>Cutter / shredder guard</t>
  </si>
  <si>
    <t>Vineyard base</t>
  </si>
  <si>
    <t>book value</t>
  </si>
  <si>
    <t xml:space="preserve">Group company's </t>
  </si>
  <si>
    <t>Group companies</t>
  </si>
  <si>
    <t>RED CHURCH ESTATE EOOD</t>
  </si>
  <si>
    <t>Future Positive Consult EOOD</t>
  </si>
  <si>
    <t>Receivables from customers and suppliers, incl.</t>
  </si>
  <si>
    <t>VAT recovery</t>
  </si>
  <si>
    <t>Calculations with the budget</t>
  </si>
  <si>
    <t>Other claims</t>
  </si>
  <si>
    <t>Cash</t>
  </si>
  <si>
    <t>Bank accounts</t>
  </si>
  <si>
    <t>BGN/EURO</t>
  </si>
  <si>
    <t>Vances</t>
  </si>
  <si>
    <t>Additional dividend</t>
  </si>
  <si>
    <t>Van for security and storage of materials :</t>
  </si>
  <si>
    <t>Harvesting</t>
  </si>
  <si>
    <t>Pickers</t>
  </si>
  <si>
    <t>Loaders</t>
  </si>
  <si>
    <t>Digging</t>
  </si>
  <si>
    <t>Cutting</t>
  </si>
  <si>
    <t>Tying</t>
  </si>
  <si>
    <t>Waste transportation</t>
  </si>
  <si>
    <t>Cultivation</t>
  </si>
  <si>
    <t>KG</t>
  </si>
  <si>
    <t>Period</t>
  </si>
  <si>
    <t>june - juli</t>
  </si>
  <si>
    <t>Per KG</t>
  </si>
  <si>
    <t>Oct - March</t>
  </si>
  <si>
    <t>Days</t>
  </si>
  <si>
    <t>Costs per staff per day</t>
  </si>
  <si>
    <t>Everage per day</t>
  </si>
  <si>
    <t>Everage staff per day</t>
  </si>
  <si>
    <t>Total staff costs</t>
  </si>
  <si>
    <t>Everage fuel costs per day</t>
  </si>
  <si>
    <t>Total fuel costs</t>
  </si>
  <si>
    <t>Per kg</t>
  </si>
  <si>
    <t>Rows</t>
  </si>
  <si>
    <t>Total decari</t>
  </si>
  <si>
    <t>Everage decari per day</t>
  </si>
  <si>
    <t>Cost per staff per day</t>
  </si>
  <si>
    <t>Decari per row</t>
  </si>
  <si>
    <t>Total digging costs</t>
  </si>
  <si>
    <t>Everage vines per staff per day</t>
  </si>
  <si>
    <t>Total staff costs per day</t>
  </si>
  <si>
    <t>Total staff in days</t>
  </si>
  <si>
    <t>Total days</t>
  </si>
  <si>
    <t>KG vines</t>
  </si>
  <si>
    <t>March - April</t>
  </si>
  <si>
    <t>April - May</t>
  </si>
  <si>
    <t>Fertlizing</t>
  </si>
  <si>
    <t xml:space="preserve">April </t>
  </si>
  <si>
    <t>Rows per fertilizing day</t>
  </si>
  <si>
    <t>Rows per maintanace day</t>
  </si>
  <si>
    <t>Rows per staff per day</t>
  </si>
  <si>
    <t>Fertilizing matertial</t>
  </si>
  <si>
    <t>Per row</t>
  </si>
  <si>
    <t xml:space="preserve">Per KG </t>
  </si>
  <si>
    <t>Tractor driver</t>
  </si>
  <si>
    <t>Everage day staff</t>
  </si>
  <si>
    <t>VL</t>
  </si>
  <si>
    <t>SL</t>
  </si>
  <si>
    <t xml:space="preserve">costs per staff </t>
  </si>
  <si>
    <t xml:space="preserve">Live guards - 5 pm - 8 am </t>
  </si>
  <si>
    <t>Other costs</t>
  </si>
  <si>
    <t>Trust Deed</t>
  </si>
  <si>
    <t>Stichting Red Church Custodian</t>
  </si>
  <si>
    <t>100% shareholder</t>
  </si>
  <si>
    <t>Red Church Finance B.V.</t>
  </si>
  <si>
    <t>EN  OOD</t>
  </si>
  <si>
    <t xml:space="preserve">           Loan and purchase right</t>
  </si>
  <si>
    <t xml:space="preserve">                     Bonds</t>
  </si>
  <si>
    <t xml:space="preserve">   100% shareholder</t>
  </si>
  <si>
    <t>Red Church Vineyard EooD</t>
  </si>
  <si>
    <t>Structuring costs</t>
  </si>
  <si>
    <t>Red Church Estate</t>
  </si>
  <si>
    <t>Harvest</t>
  </si>
  <si>
    <t>Wine</t>
  </si>
  <si>
    <t>Type of storage</t>
  </si>
  <si>
    <t xml:space="preserve">Premium </t>
  </si>
  <si>
    <t xml:space="preserve">Bottled </t>
  </si>
  <si>
    <t xml:space="preserve">Cabernet Sauvignon / Cabernet Franc </t>
  </si>
  <si>
    <t xml:space="preserve">Merlot / Mavrud / Cabernet Sauvignon </t>
  </si>
  <si>
    <t xml:space="preserve">Rose </t>
  </si>
  <si>
    <t>Bottles - 0.750 l.</t>
  </si>
  <si>
    <t xml:space="preserve"> Type of storage</t>
  </si>
  <si>
    <t>Harvest year</t>
  </si>
  <si>
    <t>Total Investments</t>
  </si>
  <si>
    <t>Net investments</t>
  </si>
  <si>
    <t>Depreciation of buildings</t>
  </si>
  <si>
    <t>Depreciation of machines and equipment</t>
  </si>
  <si>
    <t>Opening</t>
  </si>
  <si>
    <t>Raw materials</t>
  </si>
  <si>
    <t>Work in progress</t>
  </si>
  <si>
    <t>Products</t>
  </si>
  <si>
    <t>Goods</t>
  </si>
  <si>
    <t>Advances provided</t>
  </si>
  <si>
    <t>Immovable assets</t>
  </si>
  <si>
    <t>Movable assets</t>
  </si>
  <si>
    <t>Deferred expenses (european project)</t>
  </si>
  <si>
    <t>Land 1221 sq m</t>
  </si>
  <si>
    <t>Land 1314 sq m</t>
  </si>
  <si>
    <t>Land 1404 sq m</t>
  </si>
  <si>
    <t>Land 5712 sq m</t>
  </si>
  <si>
    <t>Wine cellar</t>
  </si>
  <si>
    <t>BUTYLING-ALFATEK</t>
  </si>
  <si>
    <t>PRASKVACHKA</t>
  </si>
  <si>
    <t>Cooling system</t>
  </si>
  <si>
    <t>GRUNDFOS TP 80-210 / 2 PUMP</t>
  </si>
  <si>
    <t>BUTYLING-ENEOS</t>
  </si>
  <si>
    <t>Plots of land / Peroushtitsa</t>
  </si>
  <si>
    <t>Sprayer ММАТР400</t>
  </si>
  <si>
    <t>Computers / IT</t>
  </si>
  <si>
    <t>Office furniture</t>
  </si>
  <si>
    <t>Computer / IT</t>
  </si>
  <si>
    <t>Tanks / vermenters</t>
  </si>
  <si>
    <t>Infrastructure</t>
  </si>
  <si>
    <t>Stock by acquisition</t>
  </si>
  <si>
    <t>Stock in reservoirs</t>
  </si>
  <si>
    <t>Fermenter</t>
  </si>
  <si>
    <t>Stock in Barrels</t>
  </si>
  <si>
    <t>Assets by acquisition</t>
  </si>
  <si>
    <t>Investment from free cashflow</t>
  </si>
  <si>
    <t>Total needed investment</t>
  </si>
  <si>
    <t>Sales</t>
  </si>
  <si>
    <t>Type of wine</t>
  </si>
  <si>
    <t>maturation</t>
  </si>
  <si>
    <t>After irrigation system growth</t>
  </si>
  <si>
    <t>Total capacity</t>
  </si>
  <si>
    <t>Wine type</t>
  </si>
  <si>
    <t>Storage in fermenters</t>
  </si>
  <si>
    <t>Grape type</t>
  </si>
  <si>
    <t>Additional capacity needed</t>
  </si>
  <si>
    <t>Fermenters type</t>
  </si>
  <si>
    <t>By start</t>
  </si>
  <si>
    <t>Capacity by start</t>
  </si>
  <si>
    <t>Investment new fermenter</t>
  </si>
  <si>
    <t xml:space="preserve">Costs </t>
  </si>
  <si>
    <t>Storage reservoirs</t>
  </si>
  <si>
    <t>Replacement</t>
  </si>
  <si>
    <t>process</t>
  </si>
  <si>
    <t>In tanks</t>
  </si>
  <si>
    <t>Grape</t>
  </si>
  <si>
    <t>CS/Merlot/Mavrud</t>
  </si>
  <si>
    <t>CF</t>
  </si>
  <si>
    <t>A2</t>
  </si>
  <si>
    <t>A4</t>
  </si>
  <si>
    <t>CF/CS</t>
  </si>
  <si>
    <t>A1</t>
  </si>
  <si>
    <t>New</t>
  </si>
  <si>
    <t>Banking debts</t>
  </si>
  <si>
    <t>Bond Loan</t>
  </si>
  <si>
    <t>Conversion into share capital</t>
  </si>
  <si>
    <t>Bond loan</t>
  </si>
  <si>
    <t>Harvesting and selecction cost specification, based on benchmark year 2018</t>
  </si>
  <si>
    <t>by providing</t>
  </si>
  <si>
    <t>Maturation period</t>
  </si>
  <si>
    <t>Fermenting</t>
  </si>
  <si>
    <t>Tanks</t>
  </si>
  <si>
    <t>Months</t>
  </si>
  <si>
    <t>Selection Individuelle</t>
  </si>
  <si>
    <t>In barrels in year</t>
  </si>
  <si>
    <t>Total barrels</t>
  </si>
  <si>
    <t xml:space="preserve">Stored in </t>
  </si>
  <si>
    <t>Bottled</t>
  </si>
  <si>
    <t>Capacity bottling machine</t>
  </si>
  <si>
    <t>Per day</t>
  </si>
  <si>
    <t>Bottling in days</t>
  </si>
  <si>
    <t>Boxes</t>
  </si>
  <si>
    <t xml:space="preserve">Storage in boxes </t>
  </si>
  <si>
    <t>Capacity of a box</t>
  </si>
  <si>
    <t>Capacity of a pellet</t>
  </si>
  <si>
    <t>Storage on pellets</t>
  </si>
  <si>
    <t>Pellets</t>
  </si>
  <si>
    <t>Cases per layer</t>
  </si>
  <si>
    <t>Layers</t>
  </si>
  <si>
    <t>1 * 1,2 * 0,15</t>
  </si>
  <si>
    <t>Box hight</t>
  </si>
  <si>
    <t>sq.m per pellet</t>
  </si>
  <si>
    <t>Cibuc meter</t>
  </si>
  <si>
    <t>Size pellet</t>
  </si>
  <si>
    <t>bottles per box</t>
  </si>
  <si>
    <t>costp rice per pellet</t>
  </si>
  <si>
    <t>Monthly</t>
  </si>
  <si>
    <t>Vermenters</t>
  </si>
  <si>
    <t>Reservoirs</t>
  </si>
  <si>
    <t>Replacement machinery</t>
  </si>
  <si>
    <t>Fermenters</t>
  </si>
  <si>
    <t>Expansion</t>
  </si>
  <si>
    <t>Number</t>
  </si>
  <si>
    <t>New barrels</t>
  </si>
  <si>
    <t>Price per barrel</t>
  </si>
  <si>
    <t>Purchase price barrels</t>
  </si>
  <si>
    <t>Net investment</t>
  </si>
  <si>
    <t>Current Book value</t>
  </si>
  <si>
    <t>New buildings</t>
  </si>
  <si>
    <t>Equipment new</t>
  </si>
  <si>
    <t>Vehiscles</t>
  </si>
  <si>
    <t>Inventory</t>
  </si>
  <si>
    <t>Activated subsidy</t>
  </si>
  <si>
    <t xml:space="preserve">Transfer of inventories to EN EooD </t>
  </si>
  <si>
    <t>Purchased by EN EooD</t>
  </si>
  <si>
    <t>Remaining debts</t>
  </si>
  <si>
    <t>Cost settlement with EN EooD</t>
  </si>
  <si>
    <t>Margin</t>
  </si>
  <si>
    <t>Settlement by share premium repayment</t>
  </si>
  <si>
    <t>Revene</t>
  </si>
  <si>
    <t>Depreciation investment</t>
  </si>
  <si>
    <t>Dividend paid to holding</t>
  </si>
  <si>
    <t>Cash contributions</t>
  </si>
  <si>
    <t>Free cashflow</t>
  </si>
  <si>
    <t>Intercompany loan</t>
  </si>
  <si>
    <t>Capitalized maintanance</t>
  </si>
  <si>
    <t>Real Estate Costs</t>
  </si>
  <si>
    <t>Equity by acquisition</t>
  </si>
  <si>
    <t>Minimum participation</t>
  </si>
  <si>
    <t>Bonds</t>
  </si>
  <si>
    <t>Vouchers per minimum investment</t>
  </si>
  <si>
    <t>Participation</t>
  </si>
  <si>
    <t xml:space="preserve">Conversion </t>
  </si>
  <si>
    <t>Total Bonds</t>
  </si>
  <si>
    <t>Remaining bonds</t>
  </si>
  <si>
    <t xml:space="preserve">Shares </t>
  </si>
  <si>
    <t>Shares per Bond</t>
  </si>
  <si>
    <t>% of participation in total capital</t>
  </si>
  <si>
    <t xml:space="preserve">Shares receive by conversion </t>
  </si>
  <si>
    <t>Total shares received</t>
  </si>
  <si>
    <t xml:space="preserve">Storage and transport </t>
  </si>
  <si>
    <t>Nominal value per Bond</t>
  </si>
  <si>
    <t>Total Bond principal</t>
  </si>
  <si>
    <t>Storage costs</t>
  </si>
  <si>
    <t>Bonds for the calculation</t>
  </si>
  <si>
    <t xml:space="preserve">Value of bottles </t>
  </si>
  <si>
    <t>Total value stored bottles</t>
  </si>
  <si>
    <t>Net value of bottles</t>
  </si>
  <si>
    <t>Price mutation sold bottles from storage</t>
  </si>
  <si>
    <t>Sold to Red Church Group</t>
  </si>
  <si>
    <t>Bottles sold</t>
  </si>
  <si>
    <t>Resale discount Red Church Group</t>
  </si>
  <si>
    <t>Red Church re-sale discount</t>
  </si>
  <si>
    <t>Return</t>
  </si>
  <si>
    <t>Indirect costs</t>
  </si>
  <si>
    <t>Indirect staff</t>
  </si>
  <si>
    <t>CEO</t>
  </si>
  <si>
    <t>cao</t>
  </si>
  <si>
    <t>FTE</t>
  </si>
  <si>
    <t>Vinologist</t>
  </si>
  <si>
    <t>Sommelier</t>
  </si>
  <si>
    <t>Technologist</t>
  </si>
  <si>
    <t>Seasonal workers</t>
  </si>
  <si>
    <t>Domestic costs</t>
  </si>
  <si>
    <t>Area costs</t>
  </si>
  <si>
    <t>Phones and internet</t>
  </si>
  <si>
    <t>Banking costs</t>
  </si>
  <si>
    <t>Garbage removal</t>
  </si>
  <si>
    <t>Education</t>
  </si>
  <si>
    <t>Insurance costs</t>
  </si>
  <si>
    <t>ICT costs</t>
  </si>
  <si>
    <t>Translations</t>
  </si>
  <si>
    <t>Lawyer fees</t>
  </si>
  <si>
    <t>Work clothes</t>
  </si>
  <si>
    <t>Third parties</t>
  </si>
  <si>
    <t>Direct staff</t>
  </si>
  <si>
    <t>Collective labour agreement</t>
  </si>
  <si>
    <t>Construction maintenance</t>
  </si>
  <si>
    <t>Everage harvesting a day</t>
  </si>
  <si>
    <t>Fuel costs</t>
  </si>
  <si>
    <t>Costs off staff per day</t>
  </si>
  <si>
    <t>Wate transporation</t>
  </si>
  <si>
    <t>Everage transport per day</t>
  </si>
  <si>
    <t>Purchase right</t>
  </si>
  <si>
    <t>Bottling year</t>
  </si>
  <si>
    <t>Bottled in</t>
  </si>
  <si>
    <t>Production for purchase right</t>
  </si>
  <si>
    <t>Addition from next year</t>
  </si>
  <si>
    <t>Remaining bottles for sale</t>
  </si>
  <si>
    <t>Sale prices</t>
  </si>
  <si>
    <t>Costs of sold goods</t>
  </si>
  <si>
    <t>Technologist assistant / tractor driver</t>
  </si>
  <si>
    <t>Pre-repayment</t>
  </si>
  <si>
    <t>Transport</t>
  </si>
  <si>
    <t>Fuel seaonal work</t>
  </si>
  <si>
    <t>Real Estate</t>
  </si>
  <si>
    <t>Investment in inventories</t>
  </si>
  <si>
    <t>Share premium in subsidiaries</t>
  </si>
  <si>
    <t>Fuel costs other work</t>
  </si>
  <si>
    <t>Written off to zero</t>
  </si>
  <si>
    <t>Liquidity by opening</t>
  </si>
  <si>
    <t>Total liqudity before start</t>
  </si>
  <si>
    <t>Repayment reserve</t>
  </si>
  <si>
    <t>Written of to zero Group company's</t>
  </si>
  <si>
    <t>Book value assets</t>
  </si>
  <si>
    <t>Settlement</t>
  </si>
  <si>
    <t>write off deferred expenses</t>
  </si>
  <si>
    <t>Premium repayments to Holding</t>
  </si>
  <si>
    <t>Value subsidiaries</t>
  </si>
  <si>
    <t>Value of Subsidiary</t>
  </si>
  <si>
    <t>Marketing costs</t>
  </si>
  <si>
    <t>Result subsidiaries</t>
  </si>
  <si>
    <t>Total value subsidiaries</t>
  </si>
  <si>
    <t>Share premium from conversion</t>
  </si>
  <si>
    <t xml:space="preserve">Opening </t>
  </si>
  <si>
    <t>Deposit payments</t>
  </si>
  <si>
    <t>Current account group entities</t>
  </si>
  <si>
    <t>Capitalized bond costs</t>
  </si>
  <si>
    <t>Deprication rate</t>
  </si>
  <si>
    <t>Forecast Bond</t>
  </si>
  <si>
    <t>Share premium in subsidiaries return</t>
  </si>
  <si>
    <t>Difference</t>
  </si>
  <si>
    <t>Mutation in equity before purchase</t>
  </si>
  <si>
    <t>Goodwill at purchase date</t>
  </si>
  <si>
    <t>Repayment share premium to shareholder</t>
  </si>
  <si>
    <t>Litre</t>
  </si>
  <si>
    <t>Remaining litres per vine type</t>
  </si>
  <si>
    <t>Cost price sold goods</t>
  </si>
  <si>
    <t>Cost price per litre</t>
  </si>
  <si>
    <t xml:space="preserve">In production </t>
  </si>
  <si>
    <t>Depreciation barrels</t>
  </si>
  <si>
    <t>Nett cost allocation RCE</t>
  </si>
  <si>
    <t>Activated subsidy barrels</t>
  </si>
  <si>
    <t>Correction cost allocation RCE</t>
  </si>
  <si>
    <t>Costs barrels</t>
  </si>
  <si>
    <t>Costprice in production</t>
  </si>
  <si>
    <t xml:space="preserve">Bottles </t>
  </si>
  <si>
    <t>Bottled in litres</t>
  </si>
  <si>
    <t>Cost price bottling</t>
  </si>
  <si>
    <t>Sold bottles in litres</t>
  </si>
  <si>
    <t>Cost price sold litres</t>
  </si>
  <si>
    <t>Cost price remaining stock</t>
  </si>
  <si>
    <t>Reaming value of the Stock</t>
  </si>
  <si>
    <t>Value stock in tanks</t>
  </si>
  <si>
    <t>Value stock bottles</t>
  </si>
  <si>
    <t>Remaining stock in litre</t>
  </si>
  <si>
    <t>Value stock in barrels</t>
  </si>
  <si>
    <t xml:space="preserve">Materials and stock value in Red Church Estate </t>
  </si>
  <si>
    <t>Bottles empty</t>
  </si>
  <si>
    <t>Boxes normal</t>
  </si>
  <si>
    <t>Materials</t>
  </si>
  <si>
    <t>Price per unit</t>
  </si>
  <si>
    <t>Quantity</t>
  </si>
  <si>
    <t>Value of Barrels in Stock</t>
  </si>
  <si>
    <t>Value remaining stock</t>
  </si>
  <si>
    <t>Bottles for sale in the market</t>
  </si>
  <si>
    <t>Bottles sold to Issuer</t>
  </si>
  <si>
    <t>Purchase price per bottle</t>
  </si>
  <si>
    <t>Inventory materials</t>
  </si>
  <si>
    <t xml:space="preserve">Already bottled </t>
  </si>
  <si>
    <t>Margin new purchse</t>
  </si>
  <si>
    <t>Needed bottles</t>
  </si>
  <si>
    <t>Costs price</t>
  </si>
  <si>
    <t>Remaining inventory</t>
  </si>
  <si>
    <t>Needed pallets</t>
  </si>
  <si>
    <t>Price per pellet</t>
  </si>
  <si>
    <t>Purchased material</t>
  </si>
  <si>
    <t xml:space="preserve">Stock </t>
  </si>
  <si>
    <t>Intangible assets</t>
  </si>
  <si>
    <t>Tangible fixed assets</t>
  </si>
  <si>
    <t>Cost settlement with RCV</t>
  </si>
  <si>
    <t>Cost settlement with RCE</t>
  </si>
  <si>
    <t>allotment</t>
  </si>
  <si>
    <t>Litres in bottles</t>
  </si>
  <si>
    <t>Litres in tanks</t>
  </si>
  <si>
    <t>Litres in barrels</t>
  </si>
  <si>
    <t>Total production costs</t>
  </si>
  <si>
    <t>Cost price per product</t>
  </si>
  <si>
    <t>litre</t>
  </si>
  <si>
    <t>Total work in progress</t>
  </si>
  <si>
    <t>Total stock</t>
  </si>
  <si>
    <t>Revaluation of inventories</t>
  </si>
  <si>
    <t>Total value materials</t>
  </si>
  <si>
    <t>Revaluation</t>
  </si>
  <si>
    <t>Book value inventories</t>
  </si>
  <si>
    <t xml:space="preserve">Revaluation </t>
  </si>
  <si>
    <t>Cost price ready product</t>
  </si>
  <si>
    <t xml:space="preserve">Stock value </t>
  </si>
  <si>
    <t>Stock value</t>
  </si>
  <si>
    <t>Previous year</t>
  </si>
  <si>
    <t>Ready product</t>
  </si>
  <si>
    <t>semi-finished products</t>
  </si>
  <si>
    <t>Semi-finished products</t>
  </si>
  <si>
    <t>Start</t>
  </si>
  <si>
    <t>Cost price of the inventory</t>
  </si>
  <si>
    <t>start</t>
  </si>
  <si>
    <t>used</t>
  </si>
  <si>
    <t>purchased</t>
  </si>
  <si>
    <t>end</t>
  </si>
  <si>
    <t>Total purchased</t>
  </si>
  <si>
    <t>Value new object</t>
  </si>
  <si>
    <t>Labour medicine services - 3rd partry</t>
  </si>
  <si>
    <t>Electricity *</t>
  </si>
  <si>
    <t>Realization buidlings</t>
  </si>
  <si>
    <t>Factor electricity use</t>
  </si>
  <si>
    <t>Water **</t>
  </si>
  <si>
    <t xml:space="preserve">Realization irrigation sytem </t>
  </si>
  <si>
    <t>Factor water uses</t>
  </si>
  <si>
    <t>Insurance value</t>
  </si>
  <si>
    <t>Value</t>
  </si>
  <si>
    <t>Insurance costs stock</t>
  </si>
  <si>
    <t>insurance costs</t>
  </si>
  <si>
    <t>Total insurance costs</t>
  </si>
  <si>
    <t>Total return</t>
  </si>
  <si>
    <t>Forecast dividend of Red Church Group</t>
  </si>
  <si>
    <t>IRR Investor on Bond</t>
  </si>
  <si>
    <t>Annual return on Bond</t>
  </si>
  <si>
    <t>material used</t>
  </si>
  <si>
    <t>Production costs current year</t>
  </si>
  <si>
    <t xml:space="preserve">Costs in year </t>
  </si>
  <si>
    <t>New litres</t>
  </si>
  <si>
    <t>Total new litres</t>
  </si>
  <si>
    <t>Control</t>
  </si>
  <si>
    <t>Costs production</t>
  </si>
  <si>
    <t>cost price production</t>
  </si>
  <si>
    <t>Purchased</t>
  </si>
  <si>
    <t xml:space="preserve">Stock end </t>
  </si>
  <si>
    <t>Start start</t>
  </si>
  <si>
    <t xml:space="preserve">Cost price per litre </t>
  </si>
  <si>
    <t>Benchmark 2018</t>
  </si>
  <si>
    <t>Cost in year</t>
  </si>
  <si>
    <t>Bottling costs</t>
  </si>
  <si>
    <t>Semi-finished products in tanks</t>
  </si>
  <si>
    <t>Allocation</t>
  </si>
  <si>
    <t>Cost of semi-finished products in tanks</t>
  </si>
  <si>
    <t>Barrels costs</t>
  </si>
  <si>
    <t xml:space="preserve">Cost of barrels </t>
  </si>
  <si>
    <t>Semi-finished products in barrels</t>
  </si>
  <si>
    <t>Total value in stock of semi-finished goods</t>
  </si>
  <si>
    <t>Litres of previous years in barrels</t>
  </si>
  <si>
    <t>Correction subsidiaries</t>
  </si>
  <si>
    <t>Total correction subsidiaries</t>
  </si>
  <si>
    <t xml:space="preserve">Correction investments </t>
  </si>
  <si>
    <t>Total correction investments</t>
  </si>
  <si>
    <t>Purchased inventory</t>
  </si>
  <si>
    <t>Correction production costs</t>
  </si>
  <si>
    <t>Total bottling costs</t>
  </si>
  <si>
    <t>Finished products</t>
  </si>
  <si>
    <t>Settlement current accounts</t>
  </si>
  <si>
    <t>Total indirect costs</t>
  </si>
  <si>
    <t>Payment additional share capital</t>
  </si>
  <si>
    <t>Paid production costs</t>
  </si>
  <si>
    <t>Bottles sold to the market</t>
  </si>
  <si>
    <t>Total sold</t>
  </si>
  <si>
    <t>Sale price to market</t>
  </si>
  <si>
    <t>Sales to market</t>
  </si>
  <si>
    <t>Ready product in fiscal year</t>
  </si>
  <si>
    <t>by start</t>
  </si>
  <si>
    <t>Value of semi finished goods</t>
  </si>
  <si>
    <t>Value barrels incl semi products of wine</t>
  </si>
  <si>
    <t>semi-finished products in tanks</t>
  </si>
  <si>
    <t>Minimum Bond</t>
  </si>
  <si>
    <t>Total made costs in production year</t>
  </si>
  <si>
    <t>Cost of barrels</t>
  </si>
  <si>
    <t>Value semi-finished goods</t>
  </si>
  <si>
    <t>Total finished products</t>
  </si>
  <si>
    <t>control calculation</t>
  </si>
  <si>
    <t>Total in reservoirs</t>
  </si>
  <si>
    <t>Production calculation</t>
  </si>
  <si>
    <t>Dividend payment ratio</t>
  </si>
  <si>
    <t>Converted share premium to shareholders</t>
  </si>
  <si>
    <t>cumm share premium</t>
  </si>
  <si>
    <t>Repayment to  shareholders</t>
  </si>
  <si>
    <t>Remaining share premium</t>
  </si>
  <si>
    <t>Interim</t>
  </si>
  <si>
    <t>Final</t>
  </si>
  <si>
    <t>Share premium</t>
  </si>
  <si>
    <t>Dividend and repayment</t>
  </si>
  <si>
    <t>Dividend return per share</t>
  </si>
  <si>
    <t>Pemium repayment per share</t>
  </si>
  <si>
    <t>Dividend forecasted per share</t>
  </si>
  <si>
    <t>Costs of goods</t>
  </si>
  <si>
    <t>Control calculation</t>
  </si>
  <si>
    <t>Start stock</t>
  </si>
  <si>
    <t>Balance sheet value</t>
  </si>
  <si>
    <t xml:space="preserve">End stock </t>
  </si>
  <si>
    <t xml:space="preserve">Advise fee </t>
  </si>
  <si>
    <t>Advise fee</t>
  </si>
  <si>
    <t>Advisory fee</t>
  </si>
  <si>
    <t>Minimum free cash flow</t>
  </si>
  <si>
    <t>Remaining ready products</t>
  </si>
  <si>
    <t>Selling price (excl. VAT)</t>
  </si>
  <si>
    <t>Price growth prognosis</t>
  </si>
  <si>
    <t xml:space="preserve">Excise duty </t>
  </si>
  <si>
    <t>Stichting Red Church</t>
  </si>
  <si>
    <t>Used</t>
  </si>
  <si>
    <t>Production from stock</t>
  </si>
  <si>
    <t xml:space="preserve">Ratio </t>
  </si>
  <si>
    <t>Barrels - non mix</t>
  </si>
  <si>
    <t>Mavrud X Merlot X Cabernet Sauvignon</t>
  </si>
  <si>
    <t>Wine type / mix</t>
  </si>
  <si>
    <t>harvest</t>
  </si>
  <si>
    <t>Liters</t>
  </si>
  <si>
    <t>Year of harvest</t>
  </si>
  <si>
    <t>2023-2024</t>
  </si>
  <si>
    <t>Merlot X Cabernet Franc</t>
  </si>
  <si>
    <t>Cabernet Franc</t>
  </si>
  <si>
    <t xml:space="preserve"> litres</t>
  </si>
  <si>
    <t>storage</t>
  </si>
  <si>
    <t>Cabernet Sauvignon</t>
  </si>
  <si>
    <t>Bottles in stock</t>
  </si>
  <si>
    <t>2022-2023</t>
  </si>
  <si>
    <t xml:space="preserve">grand souverain </t>
  </si>
  <si>
    <t>Merlot X Mavrud</t>
  </si>
  <si>
    <t>Bottling in year</t>
  </si>
  <si>
    <t>Red Church wine stock</t>
  </si>
  <si>
    <t>From production</t>
  </si>
  <si>
    <t>Bottles from stock</t>
  </si>
  <si>
    <t>Year harvest</t>
  </si>
  <si>
    <t>In Barrels</t>
  </si>
  <si>
    <t>Production from inventory by start in liters</t>
  </si>
  <si>
    <t xml:space="preserve">Total Stock </t>
  </si>
  <si>
    <t>Bench mark</t>
  </si>
  <si>
    <t>Bottles from year of harvest</t>
  </si>
  <si>
    <t>Sold</t>
  </si>
  <si>
    <t>Previous years</t>
  </si>
  <si>
    <t>Stock value previous years</t>
  </si>
  <si>
    <t>Non-allocated costs</t>
  </si>
  <si>
    <t>Annual fee</t>
  </si>
  <si>
    <t>Revaluation stock and inventory</t>
  </si>
  <si>
    <t>Winetasting costs</t>
  </si>
  <si>
    <t>Outstanding Bonds</t>
  </si>
  <si>
    <t>Wine tasting vouchers</t>
  </si>
  <si>
    <t>Costs per voucher</t>
  </si>
  <si>
    <t>Total winetasting costs</t>
  </si>
  <si>
    <t>Wine tasting costs</t>
  </si>
  <si>
    <t>Forecast - Red Church Vineyard Bond</t>
  </si>
  <si>
    <t>Investment in Bond</t>
  </si>
  <si>
    <t>Remaining investment in Bond</t>
  </si>
  <si>
    <t>Total number of Bonds</t>
  </si>
  <si>
    <t>Valuation calculation of the Bottles</t>
  </si>
  <si>
    <t>Vouchers bottles</t>
  </si>
  <si>
    <t>Bottles per Bond of € 25,000</t>
  </si>
  <si>
    <t>Per each 4th Bond</t>
  </si>
  <si>
    <t>Transport fee per bottle</t>
  </si>
  <si>
    <t>Re-sale price to Red Church Group</t>
  </si>
  <si>
    <t>Price per bottle by start</t>
  </si>
  <si>
    <t xml:space="preserve">Nett present value result </t>
  </si>
  <si>
    <t>Minimal rate of return</t>
  </si>
  <si>
    <t>Nett present value DCF</t>
  </si>
  <si>
    <t>Nett present value investment</t>
  </si>
  <si>
    <t>Forecasted dividend</t>
  </si>
  <si>
    <t>Annual return on conversion</t>
  </si>
  <si>
    <t>Annual return</t>
  </si>
  <si>
    <t xml:space="preserve">Price increase year on year * </t>
  </si>
  <si>
    <t xml:space="preserve">* In the case the year on year price increase is less than the inflaton rate the percentage will turn out red </t>
  </si>
  <si>
    <t>Total wine vouchers</t>
  </si>
  <si>
    <t>Sales to Issuer from vouchers</t>
  </si>
  <si>
    <t>Total per share</t>
  </si>
  <si>
    <t>IP</t>
  </si>
  <si>
    <t xml:space="preserve">              Custodian of the shares subject to the conversion right (max. 49% of total)</t>
  </si>
  <si>
    <t>Cost price per bottle</t>
  </si>
  <si>
    <t xml:space="preserve">Storage fees </t>
  </si>
  <si>
    <t>Storage fees</t>
  </si>
  <si>
    <t xml:space="preserve">Price per bottle </t>
  </si>
  <si>
    <t>Remaining bottles in stock</t>
  </si>
  <si>
    <t>Storage fee</t>
  </si>
  <si>
    <t>Storage fee per bottle</t>
  </si>
  <si>
    <t>Subsidy for barrels</t>
  </si>
  <si>
    <t>Subsidy for Machinery</t>
  </si>
  <si>
    <t>Subsidy for Barrels</t>
  </si>
  <si>
    <t>Advisory management</t>
  </si>
  <si>
    <t>Waste value</t>
  </si>
  <si>
    <t>Net stock value</t>
  </si>
  <si>
    <t>Nett stock</t>
  </si>
  <si>
    <t>Bottled wine in litres</t>
  </si>
  <si>
    <t>Net in tanks</t>
  </si>
  <si>
    <t>Net in barrels</t>
  </si>
  <si>
    <t>Addition from previous year</t>
  </si>
  <si>
    <t>control</t>
  </si>
  <si>
    <t>Cost of already bottled wine</t>
  </si>
  <si>
    <t>*** A repayment of the share premium by EN EooD as a result of the conversion of the Bond into share capital is also left out of consideration because at the time of issuance of the Bond it is too speculative to determine what part of the Bond will be converted. Therefor it is not possible for the Issuer to determine what the total amount of share premium will be and in what terms these will be paid in return to the shareholders. As a result, any repayment of share premium as a result of the conversion right is disregarded in the return on investment calculation, but will have a positive effect or the total return, as the participants will receive a part of their investment in return, while this payment will have no effect on the valuation of the company itself, based on a market-based EBITDA factor, and therefore also not on the valuation of the value of the conversion.</t>
  </si>
  <si>
    <t>Value participation **</t>
  </si>
  <si>
    <t>Taken out of storage by total conversion or repayment of the Bond</t>
  </si>
  <si>
    <t>Pre-finance fee</t>
  </si>
  <si>
    <t>Director's liability insurance</t>
  </si>
  <si>
    <t>Market price in year of sale</t>
  </si>
  <si>
    <t>Cost of goods till sale</t>
  </si>
  <si>
    <t>Net market value harvest</t>
  </si>
  <si>
    <t>Company value Red Church Group</t>
  </si>
  <si>
    <t>Earnings</t>
  </si>
  <si>
    <t>Total collateral</t>
  </si>
  <si>
    <t>Total operational costs</t>
  </si>
  <si>
    <t>Loan/Bond</t>
  </si>
  <si>
    <t>Coverage</t>
  </si>
  <si>
    <t>EBITDA</t>
  </si>
  <si>
    <t>LTV</t>
  </si>
  <si>
    <t>EBIT</t>
  </si>
  <si>
    <t>EBIT factor</t>
  </si>
  <si>
    <t>EBIT factor increase year on year</t>
  </si>
  <si>
    <t>Average EBIT factor in first 5 years</t>
  </si>
  <si>
    <t xml:space="preserve">Average company value in first 5 years </t>
  </si>
  <si>
    <t xml:space="preserve">Pledge value </t>
  </si>
  <si>
    <t>Pledge on shares</t>
  </si>
  <si>
    <t>Net collateral</t>
  </si>
  <si>
    <t>Plots of land</t>
  </si>
  <si>
    <t>Building (wine cellar)</t>
  </si>
  <si>
    <t>Building (basement)</t>
  </si>
  <si>
    <t>Cellar improvement</t>
  </si>
  <si>
    <t>Replica Red Church incl. wine cellar</t>
  </si>
  <si>
    <t>PM - singledrinks.com</t>
  </si>
  <si>
    <t xml:space="preserve">Total value </t>
  </si>
  <si>
    <t>Participation by EN in singledrinks.com OOD</t>
  </si>
  <si>
    <t>Nett Securitization in singledrinks.com</t>
  </si>
  <si>
    <t>Liquidity buffer</t>
  </si>
  <si>
    <t>Free cash flow end of year</t>
  </si>
  <si>
    <t xml:space="preserve">Trade receivables </t>
  </si>
  <si>
    <t>Current liabilities</t>
  </si>
  <si>
    <t>Buffer</t>
  </si>
  <si>
    <t>Pledge</t>
  </si>
  <si>
    <t>Pledged value</t>
  </si>
  <si>
    <t>Net value sold stock</t>
  </si>
  <si>
    <t>Remaining stock value</t>
  </si>
  <si>
    <t xml:space="preserve">Net market value harvest </t>
  </si>
  <si>
    <t>Value of the pledge</t>
  </si>
  <si>
    <t>Sold to market</t>
  </si>
  <si>
    <t>Value effectuated wine vouchers</t>
  </si>
  <si>
    <t>singledrinks.com perspective</t>
  </si>
  <si>
    <t>Tube sale perspective</t>
  </si>
  <si>
    <t>Own production</t>
  </si>
  <si>
    <t>Litre per bottle</t>
  </si>
  <si>
    <t>Production of bottles</t>
  </si>
  <si>
    <t xml:space="preserve">Glass size </t>
  </si>
  <si>
    <t>Tubes per bottle</t>
  </si>
  <si>
    <t>Tubes per box</t>
  </si>
  <si>
    <t>Margin on bottle price own production</t>
  </si>
  <si>
    <t>Compoud of the boxes</t>
  </si>
  <si>
    <t>Red</t>
  </si>
  <si>
    <t>Sale of tube boxes</t>
  </si>
  <si>
    <t>Annual year on year growth</t>
  </si>
  <si>
    <t>Growth in sold boxes</t>
  </si>
  <si>
    <t xml:space="preserve">From own production </t>
  </si>
  <si>
    <t>% of production for tubes</t>
  </si>
  <si>
    <t>From wine of third parties</t>
  </si>
  <si>
    <t>Sold boxes</t>
  </si>
  <si>
    <t>Total sold tubes</t>
  </si>
  <si>
    <t>Sold tubes</t>
  </si>
  <si>
    <t>Sold tubes own production</t>
  </si>
  <si>
    <t>Sold boxes from own production</t>
  </si>
  <si>
    <t>Margin own production</t>
  </si>
  <si>
    <t>Sold tubes from third parties</t>
  </si>
  <si>
    <t>Sale prices per bottle</t>
  </si>
  <si>
    <t>Profit own production</t>
  </si>
  <si>
    <t>Sale price per tube</t>
  </si>
  <si>
    <t>Profit wine of third parties</t>
  </si>
  <si>
    <t xml:space="preserve">White </t>
  </si>
  <si>
    <t>Cost price production per tube</t>
  </si>
  <si>
    <t>Additional costs for packaging per tube</t>
  </si>
  <si>
    <t>Average margin per tube</t>
  </si>
  <si>
    <t>singledrinks.com</t>
  </si>
  <si>
    <t>Margin wine of third parties</t>
  </si>
  <si>
    <t>Margin on cost price of wine third parties</t>
  </si>
  <si>
    <t>Net collateral in singledrinks.com</t>
  </si>
  <si>
    <t>Net Collateral</t>
  </si>
  <si>
    <t>Value in singledrinks.com</t>
  </si>
  <si>
    <t>Average sale price of red wine per tube</t>
  </si>
  <si>
    <t>PM: additional earning structures</t>
  </si>
  <si>
    <t>Average cost price of red wine per tube</t>
  </si>
  <si>
    <t>DRI EooD will provide an credit line amount of € 500,000,- in marketing budget for this project</t>
  </si>
  <si>
    <t>Purchase price third party wines per tube</t>
  </si>
  <si>
    <t>Average boxes per year</t>
  </si>
  <si>
    <t>Tubes per year</t>
  </si>
  <si>
    <t>Customers</t>
  </si>
  <si>
    <t>Total costumers</t>
  </si>
  <si>
    <t>Increase</t>
  </si>
  <si>
    <t>year-on-year growth</t>
  </si>
  <si>
    <t>Perspective valuation of singledrinks.com</t>
  </si>
  <si>
    <t>EBIT value for pledge shares</t>
  </si>
  <si>
    <t>EBIT valuation</t>
  </si>
  <si>
    <t>Valuation</t>
  </si>
  <si>
    <t>Total ebit value for pledged shares</t>
  </si>
  <si>
    <t xml:space="preserve">1st mortgage right </t>
  </si>
  <si>
    <t>through share pledge</t>
  </si>
  <si>
    <t>Type of collateral</t>
  </si>
  <si>
    <t>Cost of sold goods</t>
  </si>
  <si>
    <t>** An value increase regarding the received share capital, through the converison, has been left out of consideration because at the time of issuance of the Bond it is too speculative and the Issuer has no influence on this development. There for the end return / value of the participation is equal to the made investments. As a result, any increase or decrease in the value of the participation in the Red Church Group is disregarded in the return on investment calculation. </t>
  </si>
  <si>
    <t xml:space="preserve">Current asset value </t>
  </si>
  <si>
    <t>Harvest 2023</t>
  </si>
  <si>
    <t>Earning</t>
  </si>
  <si>
    <t xml:space="preserve">Value Wine stock </t>
  </si>
  <si>
    <t xml:space="preserve"> Litres</t>
  </si>
  <si>
    <t>Price</t>
  </si>
  <si>
    <t>Net value</t>
  </si>
  <si>
    <t xml:space="preserve">Classic </t>
  </si>
  <si>
    <t>Current stock value</t>
  </si>
  <si>
    <t>Total value wine stock</t>
  </si>
  <si>
    <t>Bottles (harvest year)</t>
  </si>
  <si>
    <t>Value harvest 2023</t>
  </si>
  <si>
    <t xml:space="preserve">Harvest </t>
  </si>
  <si>
    <t>Description</t>
  </si>
  <si>
    <t>Current value</t>
  </si>
  <si>
    <t>Hardware</t>
  </si>
  <si>
    <t>209. Barrels</t>
  </si>
  <si>
    <t>Machinery and Equipment</t>
  </si>
  <si>
    <t>Collateral value</t>
  </si>
  <si>
    <t>Plots of land *</t>
  </si>
  <si>
    <t xml:space="preserve">* See attachment C and D for the specification and valuation of the plots of land and Real Estate </t>
  </si>
  <si>
    <t>Current</t>
  </si>
  <si>
    <t>Current wine stock</t>
  </si>
  <si>
    <t>Remaining net value</t>
  </si>
  <si>
    <t>New Barrels</t>
  </si>
  <si>
    <t>Total Value Assets</t>
  </si>
  <si>
    <t xml:space="preserve">First mortgage right </t>
  </si>
  <si>
    <t>2019 classic</t>
  </si>
  <si>
    <t xml:space="preserve">2020 Premium </t>
  </si>
  <si>
    <t>Based on recipe</t>
  </si>
  <si>
    <t>Mixture</t>
  </si>
  <si>
    <t>Recipe</t>
  </si>
  <si>
    <t>Bottle size</t>
  </si>
  <si>
    <t xml:space="preserve">2021 Premium </t>
  </si>
  <si>
    <t>Needed Barrels</t>
  </si>
  <si>
    <t>Size</t>
  </si>
  <si>
    <t>Rounded</t>
  </si>
  <si>
    <t>2021 Rose</t>
  </si>
  <si>
    <t>Tanks and barrels (harvest year)</t>
  </si>
  <si>
    <t>Allocation to next years</t>
  </si>
  <si>
    <t>Ratio recepise</t>
  </si>
  <si>
    <t>Red wine</t>
  </si>
  <si>
    <t>Weighted ratio</t>
  </si>
  <si>
    <t>Real max production Red wines</t>
  </si>
  <si>
    <t xml:space="preserve">Expected production ratio between different types of red wine </t>
  </si>
  <si>
    <t>Working capital / reserve post calculation</t>
  </si>
  <si>
    <t>Total number of bottles</t>
  </si>
  <si>
    <t xml:space="preserve">Market value of the wine stock </t>
  </si>
  <si>
    <t>Redeemed vouchers</t>
  </si>
  <si>
    <t>Voucher stock</t>
  </si>
  <si>
    <t>Effectuation</t>
  </si>
  <si>
    <t xml:space="preserve">Market value redeemed Vouchers </t>
  </si>
  <si>
    <t>Litres produced</t>
  </si>
  <si>
    <t>Harvest normal prognosis, kg</t>
  </si>
  <si>
    <t>Production increase new press</t>
  </si>
  <si>
    <t>EBIT value</t>
  </si>
  <si>
    <t>Old stock</t>
  </si>
  <si>
    <t>new</t>
  </si>
  <si>
    <t>Manager</t>
  </si>
  <si>
    <t>EBIT value company shares</t>
  </si>
  <si>
    <t>EBIT value singledrinks shares</t>
  </si>
  <si>
    <t>Average value in first 5 years</t>
  </si>
  <si>
    <t xml:space="preserve">Office / mobile homes </t>
  </si>
  <si>
    <t>Inventory / Others</t>
  </si>
  <si>
    <t>Currently made deposits/investments</t>
  </si>
  <si>
    <t>Merlot / Cabernet Sauvignon / Cabernet Franc</t>
  </si>
  <si>
    <t>Merlot / Mavrud / Cabernet Sauvignon / Cabernet Franc</t>
  </si>
  <si>
    <t>2024-2025</t>
  </si>
  <si>
    <t>Cabernet Franc / Cabernet Sauvignon 125/100</t>
  </si>
  <si>
    <t xml:space="preserve">2020 Classic </t>
  </si>
  <si>
    <t>After irrigation system in 2025</t>
  </si>
  <si>
    <t>2019/2020</t>
  </si>
  <si>
    <t xml:space="preserve">Total current value of the Red Church Asset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</si>
</sst>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6" formatCode="&quot;€&quot;\ #,##0;[Red]&quot;€&quot;\ \-#,##0"/>
    <numFmt numFmtId="44" formatCode="_ &quot;€&quot;\ * #,##0.00_ ;_ &quot;€&quot;\ * \-#,##0.00_ ;_ &quot;€&quot;\ * &quot;-&quot;??_ ;_ @_ "/>
    <numFmt numFmtId="43" formatCode="_ * #,##0.00_ ;_ * \-#,##0.00_ ;_ * &quot;-&quot;??_ ;_ @_ "/>
    <numFmt numFmtId="164" formatCode="_-&quot;€&quot;\ * #,##0.00_-;_-&quot;€&quot;\ * #,##0.00\-;_-&quot;€&quot;\ * &quot;-&quot;??_-;_-@_-"/>
    <numFmt numFmtId="165" formatCode="_-* #,##0.00_-;_-* #,##0.00\-;_-* &quot;-&quot;??_-;_-@_-"/>
    <numFmt numFmtId="166" formatCode="_ * #,##0_ ;_ * \-#,##0_ ;_ * &quot;-&quot;??_ ;_ @_ "/>
    <numFmt numFmtId="167" formatCode="0.0%"/>
    <numFmt numFmtId="168" formatCode="_-[$€]\ * #,##0.00_-;_-[$€]\ * #,##0.00\-;_-[$€]\ * &quot;-&quot;??_-;_-@_-"/>
    <numFmt numFmtId="169" formatCode="#,##0_ ;\-#,##0\ "/>
    <numFmt numFmtId="170" formatCode="#,##0.0"/>
    <numFmt numFmtId="171" formatCode="0.000%"/>
    <numFmt numFmtId="172" formatCode="_-[$€-2]\ * #,##0.00_-;_-[$€-2]\ * #,##0.00\-;_-[$€-2]\ * &quot;-&quot;??_-"/>
    <numFmt numFmtId="173" formatCode="_-&quot;€&quot;* #,##0.00_-;\-&quot;€&quot;* #,##0.00_-;_-&quot;€&quot;* &quot;-&quot;??_-;_-@_-"/>
    <numFmt numFmtId="174" formatCode="_(&quot;$&quot;* #,##0.00_);_(&quot;$&quot;* \(#,##0.00\);_(&quot;$&quot;* &quot;-&quot;??_);_(@_)"/>
    <numFmt numFmtId="175" formatCode="_-* #,##0.00_-;\-* #,##0.00_-;_-* &quot;-&quot;??_-;_-@_-"/>
    <numFmt numFmtId="176" formatCode="mmm"/>
    <numFmt numFmtId="177" formatCode="0_);\-0_)"/>
    <numFmt numFmtId="178" formatCode="_-* #,##0.00\ &quot;€&quot;_-;\-* #,##0.00\ &quot;€&quot;_-;_-* &quot;-&quot;??\ &quot;€&quot;_-;_-@_-"/>
    <numFmt numFmtId="179" formatCode="_ * #,##0.000_ ;_ * \-#,##0.000_ ;_ * &quot;-&quot;??_ ;_ @_ "/>
    <numFmt numFmtId="180" formatCode="_-&quot;€&quot;\ * #,##0_-;_-&quot;€&quot;\ * #,##0\-;_-&quot;€&quot;\ * &quot;-&quot;??_-;_-@_-"/>
    <numFmt numFmtId="181" formatCode="_-* #,##0_-;_-* #,##0\-;_-* &quot;-&quot;??_-;_-@_-"/>
    <numFmt numFmtId="182" formatCode="_(&quot;€&quot;\ * #,##0.00_);_(&quot;€&quot;\ * \(#,##0.00\);_(&quot;€&quot;\ * &quot;-&quot;??_);_(@_)"/>
    <numFmt numFmtId="183" formatCode="_-* #,##0.00\ _€_-;\-* #,##0.00\ _€_-;_-* &quot;-&quot;??\ _€_-;_-@_-"/>
    <numFmt numFmtId="184" formatCode="0_ ;\-0\ "/>
    <numFmt numFmtId="185" formatCode="_-[$$-409]* #,##0.00_ ;_-[$$-409]* \-#,##0.00\ ;_-[$$-409]* &quot;-&quot;??_ ;_-@_ "/>
    <numFmt numFmtId="186" formatCode="_ * #,##0.0_ ;_ * \-#,##0.0_ ;_ * &quot;-&quot;??_ ;_ @_ "/>
    <numFmt numFmtId="187" formatCode="0.000"/>
    <numFmt numFmtId="188" formatCode="_ * #,##0.0000_ ;_ * \-#,##0.0000_ ;_ * &quot;-&quot;??_ ;_ @_ "/>
    <numFmt numFmtId="189" formatCode="0.0000"/>
    <numFmt numFmtId="190" formatCode="#,##0.00000"/>
    <numFmt numFmtId="191" formatCode="#,##0.0000"/>
    <numFmt numFmtId="192" formatCode="_ * #,##0.0000_ ;_ * \-#,##0.0000_ ;_ * &quot;-&quot;????_ ;_ @_ "/>
    <numFmt numFmtId="193" formatCode="_-* #,##0.00\ &quot;лв&quot;_-;\-* #,##0.00\ &quot;лв&quot;_-;_-* &quot;-&quot;??\ &quot;лв&quot;_-;_-@_-"/>
    <numFmt numFmtId="194" formatCode="_-* #,##0.00\ &quot;лв.&quot;_-;\-* #,##0.00\ &quot;лв.&quot;_-;_-* &quot;-&quot;??\ &quot;лв.&quot;_-;_-@_-"/>
    <numFmt numFmtId="195" formatCode="_(* #,##0.00_);_(* \(#,##0.00\);_(* &quot;-&quot;??_);_(@_)"/>
    <numFmt numFmtId="196" formatCode="_-* #,##0.00\ _л_в_-;\-* #,##0.00\ _л_в_-;_-* &quot;-&quot;??\ _л_в_-;_-@_-"/>
    <numFmt numFmtId="197" formatCode="_(* #&quot; &quot;##0.00_);_(* \(#&quot; &quot;##0.00\);_(* &quot;-&quot;??_);_(@_)"/>
    <numFmt numFmtId="198" formatCode="_(* #,##0_);_(* \(#,##0\);_(* &quot;-&quot;??_);_(@_)"/>
    <numFmt numFmtId="199" formatCode="0.00000"/>
    <numFmt numFmtId="200" formatCode="#,##0.000"/>
    <numFmt numFmtId="201" formatCode="0.0"/>
    <numFmt numFmtId="202" formatCode="0.0000%"/>
    <numFmt numFmtId="203" formatCode="_ * #,##0.00000_ ;_ * \-#,##0.00000_ ;_ * &quot;-&quot;??_ ;_ @_ "/>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10"/>
      <name val="Arial"/>
      <family val="2"/>
    </font>
    <font>
      <sz val="10"/>
      <color indexed="8"/>
      <name val="Arial"/>
      <family val="2"/>
    </font>
    <font>
      <sz val="10"/>
      <name val="Calibri"/>
      <family val="2"/>
    </font>
    <font>
      <sz val="11"/>
      <color indexed="8"/>
      <name val="Calibri"/>
      <family val="2"/>
    </font>
    <font>
      <sz val="10"/>
      <color indexed="8"/>
      <name val="Arial"/>
      <family val="2"/>
    </font>
    <font>
      <b/>
      <sz val="10"/>
      <name val="Calibri"/>
      <family val="2"/>
    </font>
    <font>
      <i/>
      <sz val="10"/>
      <name val="Calibri"/>
      <family val="2"/>
    </font>
    <font>
      <b/>
      <i/>
      <sz val="11"/>
      <name val="Calibri"/>
      <family val="2"/>
    </font>
    <font>
      <b/>
      <sz val="11"/>
      <name val="Calibri"/>
      <family val="2"/>
    </font>
    <font>
      <b/>
      <u/>
      <sz val="10"/>
      <name val="Calibri"/>
      <family val="2"/>
    </font>
    <font>
      <b/>
      <sz val="10"/>
      <color indexed="10"/>
      <name val="Calibri"/>
      <family val="2"/>
    </font>
    <font>
      <b/>
      <sz val="10"/>
      <color indexed="9"/>
      <name val="Calibri"/>
      <family val="2"/>
    </font>
    <font>
      <sz val="11"/>
      <color theme="1"/>
      <name val="Calibri"/>
      <family val="2"/>
      <scheme val="minor"/>
    </font>
    <font>
      <sz val="10"/>
      <color theme="1"/>
      <name val="Arial"/>
      <family val="2"/>
    </font>
    <font>
      <sz val="10"/>
      <color theme="1"/>
      <name val="Gill Sans"/>
      <family val="2"/>
    </font>
    <font>
      <sz val="10"/>
      <name val="Calibri"/>
      <family val="2"/>
      <scheme val="minor"/>
    </font>
    <font>
      <b/>
      <sz val="10"/>
      <name val="Calibri"/>
      <family val="2"/>
      <scheme val="minor"/>
    </font>
    <font>
      <b/>
      <sz val="10"/>
      <color theme="0"/>
      <name val="Calibri"/>
      <family val="2"/>
    </font>
    <font>
      <sz val="10"/>
      <color theme="0"/>
      <name val="Calibri"/>
      <family val="2"/>
    </font>
    <font>
      <u/>
      <sz val="10"/>
      <color indexed="12"/>
      <name val="Arial"/>
      <family val="2"/>
    </font>
    <font>
      <sz val="10"/>
      <color indexed="8"/>
      <name val="Calibri"/>
      <family val="2"/>
      <scheme val="minor"/>
    </font>
    <font>
      <sz val="12"/>
      <color theme="1"/>
      <name val="Calibri"/>
      <family val="2"/>
      <scheme val="minor"/>
    </font>
    <font>
      <sz val="18"/>
      <color theme="1" tint="0.14996795556505021"/>
      <name val="Cambria"/>
      <family val="2"/>
      <scheme val="major"/>
    </font>
    <font>
      <sz val="10"/>
      <color theme="1" tint="0.14999847407452621"/>
      <name val="Calibri"/>
      <family val="2"/>
      <scheme val="minor"/>
    </font>
    <font>
      <sz val="11"/>
      <color theme="1"/>
      <name val="Calibri"/>
      <family val="2"/>
      <charset val="204"/>
      <scheme val="minor"/>
    </font>
    <font>
      <sz val="10"/>
      <color theme="1"/>
      <name val="Arial"/>
      <family val="2"/>
      <charset val="204"/>
    </font>
    <font>
      <sz val="10"/>
      <color theme="1"/>
      <name val="Calibri"/>
      <family val="2"/>
      <scheme val="minor"/>
    </font>
    <font>
      <b/>
      <sz val="10"/>
      <color theme="1"/>
      <name val="Calibri"/>
      <family val="2"/>
      <scheme val="minor"/>
    </font>
    <font>
      <sz val="9.5"/>
      <color theme="1"/>
      <name val="Calibri"/>
      <family val="2"/>
      <scheme val="minor"/>
    </font>
    <font>
      <sz val="9.5"/>
      <name val="Arial"/>
      <family val="2"/>
    </font>
    <font>
      <b/>
      <u/>
      <sz val="9.5"/>
      <name val="Calibri"/>
      <family val="2"/>
    </font>
    <font>
      <b/>
      <sz val="9.5"/>
      <name val="Calibri"/>
      <family val="2"/>
    </font>
    <font>
      <sz val="9.5"/>
      <name val="Calibri"/>
      <family val="2"/>
    </font>
    <font>
      <i/>
      <sz val="9.5"/>
      <name val="Calibri"/>
      <family val="2"/>
    </font>
    <font>
      <b/>
      <sz val="9.5"/>
      <name val="Arial"/>
      <family val="2"/>
    </font>
    <font>
      <sz val="9.5"/>
      <name val="Calibri"/>
      <family val="2"/>
      <scheme val="minor"/>
    </font>
    <font>
      <b/>
      <u/>
      <sz val="10"/>
      <color theme="0"/>
      <name val="Calibri"/>
      <family val="2"/>
    </font>
    <font>
      <b/>
      <sz val="11"/>
      <color theme="1"/>
      <name val="Calibri"/>
      <family val="2"/>
      <scheme val="minor"/>
    </font>
    <font>
      <sz val="10"/>
      <color theme="0"/>
      <name val="Calibri"/>
      <family val="2"/>
      <scheme val="minor"/>
    </font>
    <font>
      <sz val="11"/>
      <color rgb="FF006100"/>
      <name val="Calibri"/>
      <family val="2"/>
      <charset val="204"/>
      <scheme val="minor"/>
    </font>
    <font>
      <b/>
      <sz val="11"/>
      <color theme="1"/>
      <name val="Calibri"/>
      <family val="2"/>
      <charset val="204"/>
      <scheme val="minor"/>
    </font>
    <font>
      <sz val="10"/>
      <color rgb="FF000000"/>
      <name val="Calibri"/>
      <family val="2"/>
      <scheme val="minor"/>
    </font>
    <font>
      <b/>
      <u/>
      <sz val="10"/>
      <name val="Calibri"/>
      <family val="2"/>
      <scheme val="minor"/>
    </font>
    <font>
      <i/>
      <sz val="10"/>
      <name val="Calibri"/>
      <family val="2"/>
      <scheme val="minor"/>
    </font>
    <font>
      <b/>
      <sz val="10"/>
      <color indexed="9"/>
      <name val="Calibri"/>
      <family val="2"/>
      <scheme val="minor"/>
    </font>
    <font>
      <b/>
      <sz val="10"/>
      <color indexed="10"/>
      <name val="Calibri"/>
      <family val="2"/>
      <scheme val="minor"/>
    </font>
    <font>
      <sz val="10"/>
      <name val="Arial"/>
      <family val="2"/>
      <charset val="204"/>
    </font>
    <font>
      <b/>
      <sz val="11"/>
      <name val="Calibri"/>
      <family val="2"/>
      <scheme val="minor"/>
    </font>
    <font>
      <sz val="10"/>
      <name val="Timok"/>
      <charset val="204"/>
    </font>
    <font>
      <sz val="8"/>
      <name val="Arial"/>
      <family val="2"/>
    </font>
    <font>
      <sz val="10"/>
      <color rgb="FF000000"/>
      <name val="Times New Roman"/>
      <family val="1"/>
    </font>
    <font>
      <b/>
      <sz val="10"/>
      <color rgb="FF000000"/>
      <name val="Calibri"/>
      <family val="2"/>
      <scheme val="minor"/>
    </font>
    <font>
      <sz val="10"/>
      <color rgb="FF8D0909"/>
      <name val="Calibri"/>
      <family val="2"/>
      <scheme val="minor"/>
    </font>
    <font>
      <sz val="10"/>
      <color rgb="FF000000"/>
      <name val="Cambria"/>
      <family val="1"/>
      <scheme val="major"/>
    </font>
    <font>
      <sz val="10"/>
      <name val="Cambria"/>
      <family val="1"/>
      <scheme val="major"/>
    </font>
    <font>
      <u/>
      <sz val="10"/>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6" tint="0.59999389629810485"/>
        <bgColor indexed="65"/>
      </patternFill>
    </fill>
    <fill>
      <patternFill patternType="solid">
        <fgColor rgb="FFFFFF99"/>
        <bgColor indexed="64"/>
      </patternFill>
    </fill>
    <fill>
      <patternFill patternType="solid">
        <fgColor theme="0"/>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6EFCE"/>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rgb="FFFFFFFF"/>
      </patternFill>
    </fill>
    <fill>
      <patternFill patternType="solid">
        <fgColor indexed="9"/>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8D0909"/>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FFFF0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bottom style="double">
        <color indexed="64"/>
      </bottom>
      <diagonal/>
    </border>
    <border>
      <left/>
      <right/>
      <top style="thin">
        <color indexed="64"/>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dotted">
        <color theme="0" tint="-0.34998626667073579"/>
      </left>
      <right style="dotted">
        <color theme="0" tint="-0.34998626667073579"/>
      </right>
      <top/>
      <bottom/>
      <diagonal/>
    </border>
    <border>
      <left style="dotted">
        <color theme="0" tint="-0.34998626667073579"/>
      </left>
      <right style="dotted">
        <color theme="0" tint="-0.34998626667073579"/>
      </right>
      <top/>
      <bottom style="medium">
        <color theme="4" tint="0.39994506668294322"/>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auto="1"/>
      </top>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medium">
        <color indexed="30"/>
      </bottom>
      <diagonal/>
    </border>
    <border>
      <left/>
      <right style="medium">
        <color indexed="64"/>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auto="1"/>
      </right>
      <top/>
      <bottom style="medium">
        <color auto="1"/>
      </bottom>
      <diagonal/>
    </border>
    <border>
      <left/>
      <right/>
      <top/>
      <bottom style="medium">
        <color indexed="64"/>
      </bottom>
      <diagonal/>
    </border>
    <border>
      <left style="medium">
        <color indexed="64"/>
      </left>
      <right/>
      <top/>
      <bottom style="medium">
        <color indexed="64"/>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indexed="64"/>
      </right>
      <top/>
      <bottom style="medium">
        <color auto="1"/>
      </bottom>
      <diagonal/>
    </border>
    <border>
      <left/>
      <right style="thin">
        <color auto="1"/>
      </right>
      <top style="medium">
        <color indexed="64"/>
      </top>
      <bottom/>
      <diagonal/>
    </border>
    <border>
      <left style="medium">
        <color indexed="64"/>
      </left>
      <right/>
      <top style="medium">
        <color auto="1"/>
      </top>
      <bottom style="thin">
        <color indexed="64"/>
      </bottom>
      <diagonal/>
    </border>
    <border>
      <left/>
      <right style="medium">
        <color indexed="64"/>
      </right>
      <top style="thin">
        <color auto="1"/>
      </top>
      <bottom style="thin">
        <color auto="1"/>
      </bottom>
      <diagonal/>
    </border>
    <border>
      <left/>
      <right/>
      <top style="thin">
        <color auto="1"/>
      </top>
      <bottom style="medium">
        <color auto="1"/>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style="thin">
        <color indexed="64"/>
      </bottom>
      <diagonal/>
    </border>
    <border>
      <left/>
      <right/>
      <top/>
      <bottom style="medium">
        <color indexed="64"/>
      </bottom>
      <diagonal/>
    </border>
    <border>
      <left/>
      <right style="medium">
        <color auto="1"/>
      </right>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medium">
        <color auto="1"/>
      </bottom>
      <diagonal/>
    </border>
    <border>
      <left style="hair">
        <color indexed="64"/>
      </left>
      <right style="medium">
        <color indexed="64"/>
      </right>
      <top/>
      <bottom/>
      <diagonal/>
    </border>
    <border>
      <left style="hair">
        <color indexed="64"/>
      </left>
      <right style="hair">
        <color indexed="64"/>
      </right>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theme="0"/>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right/>
      <top style="medium">
        <color theme="0"/>
      </top>
      <bottom style="medium">
        <color indexed="64"/>
      </bottom>
      <diagonal/>
    </border>
    <border>
      <left style="medium">
        <color indexed="64"/>
      </left>
      <right/>
      <top style="medium">
        <color theme="0"/>
      </top>
      <bottom style="medium">
        <color indexed="64"/>
      </bottom>
      <diagonal/>
    </border>
    <border>
      <left/>
      <right style="medium">
        <color indexed="64"/>
      </right>
      <top style="medium">
        <color theme="0"/>
      </top>
      <bottom style="medium">
        <color indexed="64"/>
      </bottom>
      <diagonal/>
    </border>
    <border>
      <left/>
      <right style="thin">
        <color indexed="64"/>
      </right>
      <top style="thin">
        <color indexed="64"/>
      </top>
      <bottom style="medium">
        <color indexed="64"/>
      </bottom>
      <diagonal/>
    </border>
    <border>
      <left style="medium">
        <color theme="0"/>
      </left>
      <right/>
      <top/>
      <bottom/>
      <diagonal/>
    </border>
    <border>
      <left/>
      <right style="medium">
        <color theme="0"/>
      </right>
      <top/>
      <bottom/>
      <diagonal/>
    </border>
    <border>
      <left/>
      <right/>
      <top style="medium">
        <color indexed="64"/>
      </top>
      <bottom style="medium">
        <color theme="0"/>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bottom style="thin">
        <color theme="0"/>
      </bottom>
      <diagonal/>
    </border>
    <border>
      <left/>
      <right/>
      <top/>
      <bottom style="thin">
        <color theme="0"/>
      </bottom>
      <diagonal/>
    </border>
    <border>
      <left/>
      <right style="medium">
        <color indexed="64"/>
      </right>
      <top/>
      <bottom style="thin">
        <color theme="0"/>
      </bottom>
      <diagonal/>
    </border>
    <border>
      <left style="medium">
        <color indexed="64"/>
      </left>
      <right/>
      <top style="thin">
        <color theme="0"/>
      </top>
      <bottom/>
      <diagonal/>
    </border>
    <border>
      <left/>
      <right/>
      <top style="thin">
        <color theme="0"/>
      </top>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thin">
        <color indexed="64"/>
      </bottom>
      <diagonal/>
    </border>
    <border>
      <left/>
      <right/>
      <top style="thin">
        <color theme="0"/>
      </top>
      <bottom style="thin">
        <color indexed="64"/>
      </bottom>
      <diagonal/>
    </border>
    <border>
      <left/>
      <right style="medium">
        <color indexed="64"/>
      </right>
      <top style="thin">
        <color theme="0"/>
      </top>
      <bottom style="thin">
        <color theme="0"/>
      </bottom>
      <diagonal/>
    </border>
    <border>
      <left/>
      <right/>
      <top style="thin">
        <color theme="0"/>
      </top>
      <bottom style="thin">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style="thin">
        <color theme="0"/>
      </bottom>
      <diagonal/>
    </border>
    <border>
      <left/>
      <right style="medium">
        <color indexed="64"/>
      </right>
      <top/>
      <bottom style="medium">
        <color indexed="64"/>
      </bottom>
      <diagonal/>
    </border>
  </borders>
  <cellStyleXfs count="40021">
    <xf numFmtId="0" fontId="0" fillId="0" borderId="0"/>
    <xf numFmtId="0" fontId="23" fillId="2" borderId="0" applyNumberFormat="0" applyBorder="0" applyAlignment="0" applyProtection="0"/>
    <xf numFmtId="0" fontId="23" fillId="2" borderId="0" applyNumberFormat="0" applyBorder="0" applyAlignment="0" applyProtection="0"/>
    <xf numFmtId="0" fontId="54" fillId="2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54" fillId="2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3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8" fillId="21" borderId="2" applyNumberFormat="0" applyAlignment="0" applyProtection="0"/>
    <xf numFmtId="170" fontId="23" fillId="0" borderId="0" applyFont="0" applyFill="0" applyBorder="0" applyAlignment="0" applyProtection="0"/>
    <xf numFmtId="0" fontId="28" fillId="21" borderId="2" applyNumberFormat="0" applyAlignment="0" applyProtection="0"/>
    <xf numFmtId="0" fontId="28" fillId="21" borderId="2" applyNumberFormat="0" applyAlignment="0" applyProtection="0"/>
    <xf numFmtId="164" fontId="24" fillId="0" borderId="0" applyFont="0" applyFill="0" applyBorder="0" applyAlignment="0" applyProtection="0"/>
    <xf numFmtId="168" fontId="24" fillId="0" borderId="0" applyFont="0" applyFill="0" applyBorder="0" applyAlignment="0" applyProtection="0"/>
    <xf numFmtId="0" fontId="40" fillId="0" borderId="0" applyNumberFormat="0" applyFill="0" applyBorder="0" applyAlignment="0" applyProtection="0"/>
    <xf numFmtId="0" fontId="29" fillId="0" borderId="3" applyNumberFormat="0" applyFill="0" applyAlignment="0" applyProtection="0"/>
    <xf numFmtId="0" fontId="29" fillId="0" borderId="3" applyNumberFormat="0" applyFill="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43" fontId="25" fillId="0" borderId="0" applyFont="0" applyFill="0" applyBorder="0" applyAlignment="0" applyProtection="0"/>
    <xf numFmtId="165" fontId="24" fillId="0" borderId="0" applyFont="0" applyFill="0" applyBorder="0" applyAlignment="0" applyProtection="0"/>
    <xf numFmtId="43" fontId="45"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45" fillId="0" borderId="0" applyFont="0" applyFill="0" applyBorder="0" applyAlignment="0" applyProtection="0"/>
    <xf numFmtId="43" fontId="54" fillId="0" borderId="0" applyFont="0" applyFill="0" applyBorder="0" applyAlignment="0" applyProtection="0"/>
    <xf numFmtId="43" fontId="46" fillId="0" borderId="0" applyFont="0" applyFill="0" applyBorder="0" applyAlignment="0" applyProtection="0"/>
    <xf numFmtId="43" fontId="55"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0" fontId="32" fillId="0" borderId="4"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 fillId="0" borderId="3" applyNumberFormat="0" applyFill="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6"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36" fillId="3" borderId="0" applyNumberFormat="0" applyBorder="0" applyAlignment="0" applyProtection="0"/>
    <xf numFmtId="0" fontId="36" fillId="3" borderId="0" applyNumberFormat="0" applyBorder="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24" fillId="0" borderId="0"/>
    <xf numFmtId="0" fontId="54" fillId="0" borderId="0"/>
    <xf numFmtId="0" fontId="24" fillId="0" borderId="0"/>
    <xf numFmtId="0" fontId="24" fillId="0" borderId="0"/>
    <xf numFmtId="0" fontId="54" fillId="0" borderId="0"/>
    <xf numFmtId="0" fontId="24" fillId="0" borderId="0"/>
    <xf numFmtId="0" fontId="54" fillId="0" borderId="0"/>
    <xf numFmtId="0" fontId="55"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44" fontId="4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45" fillId="0" borderId="0" applyFont="0" applyFill="0" applyBorder="0" applyAlignment="0" applyProtection="0"/>
    <xf numFmtId="164" fontId="24" fillId="0" borderId="0" applyFont="0" applyFill="0" applyBorder="0" applyAlignment="0" applyProtection="0"/>
    <xf numFmtId="44" fontId="5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2" fillId="24" borderId="0" applyNumberFormat="0" applyBorder="0" applyAlignment="0" applyProtection="0"/>
    <xf numFmtId="0" fontId="22" fillId="25"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4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0" fontId="21" fillId="24" borderId="0" applyNumberFormat="0" applyBorder="0" applyAlignment="0" applyProtection="0"/>
    <xf numFmtId="0" fontId="21" fillId="25" borderId="0" applyNumberFormat="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4" fontId="21"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4" fontId="20" fillId="0" borderId="0" applyFont="0" applyFill="0" applyBorder="0" applyAlignment="0" applyProtection="0"/>
    <xf numFmtId="0" fontId="19" fillId="24" borderId="0" applyNumberFormat="0" applyBorder="0" applyAlignment="0" applyProtection="0"/>
    <xf numFmtId="0" fontId="19" fillId="25" borderId="0" applyNumberFormat="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9" fillId="0" borderId="0" applyFont="0" applyFill="0" applyBorder="0" applyAlignment="0" applyProtection="0"/>
    <xf numFmtId="0" fontId="19" fillId="24" borderId="0" applyNumberFormat="0" applyBorder="0" applyAlignment="0" applyProtection="0"/>
    <xf numFmtId="0" fontId="19" fillId="25" borderId="0" applyNumberFormat="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9" fillId="0" borderId="0" applyFont="0" applyFill="0" applyBorder="0" applyAlignment="0" applyProtection="0"/>
    <xf numFmtId="0" fontId="19" fillId="24" borderId="0" applyNumberFormat="0" applyBorder="0" applyAlignment="0" applyProtection="0"/>
    <xf numFmtId="0" fontId="19" fillId="25" borderId="0" applyNumberFormat="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19"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24" borderId="0" applyNumberFormat="0" applyBorder="0" applyAlignment="0" applyProtection="0"/>
    <xf numFmtId="0" fontId="18" fillId="25" borderId="0" applyNumberFormat="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7" fillId="0" borderId="0" applyFont="0" applyFill="0" applyBorder="0" applyAlignment="0" applyProtection="0"/>
    <xf numFmtId="0" fontId="23" fillId="0" borderId="0"/>
    <xf numFmtId="0" fontId="16" fillId="0" borderId="0"/>
    <xf numFmtId="9" fontId="16" fillId="0" borderId="0" applyFont="0" applyFill="0" applyBorder="0" applyAlignment="0" applyProtection="0"/>
    <xf numFmtId="165" fontId="23" fillId="0" borderId="0" applyFont="0" applyFill="0" applyBorder="0" applyAlignment="0" applyProtection="0"/>
    <xf numFmtId="44" fontId="1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61" fillId="0" borderId="0" applyNumberFormat="0" applyFill="0" applyBorder="0" applyAlignment="0" applyProtection="0">
      <alignment vertical="top"/>
      <protection locked="0"/>
    </xf>
    <xf numFmtId="165" fontId="2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3" fillId="0" borderId="0"/>
    <xf numFmtId="0" fontId="24" fillId="0" borderId="0"/>
    <xf numFmtId="0" fontId="24" fillId="0" borderId="0"/>
    <xf numFmtId="0" fontId="24" fillId="0" borderId="0"/>
    <xf numFmtId="44" fontId="23" fillId="0" borderId="0" applyFont="0" applyFill="0" applyBorder="0" applyAlignment="0" applyProtection="0"/>
    <xf numFmtId="172" fontId="24" fillId="0" borderId="0" applyFont="0" applyFill="0" applyBorder="0" applyAlignment="0" applyProtection="0"/>
    <xf numFmtId="43" fontId="16"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6" fillId="24" borderId="0" applyNumberFormat="0" applyBorder="0" applyAlignment="0" applyProtection="0"/>
    <xf numFmtId="0" fontId="16" fillId="25"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24" borderId="0" applyNumberFormat="0" applyBorder="0" applyAlignment="0" applyProtection="0"/>
    <xf numFmtId="0" fontId="15" fillId="25"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24" borderId="0" applyNumberFormat="0" applyBorder="0" applyAlignment="0" applyProtection="0"/>
    <xf numFmtId="0" fontId="14" fillId="25"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63" fillId="0" borderId="0"/>
    <xf numFmtId="173" fontId="63" fillId="0" borderId="0" applyFont="0" applyFill="0" applyBorder="0" applyAlignment="0" applyProtection="0"/>
    <xf numFmtId="43" fontId="12" fillId="0" borderId="0" applyFont="0" applyFill="0" applyBorder="0" applyAlignment="0" applyProtection="0"/>
    <xf numFmtId="9" fontId="63" fillId="0" borderId="0" applyFont="0" applyFill="0" applyBorder="0" applyAlignment="0" applyProtection="0"/>
    <xf numFmtId="0" fontId="12" fillId="0" borderId="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165" fontId="24" fillId="0" borderId="0" applyFont="0" applyFill="0" applyBorder="0" applyAlignment="0" applyProtection="0"/>
    <xf numFmtId="174" fontId="63" fillId="0" borderId="0" applyFont="0" applyFill="0" applyBorder="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0" fontId="31" fillId="7" borderId="1" applyNumberFormat="0" applyAlignment="0" applyProtection="0"/>
    <xf numFmtId="43" fontId="12"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5" fillId="0" borderId="0" applyFont="0" applyFill="0" applyBorder="0" applyAlignment="0" applyProtection="0"/>
    <xf numFmtId="43" fontId="12" fillId="0" borderId="0" applyFont="0" applyFill="0" applyBorder="0" applyAlignment="0" applyProtection="0"/>
    <xf numFmtId="176" fontId="64" fillId="0" borderId="29">
      <alignment horizontal="right" vertical="center" wrapText="1" indent="1"/>
    </xf>
    <xf numFmtId="0" fontId="24" fillId="0" borderId="0"/>
    <xf numFmtId="0" fontId="12" fillId="0" borderId="0"/>
    <xf numFmtId="0" fontId="24" fillId="0" borderId="0"/>
    <xf numFmtId="0" fontId="12"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9" fontId="63" fillId="0" borderId="0" applyFont="0" applyFill="0" applyBorder="0" applyAlignment="0" applyProtection="0"/>
    <xf numFmtId="9" fontId="24"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177" fontId="65" fillId="28" borderId="30" applyFont="0" applyAlignment="0">
      <alignment vertical="center"/>
    </xf>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0" fontId="39" fillId="20" borderId="8" applyNumberFormat="0" applyAlignment="0" applyProtection="0"/>
    <xf numFmtId="164" fontId="2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4" fontId="63" fillId="0" borderId="0" applyFont="0" applyFill="0" applyBorder="0" applyAlignment="0" applyProtection="0"/>
    <xf numFmtId="178" fontId="24" fillId="0" borderId="0" applyFont="0" applyFill="0" applyBorder="0" applyAlignment="0" applyProtection="0"/>
    <xf numFmtId="0" fontId="12" fillId="0" borderId="0"/>
    <xf numFmtId="0" fontId="66" fillId="0" borderId="0"/>
    <xf numFmtId="9" fontId="67"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23"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182" fontId="63" fillId="0" borderId="0" applyFont="0" applyFill="0" applyBorder="0" applyAlignment="0" applyProtection="0"/>
    <xf numFmtId="174"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34" fillId="0" borderId="35" applyNumberFormat="0" applyFill="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0" fontId="34" fillId="0" borderId="35" applyNumberFormat="0" applyFill="0" applyAlignment="0" applyProtection="0"/>
    <xf numFmtId="0" fontId="34" fillId="0" borderId="35" applyNumberFormat="0" applyFill="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24" fillId="0" borderId="0" applyFont="0" applyFill="0" applyBorder="0" applyAlignment="0" applyProtection="0"/>
    <xf numFmtId="43" fontId="63"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183" fontId="24" fillId="0" borderId="0" applyFont="0" applyFill="0" applyBorder="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27" fillId="20"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0" fontId="31" fillId="7" borderId="34" applyNumberFormat="0" applyAlignment="0" applyProtection="0"/>
    <xf numFmtId="43" fontId="11" fillId="0" borderId="0" applyFont="0" applyFill="0" applyBorder="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9" fontId="11" fillId="0" borderId="0" applyFont="0" applyFill="0" applyBorder="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9" fillId="0" borderId="40" applyNumberFormat="0" applyFill="0" applyAlignment="0" applyProtection="0"/>
    <xf numFmtId="0" fontId="29" fillId="0" borderId="40" applyNumberFormat="0" applyFill="0" applyAlignment="0" applyProtection="0"/>
    <xf numFmtId="0" fontId="34" fillId="0" borderId="41" applyNumberFormat="0" applyFill="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4" fillId="0" borderId="41" applyNumberFormat="0" applyFill="0" applyAlignment="0" applyProtection="0"/>
    <xf numFmtId="0" fontId="34" fillId="0" borderId="41" applyNumberFormat="0" applyFill="0" applyAlignment="0" applyProtection="0"/>
    <xf numFmtId="0" fontId="29" fillId="0" borderId="40" applyNumberFormat="0" applyFill="0" applyAlignment="0" applyProtection="0"/>
    <xf numFmtId="0" fontId="10" fillId="0" borderId="0"/>
    <xf numFmtId="0" fontId="10" fillId="0" borderId="0"/>
    <xf numFmtId="0" fontId="10" fillId="0" borderId="0"/>
    <xf numFmtId="0" fontId="10" fillId="0" borderId="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7" fillId="20" borderId="39" applyNumberFormat="0" applyAlignment="0" applyProtection="0"/>
    <xf numFmtId="0" fontId="29" fillId="0" borderId="40" applyNumberFormat="0" applyFill="0" applyAlignment="0" applyProtection="0"/>
    <xf numFmtId="0" fontId="29" fillId="0" borderId="40" applyNumberFormat="0" applyFill="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0" fontId="31" fillId="7" borderId="39"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29" fillId="0" borderId="40" applyNumberFormat="0" applyFill="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24" fillId="23" borderId="36" applyNumberFormat="0" applyFon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9" fillId="0" borderId="0"/>
    <xf numFmtId="0" fontId="9" fillId="0" borderId="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8" fillId="0" borderId="38" applyNumberFormat="0" applyFill="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0" fontId="39" fillId="20" borderId="37" applyNumberFormat="0" applyAlignment="0" applyProtection="0"/>
    <xf numFmtId="44" fontId="9" fillId="0" borderId="0" applyFont="0" applyFill="0" applyBorder="0" applyAlignment="0" applyProtection="0"/>
    <xf numFmtId="0" fontId="9" fillId="0" borderId="0"/>
    <xf numFmtId="0" fontId="9" fillId="0" borderId="0"/>
    <xf numFmtId="0" fontId="66" fillId="0" borderId="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24" fillId="0" borderId="0"/>
    <xf numFmtId="9" fontId="7" fillId="0" borderId="0" applyFont="0" applyFill="0" applyBorder="0" applyAlignment="0" applyProtection="0"/>
    <xf numFmtId="0" fontId="66" fillId="0" borderId="0"/>
    <xf numFmtId="43" fontId="66" fillId="0" borderId="0" applyFont="0" applyFill="0" applyBorder="0" applyAlignment="0" applyProtection="0"/>
    <xf numFmtId="9" fontId="66" fillId="0" borderId="0" applyFont="0" applyFill="0" applyBorder="0" applyAlignment="0" applyProtection="0"/>
    <xf numFmtId="43" fontId="7" fillId="0" borderId="0" applyFont="0" applyFill="0" applyBorder="0" applyAlignment="0" applyProtection="0"/>
    <xf numFmtId="0" fontId="81" fillId="31"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9" fontId="23" fillId="0" borderId="0" applyFont="0" applyFill="0" applyBorder="0" applyAlignment="0" applyProtection="0"/>
    <xf numFmtId="0" fontId="7" fillId="0" borderId="0"/>
    <xf numFmtId="0" fontId="7" fillId="0" borderId="0"/>
    <xf numFmtId="0" fontId="7" fillId="0" borderId="0"/>
    <xf numFmtId="174" fontId="66" fillId="0" borderId="0" applyFont="0" applyFill="0" applyBorder="0" applyAlignment="0" applyProtection="0"/>
    <xf numFmtId="193" fontId="88" fillId="0" borderId="0" applyFont="0" applyFill="0" applyBorder="0" applyAlignment="0" applyProtection="0"/>
    <xf numFmtId="193" fontId="88" fillId="0" borderId="0" applyFont="0" applyFill="0" applyBorder="0" applyAlignment="0" applyProtection="0"/>
    <xf numFmtId="174" fontId="66" fillId="0" borderId="0" applyFont="0" applyFill="0" applyBorder="0" applyAlignment="0" applyProtection="0"/>
    <xf numFmtId="174" fontId="66" fillId="0" borderId="0" applyFont="0" applyFill="0" applyBorder="0" applyAlignment="0" applyProtection="0"/>
    <xf numFmtId="174" fontId="66" fillId="0" borderId="0" applyFont="0" applyFill="0" applyBorder="0" applyAlignment="0" applyProtection="0"/>
    <xf numFmtId="194" fontId="66" fillId="0" borderId="0" applyFont="0" applyFill="0" applyBorder="0" applyAlignment="0" applyProtection="0"/>
    <xf numFmtId="174" fontId="66" fillId="0" borderId="0" applyFont="0" applyFill="0" applyBorder="0" applyAlignment="0" applyProtection="0"/>
    <xf numFmtId="174" fontId="66" fillId="0" borderId="0" applyFont="0" applyFill="0" applyBorder="0" applyAlignment="0" applyProtection="0"/>
    <xf numFmtId="174" fontId="66" fillId="0" borderId="0" applyFont="0" applyFill="0" applyBorder="0" applyAlignment="0" applyProtection="0"/>
    <xf numFmtId="195" fontId="66" fillId="0" borderId="0" applyFont="0" applyFill="0" applyBorder="0" applyAlignment="0" applyProtection="0"/>
    <xf numFmtId="196" fontId="88" fillId="0" borderId="0" applyFont="0" applyFill="0" applyBorder="0" applyAlignment="0" applyProtection="0"/>
    <xf numFmtId="196" fontId="88"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195" fontId="66"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6" fillId="0" borderId="0"/>
    <xf numFmtId="0" fontId="66" fillId="0" borderId="0"/>
    <xf numFmtId="0" fontId="6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9" fontId="88" fillId="0" borderId="0" applyFont="0" applyFill="0" applyBorder="0" applyAlignment="0" applyProtection="0"/>
    <xf numFmtId="9" fontId="88" fillId="0" borderId="0" applyFont="0" applyFill="0" applyBorder="0" applyAlignment="0" applyProtection="0"/>
    <xf numFmtId="0" fontId="7" fillId="0" borderId="0"/>
    <xf numFmtId="0" fontId="6" fillId="0" borderId="0"/>
    <xf numFmtId="0" fontId="90" fillId="0" borderId="0"/>
    <xf numFmtId="197" fontId="90" fillId="0" borderId="0" applyFont="0" applyFill="0" applyBorder="0" applyAlignment="0" applyProtection="0"/>
    <xf numFmtId="197" fontId="90" fillId="0" borderId="0" applyFont="0" applyFill="0" applyBorder="0" applyAlignment="0" applyProtection="0"/>
    <xf numFmtId="43" fontId="6" fillId="0" borderId="0" applyFont="0" applyFill="0" applyBorder="0" applyAlignment="0" applyProtection="0"/>
    <xf numFmtId="0" fontId="88" fillId="0" borderId="0"/>
    <xf numFmtId="0" fontId="88" fillId="0" borderId="0"/>
    <xf numFmtId="0" fontId="88" fillId="0" borderId="0"/>
    <xf numFmtId="0" fontId="92" fillId="0" borderId="0"/>
    <xf numFmtId="43" fontId="92"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cellStyleXfs>
  <cellXfs count="2962">
    <xf numFmtId="0" fontId="0" fillId="0" borderId="0" xfId="0"/>
    <xf numFmtId="166" fontId="57" fillId="27" borderId="16" xfId="642" applyNumberFormat="1" applyFont="1" applyFill="1" applyBorder="1" applyProtection="1"/>
    <xf numFmtId="166" fontId="44" fillId="27" borderId="0" xfId="638" applyNumberFormat="1" applyFont="1" applyFill="1" applyBorder="1" applyProtection="1"/>
    <xf numFmtId="166" fontId="44" fillId="27" borderId="16" xfId="638" applyNumberFormat="1" applyFont="1" applyFill="1" applyBorder="1" applyProtection="1"/>
    <xf numFmtId="3" fontId="62" fillId="27" borderId="12" xfId="2258" applyNumberFormat="1" applyFont="1" applyFill="1" applyBorder="1"/>
    <xf numFmtId="0" fontId="58" fillId="27" borderId="11" xfId="1168" applyFont="1" applyFill="1" applyBorder="1"/>
    <xf numFmtId="184" fontId="44" fillId="27" borderId="16" xfId="642" applyNumberFormat="1" applyFont="1" applyFill="1" applyBorder="1" applyProtection="1"/>
    <xf numFmtId="0" fontId="44" fillId="27" borderId="0" xfId="1168" applyFont="1" applyFill="1"/>
    <xf numFmtId="0" fontId="57" fillId="27" borderId="12" xfId="1168" applyFont="1" applyFill="1" applyBorder="1"/>
    <xf numFmtId="166" fontId="57" fillId="27" borderId="13" xfId="642" applyNumberFormat="1" applyFont="1" applyFill="1" applyBorder="1" applyProtection="1"/>
    <xf numFmtId="164" fontId="47" fillId="27" borderId="13" xfId="1727" applyFont="1" applyFill="1" applyBorder="1" applyAlignment="1" applyProtection="1">
      <alignment horizontal="center"/>
    </xf>
    <xf numFmtId="0" fontId="47" fillId="27" borderId="18" xfId="1168" applyFont="1" applyFill="1" applyBorder="1" applyAlignment="1">
      <alignment horizontal="center"/>
    </xf>
    <xf numFmtId="0" fontId="47" fillId="27" borderId="15" xfId="1168" applyFont="1" applyFill="1" applyBorder="1" applyAlignment="1">
      <alignment horizontal="left"/>
    </xf>
    <xf numFmtId="0" fontId="47" fillId="27" borderId="0" xfId="1168" applyFont="1" applyFill="1" applyAlignment="1">
      <alignment horizontal="left"/>
    </xf>
    <xf numFmtId="0" fontId="24" fillId="27" borderId="0" xfId="1168" applyFill="1"/>
    <xf numFmtId="0" fontId="70" fillId="27" borderId="0" xfId="7699" applyFont="1" applyFill="1"/>
    <xf numFmtId="0" fontId="71" fillId="27" borderId="0" xfId="1170" applyFont="1" applyFill="1"/>
    <xf numFmtId="0" fontId="72" fillId="27" borderId="0" xfId="7699" applyFont="1" applyFill="1" applyAlignment="1">
      <alignment horizontal="center"/>
    </xf>
    <xf numFmtId="0" fontId="70" fillId="27" borderId="0" xfId="7700" applyFont="1" applyFill="1"/>
    <xf numFmtId="0" fontId="71" fillId="27" borderId="14" xfId="1170" applyFont="1" applyFill="1" applyBorder="1"/>
    <xf numFmtId="9" fontId="71" fillId="27" borderId="0" xfId="1153" applyFont="1" applyFill="1" applyProtection="1"/>
    <xf numFmtId="0" fontId="73" fillId="27" borderId="0" xfId="7699" applyFont="1" applyFill="1" applyAlignment="1">
      <alignment horizontal="center"/>
    </xf>
    <xf numFmtId="0" fontId="73" fillId="27" borderId="0" xfId="7700" applyFont="1" applyFill="1" applyAlignment="1">
      <alignment horizontal="left"/>
    </xf>
    <xf numFmtId="0" fontId="71" fillId="27" borderId="12" xfId="1170" applyFont="1" applyFill="1" applyBorder="1"/>
    <xf numFmtId="3" fontId="73" fillId="27" borderId="0" xfId="7699" applyNumberFormat="1" applyFont="1" applyFill="1"/>
    <xf numFmtId="3" fontId="75" fillId="27" borderId="0" xfId="7699" applyNumberFormat="1" applyFont="1" applyFill="1"/>
    <xf numFmtId="3" fontId="71" fillId="27" borderId="0" xfId="1170" applyNumberFormat="1" applyFont="1" applyFill="1"/>
    <xf numFmtId="0" fontId="74" fillId="27" borderId="0" xfId="7699" applyFont="1" applyFill="1"/>
    <xf numFmtId="3" fontId="74" fillId="27" borderId="0" xfId="7699" applyNumberFormat="1" applyFont="1" applyFill="1"/>
    <xf numFmtId="0" fontId="73" fillId="27" borderId="11" xfId="7699" applyFont="1" applyFill="1" applyBorder="1"/>
    <xf numFmtId="43" fontId="74" fillId="27" borderId="14" xfId="7699" applyNumberFormat="1" applyFont="1" applyFill="1" applyBorder="1"/>
    <xf numFmtId="0" fontId="74" fillId="27" borderId="14" xfId="7699" applyFont="1" applyFill="1" applyBorder="1" applyAlignment="1">
      <alignment horizontal="center"/>
    </xf>
    <xf numFmtId="0" fontId="74" fillId="27" borderId="13" xfId="7699" applyFont="1" applyFill="1" applyBorder="1" applyAlignment="1">
      <alignment horizontal="center"/>
    </xf>
    <xf numFmtId="166" fontId="74" fillId="27" borderId="0" xfId="638" quotePrefix="1" applyNumberFormat="1" applyFont="1" applyFill="1" applyBorder="1" applyProtection="1"/>
    <xf numFmtId="0" fontId="76" fillId="27" borderId="11" xfId="1170" applyFont="1" applyFill="1" applyBorder="1"/>
    <xf numFmtId="0" fontId="74" fillId="27" borderId="12" xfId="7699" applyFont="1" applyFill="1" applyBorder="1"/>
    <xf numFmtId="43" fontId="74" fillId="27" borderId="0" xfId="7699" applyNumberFormat="1" applyFont="1" applyFill="1"/>
    <xf numFmtId="0" fontId="74" fillId="27" borderId="16" xfId="7699" applyFont="1" applyFill="1" applyBorder="1"/>
    <xf numFmtId="0" fontId="74" fillId="27" borderId="12" xfId="7699" quotePrefix="1" applyFont="1" applyFill="1" applyBorder="1"/>
    <xf numFmtId="0" fontId="74" fillId="27" borderId="0" xfId="7699" quotePrefix="1" applyFont="1" applyFill="1"/>
    <xf numFmtId="166" fontId="74" fillId="27" borderId="16" xfId="638" quotePrefix="1" applyNumberFormat="1" applyFont="1" applyFill="1" applyBorder="1" applyProtection="1"/>
    <xf numFmtId="166" fontId="74" fillId="27" borderId="0" xfId="638" applyNumberFormat="1" applyFont="1" applyFill="1" applyBorder="1" applyProtection="1"/>
    <xf numFmtId="166" fontId="74" fillId="27" borderId="16" xfId="638" applyNumberFormat="1" applyFont="1" applyFill="1" applyBorder="1" applyProtection="1"/>
    <xf numFmtId="0" fontId="73" fillId="27" borderId="0" xfId="7699" applyFont="1" applyFill="1"/>
    <xf numFmtId="0" fontId="70" fillId="27" borderId="11" xfId="7699" applyFont="1" applyFill="1" applyBorder="1"/>
    <xf numFmtId="0" fontId="70" fillId="27" borderId="14" xfId="7699" applyFont="1" applyFill="1" applyBorder="1"/>
    <xf numFmtId="0" fontId="77" fillId="27" borderId="12" xfId="1170" applyFont="1" applyFill="1" applyBorder="1"/>
    <xf numFmtId="166" fontId="74" fillId="27" borderId="10" xfId="638" applyNumberFormat="1" applyFont="1" applyFill="1" applyBorder="1" applyProtection="1"/>
    <xf numFmtId="166" fontId="74" fillId="27" borderId="17" xfId="638" applyNumberFormat="1" applyFont="1" applyFill="1" applyBorder="1" applyProtection="1"/>
    <xf numFmtId="0" fontId="73" fillId="27" borderId="12" xfId="7699" applyFont="1" applyFill="1" applyBorder="1"/>
    <xf numFmtId="0" fontId="73" fillId="27" borderId="12" xfId="7699" quotePrefix="1" applyFont="1" applyFill="1" applyBorder="1"/>
    <xf numFmtId="0" fontId="73" fillId="27" borderId="0" xfId="7699" quotePrefix="1" applyFont="1" applyFill="1"/>
    <xf numFmtId="9" fontId="77" fillId="27" borderId="0" xfId="1170" applyNumberFormat="1" applyFont="1" applyFill="1"/>
    <xf numFmtId="0" fontId="77" fillId="27" borderId="0" xfId="1170" applyFont="1" applyFill="1"/>
    <xf numFmtId="166" fontId="71" fillId="27" borderId="0" xfId="1170" applyNumberFormat="1" applyFont="1" applyFill="1"/>
    <xf numFmtId="166" fontId="71" fillId="27" borderId="0" xfId="638" applyNumberFormat="1" applyFont="1" applyFill="1" applyBorder="1" applyProtection="1"/>
    <xf numFmtId="166" fontId="71" fillId="27" borderId="16" xfId="638" applyNumberFormat="1" applyFont="1" applyFill="1" applyBorder="1" applyProtection="1"/>
    <xf numFmtId="43" fontId="71" fillId="27" borderId="0" xfId="638" applyFont="1" applyFill="1" applyBorder="1" applyProtection="1"/>
    <xf numFmtId="166" fontId="71" fillId="27" borderId="16" xfId="1170" applyNumberFormat="1" applyFont="1" applyFill="1" applyBorder="1"/>
    <xf numFmtId="166" fontId="70" fillId="27" borderId="14" xfId="7699" applyNumberFormat="1" applyFont="1" applyFill="1" applyBorder="1"/>
    <xf numFmtId="166" fontId="70" fillId="27" borderId="13" xfId="7699" applyNumberFormat="1" applyFont="1" applyFill="1" applyBorder="1"/>
    <xf numFmtId="166" fontId="73" fillId="27" borderId="0" xfId="7699" applyNumberFormat="1" applyFont="1" applyFill="1"/>
    <xf numFmtId="166" fontId="73" fillId="27" borderId="16" xfId="7699" applyNumberFormat="1" applyFont="1" applyFill="1" applyBorder="1"/>
    <xf numFmtId="166" fontId="74" fillId="27" borderId="0" xfId="7699" applyNumberFormat="1" applyFont="1" applyFill="1"/>
    <xf numFmtId="166" fontId="74" fillId="27" borderId="16" xfId="7699" applyNumberFormat="1" applyFont="1" applyFill="1" applyBorder="1"/>
    <xf numFmtId="166" fontId="77" fillId="27" borderId="0" xfId="1170" applyNumberFormat="1" applyFont="1" applyFill="1"/>
    <xf numFmtId="166" fontId="74" fillId="27" borderId="0" xfId="7700" applyNumberFormat="1" applyFont="1" applyFill="1"/>
    <xf numFmtId="166" fontId="47" fillId="27" borderId="0" xfId="638" applyNumberFormat="1" applyFont="1" applyFill="1" applyBorder="1" applyProtection="1"/>
    <xf numFmtId="166" fontId="47" fillId="27" borderId="16" xfId="638" applyNumberFormat="1" applyFont="1" applyFill="1" applyBorder="1" applyProtection="1"/>
    <xf numFmtId="0" fontId="76" fillId="27" borderId="12" xfId="1170" applyFont="1" applyFill="1" applyBorder="1"/>
    <xf numFmtId="0" fontId="44" fillId="27" borderId="49" xfId="1168" applyFont="1" applyFill="1" applyBorder="1"/>
    <xf numFmtId="10" fontId="44" fillId="27" borderId="0" xfId="1153" applyNumberFormat="1" applyFont="1" applyFill="1" applyBorder="1" applyProtection="1"/>
    <xf numFmtId="0" fontId="77" fillId="27" borderId="49" xfId="1170" applyFont="1" applyFill="1" applyBorder="1"/>
    <xf numFmtId="0" fontId="44" fillId="27" borderId="12" xfId="1168" applyFont="1" applyFill="1" applyBorder="1"/>
    <xf numFmtId="0" fontId="57" fillId="27" borderId="0" xfId="35529" applyFont="1" applyFill="1"/>
    <xf numFmtId="0" fontId="58" fillId="27" borderId="15" xfId="35529" applyFont="1" applyFill="1" applyBorder="1" applyAlignment="1">
      <alignment vertical="center"/>
    </xf>
    <xf numFmtId="0" fontId="58" fillId="27" borderId="19" xfId="35529" applyFont="1" applyFill="1" applyBorder="1" applyAlignment="1">
      <alignment horizontal="center" vertical="center" wrapText="1"/>
    </xf>
    <xf numFmtId="0" fontId="58" fillId="27" borderId="18" xfId="35529" applyFont="1" applyFill="1" applyBorder="1" applyAlignment="1">
      <alignment horizontal="center" vertical="center" wrapText="1"/>
    </xf>
    <xf numFmtId="0" fontId="57" fillId="27" borderId="0" xfId="1168" applyFont="1" applyFill="1"/>
    <xf numFmtId="0" fontId="57" fillId="27" borderId="12" xfId="1168" applyFont="1" applyFill="1" applyBorder="1" applyAlignment="1">
      <alignment horizontal="center"/>
    </xf>
    <xf numFmtId="0" fontId="57" fillId="27" borderId="16" xfId="1168" applyFont="1" applyFill="1" applyBorder="1"/>
    <xf numFmtId="0" fontId="57" fillId="27" borderId="47" xfId="1168" applyFont="1" applyFill="1" applyBorder="1"/>
    <xf numFmtId="0" fontId="57" fillId="27" borderId="49" xfId="1168" applyFont="1" applyFill="1" applyBorder="1" applyAlignment="1">
      <alignment horizontal="center"/>
    </xf>
    <xf numFmtId="0" fontId="57" fillId="27" borderId="48" xfId="1168" applyFont="1" applyFill="1" applyBorder="1" applyAlignment="1">
      <alignment horizontal="center"/>
    </xf>
    <xf numFmtId="0" fontId="57" fillId="27" borderId="48" xfId="1168" applyFont="1" applyFill="1" applyBorder="1"/>
    <xf numFmtId="166" fontId="57" fillId="27" borderId="13" xfId="642" applyNumberFormat="1" applyFont="1" applyFill="1" applyBorder="1"/>
    <xf numFmtId="3" fontId="58" fillId="27" borderId="11" xfId="1168" applyNumberFormat="1" applyFont="1" applyFill="1" applyBorder="1"/>
    <xf numFmtId="0" fontId="57" fillId="27" borderId="0" xfId="1168" applyFont="1" applyFill="1" applyAlignment="1">
      <alignment horizontal="center"/>
    </xf>
    <xf numFmtId="166" fontId="57" fillId="27" borderId="16" xfId="642" applyNumberFormat="1" applyFont="1" applyFill="1" applyBorder="1"/>
    <xf numFmtId="43" fontId="57" fillId="27" borderId="0" xfId="1168" applyNumberFormat="1" applyFont="1" applyFill="1"/>
    <xf numFmtId="3" fontId="57" fillId="27" borderId="12" xfId="1168" applyNumberFormat="1" applyFont="1" applyFill="1" applyBorder="1"/>
    <xf numFmtId="3" fontId="57" fillId="27" borderId="0" xfId="1168" applyNumberFormat="1" applyFont="1" applyFill="1"/>
    <xf numFmtId="3" fontId="57" fillId="27" borderId="16" xfId="1168" applyNumberFormat="1" applyFont="1" applyFill="1" applyBorder="1"/>
    <xf numFmtId="0" fontId="58" fillId="27" borderId="0" xfId="1168" applyFont="1" applyFill="1" applyAlignment="1">
      <alignment horizontal="center"/>
    </xf>
    <xf numFmtId="3" fontId="62" fillId="27" borderId="49" xfId="2258" applyNumberFormat="1" applyFont="1" applyFill="1" applyBorder="1"/>
    <xf numFmtId="3" fontId="58" fillId="27" borderId="12" xfId="1168" applyNumberFormat="1" applyFont="1" applyFill="1" applyBorder="1"/>
    <xf numFmtId="3" fontId="58" fillId="27" borderId="0" xfId="1168" applyNumberFormat="1" applyFont="1" applyFill="1"/>
    <xf numFmtId="0" fontId="57" fillId="27" borderId="49" xfId="1168" applyFont="1" applyFill="1" applyBorder="1"/>
    <xf numFmtId="3" fontId="57" fillId="27" borderId="58" xfId="1168" applyNumberFormat="1" applyFont="1" applyFill="1" applyBorder="1"/>
    <xf numFmtId="3" fontId="57" fillId="27" borderId="57" xfId="1168" applyNumberFormat="1" applyFont="1" applyFill="1" applyBorder="1"/>
    <xf numFmtId="3" fontId="57" fillId="27" borderId="59" xfId="1168" applyNumberFormat="1" applyFont="1" applyFill="1" applyBorder="1"/>
    <xf numFmtId="3" fontId="57" fillId="27" borderId="33" xfId="1168" applyNumberFormat="1" applyFont="1" applyFill="1" applyBorder="1"/>
    <xf numFmtId="3" fontId="58" fillId="27" borderId="23" xfId="1168" applyNumberFormat="1" applyFont="1" applyFill="1" applyBorder="1"/>
    <xf numFmtId="166" fontId="57" fillId="27" borderId="0" xfId="1168" applyNumberFormat="1" applyFont="1" applyFill="1"/>
    <xf numFmtId="166" fontId="44" fillId="27" borderId="60" xfId="638" applyNumberFormat="1" applyFont="1" applyFill="1" applyBorder="1" applyProtection="1"/>
    <xf numFmtId="10" fontId="44" fillId="27" borderId="16" xfId="1154" applyNumberFormat="1" applyFont="1" applyFill="1" applyBorder="1" applyProtection="1"/>
    <xf numFmtId="10" fontId="44" fillId="27" borderId="16" xfId="1153" applyNumberFormat="1" applyFont="1" applyFill="1" applyBorder="1" applyProtection="1"/>
    <xf numFmtId="166" fontId="44" fillId="27" borderId="10" xfId="638" applyNumberFormat="1" applyFont="1" applyFill="1" applyBorder="1" applyProtection="1"/>
    <xf numFmtId="166" fontId="44" fillId="27" borderId="17" xfId="638" applyNumberFormat="1" applyFont="1" applyFill="1" applyBorder="1" applyProtection="1"/>
    <xf numFmtId="9" fontId="62" fillId="27" borderId="16" xfId="1153" applyFont="1" applyFill="1" applyBorder="1"/>
    <xf numFmtId="9" fontId="62" fillId="27" borderId="47" xfId="1153" applyFont="1" applyFill="1" applyBorder="1"/>
    <xf numFmtId="167" fontId="57" fillId="27" borderId="16" xfId="1153" applyNumberFormat="1" applyFont="1" applyFill="1" applyBorder="1"/>
    <xf numFmtId="167" fontId="57" fillId="27" borderId="47" xfId="1153" applyNumberFormat="1" applyFont="1" applyFill="1" applyBorder="1"/>
    <xf numFmtId="0" fontId="57" fillId="27" borderId="15" xfId="1168" applyFont="1" applyFill="1" applyBorder="1"/>
    <xf numFmtId="166" fontId="57" fillId="27" borderId="10" xfId="638" applyNumberFormat="1" applyFont="1" applyFill="1" applyBorder="1"/>
    <xf numFmtId="166" fontId="57" fillId="27" borderId="0" xfId="638" applyNumberFormat="1" applyFont="1" applyFill="1" applyBorder="1"/>
    <xf numFmtId="43" fontId="57" fillId="27" borderId="0" xfId="638" applyFont="1" applyFill="1"/>
    <xf numFmtId="0" fontId="57" fillId="27" borderId="18" xfId="1168" applyFont="1" applyFill="1" applyBorder="1"/>
    <xf numFmtId="166" fontId="44" fillId="27" borderId="12" xfId="638" applyNumberFormat="1" applyFont="1" applyFill="1" applyBorder="1" applyProtection="1"/>
    <xf numFmtId="166" fontId="47" fillId="27" borderId="12" xfId="638" applyNumberFormat="1" applyFont="1" applyFill="1" applyBorder="1" applyProtection="1"/>
    <xf numFmtId="0" fontId="0" fillId="27" borderId="0" xfId="0" applyFill="1"/>
    <xf numFmtId="0" fontId="0" fillId="27" borderId="12" xfId="0" applyFill="1" applyBorder="1"/>
    <xf numFmtId="0" fontId="42" fillId="27" borderId="12" xfId="0" applyFont="1" applyFill="1" applyBorder="1"/>
    <xf numFmtId="0" fontId="0" fillId="27" borderId="16" xfId="0" applyFill="1" applyBorder="1"/>
    <xf numFmtId="0" fontId="24" fillId="27" borderId="12" xfId="0" applyFont="1" applyFill="1" applyBorder="1"/>
    <xf numFmtId="43" fontId="0" fillId="27" borderId="0" xfId="0" applyNumberFormat="1" applyFill="1"/>
    <xf numFmtId="0" fontId="0" fillId="27" borderId="14" xfId="0" applyFill="1" applyBorder="1"/>
    <xf numFmtId="166" fontId="0" fillId="27" borderId="0" xfId="0" applyNumberFormat="1" applyFill="1"/>
    <xf numFmtId="166" fontId="0" fillId="27" borderId="10" xfId="638" applyNumberFormat="1" applyFont="1" applyFill="1" applyBorder="1"/>
    <xf numFmtId="166" fontId="0" fillId="27" borderId="0" xfId="638" applyNumberFormat="1" applyFont="1" applyFill="1" applyBorder="1"/>
    <xf numFmtId="0" fontId="0" fillId="27" borderId="13" xfId="0" applyFill="1" applyBorder="1"/>
    <xf numFmtId="43" fontId="0" fillId="27" borderId="0" xfId="638" applyFont="1" applyFill="1" applyBorder="1"/>
    <xf numFmtId="166" fontId="0" fillId="27" borderId="16" xfId="638" applyNumberFormat="1" applyFont="1" applyFill="1" applyBorder="1"/>
    <xf numFmtId="166" fontId="0" fillId="27" borderId="17" xfId="638" applyNumberFormat="1" applyFont="1" applyFill="1" applyBorder="1"/>
    <xf numFmtId="166" fontId="42" fillId="27" borderId="0" xfId="638" applyNumberFormat="1" applyFont="1" applyFill="1" applyBorder="1"/>
    <xf numFmtId="166" fontId="42" fillId="27" borderId="16" xfId="638" applyNumberFormat="1" applyFont="1" applyFill="1" applyBorder="1"/>
    <xf numFmtId="166" fontId="0" fillId="27" borderId="16" xfId="0" applyNumberFormat="1" applyFill="1" applyBorder="1"/>
    <xf numFmtId="166" fontId="73" fillId="27" borderId="57" xfId="7699" applyNumberFormat="1" applyFont="1" applyFill="1" applyBorder="1"/>
    <xf numFmtId="166" fontId="73" fillId="27" borderId="59" xfId="7699" applyNumberFormat="1" applyFont="1" applyFill="1" applyBorder="1"/>
    <xf numFmtId="0" fontId="42" fillId="27" borderId="11" xfId="0" applyFont="1" applyFill="1" applyBorder="1"/>
    <xf numFmtId="166" fontId="44" fillId="27" borderId="42" xfId="638" applyNumberFormat="1" applyFont="1" applyFill="1" applyBorder="1" applyProtection="1"/>
    <xf numFmtId="3" fontId="0" fillId="27" borderId="0" xfId="0" applyNumberFormat="1" applyFill="1"/>
    <xf numFmtId="44" fontId="0" fillId="27" borderId="0" xfId="1762" applyFont="1" applyFill="1" applyAlignment="1" applyProtection="1">
      <alignment horizontal="center"/>
    </xf>
    <xf numFmtId="44" fontId="0" fillId="27" borderId="0" xfId="1762" applyFont="1" applyFill="1" applyProtection="1"/>
    <xf numFmtId="164" fontId="0" fillId="27" borderId="0" xfId="1730" applyFont="1" applyFill="1" applyProtection="1"/>
    <xf numFmtId="164" fontId="48" fillId="27" borderId="12" xfId="1730" applyFont="1" applyFill="1" applyBorder="1" applyAlignment="1" applyProtection="1">
      <alignment horizontal="left"/>
    </xf>
    <xf numFmtId="166" fontId="47" fillId="27" borderId="0" xfId="642" applyNumberFormat="1" applyFont="1" applyFill="1" applyBorder="1" applyAlignment="1" applyProtection="1">
      <alignment horizontal="center"/>
    </xf>
    <xf numFmtId="169" fontId="47" fillId="27" borderId="0" xfId="642" applyNumberFormat="1" applyFont="1" applyFill="1" applyBorder="1" applyAlignment="1" applyProtection="1">
      <alignment horizontal="center"/>
    </xf>
    <xf numFmtId="169" fontId="47" fillId="27" borderId="16" xfId="642" applyNumberFormat="1" applyFont="1" applyFill="1" applyBorder="1" applyAlignment="1" applyProtection="1">
      <alignment horizontal="center"/>
    </xf>
    <xf numFmtId="43" fontId="0" fillId="27" borderId="0" xfId="1746" applyFont="1" applyFill="1" applyAlignment="1" applyProtection="1">
      <alignment horizontal="left"/>
    </xf>
    <xf numFmtId="43" fontId="0" fillId="27" borderId="0" xfId="1746" applyFont="1" applyFill="1" applyProtection="1"/>
    <xf numFmtId="43" fontId="24" fillId="27" borderId="0" xfId="1746" applyFont="1" applyFill="1" applyProtection="1"/>
    <xf numFmtId="164" fontId="47" fillId="27" borderId="0" xfId="1730" applyFont="1" applyFill="1" applyAlignment="1" applyProtection="1">
      <alignment horizontal="center"/>
    </xf>
    <xf numFmtId="166" fontId="47" fillId="27" borderId="19" xfId="642" applyNumberFormat="1" applyFont="1" applyFill="1" applyBorder="1" applyAlignment="1" applyProtection="1">
      <alignment horizontal="center"/>
    </xf>
    <xf numFmtId="166" fontId="47" fillId="27" borderId="18" xfId="642" applyNumberFormat="1" applyFont="1" applyFill="1" applyBorder="1" applyAlignment="1" applyProtection="1">
      <alignment horizontal="center"/>
    </xf>
    <xf numFmtId="10" fontId="0" fillId="27" borderId="0" xfId="1750" applyNumberFormat="1" applyFont="1" applyFill="1" applyProtection="1"/>
    <xf numFmtId="9" fontId="0" fillId="27" borderId="0" xfId="1750" applyFont="1" applyFill="1" applyProtection="1"/>
    <xf numFmtId="10" fontId="0" fillId="27" borderId="0" xfId="1762" applyNumberFormat="1" applyFont="1" applyFill="1" applyProtection="1"/>
    <xf numFmtId="164" fontId="47" fillId="27" borderId="0" xfId="1730" applyFont="1" applyFill="1" applyBorder="1" applyAlignment="1" applyProtection="1">
      <alignment horizontal="center"/>
    </xf>
    <xf numFmtId="166" fontId="0" fillId="27" borderId="0" xfId="1746" applyNumberFormat="1" applyFont="1" applyFill="1" applyProtection="1"/>
    <xf numFmtId="164" fontId="44" fillId="27" borderId="0" xfId="1730" applyFont="1" applyFill="1" applyProtection="1"/>
    <xf numFmtId="43" fontId="44" fillId="27" borderId="0" xfId="642" applyFont="1" applyFill="1" applyBorder="1" applyAlignment="1" applyProtection="1">
      <alignment horizontal="center"/>
    </xf>
    <xf numFmtId="43" fontId="53" fillId="27" borderId="0" xfId="642" applyFont="1" applyFill="1" applyBorder="1" applyProtection="1"/>
    <xf numFmtId="166" fontId="57" fillId="27" borderId="0" xfId="35529" applyNumberFormat="1" applyFont="1" applyFill="1"/>
    <xf numFmtId="0" fontId="57" fillId="27" borderId="13" xfId="1168" applyFont="1" applyFill="1" applyBorder="1"/>
    <xf numFmtId="166" fontId="57" fillId="27" borderId="14" xfId="638" applyNumberFormat="1" applyFont="1" applyFill="1" applyBorder="1"/>
    <xf numFmtId="0" fontId="71" fillId="27" borderId="16" xfId="1170" applyFont="1" applyFill="1" applyBorder="1"/>
    <xf numFmtId="166" fontId="74" fillId="27" borderId="16" xfId="7700" applyNumberFormat="1" applyFont="1" applyFill="1" applyBorder="1"/>
    <xf numFmtId="0" fontId="71" fillId="27" borderId="49" xfId="1170" applyFont="1" applyFill="1" applyBorder="1"/>
    <xf numFmtId="166" fontId="71" fillId="27" borderId="10" xfId="638" applyNumberFormat="1" applyFont="1" applyFill="1" applyBorder="1" applyProtection="1"/>
    <xf numFmtId="3" fontId="74" fillId="27" borderId="14" xfId="7700" applyNumberFormat="1" applyFont="1" applyFill="1" applyBorder="1" applyAlignment="1">
      <alignment horizontal="center"/>
    </xf>
    <xf numFmtId="166" fontId="74" fillId="27" borderId="10" xfId="638" applyNumberFormat="1" applyFont="1" applyFill="1" applyBorder="1" applyAlignment="1" applyProtection="1">
      <alignment horizontal="left"/>
    </xf>
    <xf numFmtId="166" fontId="74" fillId="27" borderId="17" xfId="638" applyNumberFormat="1" applyFont="1" applyFill="1" applyBorder="1" applyAlignment="1" applyProtection="1">
      <alignment horizontal="left"/>
    </xf>
    <xf numFmtId="9" fontId="77" fillId="27" borderId="0" xfId="1170" applyNumberFormat="1" applyFont="1" applyFill="1" applyProtection="1">
      <protection locked="0"/>
    </xf>
    <xf numFmtId="0" fontId="73" fillId="27" borderId="15" xfId="7700" applyFont="1" applyFill="1" applyBorder="1" applyAlignment="1">
      <alignment horizontal="left"/>
    </xf>
    <xf numFmtId="0" fontId="73" fillId="27" borderId="11" xfId="7700" applyFont="1" applyFill="1" applyBorder="1" applyAlignment="1">
      <alignment horizontal="left"/>
    </xf>
    <xf numFmtId="0" fontId="74" fillId="27" borderId="14" xfId="7700" applyFont="1" applyFill="1" applyBorder="1" applyAlignment="1">
      <alignment horizontal="center"/>
    </xf>
    <xf numFmtId="0" fontId="74" fillId="27" borderId="13" xfId="7700" applyFont="1" applyFill="1" applyBorder="1" applyAlignment="1">
      <alignment horizontal="center"/>
    </xf>
    <xf numFmtId="0" fontId="74" fillId="27" borderId="11" xfId="7700" applyFont="1" applyFill="1" applyBorder="1"/>
    <xf numFmtId="0" fontId="74" fillId="27" borderId="14" xfId="7700" applyFont="1" applyFill="1" applyBorder="1"/>
    <xf numFmtId="0" fontId="74" fillId="27" borderId="12" xfId="7700" applyFont="1" applyFill="1" applyBorder="1" applyAlignment="1">
      <alignment horizontal="center"/>
    </xf>
    <xf numFmtId="0" fontId="73" fillId="27" borderId="0" xfId="7700" applyFont="1" applyFill="1" applyAlignment="1">
      <alignment horizontal="center"/>
    </xf>
    <xf numFmtId="0" fontId="74" fillId="27" borderId="16" xfId="7700" applyFont="1" applyFill="1" applyBorder="1" applyAlignment="1">
      <alignment horizontal="center"/>
    </xf>
    <xf numFmtId="0" fontId="73" fillId="27" borderId="12" xfId="7700" applyFont="1" applyFill="1" applyBorder="1" applyAlignment="1">
      <alignment horizontal="center"/>
    </xf>
    <xf numFmtId="0" fontId="73" fillId="27" borderId="16" xfId="7700" applyFont="1" applyFill="1" applyBorder="1" applyAlignment="1">
      <alignment horizontal="center"/>
    </xf>
    <xf numFmtId="0" fontId="73" fillId="27" borderId="12" xfId="7700" applyFont="1" applyFill="1" applyBorder="1"/>
    <xf numFmtId="0" fontId="74" fillId="27" borderId="12" xfId="7700" applyFont="1" applyFill="1" applyBorder="1" applyAlignment="1">
      <alignment horizontal="left"/>
    </xf>
    <xf numFmtId="0" fontId="73" fillId="27" borderId="12" xfId="7700" applyFont="1" applyFill="1" applyBorder="1" applyAlignment="1">
      <alignment horizontal="left"/>
    </xf>
    <xf numFmtId="0" fontId="74" fillId="27" borderId="0" xfId="7700" applyFont="1" applyFill="1" applyAlignment="1">
      <alignment horizontal="left"/>
    </xf>
    <xf numFmtId="0" fontId="74" fillId="27" borderId="12" xfId="7700" applyFont="1" applyFill="1" applyBorder="1"/>
    <xf numFmtId="166" fontId="74" fillId="27" borderId="10" xfId="7700" applyNumberFormat="1" applyFont="1" applyFill="1" applyBorder="1"/>
    <xf numFmtId="166" fontId="74" fillId="27" borderId="17" xfId="7700" applyNumberFormat="1" applyFont="1" applyFill="1" applyBorder="1"/>
    <xf numFmtId="3" fontId="73" fillId="27" borderId="0" xfId="7700" applyNumberFormat="1" applyFont="1" applyFill="1" applyAlignment="1">
      <alignment horizontal="left"/>
    </xf>
    <xf numFmtId="166" fontId="73" fillId="27" borderId="0" xfId="7700" applyNumberFormat="1" applyFont="1" applyFill="1" applyAlignment="1">
      <alignment horizontal="left"/>
    </xf>
    <xf numFmtId="166" fontId="73" fillId="27" borderId="16" xfId="7700" applyNumberFormat="1" applyFont="1" applyFill="1" applyBorder="1" applyAlignment="1">
      <alignment horizontal="left"/>
    </xf>
    <xf numFmtId="166" fontId="74" fillId="27" borderId="23" xfId="7700" applyNumberFormat="1" applyFont="1" applyFill="1" applyBorder="1"/>
    <xf numFmtId="166" fontId="74" fillId="27" borderId="27" xfId="7700" applyNumberFormat="1" applyFont="1" applyFill="1" applyBorder="1"/>
    <xf numFmtId="0" fontId="73" fillId="27" borderId="49" xfId="7700" applyFont="1" applyFill="1" applyBorder="1"/>
    <xf numFmtId="3" fontId="73" fillId="27" borderId="49" xfId="7700" applyNumberFormat="1" applyFont="1" applyFill="1" applyBorder="1"/>
    <xf numFmtId="3" fontId="73" fillId="27" borderId="31" xfId="7700" applyNumberFormat="1" applyFont="1" applyFill="1" applyBorder="1"/>
    <xf numFmtId="3" fontId="73" fillId="27" borderId="32" xfId="7700" applyNumberFormat="1" applyFont="1" applyFill="1" applyBorder="1"/>
    <xf numFmtId="3" fontId="57" fillId="27" borderId="20" xfId="1168" applyNumberFormat="1" applyFont="1" applyFill="1" applyBorder="1"/>
    <xf numFmtId="0" fontId="0" fillId="27" borderId="65" xfId="0" applyFill="1" applyBorder="1"/>
    <xf numFmtId="166" fontId="42" fillId="27" borderId="65" xfId="638" applyNumberFormat="1" applyFont="1" applyFill="1" applyBorder="1"/>
    <xf numFmtId="0" fontId="68" fillId="27" borderId="12" xfId="39932" applyFont="1" applyFill="1" applyBorder="1"/>
    <xf numFmtId="2" fontId="57" fillId="27" borderId="0" xfId="39932" applyNumberFormat="1" applyFont="1" applyFill="1"/>
    <xf numFmtId="3" fontId="57" fillId="27" borderId="0" xfId="39932" applyNumberFormat="1" applyFont="1" applyFill="1"/>
    <xf numFmtId="3" fontId="57" fillId="27" borderId="16" xfId="39932" applyNumberFormat="1" applyFont="1" applyFill="1" applyBorder="1"/>
    <xf numFmtId="166" fontId="57" fillId="27" borderId="57" xfId="39933" applyNumberFormat="1" applyFont="1" applyFill="1" applyBorder="1" applyProtection="1"/>
    <xf numFmtId="166" fontId="57" fillId="27" borderId="59" xfId="39933" applyNumberFormat="1" applyFont="1" applyFill="1" applyBorder="1" applyProtection="1"/>
    <xf numFmtId="3" fontId="57" fillId="27" borderId="10" xfId="39932" applyNumberFormat="1" applyFont="1" applyFill="1" applyBorder="1"/>
    <xf numFmtId="3" fontId="57" fillId="27" borderId="17" xfId="39932" applyNumberFormat="1" applyFont="1" applyFill="1" applyBorder="1"/>
    <xf numFmtId="0" fontId="58" fillId="27" borderId="28" xfId="39932" applyFont="1" applyFill="1" applyBorder="1" applyAlignment="1">
      <alignment horizontal="center"/>
    </xf>
    <xf numFmtId="0" fontId="24" fillId="27" borderId="12" xfId="1168" applyFill="1" applyBorder="1"/>
    <xf numFmtId="166" fontId="57" fillId="29" borderId="0" xfId="39933" applyNumberFormat="1" applyFont="1" applyFill="1" applyBorder="1" applyProtection="1"/>
    <xf numFmtId="166" fontId="57" fillId="27" borderId="0" xfId="39933" applyNumberFormat="1" applyFont="1" applyFill="1" applyBorder="1" applyProtection="1"/>
    <xf numFmtId="9" fontId="57" fillId="27" borderId="28" xfId="39932" applyNumberFormat="1" applyFont="1" applyFill="1" applyBorder="1" applyAlignment="1">
      <alignment horizontal="center"/>
    </xf>
    <xf numFmtId="0" fontId="68" fillId="27" borderId="0" xfId="39932" applyFont="1" applyFill="1"/>
    <xf numFmtId="0" fontId="58" fillId="27" borderId="19" xfId="35529" applyFont="1" applyFill="1" applyBorder="1" applyAlignment="1">
      <alignment horizontal="center" vertical="center"/>
    </xf>
    <xf numFmtId="0" fontId="24" fillId="27" borderId="12" xfId="1168" applyFill="1" applyBorder="1" applyAlignment="1">
      <alignment wrapText="1"/>
    </xf>
    <xf numFmtId="0" fontId="58" fillId="27" borderId="58" xfId="35529" applyFont="1" applyFill="1" applyBorder="1"/>
    <xf numFmtId="0" fontId="58" fillId="27" borderId="0" xfId="1168" applyFont="1" applyFill="1"/>
    <xf numFmtId="166" fontId="57" fillId="27" borderId="0" xfId="642" applyNumberFormat="1" applyFont="1" applyFill="1"/>
    <xf numFmtId="166" fontId="57" fillId="27" borderId="0" xfId="642" applyNumberFormat="1" applyFont="1" applyFill="1" applyBorder="1"/>
    <xf numFmtId="43" fontId="57" fillId="27" borderId="0" xfId="642" applyFont="1" applyFill="1"/>
    <xf numFmtId="0" fontId="42" fillId="27" borderId="12" xfId="1168" applyFont="1" applyFill="1" applyBorder="1"/>
    <xf numFmtId="166" fontId="24" fillId="27" borderId="14" xfId="638" applyNumberFormat="1" applyFont="1" applyFill="1" applyBorder="1"/>
    <xf numFmtId="0" fontId="57" fillId="27" borderId="14" xfId="1168" applyFont="1" applyFill="1" applyBorder="1"/>
    <xf numFmtId="166" fontId="57" fillId="27" borderId="16" xfId="1168" applyNumberFormat="1" applyFont="1" applyFill="1" applyBorder="1"/>
    <xf numFmtId="0" fontId="58" fillId="27" borderId="12" xfId="1168" applyFont="1" applyFill="1" applyBorder="1"/>
    <xf numFmtId="43" fontId="57" fillId="27" borderId="16" xfId="1168" applyNumberFormat="1" applyFont="1" applyFill="1" applyBorder="1"/>
    <xf numFmtId="2" fontId="57" fillId="27" borderId="0" xfId="1168" applyNumberFormat="1" applyFont="1" applyFill="1"/>
    <xf numFmtId="2" fontId="57" fillId="27" borderId="16" xfId="1168" applyNumberFormat="1" applyFont="1" applyFill="1" applyBorder="1"/>
    <xf numFmtId="43" fontId="57" fillId="27" borderId="0" xfId="642" applyFont="1" applyFill="1" applyBorder="1"/>
    <xf numFmtId="43" fontId="57" fillId="27" borderId="16" xfId="642" applyFont="1" applyFill="1" applyBorder="1"/>
    <xf numFmtId="0" fontId="58" fillId="27" borderId="49" xfId="1168" applyFont="1" applyFill="1" applyBorder="1"/>
    <xf numFmtId="0" fontId="57" fillId="27" borderId="65" xfId="1168" applyFont="1" applyFill="1" applyBorder="1"/>
    <xf numFmtId="43" fontId="58" fillId="27" borderId="65" xfId="1168" applyNumberFormat="1" applyFont="1" applyFill="1" applyBorder="1"/>
    <xf numFmtId="0" fontId="58" fillId="27" borderId="15" xfId="1168" applyFont="1" applyFill="1" applyBorder="1"/>
    <xf numFmtId="0" fontId="57" fillId="27" borderId="19" xfId="1168" applyFont="1" applyFill="1" applyBorder="1"/>
    <xf numFmtId="166" fontId="57" fillId="27" borderId="19" xfId="638" applyNumberFormat="1" applyFont="1" applyFill="1" applyBorder="1"/>
    <xf numFmtId="0" fontId="69" fillId="27" borderId="0" xfId="1168" applyFont="1" applyFill="1"/>
    <xf numFmtId="0" fontId="68" fillId="27" borderId="0" xfId="1168" applyFont="1" applyFill="1"/>
    <xf numFmtId="0" fontId="68" fillId="27" borderId="11" xfId="1168" applyFont="1" applyFill="1" applyBorder="1"/>
    <xf numFmtId="0" fontId="68" fillId="27" borderId="14" xfId="1168" applyFont="1" applyFill="1" applyBorder="1"/>
    <xf numFmtId="0" fontId="68" fillId="27" borderId="13" xfId="1168" applyFont="1" applyFill="1" applyBorder="1"/>
    <xf numFmtId="0" fontId="69" fillId="27" borderId="49" xfId="1168" applyFont="1" applyFill="1" applyBorder="1"/>
    <xf numFmtId="0" fontId="68" fillId="27" borderId="12" xfId="1168" applyFont="1" applyFill="1" applyBorder="1"/>
    <xf numFmtId="0" fontId="68" fillId="27" borderId="16" xfId="1168" applyFont="1" applyFill="1" applyBorder="1"/>
    <xf numFmtId="0" fontId="69" fillId="27" borderId="11" xfId="1168" applyFont="1" applyFill="1" applyBorder="1"/>
    <xf numFmtId="0" fontId="57" fillId="27" borderId="10" xfId="1168" applyFont="1" applyFill="1" applyBorder="1" applyAlignment="1">
      <alignment horizontal="center"/>
    </xf>
    <xf numFmtId="0" fontId="57" fillId="27" borderId="17" xfId="1168" applyFont="1" applyFill="1" applyBorder="1" applyAlignment="1">
      <alignment horizontal="center"/>
    </xf>
    <xf numFmtId="43" fontId="68" fillId="27" borderId="0" xfId="642" applyFont="1" applyFill="1" applyBorder="1"/>
    <xf numFmtId="43" fontId="68" fillId="27" borderId="16" xfId="642" applyFont="1" applyFill="1" applyBorder="1"/>
    <xf numFmtId="0" fontId="69" fillId="27" borderId="12" xfId="1168" applyFont="1" applyFill="1" applyBorder="1"/>
    <xf numFmtId="43" fontId="68" fillId="27" borderId="0" xfId="642" applyFont="1" applyFill="1"/>
    <xf numFmtId="43" fontId="57" fillId="27" borderId="0" xfId="642" applyFont="1" applyFill="1" applyBorder="1" applyAlignment="1"/>
    <xf numFmtId="43" fontId="68" fillId="27" borderId="10" xfId="642" applyFont="1" applyFill="1" applyBorder="1"/>
    <xf numFmtId="43" fontId="68" fillId="27" borderId="16" xfId="1168" applyNumberFormat="1" applyFont="1" applyFill="1" applyBorder="1"/>
    <xf numFmtId="43" fontId="57" fillId="27" borderId="65" xfId="1168" applyNumberFormat="1" applyFont="1" applyFill="1" applyBorder="1"/>
    <xf numFmtId="166" fontId="0" fillId="27" borderId="0" xfId="642" applyNumberFormat="1" applyFont="1" applyFill="1" applyBorder="1" applyAlignment="1"/>
    <xf numFmtId="166" fontId="0" fillId="27" borderId="10" xfId="642" applyNumberFormat="1" applyFont="1" applyFill="1" applyBorder="1" applyAlignment="1"/>
    <xf numFmtId="43" fontId="68" fillId="27" borderId="10" xfId="1168" applyNumberFormat="1" applyFont="1" applyFill="1" applyBorder="1"/>
    <xf numFmtId="43" fontId="0" fillId="27" borderId="14" xfId="642" applyFont="1" applyFill="1" applyBorder="1" applyAlignment="1"/>
    <xf numFmtId="43" fontId="0" fillId="27" borderId="14" xfId="642" applyFont="1" applyFill="1" applyBorder="1"/>
    <xf numFmtId="190" fontId="24" fillId="27" borderId="10" xfId="1168" applyNumberFormat="1" applyFill="1" applyBorder="1" applyAlignment="1">
      <alignment horizontal="center"/>
    </xf>
    <xf numFmtId="4" fontId="42" fillId="27" borderId="57" xfId="1168" applyNumberFormat="1" applyFont="1" applyFill="1" applyBorder="1"/>
    <xf numFmtId="190" fontId="57" fillId="27" borderId="12" xfId="1168" applyNumberFormat="1" applyFont="1" applyFill="1" applyBorder="1"/>
    <xf numFmtId="166" fontId="57" fillId="27" borderId="10" xfId="642" applyNumberFormat="1" applyFont="1" applyFill="1" applyBorder="1"/>
    <xf numFmtId="166" fontId="57" fillId="27" borderId="65" xfId="642" applyNumberFormat="1" applyFont="1" applyFill="1" applyBorder="1"/>
    <xf numFmtId="4" fontId="24" fillId="27" borderId="14" xfId="1168" applyNumberFormat="1" applyFill="1" applyBorder="1"/>
    <xf numFmtId="43" fontId="57" fillId="27" borderId="65" xfId="642" applyFont="1" applyFill="1" applyBorder="1"/>
    <xf numFmtId="43" fontId="57" fillId="27" borderId="10" xfId="1168" applyNumberFormat="1" applyFont="1" applyFill="1" applyBorder="1"/>
    <xf numFmtId="0" fontId="58" fillId="27" borderId="14" xfId="1168" applyFont="1" applyFill="1" applyBorder="1" applyAlignment="1">
      <alignment horizontal="center"/>
    </xf>
    <xf numFmtId="0" fontId="57" fillId="27" borderId="12" xfId="1168" applyFont="1" applyFill="1" applyBorder="1" applyAlignment="1">
      <alignment horizontal="left"/>
    </xf>
    <xf numFmtId="166" fontId="58" fillId="27" borderId="43" xfId="642" applyNumberFormat="1" applyFont="1" applyFill="1" applyBorder="1" applyAlignment="1" applyProtection="1">
      <alignment horizontal="center"/>
    </xf>
    <xf numFmtId="166" fontId="58" fillId="27" borderId="56" xfId="642" applyNumberFormat="1" applyFont="1" applyFill="1" applyBorder="1" applyAlignment="1" applyProtection="1">
      <alignment horizontal="center"/>
    </xf>
    <xf numFmtId="166" fontId="58" fillId="27" borderId="0" xfId="642" applyNumberFormat="1" applyFont="1" applyFill="1" applyBorder="1" applyAlignment="1" applyProtection="1">
      <alignment horizontal="center"/>
    </xf>
    <xf numFmtId="166" fontId="58" fillId="27" borderId="16" xfId="642" applyNumberFormat="1" applyFont="1" applyFill="1" applyBorder="1" applyAlignment="1" applyProtection="1">
      <alignment horizontal="center"/>
    </xf>
    <xf numFmtId="3" fontId="68" fillId="27" borderId="0" xfId="39932" applyNumberFormat="1" applyFont="1" applyFill="1"/>
    <xf numFmtId="0" fontId="69" fillId="27" borderId="12" xfId="39932" applyFont="1" applyFill="1" applyBorder="1"/>
    <xf numFmtId="0" fontId="68" fillId="27" borderId="16" xfId="39932" applyFont="1" applyFill="1" applyBorder="1"/>
    <xf numFmtId="3" fontId="68" fillId="27" borderId="16" xfId="39932" applyNumberFormat="1" applyFont="1" applyFill="1" applyBorder="1"/>
    <xf numFmtId="0" fontId="84" fillId="27" borderId="12" xfId="1168" applyFont="1" applyFill="1" applyBorder="1"/>
    <xf numFmtId="3" fontId="58" fillId="27" borderId="27" xfId="1168" applyNumberFormat="1" applyFont="1" applyFill="1" applyBorder="1"/>
    <xf numFmtId="3" fontId="57" fillId="27" borderId="17" xfId="1168" applyNumberFormat="1" applyFont="1" applyFill="1" applyBorder="1"/>
    <xf numFmtId="43" fontId="86" fillId="27" borderId="0" xfId="642" applyFont="1" applyFill="1" applyBorder="1" applyProtection="1"/>
    <xf numFmtId="3" fontId="57" fillId="27" borderId="0" xfId="1168" quotePrefix="1" applyNumberFormat="1" applyFont="1" applyFill="1"/>
    <xf numFmtId="3" fontId="57" fillId="27" borderId="16" xfId="1168" quotePrefix="1" applyNumberFormat="1" applyFont="1" applyFill="1" applyBorder="1"/>
    <xf numFmtId="3" fontId="57" fillId="27" borderId="10" xfId="1168" applyNumberFormat="1" applyFont="1" applyFill="1" applyBorder="1"/>
    <xf numFmtId="3" fontId="57" fillId="27" borderId="23" xfId="1168" applyNumberFormat="1" applyFont="1" applyFill="1" applyBorder="1"/>
    <xf numFmtId="3" fontId="57" fillId="27" borderId="27" xfId="1168" applyNumberFormat="1" applyFont="1" applyFill="1" applyBorder="1"/>
    <xf numFmtId="3" fontId="58" fillId="27" borderId="25" xfId="1168" applyNumberFormat="1" applyFont="1" applyFill="1" applyBorder="1"/>
    <xf numFmtId="166" fontId="57" fillId="27" borderId="65" xfId="39933" applyNumberFormat="1" applyFont="1" applyFill="1" applyBorder="1" applyProtection="1"/>
    <xf numFmtId="3" fontId="68" fillId="27" borderId="10" xfId="39932" applyNumberFormat="1" applyFont="1" applyFill="1" applyBorder="1"/>
    <xf numFmtId="3" fontId="68" fillId="27" borderId="17" xfId="39932" applyNumberFormat="1" applyFont="1" applyFill="1" applyBorder="1"/>
    <xf numFmtId="0" fontId="47" fillId="27" borderId="11" xfId="39935" applyFont="1" applyFill="1" applyBorder="1"/>
    <xf numFmtId="0" fontId="44" fillId="27" borderId="12" xfId="39935" applyFont="1" applyFill="1" applyBorder="1"/>
    <xf numFmtId="0" fontId="47" fillId="27" borderId="12" xfId="39935" applyFont="1" applyFill="1" applyBorder="1"/>
    <xf numFmtId="3" fontId="44" fillId="27" borderId="0" xfId="39935" applyNumberFormat="1" applyFont="1" applyFill="1"/>
    <xf numFmtId="0" fontId="44" fillId="27" borderId="0" xfId="39935" applyFont="1" applyFill="1"/>
    <xf numFmtId="166" fontId="44" fillId="27" borderId="65" xfId="39935" applyNumberFormat="1" applyFont="1" applyFill="1" applyBorder="1"/>
    <xf numFmtId="166" fontId="24" fillId="27" borderId="0" xfId="39933" applyNumberFormat="1" applyFont="1" applyFill="1" applyBorder="1" applyProtection="1"/>
    <xf numFmtId="188" fontId="24" fillId="27" borderId="0" xfId="39933" applyNumberFormat="1" applyFont="1" applyFill="1" applyBorder="1" applyProtection="1"/>
    <xf numFmtId="188" fontId="24" fillId="27" borderId="16" xfId="39933" applyNumberFormat="1" applyFont="1" applyFill="1" applyBorder="1" applyProtection="1"/>
    <xf numFmtId="166" fontId="24" fillId="27" borderId="16" xfId="39933" applyNumberFormat="1" applyFont="1" applyFill="1" applyBorder="1" applyProtection="1"/>
    <xf numFmtId="43" fontId="44" fillId="27" borderId="0" xfId="39936" applyFont="1" applyFill="1" applyProtection="1"/>
    <xf numFmtId="166" fontId="47" fillId="27" borderId="43" xfId="39936" applyNumberFormat="1" applyFont="1" applyFill="1" applyBorder="1" applyAlignment="1" applyProtection="1">
      <alignment horizontal="center"/>
    </xf>
    <xf numFmtId="166" fontId="47" fillId="27" borderId="56" xfId="39936" applyNumberFormat="1" applyFont="1" applyFill="1" applyBorder="1" applyAlignment="1" applyProtection="1">
      <alignment horizontal="center"/>
    </xf>
    <xf numFmtId="166" fontId="47" fillId="27" borderId="0" xfId="39936" applyNumberFormat="1" applyFont="1" applyFill="1" applyBorder="1" applyAlignment="1" applyProtection="1">
      <alignment horizontal="center"/>
    </xf>
    <xf numFmtId="166" fontId="44" fillId="27" borderId="0" xfId="39936" applyNumberFormat="1" applyFont="1" applyFill="1" applyBorder="1" applyAlignment="1" applyProtection="1">
      <alignment horizontal="center"/>
    </xf>
    <xf numFmtId="166" fontId="44" fillId="27" borderId="16" xfId="39936" applyNumberFormat="1" applyFont="1" applyFill="1" applyBorder="1" applyAlignment="1" applyProtection="1">
      <alignment horizontal="center"/>
    </xf>
    <xf numFmtId="166" fontId="44" fillId="27" borderId="0" xfId="39936" applyNumberFormat="1" applyFont="1" applyFill="1" applyProtection="1"/>
    <xf numFmtId="43" fontId="53" fillId="27" borderId="0" xfId="39936" applyFont="1" applyFill="1" applyBorder="1" applyProtection="1"/>
    <xf numFmtId="3" fontId="44" fillId="27" borderId="65" xfId="39935" applyNumberFormat="1" applyFont="1" applyFill="1" applyBorder="1"/>
    <xf numFmtId="9" fontId="44" fillId="27" borderId="0" xfId="39937" applyFont="1" applyFill="1" applyProtection="1"/>
    <xf numFmtId="0" fontId="70" fillId="27" borderId="0" xfId="39996" applyFont="1" applyFill="1"/>
    <xf numFmtId="0" fontId="72" fillId="27" borderId="0" xfId="39996" applyFont="1" applyFill="1" applyAlignment="1">
      <alignment horizontal="center"/>
    </xf>
    <xf numFmtId="0" fontId="73" fillId="37" borderId="11" xfId="39945" applyFont="1" applyFill="1" applyBorder="1" applyAlignment="1">
      <alignment horizontal="left"/>
    </xf>
    <xf numFmtId="0" fontId="73" fillId="37" borderId="14" xfId="39945" applyFont="1" applyFill="1" applyBorder="1" applyAlignment="1">
      <alignment horizontal="center"/>
    </xf>
    <xf numFmtId="0" fontId="73" fillId="27" borderId="14" xfId="39945" applyFont="1" applyFill="1" applyBorder="1" applyAlignment="1">
      <alignment horizontal="center"/>
    </xf>
    <xf numFmtId="0" fontId="72" fillId="37" borderId="13" xfId="39945" applyFont="1" applyFill="1" applyBorder="1" applyAlignment="1">
      <alignment horizontal="center"/>
    </xf>
    <xf numFmtId="0" fontId="70" fillId="27" borderId="0" xfId="39945" applyFont="1" applyFill="1"/>
    <xf numFmtId="0" fontId="72" fillId="37" borderId="11" xfId="39945" applyFont="1" applyFill="1" applyBorder="1" applyAlignment="1">
      <alignment horizontal="center"/>
    </xf>
    <xf numFmtId="0" fontId="73" fillId="37" borderId="12" xfId="39945" applyFont="1" applyFill="1" applyBorder="1" applyAlignment="1">
      <alignment horizontal="left"/>
    </xf>
    <xf numFmtId="3" fontId="74" fillId="37" borderId="0" xfId="39945" applyNumberFormat="1" applyFont="1" applyFill="1" applyAlignment="1">
      <alignment horizontal="center"/>
    </xf>
    <xf numFmtId="3" fontId="74" fillId="27" borderId="0" xfId="39945" applyNumberFormat="1" applyFont="1" applyFill="1" applyAlignment="1">
      <alignment horizontal="center"/>
    </xf>
    <xf numFmtId="0" fontId="74" fillId="37" borderId="0" xfId="39945" applyFont="1" applyFill="1" applyAlignment="1">
      <alignment horizontal="center"/>
    </xf>
    <xf numFmtId="0" fontId="74" fillId="37" borderId="16" xfId="39945" applyFont="1" applyFill="1" applyBorder="1" applyAlignment="1">
      <alignment horizontal="center"/>
    </xf>
    <xf numFmtId="0" fontId="74" fillId="37" borderId="12" xfId="39945" applyFont="1" applyFill="1" applyBorder="1"/>
    <xf numFmtId="0" fontId="74" fillId="37" borderId="0" xfId="39945" applyFont="1" applyFill="1"/>
    <xf numFmtId="9" fontId="71" fillId="27" borderId="0" xfId="39937" applyFont="1" applyFill="1" applyProtection="1"/>
    <xf numFmtId="0" fontId="73" fillId="27" borderId="0" xfId="39996" applyFont="1" applyFill="1" applyAlignment="1">
      <alignment horizontal="center"/>
    </xf>
    <xf numFmtId="0" fontId="74" fillId="37" borderId="12" xfId="39945" applyFont="1" applyFill="1" applyBorder="1" applyAlignment="1">
      <alignment horizontal="center"/>
    </xf>
    <xf numFmtId="0" fontId="73" fillId="37" borderId="0" xfId="39945" applyFont="1" applyFill="1" applyAlignment="1">
      <alignment horizontal="center"/>
    </xf>
    <xf numFmtId="0" fontId="73" fillId="37" borderId="12" xfId="39945" applyFont="1" applyFill="1" applyBorder="1" applyAlignment="1">
      <alignment horizontal="center"/>
    </xf>
    <xf numFmtId="0" fontId="73" fillId="37" borderId="16" xfId="39945" applyFont="1" applyFill="1" applyBorder="1" applyAlignment="1">
      <alignment horizontal="center"/>
    </xf>
    <xf numFmtId="0" fontId="74" fillId="27" borderId="0" xfId="39996" applyFont="1" applyFill="1" applyAlignment="1">
      <alignment horizontal="center"/>
    </xf>
    <xf numFmtId="0" fontId="73" fillId="37" borderId="0" xfId="39945" applyFont="1" applyFill="1" applyAlignment="1">
      <alignment horizontal="left"/>
    </xf>
    <xf numFmtId="0" fontId="73" fillId="27" borderId="0" xfId="39945" applyFont="1" applyFill="1" applyAlignment="1">
      <alignment horizontal="left"/>
    </xf>
    <xf numFmtId="3" fontId="74" fillId="37" borderId="0" xfId="39945" applyNumberFormat="1" applyFont="1" applyFill="1"/>
    <xf numFmtId="3" fontId="74" fillId="37" borderId="16" xfId="39945" applyNumberFormat="1" applyFont="1" applyFill="1" applyBorder="1"/>
    <xf numFmtId="166" fontId="74" fillId="27" borderId="0" xfId="39945" applyNumberFormat="1" applyFont="1" applyFill="1"/>
    <xf numFmtId="166" fontId="74" fillId="27" borderId="16" xfId="39945" applyNumberFormat="1" applyFont="1" applyFill="1" applyBorder="1"/>
    <xf numFmtId="3" fontId="73" fillId="27" borderId="0" xfId="39996" applyNumberFormat="1" applyFont="1" applyFill="1"/>
    <xf numFmtId="0" fontId="73" fillId="37" borderId="0" xfId="39945" applyFont="1" applyFill="1"/>
    <xf numFmtId="0" fontId="73" fillId="27" borderId="0" xfId="39945" applyFont="1" applyFill="1"/>
    <xf numFmtId="0" fontId="74" fillId="37" borderId="12" xfId="39945" applyFont="1" applyFill="1" applyBorder="1" applyAlignment="1">
      <alignment horizontal="left"/>
    </xf>
    <xf numFmtId="0" fontId="74" fillId="27" borderId="0" xfId="39945" applyFont="1" applyFill="1"/>
    <xf numFmtId="166" fontId="74" fillId="27" borderId="10" xfId="39945" applyNumberFormat="1" applyFont="1" applyFill="1" applyBorder="1"/>
    <xf numFmtId="166" fontId="74" fillId="27" borderId="17" xfId="39945" applyNumberFormat="1" applyFont="1" applyFill="1" applyBorder="1"/>
    <xf numFmtId="0" fontId="73" fillId="37" borderId="12" xfId="39945" applyFont="1" applyFill="1" applyBorder="1"/>
    <xf numFmtId="166" fontId="74" fillId="27" borderId="10" xfId="39936" applyNumberFormat="1" applyFont="1" applyFill="1" applyBorder="1" applyAlignment="1" applyProtection="1">
      <alignment horizontal="left"/>
    </xf>
    <xf numFmtId="166" fontId="74" fillId="27" borderId="17" xfId="39936" applyNumberFormat="1" applyFont="1" applyFill="1" applyBorder="1" applyAlignment="1" applyProtection="1">
      <alignment horizontal="left"/>
    </xf>
    <xf numFmtId="3" fontId="75" fillId="27" borderId="0" xfId="39996" applyNumberFormat="1" applyFont="1" applyFill="1"/>
    <xf numFmtId="0" fontId="74" fillId="27" borderId="0" xfId="39996" applyFont="1" applyFill="1"/>
    <xf numFmtId="166" fontId="71" fillId="27" borderId="0" xfId="39936" applyNumberFormat="1" applyFont="1" applyFill="1" applyBorder="1" applyProtection="1"/>
    <xf numFmtId="166" fontId="71" fillId="27" borderId="16" xfId="39936" applyNumberFormat="1" applyFont="1" applyFill="1" applyBorder="1" applyProtection="1"/>
    <xf numFmtId="3" fontId="74" fillId="27" borderId="0" xfId="39996" applyNumberFormat="1" applyFont="1" applyFill="1"/>
    <xf numFmtId="3" fontId="71" fillId="27" borderId="16" xfId="1170" applyNumberFormat="1" applyFont="1" applyFill="1" applyBorder="1"/>
    <xf numFmtId="166" fontId="73" fillId="27" borderId="0" xfId="39945" applyNumberFormat="1" applyFont="1" applyFill="1" applyAlignment="1">
      <alignment horizontal="left"/>
    </xf>
    <xf numFmtId="9" fontId="71" fillId="27" borderId="0" xfId="1170" applyNumberFormat="1" applyFont="1" applyFill="1"/>
    <xf numFmtId="166" fontId="74" fillId="27" borderId="0" xfId="39945" applyNumberFormat="1" applyFont="1" applyFill="1" applyAlignment="1">
      <alignment horizontal="left"/>
    </xf>
    <xf numFmtId="166" fontId="74" fillId="27" borderId="16" xfId="39945" applyNumberFormat="1" applyFont="1" applyFill="1" applyBorder="1" applyAlignment="1">
      <alignment horizontal="left"/>
    </xf>
    <xf numFmtId="0" fontId="74" fillId="37" borderId="0" xfId="39945" applyFont="1" applyFill="1" applyAlignment="1">
      <alignment horizontal="left"/>
    </xf>
    <xf numFmtId="166" fontId="74" fillId="27" borderId="76" xfId="39945" applyNumberFormat="1" applyFont="1" applyFill="1" applyBorder="1"/>
    <xf numFmtId="166" fontId="74" fillId="27" borderId="79" xfId="39945" applyNumberFormat="1" applyFont="1" applyFill="1" applyBorder="1"/>
    <xf numFmtId="166" fontId="74" fillId="37" borderId="0" xfId="39945" applyNumberFormat="1" applyFont="1" applyFill="1"/>
    <xf numFmtId="166" fontId="74" fillId="37" borderId="16" xfId="39945" applyNumberFormat="1" applyFont="1" applyFill="1" applyBorder="1"/>
    <xf numFmtId="3" fontId="73" fillId="37" borderId="0" xfId="39945" applyNumberFormat="1" applyFont="1" applyFill="1" applyAlignment="1">
      <alignment horizontal="left"/>
    </xf>
    <xf numFmtId="166" fontId="74" fillId="37" borderId="23" xfId="39945" applyNumberFormat="1" applyFont="1" applyFill="1" applyBorder="1"/>
    <xf numFmtId="0" fontId="73" fillId="37" borderId="49" xfId="39945" applyFont="1" applyFill="1" applyBorder="1"/>
    <xf numFmtId="0" fontId="73" fillId="37" borderId="65" xfId="39945" applyFont="1" applyFill="1" applyBorder="1"/>
    <xf numFmtId="0" fontId="73" fillId="27" borderId="65" xfId="39945" applyFont="1" applyFill="1" applyBorder="1"/>
    <xf numFmtId="166" fontId="73" fillId="27" borderId="65" xfId="39945" applyNumberFormat="1" applyFont="1" applyFill="1" applyBorder="1"/>
    <xf numFmtId="166" fontId="73" fillId="0" borderId="65" xfId="39945" applyNumberFormat="1" applyFont="1" applyBorder="1"/>
    <xf numFmtId="166" fontId="73" fillId="37" borderId="65" xfId="39945" applyNumberFormat="1" applyFont="1" applyFill="1" applyBorder="1"/>
    <xf numFmtId="3" fontId="73" fillId="37" borderId="49" xfId="39945" applyNumberFormat="1" applyFont="1" applyFill="1" applyBorder="1"/>
    <xf numFmtId="3" fontId="73" fillId="37" borderId="65" xfId="39945" applyNumberFormat="1" applyFont="1" applyFill="1" applyBorder="1"/>
    <xf numFmtId="3" fontId="73" fillId="37" borderId="31" xfId="39945" applyNumberFormat="1" applyFont="1" applyFill="1" applyBorder="1"/>
    <xf numFmtId="3" fontId="73" fillId="37" borderId="32" xfId="39945" applyNumberFormat="1" applyFont="1" applyFill="1" applyBorder="1"/>
    <xf numFmtId="0" fontId="73" fillId="27" borderId="11" xfId="39996" applyFont="1" applyFill="1" applyBorder="1"/>
    <xf numFmtId="43" fontId="74" fillId="27" borderId="14" xfId="39996" applyNumberFormat="1" applyFont="1" applyFill="1" applyBorder="1"/>
    <xf numFmtId="0" fontId="74" fillId="27" borderId="14" xfId="39996" applyFont="1" applyFill="1" applyBorder="1" applyAlignment="1">
      <alignment horizontal="center"/>
    </xf>
    <xf numFmtId="0" fontId="74" fillId="27" borderId="13" xfId="39996" applyFont="1" applyFill="1" applyBorder="1" applyAlignment="1">
      <alignment horizontal="center"/>
    </xf>
    <xf numFmtId="0" fontId="70" fillId="27" borderId="14" xfId="39996" applyFont="1" applyFill="1" applyBorder="1"/>
    <xf numFmtId="0" fontId="74" fillId="27" borderId="12" xfId="39996" applyFont="1" applyFill="1" applyBorder="1"/>
    <xf numFmtId="43" fontId="74" fillId="27" borderId="0" xfId="39996" applyNumberFormat="1" applyFont="1" applyFill="1"/>
    <xf numFmtId="0" fontId="74" fillId="27" borderId="16" xfId="39996" applyFont="1" applyFill="1" applyBorder="1"/>
    <xf numFmtId="0" fontId="74" fillId="27" borderId="12" xfId="39996" quotePrefix="1" applyFont="1" applyFill="1" applyBorder="1"/>
    <xf numFmtId="0" fontId="74" fillId="27" borderId="0" xfId="39996" quotePrefix="1" applyFont="1" applyFill="1"/>
    <xf numFmtId="166" fontId="74" fillId="27" borderId="0" xfId="39936" quotePrefix="1" applyNumberFormat="1" applyFont="1" applyFill="1" applyBorder="1" applyProtection="1"/>
    <xf numFmtId="166" fontId="74" fillId="27" borderId="16" xfId="39936" quotePrefix="1" applyNumberFormat="1" applyFont="1" applyFill="1" applyBorder="1" applyProtection="1"/>
    <xf numFmtId="166" fontId="74" fillId="27" borderId="10" xfId="39996" applyNumberFormat="1" applyFont="1" applyFill="1" applyBorder="1"/>
    <xf numFmtId="166" fontId="74" fillId="27" borderId="17" xfId="39996" applyNumberFormat="1" applyFont="1" applyFill="1" applyBorder="1"/>
    <xf numFmtId="166" fontId="73" fillId="27" borderId="0" xfId="39996" applyNumberFormat="1" applyFont="1" applyFill="1"/>
    <xf numFmtId="166" fontId="73" fillId="27" borderId="16" xfId="39996" applyNumberFormat="1" applyFont="1" applyFill="1" applyBorder="1"/>
    <xf numFmtId="166" fontId="74" fillId="27" borderId="0" xfId="39936" applyNumberFormat="1" applyFont="1" applyFill="1" applyBorder="1" applyProtection="1"/>
    <xf numFmtId="166" fontId="74" fillId="27" borderId="16" xfId="39936" applyNumberFormat="1" applyFont="1" applyFill="1" applyBorder="1" applyProtection="1"/>
    <xf numFmtId="166" fontId="74" fillId="27" borderId="10" xfId="39936" applyNumberFormat="1" applyFont="1" applyFill="1" applyBorder="1" applyProtection="1"/>
    <xf numFmtId="166" fontId="74" fillId="27" borderId="17" xfId="39936" applyNumberFormat="1" applyFont="1" applyFill="1" applyBorder="1" applyProtection="1"/>
    <xf numFmtId="0" fontId="73" fillId="27" borderId="12" xfId="39996" applyFont="1" applyFill="1" applyBorder="1"/>
    <xf numFmtId="0" fontId="73" fillId="27" borderId="0" xfId="39996" applyFont="1" applyFill="1"/>
    <xf numFmtId="181" fontId="73" fillId="27" borderId="0" xfId="2255" applyNumberFormat="1" applyFont="1" applyFill="1" applyBorder="1" applyProtection="1"/>
    <xf numFmtId="166" fontId="73" fillId="27" borderId="0" xfId="2255" applyNumberFormat="1" applyFont="1" applyFill="1" applyBorder="1" applyProtection="1"/>
    <xf numFmtId="166" fontId="73" fillId="27" borderId="16" xfId="2255" applyNumberFormat="1" applyFont="1" applyFill="1" applyBorder="1" applyProtection="1"/>
    <xf numFmtId="166" fontId="74" fillId="27" borderId="0" xfId="39996" applyNumberFormat="1" applyFont="1" applyFill="1"/>
    <xf numFmtId="166" fontId="74" fillId="27" borderId="16" xfId="39996" applyNumberFormat="1" applyFont="1" applyFill="1" applyBorder="1"/>
    <xf numFmtId="166" fontId="73" fillId="27" borderId="57" xfId="39996" applyNumberFormat="1" applyFont="1" applyFill="1" applyBorder="1"/>
    <xf numFmtId="166" fontId="73" fillId="27" borderId="59" xfId="39996" applyNumberFormat="1" applyFont="1" applyFill="1" applyBorder="1"/>
    <xf numFmtId="166" fontId="71" fillId="27" borderId="10" xfId="1170" applyNumberFormat="1" applyFont="1" applyFill="1" applyBorder="1"/>
    <xf numFmtId="0" fontId="71" fillId="27" borderId="10" xfId="1170" applyFont="1" applyFill="1" applyBorder="1"/>
    <xf numFmtId="0" fontId="71" fillId="27" borderId="65" xfId="1170" applyFont="1" applyFill="1" applyBorder="1"/>
    <xf numFmtId="0" fontId="71" fillId="27" borderId="19" xfId="1170" applyFont="1" applyFill="1" applyBorder="1"/>
    <xf numFmtId="0" fontId="73" fillId="27" borderId="12" xfId="39996" quotePrefix="1" applyFont="1" applyFill="1" applyBorder="1"/>
    <xf numFmtId="0" fontId="73" fillId="27" borderId="0" xfId="39996" quotePrefix="1" applyFont="1" applyFill="1"/>
    <xf numFmtId="166" fontId="70" fillId="27" borderId="14" xfId="39996" applyNumberFormat="1" applyFont="1" applyFill="1" applyBorder="1"/>
    <xf numFmtId="0" fontId="71" fillId="27" borderId="13" xfId="1170" applyFont="1" applyFill="1" applyBorder="1"/>
    <xf numFmtId="0" fontId="73" fillId="27" borderId="49" xfId="39996" applyFont="1" applyFill="1" applyBorder="1"/>
    <xf numFmtId="0" fontId="74" fillId="27" borderId="65" xfId="39996" applyFont="1" applyFill="1" applyBorder="1"/>
    <xf numFmtId="0" fontId="70" fillId="27" borderId="11" xfId="39996" applyFont="1" applyFill="1" applyBorder="1"/>
    <xf numFmtId="166" fontId="70" fillId="27" borderId="13" xfId="39996" applyNumberFormat="1" applyFont="1" applyFill="1" applyBorder="1"/>
    <xf numFmtId="166" fontId="76" fillId="27" borderId="16" xfId="1170" applyNumberFormat="1" applyFont="1" applyFill="1" applyBorder="1"/>
    <xf numFmtId="166" fontId="71" fillId="27" borderId="17" xfId="1170" applyNumberFormat="1" applyFont="1" applyFill="1" applyBorder="1"/>
    <xf numFmtId="166" fontId="76" fillId="27" borderId="0" xfId="1170" applyNumberFormat="1" applyFont="1" applyFill="1"/>
    <xf numFmtId="0" fontId="24" fillId="27" borderId="0" xfId="39935" applyFill="1"/>
    <xf numFmtId="9" fontId="24" fillId="27" borderId="0" xfId="39935" applyNumberFormat="1" applyFill="1"/>
    <xf numFmtId="0" fontId="24" fillId="27" borderId="28" xfId="39935" applyFill="1" applyBorder="1" applyAlignment="1">
      <alignment horizontal="center"/>
    </xf>
    <xf numFmtId="0" fontId="42" fillId="27" borderId="0" xfId="39935" applyFont="1" applyFill="1"/>
    <xf numFmtId="166" fontId="44" fillId="26" borderId="18" xfId="39936" applyNumberFormat="1" applyFont="1" applyFill="1" applyBorder="1" applyProtection="1"/>
    <xf numFmtId="166" fontId="44" fillId="26" borderId="42" xfId="638" applyNumberFormat="1" applyFont="1" applyFill="1" applyBorder="1" applyProtection="1"/>
    <xf numFmtId="166" fontId="24" fillId="27" borderId="16" xfId="638" applyNumberFormat="1" applyFont="1" applyFill="1" applyBorder="1"/>
    <xf numFmtId="43" fontId="44" fillId="27" borderId="12" xfId="39936" applyFont="1" applyFill="1" applyBorder="1" applyProtection="1"/>
    <xf numFmtId="43" fontId="44" fillId="27" borderId="0" xfId="39936" applyFont="1" applyFill="1" applyBorder="1" applyProtection="1"/>
    <xf numFmtId="171" fontId="44" fillId="27" borderId="12" xfId="39937" applyNumberFormat="1" applyFont="1" applyFill="1" applyBorder="1" applyProtection="1"/>
    <xf numFmtId="43" fontId="44" fillId="27" borderId="49" xfId="39936" applyFont="1" applyFill="1" applyBorder="1" applyProtection="1"/>
    <xf numFmtId="43" fontId="44" fillId="27" borderId="0" xfId="638" applyFont="1" applyFill="1" applyBorder="1" applyProtection="1"/>
    <xf numFmtId="43" fontId="44" fillId="27" borderId="16" xfId="39936" applyFont="1" applyFill="1" applyBorder="1" applyProtection="1"/>
    <xf numFmtId="0" fontId="57" fillId="27" borderId="11" xfId="1168" applyFont="1" applyFill="1" applyBorder="1"/>
    <xf numFmtId="0" fontId="57" fillId="27" borderId="12" xfId="39935" applyFont="1" applyFill="1" applyBorder="1"/>
    <xf numFmtId="0" fontId="57" fillId="27" borderId="49" xfId="39935" applyFont="1" applyFill="1" applyBorder="1"/>
    <xf numFmtId="166" fontId="57" fillId="27" borderId="16" xfId="39936" applyNumberFormat="1" applyFont="1" applyFill="1" applyBorder="1"/>
    <xf numFmtId="166" fontId="73" fillId="27" borderId="65" xfId="7700" applyNumberFormat="1" applyFont="1" applyFill="1" applyBorder="1"/>
    <xf numFmtId="0" fontId="73" fillId="27" borderId="65" xfId="7700" applyFont="1" applyFill="1" applyBorder="1"/>
    <xf numFmtId="186" fontId="71" fillId="27" borderId="0" xfId="638" applyNumberFormat="1" applyFont="1" applyFill="1" applyBorder="1" applyProtection="1"/>
    <xf numFmtId="166" fontId="74" fillId="27" borderId="76" xfId="638" applyNumberFormat="1" applyFont="1" applyFill="1" applyBorder="1" applyProtection="1"/>
    <xf numFmtId="166" fontId="74" fillId="27" borderId="23" xfId="638" applyNumberFormat="1" applyFont="1" applyFill="1" applyBorder="1" applyProtection="1"/>
    <xf numFmtId="3" fontId="73" fillId="27" borderId="65" xfId="7700" applyNumberFormat="1" applyFont="1" applyFill="1" applyBorder="1"/>
    <xf numFmtId="166" fontId="73" fillId="27" borderId="0" xfId="638" applyNumberFormat="1" applyFont="1" applyFill="1" applyBorder="1" applyAlignment="1" applyProtection="1">
      <alignment horizontal="left"/>
    </xf>
    <xf numFmtId="166" fontId="74" fillId="27" borderId="0" xfId="638" applyNumberFormat="1" applyFont="1" applyFill="1" applyBorder="1" applyAlignment="1" applyProtection="1">
      <alignment horizontal="left"/>
    </xf>
    <xf numFmtId="166" fontId="74" fillId="27" borderId="0" xfId="638" applyNumberFormat="1" applyFont="1" applyFill="1" applyBorder="1" applyAlignment="1" applyProtection="1">
      <alignment horizontal="right"/>
    </xf>
    <xf numFmtId="43" fontId="74" fillId="27" borderId="0" xfId="638" quotePrefix="1" applyFont="1" applyFill="1" applyBorder="1" applyProtection="1"/>
    <xf numFmtId="0" fontId="71" fillId="27" borderId="11" xfId="1170" applyFont="1" applyFill="1" applyBorder="1"/>
    <xf numFmtId="0" fontId="24" fillId="27" borderId="15" xfId="1170" applyFill="1" applyBorder="1"/>
    <xf numFmtId="0" fontId="24" fillId="27" borderId="19" xfId="1170" applyFill="1" applyBorder="1"/>
    <xf numFmtId="0" fontId="74" fillId="27" borderId="19" xfId="7699" applyFont="1" applyFill="1" applyBorder="1" applyAlignment="1">
      <alignment horizontal="center"/>
    </xf>
    <xf numFmtId="0" fontId="74" fillId="27" borderId="18" xfId="7699" applyFont="1" applyFill="1" applyBorder="1" applyAlignment="1">
      <alignment horizontal="center"/>
    </xf>
    <xf numFmtId="166" fontId="74" fillId="27" borderId="0" xfId="7700" applyNumberFormat="1" applyFont="1" applyFill="1" applyAlignment="1">
      <alignment horizontal="right"/>
    </xf>
    <xf numFmtId="166" fontId="74" fillId="27" borderId="16" xfId="7700" applyNumberFormat="1" applyFont="1" applyFill="1" applyBorder="1" applyAlignment="1">
      <alignment horizontal="right"/>
    </xf>
    <xf numFmtId="9" fontId="71" fillId="27" borderId="0" xfId="1153" applyFont="1" applyFill="1" applyBorder="1" applyProtection="1"/>
    <xf numFmtId="43" fontId="71" fillId="27" borderId="0" xfId="1170" applyNumberFormat="1" applyFont="1" applyFill="1"/>
    <xf numFmtId="43" fontId="58" fillId="27" borderId="16" xfId="1168" applyNumberFormat="1" applyFont="1" applyFill="1" applyBorder="1"/>
    <xf numFmtId="166" fontId="68" fillId="27" borderId="0" xfId="638" applyNumberFormat="1" applyFont="1" applyFill="1" applyBorder="1"/>
    <xf numFmtId="43" fontId="58" fillId="27" borderId="16" xfId="638" applyFont="1" applyFill="1" applyBorder="1"/>
    <xf numFmtId="43" fontId="57" fillId="27" borderId="0" xfId="638" applyFont="1" applyFill="1" applyBorder="1"/>
    <xf numFmtId="166" fontId="57" fillId="30" borderId="0" xfId="1168" applyNumberFormat="1" applyFont="1" applyFill="1"/>
    <xf numFmtId="2" fontId="57" fillId="30" borderId="0" xfId="1168" applyNumberFormat="1" applyFont="1" applyFill="1"/>
    <xf numFmtId="43" fontId="57" fillId="30" borderId="0" xfId="1168" applyNumberFormat="1" applyFont="1" applyFill="1"/>
    <xf numFmtId="43" fontId="57" fillId="27" borderId="16" xfId="638" applyFont="1" applyFill="1" applyBorder="1"/>
    <xf numFmtId="0" fontId="58" fillId="27" borderId="13" xfId="1168" applyFont="1" applyFill="1" applyBorder="1" applyAlignment="1">
      <alignment horizontal="center"/>
    </xf>
    <xf numFmtId="0" fontId="69" fillId="27" borderId="44" xfId="1168" applyFont="1" applyFill="1" applyBorder="1" applyAlignment="1">
      <alignment horizontal="center"/>
    </xf>
    <xf numFmtId="0" fontId="68" fillId="27" borderId="45" xfId="1168" applyFont="1" applyFill="1" applyBorder="1"/>
    <xf numFmtId="43" fontId="68" fillId="27" borderId="45" xfId="638" applyFont="1" applyFill="1" applyBorder="1"/>
    <xf numFmtId="0" fontId="57" fillId="27" borderId="45" xfId="1168" applyFont="1" applyFill="1" applyBorder="1"/>
    <xf numFmtId="0" fontId="57" fillId="27" borderId="46" xfId="1168" applyFont="1" applyFill="1" applyBorder="1"/>
    <xf numFmtId="0" fontId="68" fillId="27" borderId="46" xfId="1168" applyFont="1" applyFill="1" applyBorder="1"/>
    <xf numFmtId="0" fontId="57" fillId="27" borderId="10" xfId="1168" applyFont="1" applyFill="1" applyBorder="1"/>
    <xf numFmtId="0" fontId="68" fillId="27" borderId="14" xfId="1168" applyFont="1" applyFill="1" applyBorder="1" applyAlignment="1">
      <alignment horizontal="center"/>
    </xf>
    <xf numFmtId="0" fontId="68" fillId="27" borderId="13" xfId="1168" applyFont="1" applyFill="1" applyBorder="1" applyAlignment="1">
      <alignment horizontal="center"/>
    </xf>
    <xf numFmtId="0" fontId="57" fillId="27" borderId="17" xfId="1168" applyFont="1" applyFill="1" applyBorder="1"/>
    <xf numFmtId="43" fontId="57" fillId="27" borderId="19" xfId="1168" applyNumberFormat="1" applyFont="1" applyFill="1" applyBorder="1"/>
    <xf numFmtId="0" fontId="68" fillId="27" borderId="18" xfId="1168" applyFont="1" applyFill="1" applyBorder="1"/>
    <xf numFmtId="0" fontId="68" fillId="30" borderId="0" xfId="1168" applyFont="1" applyFill="1"/>
    <xf numFmtId="0" fontId="57" fillId="30" borderId="0" xfId="1168" applyFont="1" applyFill="1"/>
    <xf numFmtId="0" fontId="91" fillId="27" borderId="0" xfId="39935" applyFont="1" applyFill="1"/>
    <xf numFmtId="0" fontId="91" fillId="27" borderId="0" xfId="39935" applyFont="1" applyFill="1" applyAlignment="1">
      <alignment horizontal="center"/>
    </xf>
    <xf numFmtId="0" fontId="91" fillId="27" borderId="0" xfId="39935" quotePrefix="1" applyFont="1" applyFill="1" applyAlignment="1">
      <alignment horizontal="left"/>
    </xf>
    <xf numFmtId="9" fontId="91" fillId="27" borderId="0" xfId="39935" applyNumberFormat="1" applyFont="1" applyFill="1" applyAlignment="1">
      <alignment horizontal="right"/>
    </xf>
    <xf numFmtId="0" fontId="58" fillId="27" borderId="0" xfId="39932" applyFont="1" applyFill="1" applyAlignment="1">
      <alignment horizontal="center"/>
    </xf>
    <xf numFmtId="0" fontId="57" fillId="27" borderId="0" xfId="39932" applyFont="1" applyFill="1" applyAlignment="1">
      <alignment horizontal="center"/>
    </xf>
    <xf numFmtId="166" fontId="57" fillId="27" borderId="10" xfId="1168" applyNumberFormat="1" applyFont="1" applyFill="1" applyBorder="1"/>
    <xf numFmtId="43" fontId="71" fillId="27" borderId="10" xfId="638" applyFont="1" applyFill="1" applyBorder="1" applyProtection="1"/>
    <xf numFmtId="166" fontId="71" fillId="27" borderId="17" xfId="638" applyNumberFormat="1" applyFont="1" applyFill="1" applyBorder="1" applyProtection="1"/>
    <xf numFmtId="0" fontId="57" fillId="27" borderId="12" xfId="0" applyFont="1" applyFill="1" applyBorder="1"/>
    <xf numFmtId="166" fontId="44" fillId="27" borderId="65" xfId="638" applyNumberFormat="1" applyFont="1" applyFill="1" applyBorder="1" applyProtection="1"/>
    <xf numFmtId="166" fontId="44" fillId="27" borderId="89" xfId="638" applyNumberFormat="1" applyFont="1" applyFill="1" applyBorder="1" applyProtection="1"/>
    <xf numFmtId="0" fontId="57" fillId="27" borderId="89" xfId="1168" applyFont="1" applyFill="1" applyBorder="1"/>
    <xf numFmtId="166" fontId="57" fillId="27" borderId="23" xfId="642" applyNumberFormat="1" applyFont="1" applyFill="1" applyBorder="1"/>
    <xf numFmtId="0" fontId="57" fillId="26" borderId="0" xfId="1168" applyFont="1" applyFill="1"/>
    <xf numFmtId="166" fontId="57" fillId="29" borderId="0" xfId="39930" applyNumberFormat="1" applyFont="1" applyFill="1" applyBorder="1" applyProtection="1"/>
    <xf numFmtId="166" fontId="57" fillId="29" borderId="10" xfId="39930" applyNumberFormat="1" applyFont="1" applyFill="1" applyBorder="1" applyProtection="1"/>
    <xf numFmtId="166" fontId="57" fillId="29" borderId="79" xfId="39930" applyNumberFormat="1" applyFont="1" applyFill="1" applyBorder="1" applyProtection="1"/>
    <xf numFmtId="166" fontId="57" fillId="29" borderId="16" xfId="39930" applyNumberFormat="1" applyFont="1" applyFill="1" applyBorder="1" applyProtection="1"/>
    <xf numFmtId="166" fontId="57" fillId="29" borderId="17" xfId="39930" applyNumberFormat="1" applyFont="1" applyFill="1" applyBorder="1" applyProtection="1"/>
    <xf numFmtId="0" fontId="24" fillId="27" borderId="0" xfId="0" applyFont="1" applyFill="1"/>
    <xf numFmtId="166" fontId="42" fillId="27" borderId="89" xfId="638" applyNumberFormat="1" applyFont="1" applyFill="1" applyBorder="1"/>
    <xf numFmtId="166" fontId="57" fillId="27" borderId="23" xfId="1168" applyNumberFormat="1" applyFont="1" applyFill="1" applyBorder="1"/>
    <xf numFmtId="166" fontId="58" fillId="27" borderId="0" xfId="1168" applyNumberFormat="1" applyFont="1" applyFill="1"/>
    <xf numFmtId="166" fontId="57" fillId="27" borderId="16" xfId="638" applyNumberFormat="1" applyFont="1" applyFill="1" applyBorder="1"/>
    <xf numFmtId="166" fontId="57" fillId="27" borderId="27" xfId="1168" applyNumberFormat="1" applyFont="1" applyFill="1" applyBorder="1"/>
    <xf numFmtId="166" fontId="57" fillId="27" borderId="17" xfId="1168" applyNumberFormat="1" applyFont="1" applyFill="1" applyBorder="1"/>
    <xf numFmtId="0" fontId="58" fillId="27" borderId="14" xfId="1168" applyFont="1" applyFill="1" applyBorder="1"/>
    <xf numFmtId="43" fontId="58" fillId="27" borderId="0" xfId="1168" applyNumberFormat="1" applyFont="1" applyFill="1"/>
    <xf numFmtId="0" fontId="58" fillId="27" borderId="65" xfId="1168" applyFont="1" applyFill="1" applyBorder="1"/>
    <xf numFmtId="43" fontId="58" fillId="27" borderId="89" xfId="1168" applyNumberFormat="1" applyFont="1" applyFill="1" applyBorder="1"/>
    <xf numFmtId="0" fontId="58" fillId="27" borderId="0" xfId="35529" applyFont="1" applyFill="1"/>
    <xf numFmtId="0" fontId="58" fillId="27" borderId="57" xfId="35529" applyFont="1" applyFill="1" applyBorder="1"/>
    <xf numFmtId="0" fontId="69" fillId="27" borderId="65" xfId="1168" applyFont="1" applyFill="1" applyBorder="1"/>
    <xf numFmtId="0" fontId="69" fillId="27" borderId="14" xfId="1168" applyFont="1" applyFill="1" applyBorder="1"/>
    <xf numFmtId="0" fontId="69" fillId="27" borderId="14" xfId="1168" applyFont="1" applyFill="1" applyBorder="1" applyAlignment="1">
      <alignment wrapText="1"/>
    </xf>
    <xf numFmtId="0" fontId="82" fillId="27" borderId="14" xfId="1168" applyFont="1" applyFill="1" applyBorder="1"/>
    <xf numFmtId="190" fontId="57" fillId="27" borderId="0" xfId="1168" applyNumberFormat="1" applyFont="1" applyFill="1"/>
    <xf numFmtId="10" fontId="68" fillId="34" borderId="0" xfId="1168" applyNumberFormat="1" applyFont="1" applyFill="1"/>
    <xf numFmtId="9" fontId="68" fillId="34" borderId="0" xfId="1154" applyFont="1" applyFill="1" applyBorder="1" applyAlignment="1"/>
    <xf numFmtId="9" fontId="68" fillId="27" borderId="65" xfId="1153" applyFont="1" applyFill="1" applyBorder="1" applyAlignment="1"/>
    <xf numFmtId="0" fontId="69" fillId="27" borderId="15" xfId="1168" applyFont="1" applyFill="1" applyBorder="1"/>
    <xf numFmtId="0" fontId="68" fillId="27" borderId="19" xfId="1168" applyFont="1" applyFill="1" applyBorder="1"/>
    <xf numFmtId="43" fontId="57" fillId="26" borderId="0" xfId="642" applyFont="1" applyFill="1" applyBorder="1" applyAlignment="1"/>
    <xf numFmtId="43" fontId="68" fillId="26" borderId="0" xfId="642" applyFont="1" applyFill="1" applyBorder="1"/>
    <xf numFmtId="43" fontId="57" fillId="26" borderId="10" xfId="642" applyFont="1" applyFill="1" applyBorder="1" applyAlignment="1"/>
    <xf numFmtId="43" fontId="68" fillId="26" borderId="10" xfId="642" applyFont="1" applyFill="1" applyBorder="1"/>
    <xf numFmtId="191" fontId="24" fillId="26" borderId="0" xfId="1168" applyNumberFormat="1" applyFill="1"/>
    <xf numFmtId="188" fontId="57" fillId="26" borderId="0" xfId="642" applyNumberFormat="1" applyFont="1" applyFill="1" applyBorder="1" applyAlignment="1"/>
    <xf numFmtId="166" fontId="0" fillId="26" borderId="0" xfId="642" applyNumberFormat="1" applyFont="1" applyFill="1" applyBorder="1" applyAlignment="1"/>
    <xf numFmtId="166" fontId="24" fillId="26" borderId="0" xfId="642" applyNumberFormat="1" applyFont="1" applyFill="1" applyBorder="1" applyAlignment="1"/>
    <xf numFmtId="166" fontId="24" fillId="26" borderId="10" xfId="642" applyNumberFormat="1" applyFont="1" applyFill="1" applyBorder="1" applyAlignment="1"/>
    <xf numFmtId="4" fontId="42" fillId="27" borderId="0" xfId="1168" applyNumberFormat="1" applyFont="1" applyFill="1"/>
    <xf numFmtId="43" fontId="24" fillId="26" borderId="0" xfId="638" applyFont="1" applyFill="1" applyBorder="1"/>
    <xf numFmtId="43" fontId="24" fillId="27" borderId="0" xfId="638" applyFont="1" applyFill="1" applyBorder="1" applyAlignment="1"/>
    <xf numFmtId="199" fontId="57" fillId="27" borderId="0" xfId="1168" applyNumberFormat="1" applyFont="1" applyFill="1"/>
    <xf numFmtId="166" fontId="57" fillId="27" borderId="89" xfId="642" applyNumberFormat="1" applyFont="1" applyFill="1" applyBorder="1"/>
    <xf numFmtId="43" fontId="57" fillId="27" borderId="10" xfId="638" applyFont="1" applyFill="1" applyBorder="1"/>
    <xf numFmtId="43" fontId="57" fillId="27" borderId="17" xfId="638" applyFont="1" applyFill="1" applyBorder="1"/>
    <xf numFmtId="43" fontId="57" fillId="27" borderId="89" xfId="638" applyFont="1" applyFill="1" applyBorder="1"/>
    <xf numFmtId="0" fontId="57" fillId="27" borderId="0" xfId="39935" applyFont="1" applyFill="1"/>
    <xf numFmtId="0" fontId="58" fillId="27" borderId="11" xfId="39935" applyFont="1" applyFill="1" applyBorder="1"/>
    <xf numFmtId="0" fontId="57" fillId="27" borderId="14" xfId="39935" applyFont="1" applyFill="1" applyBorder="1"/>
    <xf numFmtId="0" fontId="58" fillId="27" borderId="12" xfId="39935" applyFont="1" applyFill="1" applyBorder="1"/>
    <xf numFmtId="0" fontId="57" fillId="27" borderId="16" xfId="39935" applyFont="1" applyFill="1" applyBorder="1"/>
    <xf numFmtId="166" fontId="57" fillId="27" borderId="0" xfId="39936" applyNumberFormat="1" applyFont="1" applyFill="1" applyBorder="1"/>
    <xf numFmtId="0" fontId="57" fillId="27" borderId="10" xfId="39935" applyFont="1" applyFill="1" applyBorder="1"/>
    <xf numFmtId="166" fontId="57" fillId="27" borderId="17" xfId="39935" applyNumberFormat="1" applyFont="1" applyFill="1" applyBorder="1"/>
    <xf numFmtId="166" fontId="57" fillId="27" borderId="0" xfId="39935" applyNumberFormat="1" applyFont="1" applyFill="1"/>
    <xf numFmtId="166" fontId="57" fillId="27" borderId="16" xfId="39935" applyNumberFormat="1" applyFont="1" applyFill="1" applyBorder="1"/>
    <xf numFmtId="166" fontId="57" fillId="27" borderId="10" xfId="39935" applyNumberFormat="1" applyFont="1" applyFill="1" applyBorder="1"/>
    <xf numFmtId="0" fontId="57" fillId="27" borderId="65" xfId="39935" applyFont="1" applyFill="1" applyBorder="1"/>
    <xf numFmtId="0" fontId="58" fillId="27" borderId="0" xfId="39935" applyFont="1" applyFill="1"/>
    <xf numFmtId="0" fontId="57" fillId="27" borderId="0" xfId="39935" applyFont="1" applyFill="1" applyAlignment="1">
      <alignment horizontal="center"/>
    </xf>
    <xf numFmtId="0" fontId="57" fillId="27" borderId="65" xfId="39935" applyFont="1" applyFill="1" applyBorder="1" applyAlignment="1">
      <alignment horizontal="center"/>
    </xf>
    <xf numFmtId="0" fontId="57" fillId="27" borderId="89" xfId="39935" applyFont="1" applyFill="1" applyBorder="1" applyAlignment="1">
      <alignment horizontal="center"/>
    </xf>
    <xf numFmtId="43" fontId="53" fillId="27" borderId="65" xfId="642" applyFont="1" applyFill="1" applyBorder="1" applyProtection="1"/>
    <xf numFmtId="166" fontId="57" fillId="27" borderId="17" xfId="638" applyNumberFormat="1" applyFont="1" applyFill="1" applyBorder="1"/>
    <xf numFmtId="166" fontId="58" fillId="27" borderId="0" xfId="638" applyNumberFormat="1" applyFont="1" applyFill="1" applyBorder="1"/>
    <xf numFmtId="166" fontId="58" fillId="27" borderId="16" xfId="638" applyNumberFormat="1" applyFont="1" applyFill="1" applyBorder="1"/>
    <xf numFmtId="166" fontId="58" fillId="27" borderId="65" xfId="638" applyNumberFormat="1" applyFont="1" applyFill="1" applyBorder="1"/>
    <xf numFmtId="166" fontId="58" fillId="27" borderId="89" xfId="638" applyNumberFormat="1" applyFont="1" applyFill="1" applyBorder="1"/>
    <xf numFmtId="43" fontId="44" fillId="27" borderId="10" xfId="638" applyFont="1" applyFill="1" applyBorder="1" applyProtection="1"/>
    <xf numFmtId="3" fontId="57" fillId="33" borderId="0" xfId="1168" applyNumberFormat="1" applyFont="1" applyFill="1"/>
    <xf numFmtId="43" fontId="44" fillId="27" borderId="65" xfId="638" applyFont="1" applyFill="1" applyBorder="1" applyProtection="1"/>
    <xf numFmtId="166" fontId="47" fillId="27" borderId="65" xfId="638" applyNumberFormat="1" applyFont="1" applyFill="1" applyBorder="1" applyProtection="1"/>
    <xf numFmtId="166" fontId="47" fillId="27" borderId="89" xfId="638" applyNumberFormat="1" applyFont="1" applyFill="1" applyBorder="1" applyProtection="1"/>
    <xf numFmtId="166" fontId="76" fillId="27" borderId="0" xfId="638" applyNumberFormat="1" applyFont="1" applyFill="1" applyBorder="1" applyProtection="1"/>
    <xf numFmtId="166" fontId="76" fillId="27" borderId="16" xfId="638" applyNumberFormat="1" applyFont="1" applyFill="1" applyBorder="1" applyProtection="1"/>
    <xf numFmtId="166" fontId="73" fillId="27" borderId="79" xfId="7700" applyNumberFormat="1" applyFont="1" applyFill="1" applyBorder="1"/>
    <xf numFmtId="43" fontId="71" fillId="27" borderId="10" xfId="1170" applyNumberFormat="1" applyFont="1" applyFill="1" applyBorder="1"/>
    <xf numFmtId="43" fontId="76" fillId="27" borderId="23" xfId="1170" applyNumberFormat="1" applyFont="1" applyFill="1" applyBorder="1"/>
    <xf numFmtId="43" fontId="74" fillId="27" borderId="10" xfId="638" quotePrefix="1" applyFont="1" applyFill="1" applyBorder="1" applyProtection="1"/>
    <xf numFmtId="166" fontId="74" fillId="27" borderId="10" xfId="638" quotePrefix="1" applyNumberFormat="1" applyFont="1" applyFill="1" applyBorder="1" applyProtection="1"/>
    <xf numFmtId="166" fontId="74" fillId="27" borderId="17" xfId="638" quotePrefix="1" applyNumberFormat="1" applyFont="1" applyFill="1" applyBorder="1" applyProtection="1"/>
    <xf numFmtId="3" fontId="74" fillId="27" borderId="12" xfId="7699" quotePrefix="1" applyNumberFormat="1" applyFont="1" applyFill="1" applyBorder="1"/>
    <xf numFmtId="166" fontId="73" fillId="27" borderId="0" xfId="638" quotePrefix="1" applyNumberFormat="1" applyFont="1" applyFill="1" applyBorder="1" applyProtection="1"/>
    <xf numFmtId="166" fontId="57" fillId="27" borderId="89" xfId="39933" applyNumberFormat="1" applyFont="1" applyFill="1" applyBorder="1" applyProtection="1"/>
    <xf numFmtId="3" fontId="57" fillId="27" borderId="65" xfId="1168" applyNumberFormat="1" applyFont="1" applyFill="1" applyBorder="1"/>
    <xf numFmtId="166" fontId="58" fillId="27" borderId="57" xfId="638" applyNumberFormat="1" applyFont="1" applyFill="1" applyBorder="1" applyProtection="1"/>
    <xf numFmtId="166" fontId="58" fillId="27" borderId="59" xfId="638" applyNumberFormat="1" applyFont="1" applyFill="1" applyBorder="1" applyProtection="1"/>
    <xf numFmtId="166" fontId="76" fillId="27" borderId="65" xfId="1170" applyNumberFormat="1" applyFont="1" applyFill="1" applyBorder="1"/>
    <xf numFmtId="166" fontId="76" fillId="27" borderId="89" xfId="1170" applyNumberFormat="1" applyFont="1" applyFill="1" applyBorder="1"/>
    <xf numFmtId="166" fontId="73" fillId="27" borderId="16" xfId="638" quotePrefix="1" applyNumberFormat="1" applyFont="1" applyFill="1" applyBorder="1" applyProtection="1"/>
    <xf numFmtId="166" fontId="73" fillId="27" borderId="0" xfId="638" applyNumberFormat="1" applyFont="1" applyFill="1" applyBorder="1" applyProtection="1"/>
    <xf numFmtId="166" fontId="73" fillId="27" borderId="0" xfId="7700" applyNumberFormat="1" applyFont="1" applyFill="1"/>
    <xf numFmtId="166" fontId="73" fillId="27" borderId="16" xfId="7700" applyNumberFormat="1" applyFont="1" applyFill="1" applyBorder="1"/>
    <xf numFmtId="3" fontId="71" fillId="27" borderId="12" xfId="1170" applyNumberFormat="1" applyFont="1" applyFill="1" applyBorder="1"/>
    <xf numFmtId="9" fontId="71" fillId="27" borderId="16" xfId="1153" applyFont="1" applyFill="1" applyBorder="1" applyProtection="1"/>
    <xf numFmtId="166" fontId="76" fillId="27" borderId="65" xfId="638" applyNumberFormat="1" applyFont="1" applyFill="1" applyBorder="1" applyProtection="1"/>
    <xf numFmtId="43" fontId="76" fillId="27" borderId="89" xfId="1170" applyNumberFormat="1" applyFont="1" applyFill="1" applyBorder="1"/>
    <xf numFmtId="0" fontId="76" fillId="27" borderId="49" xfId="1170" applyFont="1" applyFill="1" applyBorder="1"/>
    <xf numFmtId="166" fontId="24" fillId="27" borderId="10" xfId="638" applyNumberFormat="1" applyFont="1" applyFill="1" applyBorder="1" applyProtection="1"/>
    <xf numFmtId="0" fontId="57" fillId="27" borderId="13" xfId="39935" applyFont="1" applyFill="1" applyBorder="1"/>
    <xf numFmtId="166" fontId="57" fillId="27" borderId="13" xfId="39935" applyNumberFormat="1" applyFont="1" applyFill="1" applyBorder="1"/>
    <xf numFmtId="0" fontId="57" fillId="27" borderId="11" xfId="39935" applyFont="1" applyFill="1" applyBorder="1"/>
    <xf numFmtId="166" fontId="58" fillId="27" borderId="16" xfId="39935" applyNumberFormat="1" applyFont="1" applyFill="1" applyBorder="1"/>
    <xf numFmtId="0" fontId="58" fillId="27" borderId="49" xfId="39935" applyFont="1" applyFill="1" applyBorder="1"/>
    <xf numFmtId="0" fontId="57" fillId="27" borderId="17" xfId="39935" applyFont="1" applyFill="1" applyBorder="1"/>
    <xf numFmtId="166" fontId="57" fillId="27" borderId="65" xfId="39936" applyNumberFormat="1" applyFont="1" applyFill="1" applyBorder="1"/>
    <xf numFmtId="166" fontId="57" fillId="27" borderId="89" xfId="39936" applyNumberFormat="1" applyFont="1" applyFill="1" applyBorder="1"/>
    <xf numFmtId="166" fontId="57" fillId="26" borderId="0" xfId="638" applyNumberFormat="1" applyFont="1" applyFill="1" applyBorder="1"/>
    <xf numFmtId="9" fontId="57" fillId="26" borderId="0" xfId="1153" applyFont="1" applyFill="1" applyBorder="1"/>
    <xf numFmtId="166" fontId="58" fillId="27" borderId="65" xfId="1168" applyNumberFormat="1" applyFont="1" applyFill="1" applyBorder="1"/>
    <xf numFmtId="166" fontId="58" fillId="27" borderId="89" xfId="1168" applyNumberFormat="1" applyFont="1" applyFill="1" applyBorder="1"/>
    <xf numFmtId="166" fontId="68" fillId="27" borderId="10" xfId="638" applyNumberFormat="1" applyFont="1" applyFill="1" applyBorder="1"/>
    <xf numFmtId="43" fontId="68" fillId="27" borderId="0" xfId="638" applyFont="1" applyFill="1" applyBorder="1"/>
    <xf numFmtId="43" fontId="57" fillId="27" borderId="16" xfId="638" applyFont="1" applyFill="1" applyBorder="1" applyAlignment="1">
      <alignment horizontal="center"/>
    </xf>
    <xf numFmtId="166" fontId="69" fillId="27" borderId="0" xfId="638" applyNumberFormat="1" applyFont="1" applyFill="1" applyBorder="1"/>
    <xf numFmtId="179" fontId="68" fillId="27" borderId="0" xfId="638" applyNumberFormat="1" applyFont="1" applyFill="1" applyBorder="1"/>
    <xf numFmtId="2" fontId="68" fillId="27" borderId="12" xfId="1168" applyNumberFormat="1" applyFont="1" applyFill="1" applyBorder="1"/>
    <xf numFmtId="9" fontId="68" fillId="34" borderId="16" xfId="1154" applyFont="1" applyFill="1" applyBorder="1" applyAlignment="1"/>
    <xf numFmtId="9" fontId="68" fillId="27" borderId="89" xfId="1153" applyFont="1" applyFill="1" applyBorder="1" applyAlignment="1"/>
    <xf numFmtId="0" fontId="69" fillId="27" borderId="14" xfId="1168" applyFont="1" applyFill="1" applyBorder="1" applyAlignment="1">
      <alignment horizontal="center"/>
    </xf>
    <xf numFmtId="0" fontId="69" fillId="27" borderId="13" xfId="1168" applyFont="1" applyFill="1" applyBorder="1" applyAlignment="1">
      <alignment horizontal="center"/>
    </xf>
    <xf numFmtId="0" fontId="57" fillId="27" borderId="13" xfId="39935" applyFont="1" applyFill="1" applyBorder="1" applyAlignment="1">
      <alignment horizontal="center"/>
    </xf>
    <xf numFmtId="0" fontId="57" fillId="27" borderId="89" xfId="39935" applyFont="1" applyFill="1" applyBorder="1"/>
    <xf numFmtId="0" fontId="57" fillId="27" borderId="14" xfId="39935" applyFont="1" applyFill="1" applyBorder="1" applyAlignment="1">
      <alignment horizontal="center"/>
    </xf>
    <xf numFmtId="166" fontId="58" fillId="27" borderId="57" xfId="638" applyNumberFormat="1" applyFont="1" applyFill="1" applyBorder="1"/>
    <xf numFmtId="43" fontId="57" fillId="27" borderId="14" xfId="39936" applyFont="1" applyFill="1" applyBorder="1"/>
    <xf numFmtId="43" fontId="57" fillId="27" borderId="13" xfId="39936" applyFont="1" applyFill="1" applyBorder="1"/>
    <xf numFmtId="166" fontId="58" fillId="27" borderId="59" xfId="638" applyNumberFormat="1" applyFont="1" applyFill="1" applyBorder="1"/>
    <xf numFmtId="0" fontId="57" fillId="27" borderId="10" xfId="39935" applyFont="1" applyFill="1" applyBorder="1" applyAlignment="1">
      <alignment horizontal="center"/>
    </xf>
    <xf numFmtId="0" fontId="57" fillId="27" borderId="17" xfId="39935" applyFont="1" applyFill="1" applyBorder="1" applyAlignment="1">
      <alignment horizontal="center"/>
    </xf>
    <xf numFmtId="166" fontId="57" fillId="26" borderId="10" xfId="638" applyNumberFormat="1" applyFont="1" applyFill="1" applyBorder="1"/>
    <xf numFmtId="43" fontId="57" fillId="26" borderId="0" xfId="39935" applyNumberFormat="1" applyFont="1" applyFill="1"/>
    <xf numFmtId="43" fontId="57" fillId="26" borderId="0" xfId="638" applyFont="1" applyFill="1" applyBorder="1"/>
    <xf numFmtId="166" fontId="57" fillId="27" borderId="14" xfId="39935" applyNumberFormat="1" applyFont="1" applyFill="1" applyBorder="1"/>
    <xf numFmtId="166" fontId="58" fillId="27" borderId="65" xfId="39935" applyNumberFormat="1" applyFont="1" applyFill="1" applyBorder="1"/>
    <xf numFmtId="166" fontId="58" fillId="27" borderId="89" xfId="39935" applyNumberFormat="1" applyFont="1" applyFill="1" applyBorder="1"/>
    <xf numFmtId="0" fontId="58" fillId="27" borderId="16" xfId="1168" applyFont="1" applyFill="1" applyBorder="1"/>
    <xf numFmtId="199" fontId="57" fillId="27" borderId="16" xfId="1168" applyNumberFormat="1" applyFont="1" applyFill="1" applyBorder="1"/>
    <xf numFmtId="43" fontId="57" fillId="27" borderId="89" xfId="642" applyFont="1" applyFill="1" applyBorder="1"/>
    <xf numFmtId="166" fontId="0" fillId="27" borderId="16" xfId="642" applyNumberFormat="1" applyFont="1" applyFill="1" applyBorder="1" applyAlignment="1"/>
    <xf numFmtId="166" fontId="0" fillId="27" borderId="17" xfId="642" applyNumberFormat="1" applyFont="1" applyFill="1" applyBorder="1" applyAlignment="1"/>
    <xf numFmtId="43" fontId="24" fillId="27" borderId="16" xfId="1168" applyNumberFormat="1" applyFill="1" applyBorder="1"/>
    <xf numFmtId="43" fontId="42" fillId="27" borderId="16" xfId="1168" applyNumberFormat="1" applyFont="1" applyFill="1" applyBorder="1"/>
    <xf numFmtId="43" fontId="68" fillId="27" borderId="17" xfId="1168" applyNumberFormat="1" applyFont="1" applyFill="1" applyBorder="1"/>
    <xf numFmtId="43" fontId="57" fillId="27" borderId="89" xfId="1168" applyNumberFormat="1" applyFont="1" applyFill="1" applyBorder="1"/>
    <xf numFmtId="43" fontId="68" fillId="27" borderId="17" xfId="642" applyFont="1" applyFill="1" applyBorder="1"/>
    <xf numFmtId="43" fontId="57" fillId="27" borderId="16" xfId="642" applyFont="1" applyFill="1" applyBorder="1" applyAlignment="1"/>
    <xf numFmtId="0" fontId="69" fillId="27" borderId="13" xfId="1168" applyFont="1" applyFill="1" applyBorder="1"/>
    <xf numFmtId="166" fontId="68" fillId="27" borderId="16" xfId="638" applyNumberFormat="1" applyFont="1" applyFill="1" applyBorder="1"/>
    <xf numFmtId="166" fontId="68" fillId="27" borderId="17" xfId="638" applyNumberFormat="1" applyFont="1" applyFill="1" applyBorder="1"/>
    <xf numFmtId="166" fontId="69" fillId="27" borderId="16" xfId="638" applyNumberFormat="1" applyFont="1" applyFill="1" applyBorder="1"/>
    <xf numFmtId="179" fontId="68" fillId="27" borderId="16" xfId="638" applyNumberFormat="1" applyFont="1" applyFill="1" applyBorder="1"/>
    <xf numFmtId="166" fontId="58" fillId="27" borderId="16" xfId="1168" applyNumberFormat="1" applyFont="1" applyFill="1" applyBorder="1"/>
    <xf numFmtId="43" fontId="57" fillId="27" borderId="17" xfId="1168" applyNumberFormat="1" applyFont="1" applyFill="1" applyBorder="1"/>
    <xf numFmtId="166" fontId="58" fillId="27" borderId="57" xfId="35529" applyNumberFormat="1" applyFont="1" applyFill="1" applyBorder="1"/>
    <xf numFmtId="0" fontId="72" fillId="37" borderId="14" xfId="39945" applyFont="1" applyFill="1" applyBorder="1" applyAlignment="1">
      <alignment horizontal="center"/>
    </xf>
    <xf numFmtId="166" fontId="44" fillId="27" borderId="10" xfId="39936" applyNumberFormat="1" applyFont="1" applyFill="1" applyBorder="1" applyAlignment="1" applyProtection="1">
      <alignment horizontal="center"/>
    </xf>
    <xf numFmtId="166" fontId="44" fillId="27" borderId="17" xfId="39936" applyNumberFormat="1" applyFont="1" applyFill="1" applyBorder="1" applyAlignment="1" applyProtection="1">
      <alignment horizontal="center"/>
    </xf>
    <xf numFmtId="167" fontId="60" fillId="27" borderId="14" xfId="39935" applyNumberFormat="1" applyFont="1" applyFill="1" applyBorder="1"/>
    <xf numFmtId="166" fontId="60" fillId="27" borderId="14" xfId="39936" applyNumberFormat="1" applyFont="1" applyFill="1" applyBorder="1" applyProtection="1"/>
    <xf numFmtId="166" fontId="44" fillId="27" borderId="14" xfId="39936" applyNumberFormat="1" applyFont="1" applyFill="1" applyBorder="1" applyProtection="1"/>
    <xf numFmtId="3" fontId="68" fillId="27" borderId="13" xfId="39932" applyNumberFormat="1" applyFont="1" applyFill="1" applyBorder="1"/>
    <xf numFmtId="167" fontId="60" fillId="27" borderId="0" xfId="39935" applyNumberFormat="1" applyFont="1" applyFill="1"/>
    <xf numFmtId="166" fontId="60" fillId="27" borderId="0" xfId="39936" applyNumberFormat="1" applyFont="1" applyFill="1" applyBorder="1" applyProtection="1"/>
    <xf numFmtId="166" fontId="44" fillId="27" borderId="0" xfId="39936" applyNumberFormat="1" applyFont="1" applyFill="1" applyBorder="1" applyProtection="1"/>
    <xf numFmtId="166" fontId="44" fillId="27" borderId="16" xfId="39936" applyNumberFormat="1" applyFont="1" applyFill="1" applyBorder="1" applyProtection="1"/>
    <xf numFmtId="3" fontId="44" fillId="27" borderId="0" xfId="39932" applyNumberFormat="1" applyFont="1" applyFill="1"/>
    <xf numFmtId="3" fontId="44" fillId="27" borderId="16" xfId="39932" applyNumberFormat="1" applyFont="1" applyFill="1" applyBorder="1"/>
    <xf numFmtId="3" fontId="44" fillId="27" borderId="16" xfId="39935" applyNumberFormat="1" applyFont="1" applyFill="1" applyBorder="1"/>
    <xf numFmtId="0" fontId="44" fillId="27" borderId="12" xfId="39932" applyFont="1" applyFill="1" applyBorder="1"/>
    <xf numFmtId="0" fontId="44" fillId="27" borderId="0" xfId="39932" applyFont="1" applyFill="1"/>
    <xf numFmtId="167" fontId="44" fillId="26" borderId="0" xfId="39935" applyNumberFormat="1" applyFont="1" applyFill="1"/>
    <xf numFmtId="3" fontId="44" fillId="27" borderId="10" xfId="39935" applyNumberFormat="1" applyFont="1" applyFill="1" applyBorder="1"/>
    <xf numFmtId="43" fontId="44" fillId="27" borderId="16" xfId="638" applyFont="1" applyFill="1" applyBorder="1" applyProtection="1"/>
    <xf numFmtId="3" fontId="44" fillId="27" borderId="17" xfId="39935" applyNumberFormat="1" applyFont="1" applyFill="1" applyBorder="1"/>
    <xf numFmtId="3" fontId="44" fillId="27" borderId="89" xfId="39935" applyNumberFormat="1" applyFont="1" applyFill="1" applyBorder="1"/>
    <xf numFmtId="0" fontId="57" fillId="27" borderId="16" xfId="1168" applyFont="1" applyFill="1" applyBorder="1" applyAlignment="1">
      <alignment horizontal="center"/>
    </xf>
    <xf numFmtId="43" fontId="24" fillId="27" borderId="0" xfId="638" applyFont="1" applyFill="1"/>
    <xf numFmtId="9" fontId="57" fillId="26" borderId="0" xfId="1168" applyNumberFormat="1" applyFont="1" applyFill="1"/>
    <xf numFmtId="188" fontId="24" fillId="26" borderId="0" xfId="638" applyNumberFormat="1" applyFont="1" applyFill="1" applyBorder="1"/>
    <xf numFmtId="188" fontId="57" fillId="26" borderId="0" xfId="638" applyNumberFormat="1" applyFont="1" applyFill="1" applyBorder="1"/>
    <xf numFmtId="166" fontId="74" fillId="37" borderId="27" xfId="39945" applyNumberFormat="1" applyFont="1" applyFill="1" applyBorder="1"/>
    <xf numFmtId="166" fontId="71" fillId="27" borderId="65" xfId="638" applyNumberFormat="1" applyFont="1" applyFill="1" applyBorder="1" applyProtection="1"/>
    <xf numFmtId="10" fontId="44" fillId="27" borderId="10" xfId="1153" applyNumberFormat="1" applyFont="1" applyFill="1" applyBorder="1" applyProtection="1"/>
    <xf numFmtId="10" fontId="44" fillId="27" borderId="17" xfId="1153" applyNumberFormat="1" applyFont="1" applyFill="1" applyBorder="1" applyProtection="1"/>
    <xf numFmtId="166" fontId="47" fillId="27" borderId="66" xfId="638" applyNumberFormat="1" applyFont="1" applyFill="1" applyBorder="1" applyProtection="1"/>
    <xf numFmtId="43" fontId="42" fillId="27" borderId="0" xfId="638" applyFont="1" applyFill="1" applyBorder="1"/>
    <xf numFmtId="43" fontId="42" fillId="27" borderId="16" xfId="638" applyFont="1" applyFill="1" applyBorder="1"/>
    <xf numFmtId="166" fontId="24" fillId="27" borderId="0" xfId="638" applyNumberFormat="1" applyFont="1" applyFill="1" applyBorder="1"/>
    <xf numFmtId="43" fontId="71" fillId="27" borderId="16" xfId="638" applyFont="1" applyFill="1" applyBorder="1" applyProtection="1"/>
    <xf numFmtId="166" fontId="24" fillId="27" borderId="0" xfId="638" applyNumberFormat="1" applyFont="1" applyFill="1" applyBorder="1" applyProtection="1"/>
    <xf numFmtId="166" fontId="42" fillId="27" borderId="0" xfId="638" applyNumberFormat="1" applyFont="1" applyFill="1" applyBorder="1" applyProtection="1"/>
    <xf numFmtId="166" fontId="24" fillId="27" borderId="16" xfId="638" applyNumberFormat="1" applyFont="1" applyFill="1" applyBorder="1" applyProtection="1"/>
    <xf numFmtId="166" fontId="24" fillId="27" borderId="17" xfId="638" applyNumberFormat="1" applyFont="1" applyFill="1" applyBorder="1" applyProtection="1"/>
    <xf numFmtId="166" fontId="24" fillId="27" borderId="65" xfId="638" applyNumberFormat="1" applyFont="1" applyFill="1" applyBorder="1" applyProtection="1"/>
    <xf numFmtId="166" fontId="42" fillId="27" borderId="65" xfId="638" applyNumberFormat="1" applyFont="1" applyFill="1" applyBorder="1" applyProtection="1"/>
    <xf numFmtId="166" fontId="42" fillId="27" borderId="89" xfId="638" applyNumberFormat="1" applyFont="1" applyFill="1" applyBorder="1" applyProtection="1"/>
    <xf numFmtId="166" fontId="73" fillId="27" borderId="89" xfId="39945" applyNumberFormat="1" applyFont="1" applyFill="1" applyBorder="1"/>
    <xf numFmtId="166" fontId="57" fillId="29" borderId="0" xfId="638" applyNumberFormat="1" applyFont="1" applyFill="1" applyBorder="1" applyProtection="1"/>
    <xf numFmtId="3" fontId="0" fillId="27" borderId="10" xfId="0" applyNumberFormat="1" applyFill="1" applyBorder="1"/>
    <xf numFmtId="3" fontId="24" fillId="27" borderId="0" xfId="0" applyNumberFormat="1" applyFont="1" applyFill="1"/>
    <xf numFmtId="43" fontId="0" fillId="27" borderId="10" xfId="638" applyFont="1" applyFill="1" applyBorder="1"/>
    <xf numFmtId="9" fontId="0" fillId="27" borderId="10" xfId="1153" applyFont="1" applyFill="1" applyBorder="1"/>
    <xf numFmtId="0" fontId="42" fillId="27" borderId="19" xfId="0" applyFont="1" applyFill="1" applyBorder="1"/>
    <xf numFmtId="0" fontId="42" fillId="27" borderId="18" xfId="0" applyFont="1" applyFill="1" applyBorder="1"/>
    <xf numFmtId="9" fontId="0" fillId="27" borderId="0" xfId="1153" applyFont="1" applyFill="1" applyBorder="1"/>
    <xf numFmtId="9" fontId="0" fillId="27" borderId="16" xfId="1153" applyFont="1" applyFill="1" applyBorder="1"/>
    <xf numFmtId="9" fontId="0" fillId="27" borderId="17" xfId="1153" applyFont="1" applyFill="1" applyBorder="1"/>
    <xf numFmtId="9" fontId="0" fillId="27" borderId="0" xfId="0" applyNumberFormat="1" applyFill="1"/>
    <xf numFmtId="9" fontId="0" fillId="27" borderId="16" xfId="0" applyNumberFormat="1" applyFill="1" applyBorder="1"/>
    <xf numFmtId="43" fontId="0" fillId="27" borderId="16" xfId="638" applyFont="1" applyFill="1" applyBorder="1"/>
    <xf numFmtId="3" fontId="0" fillId="27" borderId="12" xfId="0" applyNumberFormat="1" applyFill="1" applyBorder="1"/>
    <xf numFmtId="43" fontId="0" fillId="27" borderId="17" xfId="638" applyFont="1" applyFill="1" applyBorder="1"/>
    <xf numFmtId="43" fontId="42" fillId="27" borderId="16" xfId="0" applyNumberFormat="1" applyFont="1" applyFill="1" applyBorder="1"/>
    <xf numFmtId="0" fontId="0" fillId="27" borderId="49" xfId="0" applyFill="1" applyBorder="1"/>
    <xf numFmtId="3" fontId="0" fillId="27" borderId="16" xfId="0" applyNumberFormat="1" applyFill="1" applyBorder="1"/>
    <xf numFmtId="3" fontId="0" fillId="27" borderId="17" xfId="0" applyNumberFormat="1" applyFill="1" applyBorder="1"/>
    <xf numFmtId="3" fontId="42" fillId="27" borderId="0" xfId="0" applyNumberFormat="1" applyFont="1" applyFill="1"/>
    <xf numFmtId="3" fontId="42" fillId="27" borderId="16" xfId="0" applyNumberFormat="1" applyFont="1" applyFill="1" applyBorder="1"/>
    <xf numFmtId="166" fontId="42" fillId="27" borderId="0" xfId="0" applyNumberFormat="1" applyFont="1" applyFill="1"/>
    <xf numFmtId="166" fontId="42" fillId="27" borderId="16" xfId="0" applyNumberFormat="1" applyFont="1" applyFill="1" applyBorder="1"/>
    <xf numFmtId="166" fontId="42" fillId="27" borderId="65" xfId="0" applyNumberFormat="1" applyFont="1" applyFill="1" applyBorder="1"/>
    <xf numFmtId="166" fontId="42" fillId="27" borderId="89" xfId="0" applyNumberFormat="1" applyFont="1" applyFill="1" applyBorder="1"/>
    <xf numFmtId="43" fontId="0" fillId="27" borderId="10" xfId="0" applyNumberFormat="1" applyFill="1" applyBorder="1"/>
    <xf numFmtId="3" fontId="24" fillId="27" borderId="12" xfId="0" applyNumberFormat="1" applyFont="1" applyFill="1" applyBorder="1"/>
    <xf numFmtId="0" fontId="42" fillId="27" borderId="49" xfId="0" applyFont="1" applyFill="1" applyBorder="1"/>
    <xf numFmtId="0" fontId="42" fillId="27" borderId="0" xfId="0" applyFont="1" applyFill="1"/>
    <xf numFmtId="166" fontId="0" fillId="27" borderId="65" xfId="0" applyNumberFormat="1" applyFill="1" applyBorder="1"/>
    <xf numFmtId="166" fontId="0" fillId="27" borderId="89" xfId="0" applyNumberFormat="1" applyFill="1" applyBorder="1"/>
    <xf numFmtId="43" fontId="0" fillId="27" borderId="65" xfId="638" applyFont="1" applyFill="1" applyBorder="1"/>
    <xf numFmtId="0" fontId="42" fillId="27" borderId="16" xfId="0" applyFont="1" applyFill="1" applyBorder="1"/>
    <xf numFmtId="166" fontId="0" fillId="26" borderId="0" xfId="638" applyNumberFormat="1" applyFont="1" applyFill="1" applyBorder="1"/>
    <xf numFmtId="0" fontId="57" fillId="27" borderId="0" xfId="0" applyFont="1" applyFill="1"/>
    <xf numFmtId="166" fontId="57" fillId="27" borderId="0" xfId="638" applyNumberFormat="1" applyFont="1" applyFill="1"/>
    <xf numFmtId="166" fontId="57" fillId="27" borderId="0" xfId="0" applyNumberFormat="1" applyFont="1" applyFill="1"/>
    <xf numFmtId="43" fontId="57" fillId="27" borderId="10" xfId="0" applyNumberFormat="1" applyFont="1" applyFill="1" applyBorder="1"/>
    <xf numFmtId="166" fontId="57" fillId="27" borderId="76" xfId="638" applyNumberFormat="1" applyFont="1" applyFill="1" applyBorder="1"/>
    <xf numFmtId="0" fontId="57" fillId="27" borderId="76" xfId="0" applyFont="1" applyFill="1" applyBorder="1"/>
    <xf numFmtId="166" fontId="58" fillId="27" borderId="0" xfId="638" applyNumberFormat="1" applyFont="1" applyFill="1" applyBorder="1" applyAlignment="1">
      <alignment horizontal="center"/>
    </xf>
    <xf numFmtId="2" fontId="57" fillId="27" borderId="0" xfId="0" applyNumberFormat="1" applyFont="1" applyFill="1"/>
    <xf numFmtId="43" fontId="57" fillId="27" borderId="0" xfId="0" applyNumberFormat="1" applyFont="1" applyFill="1"/>
    <xf numFmtId="0" fontId="58" fillId="27" borderId="15" xfId="0" applyFont="1" applyFill="1" applyBorder="1"/>
    <xf numFmtId="0" fontId="57" fillId="27" borderId="19" xfId="0" applyFont="1" applyFill="1" applyBorder="1"/>
    <xf numFmtId="0" fontId="57" fillId="27" borderId="11" xfId="0" applyFont="1" applyFill="1" applyBorder="1"/>
    <xf numFmtId="0" fontId="57" fillId="27" borderId="14" xfId="0" applyFont="1" applyFill="1" applyBorder="1"/>
    <xf numFmtId="0" fontId="58" fillId="27" borderId="12" xfId="0" applyFont="1" applyFill="1" applyBorder="1"/>
    <xf numFmtId="0" fontId="93" fillId="27" borderId="12" xfId="0" applyFont="1" applyFill="1" applyBorder="1" applyAlignment="1">
      <alignment horizontal="left" vertical="top"/>
    </xf>
    <xf numFmtId="0" fontId="83" fillId="27" borderId="12" xfId="0" applyFont="1" applyFill="1" applyBorder="1" applyAlignment="1">
      <alignment horizontal="left" vertical="top"/>
    </xf>
    <xf numFmtId="0" fontId="57" fillId="27" borderId="49" xfId="0" applyFont="1" applyFill="1" applyBorder="1"/>
    <xf numFmtId="43" fontId="44" fillId="27" borderId="19" xfId="638" applyFont="1" applyFill="1" applyBorder="1" applyProtection="1"/>
    <xf numFmtId="43" fontId="44" fillId="27" borderId="18" xfId="638" applyFont="1" applyFill="1" applyBorder="1" applyProtection="1"/>
    <xf numFmtId="0" fontId="57" fillId="27" borderId="64" xfId="39935" applyFont="1" applyFill="1" applyBorder="1" applyAlignment="1">
      <alignment horizontal="center"/>
    </xf>
    <xf numFmtId="0" fontId="57" fillId="27" borderId="90" xfId="39935" applyFont="1" applyFill="1" applyBorder="1" applyAlignment="1">
      <alignment horizontal="center"/>
    </xf>
    <xf numFmtId="0" fontId="42" fillId="27" borderId="14" xfId="0" applyFont="1" applyFill="1" applyBorder="1"/>
    <xf numFmtId="0" fontId="42" fillId="27" borderId="13" xfId="0" applyFont="1" applyFill="1" applyBorder="1"/>
    <xf numFmtId="166" fontId="0" fillId="27" borderId="10" xfId="0" applyNumberFormat="1" applyFill="1" applyBorder="1"/>
    <xf numFmtId="188" fontId="24" fillId="27" borderId="0" xfId="638" applyNumberFormat="1" applyFont="1" applyFill="1" applyBorder="1" applyAlignment="1"/>
    <xf numFmtId="0" fontId="57" fillId="27" borderId="10" xfId="0" applyFont="1" applyFill="1" applyBorder="1"/>
    <xf numFmtId="9" fontId="57" fillId="26" borderId="0" xfId="0" applyNumberFormat="1" applyFont="1" applyFill="1"/>
    <xf numFmtId="188" fontId="57" fillId="27" borderId="0" xfId="0" applyNumberFormat="1" applyFont="1" applyFill="1"/>
    <xf numFmtId="43" fontId="58" fillId="27" borderId="0" xfId="638" applyFont="1" applyFill="1" applyBorder="1"/>
    <xf numFmtId="0" fontId="58" fillId="27" borderId="11" xfId="0" applyFont="1" applyFill="1" applyBorder="1"/>
    <xf numFmtId="0" fontId="57" fillId="27" borderId="13" xfId="0" applyFont="1" applyFill="1" applyBorder="1"/>
    <xf numFmtId="0" fontId="57" fillId="27" borderId="16" xfId="0" applyFont="1" applyFill="1" applyBorder="1"/>
    <xf numFmtId="166" fontId="57" fillId="27" borderId="16" xfId="0" applyNumberFormat="1" applyFont="1" applyFill="1" applyBorder="1"/>
    <xf numFmtId="166" fontId="57" fillId="27" borderId="79" xfId="638" applyNumberFormat="1" applyFont="1" applyFill="1" applyBorder="1"/>
    <xf numFmtId="188" fontId="57" fillId="27" borderId="16" xfId="0" applyNumberFormat="1" applyFont="1" applyFill="1" applyBorder="1"/>
    <xf numFmtId="0" fontId="57" fillId="27" borderId="21" xfId="0" applyFont="1" applyFill="1" applyBorder="1"/>
    <xf numFmtId="0" fontId="58" fillId="27" borderId="100" xfId="0" applyFont="1" applyFill="1" applyBorder="1"/>
    <xf numFmtId="0" fontId="57" fillId="27" borderId="79" xfId="0" applyFont="1" applyFill="1" applyBorder="1"/>
    <xf numFmtId="0" fontId="57" fillId="27" borderId="65" xfId="0" applyFont="1" applyFill="1" applyBorder="1"/>
    <xf numFmtId="190" fontId="58" fillId="27" borderId="12" xfId="0" applyNumberFormat="1" applyFont="1" applyFill="1" applyBorder="1"/>
    <xf numFmtId="43" fontId="57" fillId="27" borderId="16" xfId="0" applyNumberFormat="1" applyFont="1" applyFill="1" applyBorder="1"/>
    <xf numFmtId="43" fontId="57" fillId="27" borderId="17" xfId="0" applyNumberFormat="1" applyFont="1" applyFill="1" applyBorder="1"/>
    <xf numFmtId="43" fontId="58" fillId="27" borderId="0" xfId="0" applyNumberFormat="1" applyFont="1" applyFill="1"/>
    <xf numFmtId="43" fontId="58" fillId="27" borderId="16" xfId="0" applyNumberFormat="1" applyFont="1" applyFill="1" applyBorder="1"/>
    <xf numFmtId="0" fontId="58" fillId="27" borderId="49" xfId="0" applyFont="1" applyFill="1" applyBorder="1"/>
    <xf numFmtId="43" fontId="0" fillId="27" borderId="0" xfId="638" applyFont="1" applyFill="1"/>
    <xf numFmtId="166" fontId="0" fillId="27" borderId="0" xfId="638" applyNumberFormat="1" applyFont="1" applyFill="1"/>
    <xf numFmtId="167" fontId="0" fillId="27" borderId="0" xfId="1153" applyNumberFormat="1" applyFont="1" applyFill="1" applyBorder="1"/>
    <xf numFmtId="167" fontId="0" fillId="27" borderId="10" xfId="1153" applyNumberFormat="1" applyFont="1" applyFill="1" applyBorder="1"/>
    <xf numFmtId="0" fontId="24" fillId="27" borderId="11" xfId="0" applyFont="1" applyFill="1" applyBorder="1"/>
    <xf numFmtId="3" fontId="42" fillId="27" borderId="12" xfId="0" applyNumberFormat="1" applyFont="1" applyFill="1" applyBorder="1"/>
    <xf numFmtId="167" fontId="0" fillId="27" borderId="16" xfId="1153" applyNumberFormat="1" applyFont="1" applyFill="1" applyBorder="1"/>
    <xf numFmtId="167" fontId="0" fillId="27" borderId="17" xfId="1153" applyNumberFormat="1" applyFont="1" applyFill="1" applyBorder="1"/>
    <xf numFmtId="167" fontId="0" fillId="27" borderId="0" xfId="0" applyNumberFormat="1" applyFill="1"/>
    <xf numFmtId="167" fontId="0" fillId="27" borderId="16" xfId="0" applyNumberFormat="1" applyFill="1" applyBorder="1"/>
    <xf numFmtId="43" fontId="0" fillId="27" borderId="17" xfId="0" applyNumberFormat="1" applyFill="1" applyBorder="1"/>
    <xf numFmtId="43" fontId="0" fillId="27" borderId="16" xfId="0" applyNumberFormat="1" applyFill="1" applyBorder="1"/>
    <xf numFmtId="166" fontId="0" fillId="26" borderId="0" xfId="0" applyNumberFormat="1" applyFill="1"/>
    <xf numFmtId="0" fontId="0" fillId="27" borderId="89" xfId="0" applyFill="1" applyBorder="1"/>
    <xf numFmtId="166" fontId="57" fillId="27" borderId="12" xfId="1168" applyNumberFormat="1" applyFont="1" applyFill="1" applyBorder="1"/>
    <xf numFmtId="166" fontId="0" fillId="27" borderId="17" xfId="0" applyNumberFormat="1" applyFill="1" applyBorder="1"/>
    <xf numFmtId="43" fontId="24" fillId="27" borderId="14" xfId="642" applyFont="1" applyFill="1" applyBorder="1" applyAlignment="1"/>
    <xf numFmtId="43" fontId="24" fillId="27" borderId="14" xfId="642" applyFont="1" applyFill="1" applyBorder="1"/>
    <xf numFmtId="0" fontId="0" fillId="27" borderId="0" xfId="0" applyFill="1" applyAlignment="1">
      <alignment horizontal="left"/>
    </xf>
    <xf numFmtId="166" fontId="58" fillId="27" borderId="0" xfId="0" applyNumberFormat="1" applyFont="1" applyFill="1"/>
    <xf numFmtId="166" fontId="58" fillId="27" borderId="10" xfId="0" applyNumberFormat="1" applyFont="1" applyFill="1" applyBorder="1"/>
    <xf numFmtId="166" fontId="58" fillId="27" borderId="16" xfId="0" applyNumberFormat="1" applyFont="1" applyFill="1" applyBorder="1"/>
    <xf numFmtId="166" fontId="58" fillId="27" borderId="17" xfId="0" applyNumberFormat="1" applyFont="1" applyFill="1" applyBorder="1"/>
    <xf numFmtId="166" fontId="58" fillId="27" borderId="65" xfId="0" applyNumberFormat="1" applyFont="1" applyFill="1" applyBorder="1"/>
    <xf numFmtId="166" fontId="58" fillId="27" borderId="89" xfId="0" applyNumberFormat="1" applyFont="1" applyFill="1" applyBorder="1"/>
    <xf numFmtId="0" fontId="58" fillId="27" borderId="57" xfId="0" applyFont="1" applyFill="1" applyBorder="1"/>
    <xf numFmtId="0" fontId="57" fillId="27" borderId="57" xfId="0" applyFont="1" applyFill="1" applyBorder="1"/>
    <xf numFmtId="9" fontId="68" fillId="27" borderId="16" xfId="1153" applyFont="1" applyFill="1" applyBorder="1"/>
    <xf numFmtId="0" fontId="69" fillId="27" borderId="16" xfId="1168" applyFont="1" applyFill="1" applyBorder="1"/>
    <xf numFmtId="0" fontId="68" fillId="27" borderId="49" xfId="1168" applyFont="1" applyFill="1" applyBorder="1"/>
    <xf numFmtId="9" fontId="68" fillId="27" borderId="89" xfId="1168" applyNumberFormat="1" applyFont="1" applyFill="1" applyBorder="1"/>
    <xf numFmtId="10" fontId="57" fillId="27" borderId="16" xfId="1168" applyNumberFormat="1" applyFont="1" applyFill="1" applyBorder="1"/>
    <xf numFmtId="9" fontId="57" fillId="27" borderId="16" xfId="1168" applyNumberFormat="1" applyFont="1" applyFill="1" applyBorder="1"/>
    <xf numFmtId="0" fontId="58" fillId="27" borderId="13" xfId="1168" applyFont="1" applyFill="1" applyBorder="1"/>
    <xf numFmtId="0" fontId="57" fillId="26" borderId="45" xfId="39932" applyFont="1" applyFill="1" applyBorder="1" applyAlignment="1">
      <alignment horizontal="center"/>
    </xf>
    <xf numFmtId="187" fontId="57" fillId="27" borderId="0" xfId="0" applyNumberFormat="1" applyFont="1" applyFill="1"/>
    <xf numFmtId="187" fontId="57" fillId="27" borderId="16" xfId="0" applyNumberFormat="1" applyFont="1" applyFill="1" applyBorder="1"/>
    <xf numFmtId="179" fontId="57" fillId="27" borderId="0" xfId="0" applyNumberFormat="1" applyFont="1" applyFill="1"/>
    <xf numFmtId="166" fontId="57" fillId="27" borderId="12" xfId="638" applyNumberFormat="1" applyFont="1" applyFill="1" applyBorder="1"/>
    <xf numFmtId="166" fontId="58" fillId="27" borderId="12" xfId="638" applyNumberFormat="1" applyFont="1" applyFill="1" applyBorder="1"/>
    <xf numFmtId="2" fontId="57" fillId="27" borderId="16" xfId="0" applyNumberFormat="1" applyFont="1" applyFill="1" applyBorder="1"/>
    <xf numFmtId="1" fontId="57" fillId="27" borderId="0" xfId="0" applyNumberFormat="1" applyFont="1" applyFill="1"/>
    <xf numFmtId="1" fontId="57" fillId="27" borderId="16" xfId="0" applyNumberFormat="1" applyFont="1" applyFill="1" applyBorder="1"/>
    <xf numFmtId="179" fontId="57" fillId="27" borderId="16" xfId="0" applyNumberFormat="1" applyFont="1" applyFill="1" applyBorder="1"/>
    <xf numFmtId="43" fontId="57" fillId="27" borderId="65" xfId="638" applyFont="1" applyFill="1" applyBorder="1"/>
    <xf numFmtId="188" fontId="24" fillId="27" borderId="16" xfId="638" applyNumberFormat="1" applyFont="1" applyFill="1" applyBorder="1" applyAlignment="1"/>
    <xf numFmtId="43" fontId="42" fillId="27" borderId="14" xfId="642" applyFont="1" applyFill="1" applyBorder="1" applyAlignment="1"/>
    <xf numFmtId="201" fontId="57" fillId="27" borderId="16" xfId="0" applyNumberFormat="1" applyFont="1" applyFill="1" applyBorder="1"/>
    <xf numFmtId="0" fontId="24" fillId="27" borderId="65" xfId="0" applyFont="1" applyFill="1" applyBorder="1"/>
    <xf numFmtId="166" fontId="24" fillId="27" borderId="10" xfId="0" applyNumberFormat="1" applyFont="1" applyFill="1" applyBorder="1"/>
    <xf numFmtId="166" fontId="24" fillId="27" borderId="0" xfId="0" applyNumberFormat="1" applyFont="1" applyFill="1"/>
    <xf numFmtId="0" fontId="24" fillId="27" borderId="14" xfId="0" applyFont="1" applyFill="1" applyBorder="1"/>
    <xf numFmtId="166" fontId="24" fillId="27" borderId="16" xfId="0" applyNumberFormat="1" applyFont="1" applyFill="1" applyBorder="1"/>
    <xf numFmtId="166" fontId="24" fillId="27" borderId="17" xfId="0" applyNumberFormat="1" applyFont="1" applyFill="1" applyBorder="1"/>
    <xf numFmtId="0" fontId="24" fillId="27" borderId="49" xfId="0" applyFont="1" applyFill="1" applyBorder="1"/>
    <xf numFmtId="0" fontId="0" fillId="27" borderId="19" xfId="0" applyFill="1" applyBorder="1"/>
    <xf numFmtId="166" fontId="0" fillId="27" borderId="14" xfId="0" applyNumberFormat="1" applyFill="1" applyBorder="1"/>
    <xf numFmtId="166" fontId="0" fillId="27" borderId="13" xfId="0" applyNumberFormat="1" applyFill="1" applyBorder="1"/>
    <xf numFmtId="0" fontId="0" fillId="27" borderId="12" xfId="0" applyFill="1" applyBorder="1" applyAlignment="1">
      <alignment horizontal="left"/>
    </xf>
    <xf numFmtId="166" fontId="24" fillId="27" borderId="10" xfId="638" applyNumberFormat="1" applyFont="1" applyFill="1" applyBorder="1"/>
    <xf numFmtId="166" fontId="24" fillId="27" borderId="17" xfId="638" applyNumberFormat="1" applyFont="1" applyFill="1" applyBorder="1"/>
    <xf numFmtId="166" fontId="24" fillId="27" borderId="13" xfId="638" applyNumberFormat="1" applyFont="1" applyFill="1" applyBorder="1"/>
    <xf numFmtId="166" fontId="0" fillId="27" borderId="65" xfId="638" applyNumberFormat="1" applyFont="1" applyFill="1" applyBorder="1"/>
    <xf numFmtId="166" fontId="0" fillId="27" borderId="89" xfId="638" applyNumberFormat="1" applyFont="1" applyFill="1" applyBorder="1"/>
    <xf numFmtId="3" fontId="68" fillId="27" borderId="12" xfId="1168" applyNumberFormat="1" applyFont="1" applyFill="1" applyBorder="1"/>
    <xf numFmtId="3" fontId="69" fillId="27" borderId="12" xfId="1168" applyNumberFormat="1" applyFont="1" applyFill="1" applyBorder="1"/>
    <xf numFmtId="3" fontId="58" fillId="27" borderId="0" xfId="39932" applyNumberFormat="1" applyFont="1" applyFill="1"/>
    <xf numFmtId="166" fontId="24" fillId="27" borderId="89" xfId="638" applyNumberFormat="1" applyFont="1" applyFill="1" applyBorder="1" applyProtection="1"/>
    <xf numFmtId="171" fontId="44" fillId="27" borderId="0" xfId="1153" applyNumberFormat="1" applyFont="1" applyFill="1" applyBorder="1" applyProtection="1"/>
    <xf numFmtId="202" fontId="44" fillId="27" borderId="0" xfId="1153" applyNumberFormat="1" applyFont="1" applyFill="1" applyBorder="1" applyProtection="1"/>
    <xf numFmtId="0" fontId="42" fillId="27" borderId="15" xfId="0" applyFont="1" applyFill="1" applyBorder="1"/>
    <xf numFmtId="0" fontId="24" fillId="27" borderId="13" xfId="0" applyFont="1" applyFill="1" applyBorder="1"/>
    <xf numFmtId="0" fontId="24" fillId="27" borderId="16" xfId="0" applyFont="1" applyFill="1" applyBorder="1"/>
    <xf numFmtId="43" fontId="24" fillId="27" borderId="0" xfId="0" applyNumberFormat="1" applyFont="1" applyFill="1"/>
    <xf numFmtId="43" fontId="24" fillId="27" borderId="16" xfId="0" applyNumberFormat="1" applyFont="1" applyFill="1" applyBorder="1"/>
    <xf numFmtId="166" fontId="68" fillId="27" borderId="0" xfId="39933" applyNumberFormat="1" applyFont="1" applyFill="1" applyBorder="1" applyProtection="1"/>
    <xf numFmtId="166" fontId="68" fillId="27" borderId="16" xfId="39933" applyNumberFormat="1" applyFont="1" applyFill="1" applyBorder="1" applyProtection="1"/>
    <xf numFmtId="166" fontId="24" fillId="27" borderId="0" xfId="642" applyNumberFormat="1" applyFont="1" applyFill="1" applyBorder="1" applyAlignment="1"/>
    <xf numFmtId="166" fontId="57" fillId="27" borderId="65" xfId="0" applyNumberFormat="1" applyFont="1" applyFill="1" applyBorder="1"/>
    <xf numFmtId="166" fontId="57" fillId="27" borderId="89" xfId="0" applyNumberFormat="1" applyFont="1" applyFill="1" applyBorder="1"/>
    <xf numFmtId="188" fontId="57" fillId="27" borderId="65" xfId="638" applyNumberFormat="1" applyFont="1" applyFill="1" applyBorder="1"/>
    <xf numFmtId="10" fontId="24" fillId="26" borderId="19" xfId="1153" applyNumberFormat="1" applyFont="1" applyFill="1" applyBorder="1" applyProtection="1"/>
    <xf numFmtId="10" fontId="24" fillId="26" borderId="18" xfId="1153" applyNumberFormat="1" applyFont="1" applyFill="1" applyBorder="1" applyProtection="1"/>
    <xf numFmtId="166" fontId="68" fillId="27" borderId="0" xfId="638" applyNumberFormat="1" applyFont="1" applyFill="1" applyBorder="1" applyProtection="1"/>
    <xf numFmtId="166" fontId="24" fillId="27" borderId="14" xfId="638" applyNumberFormat="1" applyFont="1" applyFill="1" applyBorder="1" applyProtection="1"/>
    <xf numFmtId="166" fontId="24" fillId="27" borderId="13" xfId="638" applyNumberFormat="1" applyFont="1" applyFill="1" applyBorder="1" applyProtection="1"/>
    <xf numFmtId="166" fontId="68" fillId="27" borderId="16" xfId="638" applyNumberFormat="1" applyFont="1" applyFill="1" applyBorder="1" applyProtection="1"/>
    <xf numFmtId="43" fontId="24" fillId="27" borderId="0" xfId="638" applyFont="1" applyFill="1" applyBorder="1" applyProtection="1"/>
    <xf numFmtId="43" fontId="24" fillId="27" borderId="16" xfId="638" applyFont="1" applyFill="1" applyBorder="1" applyProtection="1"/>
    <xf numFmtId="0" fontId="42" fillId="27" borderId="49" xfId="0" applyFont="1" applyFill="1" applyBorder="1" applyAlignment="1">
      <alignment horizontal="left"/>
    </xf>
    <xf numFmtId="43" fontId="42" fillId="27" borderId="89" xfId="638" applyFont="1" applyFill="1" applyBorder="1" applyProtection="1"/>
    <xf numFmtId="43" fontId="24" fillId="27" borderId="16" xfId="638" applyFont="1" applyFill="1" applyBorder="1" applyAlignment="1"/>
    <xf numFmtId="166" fontId="24" fillId="26" borderId="65" xfId="638" applyNumberFormat="1" applyFont="1" applyFill="1" applyBorder="1" applyProtection="1"/>
    <xf numFmtId="0" fontId="42" fillId="27" borderId="12" xfId="0" applyFont="1" applyFill="1" applyBorder="1" applyAlignment="1">
      <alignment horizontal="left"/>
    </xf>
    <xf numFmtId="43" fontId="24" fillId="27" borderId="10" xfId="638" applyFont="1" applyFill="1" applyBorder="1" applyProtection="1"/>
    <xf numFmtId="43" fontId="24" fillId="27" borderId="17" xfId="638" applyFont="1" applyFill="1" applyBorder="1" applyProtection="1"/>
    <xf numFmtId="166" fontId="57" fillId="27" borderId="14" xfId="1168" applyNumberFormat="1" applyFont="1" applyFill="1" applyBorder="1"/>
    <xf numFmtId="166" fontId="57" fillId="27" borderId="19" xfId="642" applyNumberFormat="1" applyFont="1" applyFill="1" applyBorder="1"/>
    <xf numFmtId="166" fontId="57" fillId="27" borderId="14" xfId="642" applyNumberFormat="1" applyFont="1" applyFill="1" applyBorder="1"/>
    <xf numFmtId="0" fontId="58" fillId="27" borderId="12" xfId="1168" applyFont="1" applyFill="1" applyBorder="1" applyAlignment="1">
      <alignment horizontal="left"/>
    </xf>
    <xf numFmtId="166" fontId="57" fillId="30" borderId="19" xfId="642" applyNumberFormat="1" applyFont="1" applyFill="1" applyBorder="1" applyAlignment="1" applyProtection="1">
      <alignment horizontal="right" vertical="center"/>
    </xf>
    <xf numFmtId="166" fontId="57" fillId="27" borderId="19" xfId="642" applyNumberFormat="1" applyFont="1" applyFill="1" applyBorder="1" applyAlignment="1" applyProtection="1">
      <alignment horizontal="center" vertical="center"/>
    </xf>
    <xf numFmtId="166" fontId="83" fillId="30" borderId="19" xfId="642" applyNumberFormat="1" applyFont="1" applyFill="1" applyBorder="1" applyAlignment="1" applyProtection="1">
      <alignment horizontal="right" vertical="center"/>
    </xf>
    <xf numFmtId="9" fontId="57" fillId="27" borderId="65" xfId="40008" applyFont="1" applyFill="1" applyBorder="1" applyProtection="1"/>
    <xf numFmtId="166" fontId="57" fillId="27" borderId="14" xfId="642" applyNumberFormat="1" applyFont="1" applyFill="1" applyBorder="1" applyProtection="1"/>
    <xf numFmtId="166" fontId="57" fillId="30" borderId="0" xfId="642" applyNumberFormat="1" applyFont="1" applyFill="1" applyBorder="1" applyProtection="1"/>
    <xf numFmtId="0" fontId="57" fillId="30" borderId="0" xfId="642" applyNumberFormat="1" applyFont="1" applyFill="1" applyBorder="1" applyAlignment="1" applyProtection="1">
      <alignment horizontal="center"/>
    </xf>
    <xf numFmtId="166" fontId="57" fillId="27" borderId="0" xfId="642" applyNumberFormat="1" applyFont="1" applyFill="1" applyBorder="1" applyProtection="1"/>
    <xf numFmtId="166" fontId="57" fillId="30" borderId="0" xfId="642" applyNumberFormat="1" applyFont="1" applyFill="1" applyBorder="1" applyAlignment="1" applyProtection="1">
      <alignment horizontal="right" vertical="center"/>
    </xf>
    <xf numFmtId="166" fontId="57" fillId="27" borderId="0" xfId="642" applyNumberFormat="1" applyFont="1" applyFill="1" applyBorder="1" applyAlignment="1" applyProtection="1">
      <alignment horizontal="center" vertical="center"/>
    </xf>
    <xf numFmtId="166" fontId="58" fillId="27" borderId="64" xfId="642" applyNumberFormat="1" applyFont="1" applyFill="1" applyBorder="1" applyAlignment="1" applyProtection="1">
      <alignment horizontal="center" vertical="center"/>
    </xf>
    <xf numFmtId="166" fontId="57" fillId="30" borderId="76" xfId="642" applyNumberFormat="1" applyFont="1" applyFill="1" applyBorder="1" applyProtection="1"/>
    <xf numFmtId="0" fontId="57" fillId="30" borderId="76" xfId="642" applyNumberFormat="1" applyFont="1" applyFill="1" applyBorder="1" applyAlignment="1" applyProtection="1">
      <alignment horizontal="center"/>
    </xf>
    <xf numFmtId="166" fontId="57" fillId="27" borderId="0" xfId="638" applyNumberFormat="1" applyFont="1" applyFill="1" applyBorder="1" applyAlignment="1">
      <alignment horizontal="center"/>
    </xf>
    <xf numFmtId="166" fontId="57" fillId="27" borderId="0" xfId="642" applyNumberFormat="1" applyFont="1" applyFill="1" applyBorder="1" applyAlignment="1">
      <alignment horizontal="center"/>
    </xf>
    <xf numFmtId="166" fontId="57" fillId="27" borderId="27" xfId="642" applyNumberFormat="1" applyFont="1" applyFill="1" applyBorder="1"/>
    <xf numFmtId="0" fontId="57" fillId="27" borderId="64" xfId="1168" applyFont="1" applyFill="1" applyBorder="1" applyAlignment="1">
      <alignment horizontal="center"/>
    </xf>
    <xf numFmtId="0" fontId="57" fillId="27" borderId="90" xfId="1168" applyFont="1" applyFill="1" applyBorder="1" applyAlignment="1">
      <alignment horizontal="center"/>
    </xf>
    <xf numFmtId="43" fontId="58" fillId="27" borderId="18" xfId="1168" applyNumberFormat="1" applyFont="1" applyFill="1" applyBorder="1"/>
    <xf numFmtId="186" fontId="58" fillId="27" borderId="16" xfId="638" applyNumberFormat="1" applyFont="1" applyFill="1" applyBorder="1"/>
    <xf numFmtId="166" fontId="57" fillId="27" borderId="16" xfId="638" applyNumberFormat="1" applyFont="1" applyFill="1" applyBorder="1" applyAlignment="1">
      <alignment horizontal="center"/>
    </xf>
    <xf numFmtId="3" fontId="42" fillId="0" borderId="0" xfId="0" applyNumberFormat="1" applyFont="1"/>
    <xf numFmtId="166" fontId="57" fillId="27" borderId="0" xfId="642" applyNumberFormat="1" applyFont="1" applyFill="1" applyBorder="1" applyAlignment="1" applyProtection="1">
      <alignment horizontal="center"/>
    </xf>
    <xf numFmtId="166" fontId="57" fillId="27" borderId="16" xfId="642" applyNumberFormat="1" applyFont="1" applyFill="1" applyBorder="1" applyAlignment="1" applyProtection="1">
      <alignment horizontal="center"/>
    </xf>
    <xf numFmtId="0" fontId="42" fillId="27" borderId="14" xfId="0" applyFont="1" applyFill="1" applyBorder="1" applyAlignment="1">
      <alignment horizontal="center"/>
    </xf>
    <xf numFmtId="0" fontId="42" fillId="27" borderId="13" xfId="0" applyFont="1" applyFill="1" applyBorder="1" applyAlignment="1">
      <alignment horizontal="center"/>
    </xf>
    <xf numFmtId="1" fontId="57" fillId="27" borderId="16" xfId="1168" applyNumberFormat="1" applyFont="1" applyFill="1" applyBorder="1"/>
    <xf numFmtId="10" fontId="57" fillId="27" borderId="18" xfId="39937" applyNumberFormat="1" applyFont="1" applyFill="1" applyBorder="1" applyAlignment="1" applyProtection="1">
      <alignment horizontal="right"/>
    </xf>
    <xf numFmtId="0" fontId="57" fillId="27" borderId="0" xfId="1168" applyFont="1" applyFill="1" applyBorder="1" applyAlignment="1">
      <alignment horizontal="center"/>
    </xf>
    <xf numFmtId="0" fontId="57" fillId="27" borderId="0" xfId="1168" applyFont="1" applyFill="1" applyBorder="1"/>
    <xf numFmtId="166" fontId="57" fillId="27" borderId="114" xfId="39933" applyNumberFormat="1" applyFont="1" applyFill="1" applyBorder="1" applyProtection="1"/>
    <xf numFmtId="166" fontId="57" fillId="29" borderId="14" xfId="39933" applyNumberFormat="1" applyFont="1" applyFill="1" applyBorder="1" applyProtection="1"/>
    <xf numFmtId="166" fontId="58" fillId="27" borderId="75" xfId="31614" applyNumberFormat="1" applyFont="1" applyFill="1" applyBorder="1" applyProtection="1"/>
    <xf numFmtId="166" fontId="58" fillId="27" borderId="51" xfId="31614" applyNumberFormat="1" applyFont="1" applyFill="1" applyBorder="1" applyProtection="1"/>
    <xf numFmtId="0" fontId="57" fillId="27" borderId="0" xfId="39935" applyFont="1" applyFill="1" applyBorder="1"/>
    <xf numFmtId="166" fontId="58" fillId="27" borderId="0" xfId="39935" applyNumberFormat="1" applyFont="1" applyFill="1" applyBorder="1"/>
    <xf numFmtId="43" fontId="57" fillId="27" borderId="0" xfId="39935" applyNumberFormat="1" applyFont="1" applyFill="1" applyBorder="1"/>
    <xf numFmtId="166" fontId="57" fillId="27" borderId="0" xfId="39935" applyNumberFormat="1" applyFont="1" applyFill="1" applyBorder="1"/>
    <xf numFmtId="0" fontId="57" fillId="27" borderId="0" xfId="39935" applyFont="1" applyFill="1" applyBorder="1" applyAlignment="1">
      <alignment horizontal="center"/>
    </xf>
    <xf numFmtId="0" fontId="24" fillId="27" borderId="0" xfId="1168" applyFill="1" applyBorder="1"/>
    <xf numFmtId="0" fontId="24" fillId="27" borderId="0" xfId="1168" applyFill="1" applyBorder="1" applyAlignment="1">
      <alignment wrapText="1"/>
    </xf>
    <xf numFmtId="4" fontId="24" fillId="27" borderId="0" xfId="1168" applyNumberFormat="1" applyFill="1" applyBorder="1"/>
    <xf numFmtId="190" fontId="24" fillId="27" borderId="0" xfId="1168" applyNumberFormat="1" applyFill="1" applyBorder="1"/>
    <xf numFmtId="3" fontId="24" fillId="27" borderId="0" xfId="1168" applyNumberFormat="1" applyFill="1" applyBorder="1"/>
    <xf numFmtId="192" fontId="57" fillId="27" borderId="0" xfId="1168" applyNumberFormat="1" applyFont="1" applyFill="1" applyBorder="1"/>
    <xf numFmtId="0" fontId="58" fillId="27" borderId="0" xfId="1168" applyFont="1" applyFill="1" applyBorder="1"/>
    <xf numFmtId="4" fontId="57" fillId="27" borderId="0" xfId="1168" applyNumberFormat="1" applyFont="1" applyFill="1" applyBorder="1"/>
    <xf numFmtId="166" fontId="57" fillId="0" borderId="0" xfId="39930" applyNumberFormat="1" applyFont="1" applyFill="1" applyBorder="1" applyProtection="1"/>
    <xf numFmtId="166" fontId="57" fillId="0" borderId="10" xfId="39930" applyNumberFormat="1" applyFont="1" applyFill="1" applyBorder="1" applyProtection="1"/>
    <xf numFmtId="43" fontId="57" fillId="27" borderId="0" xfId="1168" applyNumberFormat="1" applyFont="1" applyFill="1" applyBorder="1"/>
    <xf numFmtId="166" fontId="57" fillId="27" borderId="0" xfId="1168" applyNumberFormat="1" applyFont="1" applyFill="1" applyBorder="1"/>
    <xf numFmtId="166" fontId="57" fillId="27" borderId="76" xfId="1168" applyNumberFormat="1" applyFont="1" applyFill="1" applyBorder="1"/>
    <xf numFmtId="166" fontId="57" fillId="27" borderId="79" xfId="1168" applyNumberFormat="1" applyFont="1" applyFill="1" applyBorder="1"/>
    <xf numFmtId="166" fontId="58" fillId="27" borderId="23" xfId="642" applyNumberFormat="1" applyFont="1" applyFill="1" applyBorder="1"/>
    <xf numFmtId="166" fontId="58" fillId="27" borderId="27" xfId="642" applyNumberFormat="1" applyFont="1" applyFill="1" applyBorder="1"/>
    <xf numFmtId="166" fontId="58" fillId="27" borderId="0" xfId="1168" applyNumberFormat="1" applyFont="1" applyFill="1" applyBorder="1"/>
    <xf numFmtId="166" fontId="58" fillId="27" borderId="23" xfId="1168" applyNumberFormat="1" applyFont="1" applyFill="1" applyBorder="1"/>
    <xf numFmtId="166" fontId="58" fillId="27" borderId="27" xfId="1168" applyNumberFormat="1" applyFont="1" applyFill="1" applyBorder="1"/>
    <xf numFmtId="43" fontId="57" fillId="26" borderId="0" xfId="39935" applyNumberFormat="1" applyFont="1" applyFill="1" applyBorder="1"/>
    <xf numFmtId="0" fontId="57" fillId="26" borderId="0" xfId="39935" applyFont="1" applyFill="1" applyBorder="1"/>
    <xf numFmtId="0" fontId="58" fillId="27" borderId="0" xfId="39935" applyFont="1" applyFill="1" applyBorder="1"/>
    <xf numFmtId="166" fontId="57" fillId="26" borderId="0" xfId="39935" applyNumberFormat="1" applyFont="1" applyFill="1" applyBorder="1"/>
    <xf numFmtId="0" fontId="0" fillId="27" borderId="0" xfId="0" applyFill="1" applyBorder="1"/>
    <xf numFmtId="4" fontId="57" fillId="27" borderId="0" xfId="0" applyNumberFormat="1" applyFont="1" applyFill="1"/>
    <xf numFmtId="166" fontId="58" fillId="27" borderId="18" xfId="39935" applyNumberFormat="1" applyFont="1" applyFill="1" applyBorder="1"/>
    <xf numFmtId="0" fontId="57" fillId="27" borderId="0" xfId="0" applyFont="1" applyFill="1" applyBorder="1"/>
    <xf numFmtId="0" fontId="58" fillId="27" borderId="0" xfId="1168" applyFont="1" applyFill="1" applyBorder="1" applyAlignment="1">
      <alignment horizontal="center"/>
    </xf>
    <xf numFmtId="4" fontId="57" fillId="27" borderId="0" xfId="1168" applyNumberFormat="1" applyFont="1" applyFill="1"/>
    <xf numFmtId="0" fontId="57" fillId="27" borderId="10" xfId="1168" quotePrefix="1" applyFont="1" applyFill="1" applyBorder="1"/>
    <xf numFmtId="166" fontId="57" fillId="27" borderId="33" xfId="638" applyNumberFormat="1" applyFont="1" applyFill="1" applyBorder="1"/>
    <xf numFmtId="0" fontId="68" fillId="27" borderId="0" xfId="40012" applyFont="1" applyFill="1" applyProtection="1"/>
    <xf numFmtId="0" fontId="69" fillId="27" borderId="11" xfId="40012" applyFont="1" applyFill="1" applyBorder="1" applyProtection="1"/>
    <xf numFmtId="166" fontId="68" fillId="27" borderId="14" xfId="40012" applyNumberFormat="1" applyFont="1" applyFill="1" applyBorder="1" applyProtection="1"/>
    <xf numFmtId="0" fontId="58" fillId="27" borderId="19" xfId="1168" applyFont="1" applyFill="1" applyBorder="1" applyAlignment="1" applyProtection="1">
      <alignment horizontal="center"/>
    </xf>
    <xf numFmtId="0" fontId="58" fillId="27" borderId="18" xfId="1168" applyFont="1" applyFill="1" applyBorder="1" applyAlignment="1" applyProtection="1">
      <alignment horizontal="center"/>
    </xf>
    <xf numFmtId="14" fontId="57" fillId="27" borderId="12" xfId="40013" applyNumberFormat="1" applyFont="1" applyFill="1" applyBorder="1" applyProtection="1"/>
    <xf numFmtId="14" fontId="57" fillId="27" borderId="0" xfId="40013" applyNumberFormat="1" applyFont="1" applyFill="1" applyBorder="1" applyProtection="1"/>
    <xf numFmtId="179" fontId="57" fillId="27" borderId="0" xfId="40013" applyNumberFormat="1" applyFont="1" applyFill="1" applyBorder="1" applyProtection="1"/>
    <xf numFmtId="10" fontId="57" fillId="27" borderId="0" xfId="40014" applyNumberFormat="1" applyFont="1" applyFill="1" applyBorder="1" applyProtection="1"/>
    <xf numFmtId="14" fontId="57" fillId="27" borderId="16" xfId="40013" applyNumberFormat="1" applyFont="1" applyFill="1" applyBorder="1" applyProtection="1"/>
    <xf numFmtId="0" fontId="68" fillId="27" borderId="12" xfId="40012" applyFont="1" applyFill="1" applyBorder="1" applyProtection="1"/>
    <xf numFmtId="166" fontId="68" fillId="27" borderId="0" xfId="40012" applyNumberFormat="1" applyFont="1" applyFill="1" applyBorder="1" applyProtection="1"/>
    <xf numFmtId="166" fontId="68" fillId="27" borderId="16" xfId="40012" applyNumberFormat="1" applyFont="1" applyFill="1" applyBorder="1" applyProtection="1"/>
    <xf numFmtId="10" fontId="68" fillId="27" borderId="12" xfId="40012" applyNumberFormat="1" applyFont="1" applyFill="1" applyBorder="1" applyProtection="1"/>
    <xf numFmtId="10" fontId="68" fillId="27" borderId="0" xfId="40012" applyNumberFormat="1" applyFont="1" applyFill="1" applyBorder="1" applyProtection="1"/>
    <xf numFmtId="166" fontId="69" fillId="27" borderId="0" xfId="39936" applyNumberFormat="1" applyFont="1" applyFill="1" applyBorder="1" applyProtection="1"/>
    <xf numFmtId="166" fontId="69" fillId="27" borderId="16" xfId="39936" applyNumberFormat="1" applyFont="1" applyFill="1" applyBorder="1" applyProtection="1"/>
    <xf numFmtId="166" fontId="57" fillId="27" borderId="0" xfId="40013" applyNumberFormat="1" applyFont="1" applyFill="1" applyBorder="1" applyProtection="1"/>
    <xf numFmtId="0" fontId="68" fillId="27" borderId="0" xfId="40012" applyFont="1" applyFill="1" applyBorder="1" applyProtection="1"/>
    <xf numFmtId="0" fontId="68" fillId="27" borderId="16" xfId="40012" applyFont="1" applyFill="1" applyBorder="1" applyProtection="1"/>
    <xf numFmtId="166" fontId="57" fillId="27" borderId="0" xfId="40013" applyNumberFormat="1" applyFont="1" applyFill="1" applyProtection="1"/>
    <xf numFmtId="166" fontId="68" fillId="27" borderId="0" xfId="39936" applyNumberFormat="1" applyFont="1" applyFill="1" applyBorder="1" applyProtection="1"/>
    <xf numFmtId="166" fontId="68" fillId="27" borderId="16" xfId="39936" applyNumberFormat="1" applyFont="1" applyFill="1" applyBorder="1" applyProtection="1"/>
    <xf numFmtId="9" fontId="57" fillId="27" borderId="0" xfId="40014" applyFont="1" applyFill="1" applyProtection="1"/>
    <xf numFmtId="166" fontId="57" fillId="27" borderId="0" xfId="39936" applyNumberFormat="1" applyFont="1" applyFill="1" applyBorder="1" applyProtection="1"/>
    <xf numFmtId="166" fontId="57" fillId="27" borderId="16" xfId="39936" applyNumberFormat="1" applyFont="1" applyFill="1" applyBorder="1" applyProtection="1"/>
    <xf numFmtId="3" fontId="68" fillId="27" borderId="10" xfId="40012" applyNumberFormat="1" applyFont="1" applyFill="1" applyBorder="1" applyProtection="1"/>
    <xf numFmtId="3" fontId="68" fillId="27" borderId="17" xfId="40012" applyNumberFormat="1" applyFont="1" applyFill="1" applyBorder="1" applyProtection="1"/>
    <xf numFmtId="166" fontId="68" fillId="27" borderId="0" xfId="40012" applyNumberFormat="1" applyFont="1" applyFill="1" applyProtection="1"/>
    <xf numFmtId="166" fontId="57" fillId="27" borderId="10" xfId="39936" applyNumberFormat="1" applyFont="1" applyFill="1" applyBorder="1" applyProtection="1"/>
    <xf numFmtId="166" fontId="57" fillId="27" borderId="17" xfId="39936" applyNumberFormat="1" applyFont="1" applyFill="1" applyBorder="1" applyProtection="1"/>
    <xf numFmtId="0" fontId="69" fillId="27" borderId="12" xfId="40012" applyFont="1" applyFill="1" applyBorder="1" applyProtection="1"/>
    <xf numFmtId="166" fontId="69" fillId="27" borderId="0" xfId="40012" applyNumberFormat="1" applyFont="1" applyFill="1" applyBorder="1" applyProtection="1"/>
    <xf numFmtId="166" fontId="69" fillId="27" borderId="16" xfId="40012" applyNumberFormat="1" applyFont="1" applyFill="1" applyBorder="1" applyProtection="1"/>
    <xf numFmtId="14" fontId="57" fillId="27" borderId="0" xfId="40013" applyNumberFormat="1" applyFont="1" applyFill="1" applyProtection="1"/>
    <xf numFmtId="166" fontId="58" fillId="27" borderId="0" xfId="40013" applyNumberFormat="1" applyFont="1" applyFill="1" applyBorder="1" applyProtection="1"/>
    <xf numFmtId="166" fontId="58" fillId="27" borderId="16" xfId="40013" applyNumberFormat="1" applyFont="1" applyFill="1" applyBorder="1" applyProtection="1"/>
    <xf numFmtId="10" fontId="68" fillId="27" borderId="0" xfId="40012" applyNumberFormat="1" applyFont="1" applyFill="1" applyProtection="1"/>
    <xf numFmtId="0" fontId="68" fillId="27" borderId="49" xfId="40012" applyFont="1" applyFill="1" applyBorder="1" applyProtection="1"/>
    <xf numFmtId="166" fontId="57" fillId="27" borderId="16" xfId="40013" applyNumberFormat="1" applyFont="1" applyFill="1" applyBorder="1" applyProtection="1"/>
    <xf numFmtId="0" fontId="68" fillId="27" borderId="14" xfId="40012" applyFont="1" applyFill="1" applyBorder="1" applyProtection="1"/>
    <xf numFmtId="0" fontId="68" fillId="27" borderId="13" xfId="40012" applyFont="1" applyFill="1" applyBorder="1" applyProtection="1"/>
    <xf numFmtId="43" fontId="68" fillId="30" borderId="0" xfId="39936" applyFont="1" applyFill="1" applyBorder="1" applyProtection="1"/>
    <xf numFmtId="43" fontId="68" fillId="30" borderId="16" xfId="39936" applyFont="1" applyFill="1" applyBorder="1" applyProtection="1"/>
    <xf numFmtId="43" fontId="68" fillId="27" borderId="0" xfId="40012" applyNumberFormat="1" applyFont="1" applyFill="1" applyBorder="1" applyProtection="1"/>
    <xf numFmtId="43" fontId="68" fillId="27" borderId="16" xfId="40012" applyNumberFormat="1" applyFont="1" applyFill="1" applyBorder="1" applyProtection="1"/>
    <xf numFmtId="9" fontId="68" fillId="27" borderId="0" xfId="40012" applyNumberFormat="1" applyFont="1" applyFill="1" applyBorder="1" applyProtection="1"/>
    <xf numFmtId="9" fontId="68" fillId="27" borderId="16" xfId="40012" applyNumberFormat="1" applyFont="1" applyFill="1" applyBorder="1" applyProtection="1"/>
    <xf numFmtId="43" fontId="69" fillId="27" borderId="0" xfId="40012" applyNumberFormat="1" applyFont="1" applyFill="1" applyBorder="1" applyProtection="1"/>
    <xf numFmtId="0" fontId="68" fillId="27" borderId="65" xfId="40012" applyFont="1" applyFill="1" applyBorder="1" applyProtection="1"/>
    <xf numFmtId="166" fontId="69" fillId="27" borderId="65" xfId="40012" applyNumberFormat="1" applyFont="1" applyFill="1" applyBorder="1" applyProtection="1"/>
    <xf numFmtId="0" fontId="68" fillId="27" borderId="89" xfId="40012" applyFont="1" applyFill="1" applyBorder="1" applyProtection="1"/>
    <xf numFmtId="0" fontId="69" fillId="27" borderId="15" xfId="40012" applyFont="1" applyFill="1" applyBorder="1" applyProtection="1"/>
    <xf numFmtId="0" fontId="68" fillId="27" borderId="19" xfId="40012" applyFont="1" applyFill="1" applyBorder="1" applyProtection="1"/>
    <xf numFmtId="0" fontId="68" fillId="27" borderId="18" xfId="40012" applyFont="1" applyFill="1" applyBorder="1" applyProtection="1"/>
    <xf numFmtId="0" fontId="68" fillId="27" borderId="11" xfId="40012" applyFont="1" applyFill="1" applyBorder="1" applyProtection="1"/>
    <xf numFmtId="166" fontId="68" fillId="27" borderId="13" xfId="40012" applyNumberFormat="1" applyFont="1" applyFill="1" applyBorder="1" applyProtection="1"/>
    <xf numFmtId="166" fontId="68" fillId="27" borderId="65" xfId="40012" applyNumberFormat="1" applyFont="1" applyFill="1" applyBorder="1" applyProtection="1"/>
    <xf numFmtId="166" fontId="69" fillId="27" borderId="89" xfId="40012" applyNumberFormat="1" applyFont="1" applyFill="1" applyBorder="1" applyProtection="1"/>
    <xf numFmtId="166" fontId="68" fillId="27" borderId="17" xfId="39936" applyNumberFormat="1" applyFont="1" applyFill="1" applyBorder="1" applyProtection="1"/>
    <xf numFmtId="0" fontId="69" fillId="27" borderId="49" xfId="40012" applyFont="1" applyFill="1" applyBorder="1" applyProtection="1"/>
    <xf numFmtId="166" fontId="69" fillId="27" borderId="89" xfId="39936" applyNumberFormat="1" applyFont="1" applyFill="1" applyBorder="1" applyProtection="1"/>
    <xf numFmtId="166" fontId="68" fillId="27" borderId="10" xfId="39936" applyNumberFormat="1" applyFont="1" applyFill="1" applyBorder="1" applyProtection="1"/>
    <xf numFmtId="166" fontId="68" fillId="27" borderId="17" xfId="40012" applyNumberFormat="1" applyFont="1" applyFill="1" applyBorder="1" applyProtection="1"/>
    <xf numFmtId="166" fontId="68" fillId="30" borderId="16" xfId="40012" applyNumberFormat="1" applyFont="1" applyFill="1" applyBorder="1" applyProtection="1"/>
    <xf numFmtId="10" fontId="68" fillId="27" borderId="16" xfId="39937" applyNumberFormat="1" applyFont="1" applyFill="1" applyBorder="1" applyProtection="1"/>
    <xf numFmtId="0" fontId="68" fillId="27" borderId="10" xfId="40012" applyFont="1" applyFill="1" applyBorder="1" applyProtection="1"/>
    <xf numFmtId="10" fontId="69" fillId="41" borderId="89" xfId="39937" applyNumberFormat="1" applyFont="1" applyFill="1" applyBorder="1" applyProtection="1"/>
    <xf numFmtId="10" fontId="68" fillId="27" borderId="17" xfId="40012" applyNumberFormat="1" applyFont="1" applyFill="1" applyBorder="1" applyProtection="1"/>
    <xf numFmtId="10" fontId="69" fillId="27" borderId="16" xfId="40012" applyNumberFormat="1" applyFont="1" applyFill="1" applyBorder="1" applyProtection="1"/>
    <xf numFmtId="166" fontId="69" fillId="27" borderId="59" xfId="39936" applyNumberFormat="1" applyFont="1" applyFill="1" applyBorder="1" applyProtection="1"/>
    <xf numFmtId="3" fontId="57" fillId="27" borderId="0" xfId="40015" applyNumberFormat="1" applyFont="1" applyFill="1" applyProtection="1"/>
    <xf numFmtId="9" fontId="68" fillId="27" borderId="10" xfId="40012" applyNumberFormat="1" applyFont="1" applyFill="1" applyBorder="1" applyProtection="1"/>
    <xf numFmtId="9" fontId="68" fillId="27" borderId="17" xfId="40012" applyNumberFormat="1" applyFont="1" applyFill="1" applyBorder="1" applyProtection="1"/>
    <xf numFmtId="166" fontId="69" fillId="27" borderId="65" xfId="39936" applyNumberFormat="1" applyFont="1" applyFill="1" applyBorder="1" applyProtection="1"/>
    <xf numFmtId="166" fontId="68" fillId="27" borderId="10" xfId="40012" applyNumberFormat="1" applyFont="1" applyFill="1" applyBorder="1" applyProtection="1"/>
    <xf numFmtId="2" fontId="57" fillId="26" borderId="0" xfId="39935" applyNumberFormat="1" applyFont="1" applyFill="1" applyBorder="1"/>
    <xf numFmtId="0" fontId="69" fillId="27" borderId="0" xfId="40018" applyFont="1" applyFill="1" applyProtection="1"/>
    <xf numFmtId="0" fontId="68" fillId="27" borderId="0" xfId="40018" applyFont="1" applyFill="1" applyProtection="1"/>
    <xf numFmtId="0" fontId="69" fillId="27" borderId="15" xfId="40018" applyFont="1" applyFill="1" applyBorder="1" applyProtection="1"/>
    <xf numFmtId="0" fontId="69" fillId="27" borderId="19" xfId="40018" applyFont="1" applyFill="1" applyBorder="1" applyProtection="1"/>
    <xf numFmtId="0" fontId="68" fillId="27" borderId="19" xfId="40018" applyFont="1" applyFill="1" applyBorder="1" applyProtection="1"/>
    <xf numFmtId="0" fontId="68" fillId="27" borderId="18" xfId="40018" applyFont="1" applyFill="1" applyBorder="1" applyProtection="1"/>
    <xf numFmtId="0" fontId="68" fillId="27" borderId="11" xfId="40018" applyFont="1" applyFill="1" applyBorder="1" applyProtection="1"/>
    <xf numFmtId="0" fontId="68" fillId="27" borderId="14" xfId="40018" applyFont="1" applyFill="1" applyBorder="1" applyProtection="1"/>
    <xf numFmtId="0" fontId="68" fillId="27" borderId="13" xfId="40018" applyFont="1" applyFill="1" applyBorder="1" applyProtection="1"/>
    <xf numFmtId="0" fontId="68" fillId="27" borderId="12" xfId="40018" applyFont="1" applyFill="1" applyBorder="1" applyProtection="1"/>
    <xf numFmtId="0" fontId="68" fillId="27" borderId="0" xfId="40018" applyFont="1" applyFill="1" applyBorder="1" applyProtection="1"/>
    <xf numFmtId="0" fontId="68" fillId="27" borderId="16" xfId="40018" applyFont="1" applyFill="1" applyBorder="1" applyProtection="1"/>
    <xf numFmtId="0" fontId="69" fillId="27" borderId="12" xfId="40018" applyFont="1" applyFill="1" applyBorder="1" applyProtection="1"/>
    <xf numFmtId="0" fontId="69" fillId="27" borderId="10" xfId="40018" applyFont="1" applyFill="1" applyBorder="1" applyAlignment="1" applyProtection="1">
      <alignment horizontal="center"/>
    </xf>
    <xf numFmtId="0" fontId="69" fillId="27" borderId="17" xfId="40018" applyFont="1" applyFill="1" applyBorder="1" applyAlignment="1" applyProtection="1">
      <alignment horizontal="center"/>
    </xf>
    <xf numFmtId="0" fontId="57" fillId="27" borderId="12" xfId="1168" applyFont="1" applyFill="1" applyBorder="1" applyProtection="1"/>
    <xf numFmtId="166" fontId="68" fillId="27" borderId="0" xfId="40016" applyNumberFormat="1" applyFont="1" applyFill="1" applyBorder="1" applyProtection="1"/>
    <xf numFmtId="166" fontId="68" fillId="27" borderId="16" xfId="40016" applyNumberFormat="1" applyFont="1" applyFill="1" applyBorder="1" applyProtection="1"/>
    <xf numFmtId="0" fontId="68" fillId="30" borderId="0" xfId="40018" applyFont="1" applyFill="1" applyBorder="1" applyProtection="1"/>
    <xf numFmtId="10" fontId="68" fillId="30" borderId="0" xfId="40018" applyNumberFormat="1" applyFont="1" applyFill="1" applyBorder="1" applyProtection="1"/>
    <xf numFmtId="166" fontId="68" fillId="27" borderId="10" xfId="40016" applyNumberFormat="1" applyFont="1" applyFill="1" applyBorder="1" applyProtection="1"/>
    <xf numFmtId="166" fontId="68" fillId="27" borderId="17" xfId="40016" applyNumberFormat="1" applyFont="1" applyFill="1" applyBorder="1" applyProtection="1"/>
    <xf numFmtId="166" fontId="68" fillId="27" borderId="0" xfId="40018" applyNumberFormat="1" applyFont="1" applyFill="1" applyBorder="1" applyProtection="1"/>
    <xf numFmtId="166" fontId="68" fillId="27" borderId="16" xfId="40018" applyNumberFormat="1" applyFont="1" applyFill="1" applyBorder="1" applyProtection="1"/>
    <xf numFmtId="0" fontId="69" fillId="27" borderId="0" xfId="40018" applyFont="1" applyFill="1" applyBorder="1" applyProtection="1"/>
    <xf numFmtId="0" fontId="69" fillId="27" borderId="10" xfId="40018" applyFont="1" applyFill="1" applyBorder="1" applyProtection="1"/>
    <xf numFmtId="0" fontId="69" fillId="27" borderId="17" xfId="40018" applyFont="1" applyFill="1" applyBorder="1" applyProtection="1"/>
    <xf numFmtId="166" fontId="69" fillId="27" borderId="0" xfId="40016" applyNumberFormat="1" applyFont="1" applyFill="1" applyBorder="1" applyProtection="1"/>
    <xf numFmtId="10" fontId="68" fillId="27" borderId="0" xfId="40017" applyNumberFormat="1" applyFont="1" applyFill="1" applyBorder="1" applyProtection="1"/>
    <xf numFmtId="10" fontId="68" fillId="30" borderId="0" xfId="40017" applyNumberFormat="1" applyFont="1" applyFill="1" applyBorder="1" applyProtection="1"/>
    <xf numFmtId="10" fontId="68" fillId="30" borderId="16" xfId="40017" applyNumberFormat="1" applyFont="1" applyFill="1" applyBorder="1" applyProtection="1"/>
    <xf numFmtId="10" fontId="68" fillId="27" borderId="10" xfId="40017" applyNumberFormat="1" applyFont="1" applyFill="1" applyBorder="1" applyProtection="1"/>
    <xf numFmtId="10" fontId="68" fillId="30" borderId="10" xfId="40017" applyNumberFormat="1" applyFont="1" applyFill="1" applyBorder="1" applyProtection="1"/>
    <xf numFmtId="10" fontId="68" fillId="30" borderId="17" xfId="40017" applyNumberFormat="1" applyFont="1" applyFill="1" applyBorder="1" applyProtection="1"/>
    <xf numFmtId="10" fontId="68" fillId="27" borderId="16" xfId="40017" applyNumberFormat="1" applyFont="1" applyFill="1" applyBorder="1" applyProtection="1"/>
    <xf numFmtId="10" fontId="68" fillId="30" borderId="16" xfId="40018" applyNumberFormat="1" applyFont="1" applyFill="1" applyBorder="1" applyProtection="1"/>
    <xf numFmtId="166" fontId="68" fillId="27" borderId="10" xfId="40018" applyNumberFormat="1" applyFont="1" applyFill="1" applyBorder="1" applyProtection="1"/>
    <xf numFmtId="166" fontId="68" fillId="27" borderId="17" xfId="40018" applyNumberFormat="1" applyFont="1" applyFill="1" applyBorder="1" applyProtection="1"/>
    <xf numFmtId="166" fontId="69" fillId="27" borderId="0" xfId="40018" applyNumberFormat="1" applyFont="1" applyFill="1" applyBorder="1" applyProtection="1"/>
    <xf numFmtId="166" fontId="69" fillId="27" borderId="16" xfId="40018" applyNumberFormat="1" applyFont="1" applyFill="1" applyBorder="1" applyProtection="1"/>
    <xf numFmtId="9" fontId="68" fillId="30" borderId="0" xfId="40017" applyFont="1" applyFill="1" applyBorder="1" applyProtection="1"/>
    <xf numFmtId="9" fontId="68" fillId="30" borderId="16" xfId="40017" applyFont="1" applyFill="1" applyBorder="1" applyProtection="1"/>
    <xf numFmtId="0" fontId="69" fillId="27" borderId="49" xfId="40018" applyFont="1" applyFill="1" applyBorder="1" applyProtection="1"/>
    <xf numFmtId="166" fontId="69" fillId="27" borderId="65" xfId="40018" applyNumberFormat="1" applyFont="1" applyFill="1" applyBorder="1" applyProtection="1"/>
    <xf numFmtId="166" fontId="69" fillId="27" borderId="89" xfId="40018" applyNumberFormat="1" applyFont="1" applyFill="1" applyBorder="1" applyProtection="1"/>
    <xf numFmtId="44" fontId="68" fillId="27" borderId="0" xfId="40020" applyFont="1" applyFill="1" applyBorder="1" applyProtection="1"/>
    <xf numFmtId="44" fontId="68" fillId="27" borderId="16" xfId="40020" applyFont="1" applyFill="1" applyBorder="1" applyProtection="1"/>
    <xf numFmtId="166" fontId="69" fillId="27" borderId="16" xfId="40016" applyNumberFormat="1" applyFont="1" applyFill="1" applyBorder="1" applyProtection="1"/>
    <xf numFmtId="0" fontId="69" fillId="27" borderId="11" xfId="40018" applyFont="1" applyFill="1" applyBorder="1" applyProtection="1"/>
    <xf numFmtId="0" fontId="69" fillId="27" borderId="14" xfId="40018" applyFont="1" applyFill="1" applyBorder="1" applyProtection="1"/>
    <xf numFmtId="166" fontId="69" fillId="27" borderId="14" xfId="40018" applyNumberFormat="1" applyFont="1" applyFill="1" applyBorder="1" applyProtection="1"/>
    <xf numFmtId="166" fontId="69" fillId="27" borderId="13" xfId="40018" applyNumberFormat="1" applyFont="1" applyFill="1" applyBorder="1" applyProtection="1"/>
    <xf numFmtId="0" fontId="2" fillId="27" borderId="12" xfId="40012" applyFont="1" applyFill="1" applyBorder="1" applyProtection="1"/>
    <xf numFmtId="0" fontId="2" fillId="27" borderId="0" xfId="40012" applyFont="1" applyFill="1" applyBorder="1" applyProtection="1"/>
    <xf numFmtId="43" fontId="2" fillId="39" borderId="0" xfId="39936" applyFont="1" applyFill="1" applyBorder="1" applyProtection="1"/>
    <xf numFmtId="43" fontId="2" fillId="27" borderId="0" xfId="40012" applyNumberFormat="1" applyFont="1" applyFill="1" applyBorder="1" applyProtection="1"/>
    <xf numFmtId="43" fontId="2" fillId="27" borderId="16" xfId="40012" applyNumberFormat="1" applyFont="1" applyFill="1" applyBorder="1" applyProtection="1"/>
    <xf numFmtId="0" fontId="79" fillId="27" borderId="12" xfId="40012" applyFont="1" applyFill="1" applyBorder="1" applyProtection="1"/>
    <xf numFmtId="166" fontId="79" fillId="27" borderId="0" xfId="40012" applyNumberFormat="1" applyFont="1" applyFill="1" applyBorder="1" applyProtection="1"/>
    <xf numFmtId="166" fontId="79" fillId="27" borderId="16" xfId="40012" applyNumberFormat="1" applyFont="1" applyFill="1" applyBorder="1" applyProtection="1"/>
    <xf numFmtId="44" fontId="68" fillId="27" borderId="0" xfId="40018" applyNumberFormat="1" applyFont="1" applyFill="1" applyBorder="1" applyProtection="1"/>
    <xf numFmtId="44" fontId="68" fillId="27" borderId="16" xfId="40018" applyNumberFormat="1" applyFont="1" applyFill="1" applyBorder="1" applyProtection="1"/>
    <xf numFmtId="43" fontId="79" fillId="27" borderId="0" xfId="40012" applyNumberFormat="1" applyFont="1" applyFill="1" applyBorder="1" applyProtection="1"/>
    <xf numFmtId="0" fontId="2" fillId="27" borderId="16" xfId="40012" applyFont="1" applyFill="1" applyBorder="1" applyProtection="1"/>
    <xf numFmtId="0" fontId="2" fillId="27" borderId="49" xfId="40012" applyFont="1" applyFill="1" applyBorder="1" applyProtection="1"/>
    <xf numFmtId="0" fontId="2" fillId="27" borderId="65" xfId="40012" applyFont="1" applyFill="1" applyBorder="1" applyProtection="1"/>
    <xf numFmtId="166" fontId="79" fillId="27" borderId="65" xfId="40012" applyNumberFormat="1" applyFont="1" applyFill="1" applyBorder="1" applyProtection="1"/>
    <xf numFmtId="0" fontId="68" fillId="27" borderId="49" xfId="40018" applyFont="1" applyFill="1" applyBorder="1" applyProtection="1"/>
    <xf numFmtId="44" fontId="68" fillId="27" borderId="65" xfId="40018" applyNumberFormat="1" applyFont="1" applyFill="1" applyBorder="1" applyProtection="1"/>
    <xf numFmtId="44" fontId="68" fillId="27" borderId="89" xfId="40018" applyNumberFormat="1" applyFont="1" applyFill="1" applyBorder="1" applyProtection="1"/>
    <xf numFmtId="0" fontId="79" fillId="27" borderId="11" xfId="40012" applyFont="1" applyFill="1" applyBorder="1" applyProtection="1"/>
    <xf numFmtId="0" fontId="2" fillId="27" borderId="14" xfId="40012" applyFont="1" applyFill="1" applyBorder="1" applyProtection="1"/>
    <xf numFmtId="0" fontId="2" fillId="27" borderId="13" xfId="40012" applyFont="1" applyFill="1" applyBorder="1" applyProtection="1"/>
    <xf numFmtId="0" fontId="2" fillId="27" borderId="0" xfId="40012" applyFont="1" applyFill="1" applyProtection="1"/>
    <xf numFmtId="10" fontId="2" fillId="27" borderId="16" xfId="39937" applyNumberFormat="1" applyFont="1" applyFill="1" applyBorder="1" applyProtection="1"/>
    <xf numFmtId="10" fontId="2" fillId="27" borderId="17" xfId="40012" applyNumberFormat="1" applyFont="1" applyFill="1" applyBorder="1" applyProtection="1"/>
    <xf numFmtId="10" fontId="79" fillId="27" borderId="89" xfId="40012" applyNumberFormat="1" applyFont="1" applyFill="1" applyBorder="1" applyProtection="1"/>
    <xf numFmtId="0" fontId="2" fillId="27" borderId="11" xfId="40012" applyFont="1" applyFill="1" applyBorder="1" applyProtection="1"/>
    <xf numFmtId="10" fontId="2" fillId="27" borderId="13" xfId="39936" applyNumberFormat="1" applyFont="1" applyFill="1" applyBorder="1" applyProtection="1"/>
    <xf numFmtId="166" fontId="79" fillId="27" borderId="89" xfId="40012" applyNumberFormat="1" applyFont="1" applyFill="1" applyBorder="1" applyProtection="1"/>
    <xf numFmtId="43" fontId="68" fillId="27" borderId="0" xfId="40016" applyFont="1" applyFill="1" applyProtection="1"/>
    <xf numFmtId="9" fontId="68" fillId="27" borderId="0" xfId="40018" applyNumberFormat="1" applyFont="1" applyFill="1" applyBorder="1" applyProtection="1"/>
    <xf numFmtId="9" fontId="68" fillId="27" borderId="16" xfId="40018" applyNumberFormat="1" applyFont="1" applyFill="1" applyBorder="1" applyProtection="1"/>
    <xf numFmtId="0" fontId="69" fillId="0" borderId="0" xfId="40018" applyFont="1" applyProtection="1"/>
    <xf numFmtId="166" fontId="69" fillId="27" borderId="0" xfId="40016" applyNumberFormat="1" applyFont="1" applyFill="1" applyProtection="1"/>
    <xf numFmtId="0" fontId="68" fillId="30" borderId="13" xfId="40018" applyFont="1" applyFill="1" applyBorder="1" applyProtection="1"/>
    <xf numFmtId="0" fontId="68" fillId="27" borderId="89" xfId="40018" applyFont="1" applyFill="1" applyBorder="1" applyProtection="1"/>
    <xf numFmtId="0" fontId="69" fillId="27" borderId="13" xfId="40018" applyFont="1" applyFill="1" applyBorder="1" applyProtection="1"/>
    <xf numFmtId="0" fontId="68" fillId="27" borderId="65" xfId="40018" applyFont="1" applyFill="1" applyBorder="1" applyProtection="1"/>
    <xf numFmtId="10" fontId="68" fillId="27" borderId="65" xfId="39937" applyNumberFormat="1" applyFont="1" applyFill="1" applyBorder="1" applyProtection="1"/>
    <xf numFmtId="166" fontId="69" fillId="27" borderId="57" xfId="40012" applyNumberFormat="1" applyFont="1" applyFill="1" applyBorder="1" applyProtection="1"/>
    <xf numFmtId="166" fontId="69" fillId="27" borderId="59" xfId="40012" applyNumberFormat="1" applyFont="1" applyFill="1" applyBorder="1" applyProtection="1"/>
    <xf numFmtId="43" fontId="68" fillId="27" borderId="0" xfId="638" applyFont="1" applyFill="1" applyProtection="1"/>
    <xf numFmtId="43" fontId="68" fillId="27" borderId="10" xfId="638" applyNumberFormat="1" applyFont="1" applyFill="1" applyBorder="1" applyProtection="1"/>
    <xf numFmtId="43" fontId="68" fillId="27" borderId="0" xfId="638" applyNumberFormat="1" applyFont="1" applyFill="1" applyBorder="1" applyProtection="1"/>
    <xf numFmtId="166" fontId="69" fillId="27" borderId="0" xfId="638" applyNumberFormat="1" applyFont="1" applyFill="1" applyBorder="1" applyProtection="1"/>
    <xf numFmtId="166" fontId="69" fillId="27" borderId="16" xfId="638" applyNumberFormat="1" applyFont="1" applyFill="1" applyBorder="1" applyProtection="1"/>
    <xf numFmtId="43" fontId="68" fillId="27" borderId="16" xfId="638" applyNumberFormat="1" applyFont="1" applyFill="1" applyBorder="1" applyProtection="1"/>
    <xf numFmtId="43" fontId="68" fillId="27" borderId="17" xfId="638" applyNumberFormat="1" applyFont="1" applyFill="1" applyBorder="1" applyProtection="1"/>
    <xf numFmtId="10" fontId="68" fillId="27" borderId="0" xfId="1153" applyNumberFormat="1" applyFont="1" applyFill="1" applyBorder="1" applyProtection="1"/>
    <xf numFmtId="10" fontId="68" fillId="27" borderId="16" xfId="1153" applyNumberFormat="1" applyFont="1" applyFill="1" applyBorder="1" applyProtection="1"/>
    <xf numFmtId="166" fontId="68" fillId="27" borderId="65" xfId="638" applyNumberFormat="1" applyFont="1" applyFill="1" applyBorder="1" applyProtection="1"/>
    <xf numFmtId="166" fontId="68" fillId="27" borderId="89" xfId="638" applyNumberFormat="1" applyFont="1" applyFill="1" applyBorder="1" applyProtection="1"/>
    <xf numFmtId="10" fontId="69" fillId="42" borderId="0" xfId="39937" applyNumberFormat="1" applyFont="1" applyFill="1" applyBorder="1" applyProtection="1"/>
    <xf numFmtId="10" fontId="69" fillId="42" borderId="16" xfId="39937" applyNumberFormat="1" applyFont="1" applyFill="1" applyBorder="1" applyProtection="1"/>
    <xf numFmtId="10" fontId="69" fillId="42" borderId="65" xfId="39937" applyNumberFormat="1" applyFont="1" applyFill="1" applyBorder="1" applyProtection="1"/>
    <xf numFmtId="10" fontId="69" fillId="42" borderId="89" xfId="39937" applyNumberFormat="1" applyFont="1" applyFill="1" applyBorder="1" applyProtection="1"/>
    <xf numFmtId="0" fontId="69" fillId="27" borderId="0" xfId="40012" applyFont="1" applyFill="1" applyBorder="1" applyProtection="1"/>
    <xf numFmtId="0" fontId="69" fillId="27" borderId="65" xfId="40012" applyFont="1" applyFill="1" applyBorder="1" applyProtection="1"/>
    <xf numFmtId="0" fontId="69" fillId="27" borderId="64" xfId="40012" applyFont="1" applyFill="1" applyBorder="1" applyProtection="1"/>
    <xf numFmtId="0" fontId="69" fillId="27" borderId="55" xfId="40012" applyFont="1" applyFill="1" applyBorder="1" applyProtection="1"/>
    <xf numFmtId="0" fontId="58" fillId="27" borderId="64" xfId="1168" applyFont="1" applyFill="1" applyBorder="1" applyAlignment="1" applyProtection="1">
      <alignment horizontal="center"/>
    </xf>
    <xf numFmtId="0" fontId="58" fillId="27" borderId="90" xfId="1168" applyFont="1" applyFill="1" applyBorder="1" applyAlignment="1" applyProtection="1">
      <alignment horizontal="center"/>
    </xf>
    <xf numFmtId="0" fontId="58" fillId="27" borderId="0" xfId="1168" applyFont="1" applyFill="1" applyBorder="1" applyAlignment="1" applyProtection="1">
      <alignment horizontal="center"/>
    </xf>
    <xf numFmtId="0" fontId="58" fillId="27" borderId="16" xfId="1168" applyFont="1" applyFill="1" applyBorder="1" applyAlignment="1" applyProtection="1">
      <alignment horizontal="center"/>
    </xf>
    <xf numFmtId="166" fontId="68" fillId="27" borderId="10" xfId="638" applyNumberFormat="1" applyFont="1" applyFill="1" applyBorder="1" applyProtection="1"/>
    <xf numFmtId="166" fontId="68" fillId="27" borderId="17" xfId="638" applyNumberFormat="1" applyFont="1" applyFill="1" applyBorder="1" applyProtection="1"/>
    <xf numFmtId="166" fontId="57" fillId="27" borderId="0" xfId="638" applyNumberFormat="1" applyFont="1" applyFill="1" applyBorder="1" applyProtection="1"/>
    <xf numFmtId="198" fontId="68" fillId="27" borderId="16" xfId="40012" applyNumberFormat="1" applyFont="1" applyFill="1" applyBorder="1" applyProtection="1"/>
    <xf numFmtId="198" fontId="69" fillId="27" borderId="89" xfId="40012" applyNumberFormat="1" applyFont="1" applyFill="1" applyBorder="1" applyProtection="1"/>
    <xf numFmtId="0" fontId="69" fillId="39" borderId="55" xfId="40012" applyFont="1" applyFill="1" applyBorder="1" applyProtection="1"/>
    <xf numFmtId="0" fontId="69" fillId="39" borderId="64" xfId="40012" applyFont="1" applyFill="1" applyBorder="1" applyProtection="1"/>
    <xf numFmtId="0" fontId="69" fillId="39" borderId="64" xfId="40012" applyFont="1" applyFill="1" applyBorder="1" applyAlignment="1" applyProtection="1">
      <alignment horizontal="center"/>
    </xf>
    <xf numFmtId="0" fontId="69" fillId="39" borderId="90" xfId="40012" applyFont="1" applyFill="1" applyBorder="1" applyAlignment="1" applyProtection="1">
      <alignment horizontal="center"/>
    </xf>
    <xf numFmtId="0" fontId="69" fillId="39" borderId="15" xfId="40012" applyFont="1" applyFill="1" applyBorder="1" applyProtection="1"/>
    <xf numFmtId="0" fontId="68" fillId="39" borderId="19" xfId="40012" applyFont="1" applyFill="1" applyBorder="1" applyProtection="1"/>
    <xf numFmtId="0" fontId="68" fillId="39" borderId="18" xfId="40012" applyFont="1" applyFill="1" applyBorder="1" applyProtection="1"/>
    <xf numFmtId="0" fontId="69" fillId="39" borderId="11" xfId="40012" applyFont="1" applyFill="1" applyBorder="1" applyProtection="1"/>
    <xf numFmtId="0" fontId="69" fillId="39" borderId="14" xfId="40012" applyFont="1" applyFill="1" applyBorder="1" applyAlignment="1" applyProtection="1">
      <alignment horizontal="center"/>
    </xf>
    <xf numFmtId="0" fontId="69" fillId="39" borderId="13" xfId="40012" applyFont="1" applyFill="1" applyBorder="1" applyAlignment="1" applyProtection="1">
      <alignment horizontal="center"/>
    </xf>
    <xf numFmtId="166" fontId="68" fillId="27" borderId="64" xfId="39936" applyNumberFormat="1" applyFont="1" applyFill="1" applyBorder="1" applyProtection="1"/>
    <xf numFmtId="166" fontId="68" fillId="27" borderId="90" xfId="39936" applyNumberFormat="1" applyFont="1" applyFill="1" applyBorder="1" applyProtection="1"/>
    <xf numFmtId="166" fontId="68" fillId="27" borderId="14" xfId="39936" applyNumberFormat="1" applyFont="1" applyFill="1" applyBorder="1" applyProtection="1"/>
    <xf numFmtId="166" fontId="68" fillId="27" borderId="13" xfId="39936" applyNumberFormat="1" applyFont="1" applyFill="1" applyBorder="1" applyProtection="1"/>
    <xf numFmtId="0" fontId="68" fillId="27" borderId="21" xfId="40012" applyFont="1" applyFill="1" applyBorder="1" applyProtection="1"/>
    <xf numFmtId="43" fontId="68" fillId="27" borderId="10" xfId="638" applyFont="1" applyFill="1" applyBorder="1" applyProtection="1"/>
    <xf numFmtId="198" fontId="68" fillId="27" borderId="0" xfId="40012" applyNumberFormat="1" applyFont="1" applyFill="1" applyBorder="1" applyProtection="1"/>
    <xf numFmtId="198" fontId="68" fillId="27" borderId="17" xfId="40012" applyNumberFormat="1" applyFont="1" applyFill="1" applyBorder="1" applyProtection="1"/>
    <xf numFmtId="198" fontId="69" fillId="27" borderId="65" xfId="40012" applyNumberFormat="1" applyFont="1" applyFill="1" applyBorder="1" applyProtection="1"/>
    <xf numFmtId="0" fontId="68" fillId="27" borderId="10" xfId="40012" applyFont="1" applyFill="1" applyBorder="1" applyAlignment="1" applyProtection="1">
      <alignment horizontal="center"/>
    </xf>
    <xf numFmtId="0" fontId="68" fillId="27" borderId="17" xfId="40012" applyFont="1" applyFill="1" applyBorder="1" applyAlignment="1" applyProtection="1">
      <alignment horizontal="center"/>
    </xf>
    <xf numFmtId="43" fontId="68" fillId="27" borderId="10" xfId="40012" applyNumberFormat="1" applyFont="1" applyFill="1" applyBorder="1" applyProtection="1"/>
    <xf numFmtId="0" fontId="68" fillId="39" borderId="14" xfId="40012" applyFont="1" applyFill="1" applyBorder="1" applyAlignment="1" applyProtection="1">
      <alignment horizontal="center"/>
    </xf>
    <xf numFmtId="0" fontId="69" fillId="39" borderId="19" xfId="40012" applyFont="1" applyFill="1" applyBorder="1" applyAlignment="1" applyProtection="1">
      <alignment horizontal="center"/>
    </xf>
    <xf numFmtId="0" fontId="69" fillId="39" borderId="18" xfId="40012" applyFont="1" applyFill="1" applyBorder="1" applyAlignment="1" applyProtection="1">
      <alignment horizontal="center"/>
    </xf>
    <xf numFmtId="0" fontId="68" fillId="39" borderId="19" xfId="40012" applyFont="1" applyFill="1" applyBorder="1" applyAlignment="1" applyProtection="1">
      <alignment horizontal="center"/>
    </xf>
    <xf numFmtId="166" fontId="69" fillId="27" borderId="19" xfId="40012" applyNumberFormat="1" applyFont="1" applyFill="1" applyBorder="1" applyProtection="1"/>
    <xf numFmtId="166" fontId="69" fillId="27" borderId="18" xfId="40012" applyNumberFormat="1" applyFont="1" applyFill="1" applyBorder="1" applyProtection="1"/>
    <xf numFmtId="0" fontId="68" fillId="27" borderId="100" xfId="40012" applyFont="1" applyFill="1" applyBorder="1" applyProtection="1"/>
    <xf numFmtId="0" fontId="68" fillId="27" borderId="33" xfId="40012" applyFont="1" applyFill="1" applyBorder="1" applyProtection="1"/>
    <xf numFmtId="166" fontId="68" fillId="27" borderId="33" xfId="39936" applyNumberFormat="1" applyFont="1" applyFill="1" applyBorder="1" applyProtection="1"/>
    <xf numFmtId="0" fontId="70" fillId="27" borderId="0" xfId="7699" applyFont="1" applyFill="1" applyProtection="1"/>
    <xf numFmtId="0" fontId="71" fillId="27" borderId="0" xfId="1170" applyFont="1" applyFill="1" applyProtection="1"/>
    <xf numFmtId="0" fontId="72" fillId="27" borderId="0" xfId="7699" applyFont="1" applyFill="1" applyAlignment="1" applyProtection="1">
      <alignment horizontal="center"/>
    </xf>
    <xf numFmtId="0" fontId="73" fillId="27" borderId="15" xfId="7700" applyFont="1" applyFill="1" applyBorder="1" applyAlignment="1" applyProtection="1">
      <alignment horizontal="left"/>
    </xf>
    <xf numFmtId="0" fontId="70" fillId="27" borderId="0" xfId="7700" applyFont="1" applyFill="1" applyProtection="1"/>
    <xf numFmtId="0" fontId="73" fillId="27" borderId="11" xfId="7700" applyFont="1" applyFill="1" applyBorder="1" applyAlignment="1" applyProtection="1">
      <alignment horizontal="left"/>
    </xf>
    <xf numFmtId="3" fontId="74" fillId="27" borderId="14" xfId="7700" applyNumberFormat="1" applyFont="1" applyFill="1" applyBorder="1" applyAlignment="1" applyProtection="1">
      <alignment horizontal="center"/>
    </xf>
    <xf numFmtId="0" fontId="74" fillId="27" borderId="14" xfId="7700" applyFont="1" applyFill="1" applyBorder="1" applyAlignment="1" applyProtection="1">
      <alignment horizontal="center"/>
    </xf>
    <xf numFmtId="0" fontId="74" fillId="27" borderId="13" xfId="7700" applyFont="1" applyFill="1" applyBorder="1" applyAlignment="1" applyProtection="1">
      <alignment horizontal="center"/>
    </xf>
    <xf numFmtId="0" fontId="74" fillId="27" borderId="11" xfId="7700" applyFont="1" applyFill="1" applyBorder="1" applyProtection="1"/>
    <xf numFmtId="0" fontId="74" fillId="27" borderId="14" xfId="7700" applyFont="1" applyFill="1" applyBorder="1" applyProtection="1"/>
    <xf numFmtId="0" fontId="73" fillId="27" borderId="0" xfId="7699" applyFont="1" applyFill="1" applyAlignment="1" applyProtection="1">
      <alignment horizontal="center"/>
    </xf>
    <xf numFmtId="0" fontId="74" fillId="27" borderId="12" xfId="7700" applyFont="1" applyFill="1" applyBorder="1" applyAlignment="1" applyProtection="1">
      <alignment horizontal="center"/>
    </xf>
    <xf numFmtId="3" fontId="74" fillId="27" borderId="0" xfId="7700" applyNumberFormat="1" applyFont="1" applyFill="1" applyAlignment="1" applyProtection="1">
      <alignment horizontal="center"/>
    </xf>
    <xf numFmtId="0" fontId="73" fillId="27" borderId="0" xfId="7700" applyFont="1" applyFill="1" applyAlignment="1" applyProtection="1">
      <alignment horizontal="center"/>
    </xf>
    <xf numFmtId="0" fontId="74" fillId="27" borderId="0" xfId="7700" applyFont="1" applyFill="1" applyAlignment="1" applyProtection="1">
      <alignment horizontal="center"/>
    </xf>
    <xf numFmtId="0" fontId="74" fillId="27" borderId="16" xfId="7700" applyFont="1" applyFill="1" applyBorder="1" applyAlignment="1" applyProtection="1">
      <alignment horizontal="center"/>
    </xf>
    <xf numFmtId="0" fontId="73" fillId="27" borderId="12" xfId="7700" applyFont="1" applyFill="1" applyBorder="1" applyAlignment="1" applyProtection="1">
      <alignment horizontal="center"/>
    </xf>
    <xf numFmtId="0" fontId="73" fillId="27" borderId="16" xfId="7700" applyFont="1" applyFill="1" applyBorder="1" applyAlignment="1" applyProtection="1">
      <alignment horizontal="center"/>
    </xf>
    <xf numFmtId="3" fontId="73" fillId="27" borderId="0" xfId="7699" applyNumberFormat="1" applyFont="1" applyFill="1" applyProtection="1"/>
    <xf numFmtId="0" fontId="74" fillId="27" borderId="12" xfId="7700" applyFont="1" applyFill="1" applyBorder="1" applyProtection="1"/>
    <xf numFmtId="0" fontId="74" fillId="27" borderId="0" xfId="7700" applyFont="1" applyFill="1" applyProtection="1"/>
    <xf numFmtId="166" fontId="74" fillId="27" borderId="0" xfId="7700" applyNumberFormat="1" applyFont="1" applyFill="1" applyProtection="1"/>
    <xf numFmtId="166" fontId="74" fillId="27" borderId="16" xfId="7700" applyNumberFormat="1" applyFont="1" applyFill="1" applyBorder="1" applyProtection="1"/>
    <xf numFmtId="0" fontId="71" fillId="27" borderId="12" xfId="1170" applyFont="1" applyFill="1" applyBorder="1" applyProtection="1"/>
    <xf numFmtId="0" fontId="73" fillId="27" borderId="0" xfId="7700" applyFont="1" applyFill="1" applyAlignment="1" applyProtection="1">
      <alignment horizontal="left"/>
    </xf>
    <xf numFmtId="0" fontId="71" fillId="27" borderId="16" xfId="1170" applyFont="1" applyFill="1" applyBorder="1" applyProtection="1"/>
    <xf numFmtId="0" fontId="74" fillId="27" borderId="12" xfId="7700" applyFont="1" applyFill="1" applyBorder="1" applyAlignment="1" applyProtection="1">
      <alignment horizontal="left"/>
    </xf>
    <xf numFmtId="0" fontId="74" fillId="27" borderId="0" xfId="7700" applyFont="1" applyFill="1" applyAlignment="1" applyProtection="1">
      <alignment horizontal="right"/>
    </xf>
    <xf numFmtId="166" fontId="74" fillId="27" borderId="0" xfId="7700" applyNumberFormat="1" applyFont="1" applyFill="1" applyAlignment="1" applyProtection="1">
      <alignment horizontal="right"/>
    </xf>
    <xf numFmtId="166" fontId="74" fillId="27" borderId="16" xfId="7700" applyNumberFormat="1" applyFont="1" applyFill="1" applyBorder="1" applyAlignment="1" applyProtection="1">
      <alignment horizontal="right"/>
    </xf>
    <xf numFmtId="166" fontId="71" fillId="27" borderId="0" xfId="1170" applyNumberFormat="1" applyFont="1" applyFill="1" applyProtection="1"/>
    <xf numFmtId="3" fontId="75" fillId="27" borderId="0" xfId="7699" applyNumberFormat="1" applyFont="1" applyFill="1" applyProtection="1"/>
    <xf numFmtId="0" fontId="74" fillId="27" borderId="0" xfId="7699" applyFont="1" applyFill="1" applyProtection="1"/>
    <xf numFmtId="0" fontId="73" fillId="27" borderId="12" xfId="7700" applyFont="1" applyFill="1" applyBorder="1" applyProtection="1"/>
    <xf numFmtId="0" fontId="73" fillId="27" borderId="12" xfId="7700" applyFont="1" applyFill="1" applyBorder="1" applyAlignment="1" applyProtection="1">
      <alignment horizontal="left"/>
    </xf>
    <xf numFmtId="166" fontId="71" fillId="27" borderId="16" xfId="1170" applyNumberFormat="1" applyFont="1" applyFill="1" applyBorder="1" applyProtection="1"/>
    <xf numFmtId="3" fontId="74" fillId="27" borderId="0" xfId="7699" applyNumberFormat="1" applyFont="1" applyFill="1" applyProtection="1"/>
    <xf numFmtId="0" fontId="71" fillId="27" borderId="10" xfId="1170" applyFont="1" applyFill="1" applyBorder="1" applyProtection="1"/>
    <xf numFmtId="0" fontId="73" fillId="27" borderId="0" xfId="7700" applyFont="1" applyFill="1" applyProtection="1"/>
    <xf numFmtId="166" fontId="74" fillId="27" borderId="76" xfId="7700" applyNumberFormat="1" applyFont="1" applyFill="1" applyBorder="1" applyProtection="1"/>
    <xf numFmtId="166" fontId="74" fillId="27" borderId="79" xfId="7700" applyNumberFormat="1" applyFont="1" applyFill="1" applyBorder="1" applyProtection="1"/>
    <xf numFmtId="0" fontId="74" fillId="27" borderId="0" xfId="7700" applyFont="1" applyFill="1" applyAlignment="1" applyProtection="1">
      <alignment horizontal="left"/>
    </xf>
    <xf numFmtId="3" fontId="74" fillId="27" borderId="0" xfId="7700" applyNumberFormat="1" applyFont="1" applyFill="1" applyProtection="1"/>
    <xf numFmtId="3" fontId="71" fillId="27" borderId="0" xfId="1170" applyNumberFormat="1" applyFont="1" applyFill="1" applyProtection="1"/>
    <xf numFmtId="166" fontId="74" fillId="27" borderId="10" xfId="7700" applyNumberFormat="1" applyFont="1" applyFill="1" applyBorder="1" applyProtection="1"/>
    <xf numFmtId="166" fontId="74" fillId="27" borderId="17" xfId="7700" applyNumberFormat="1" applyFont="1" applyFill="1" applyBorder="1" applyProtection="1"/>
    <xf numFmtId="3" fontId="73" fillId="27" borderId="0" xfId="7700" applyNumberFormat="1" applyFont="1" applyFill="1" applyAlignment="1" applyProtection="1">
      <alignment horizontal="left"/>
    </xf>
    <xf numFmtId="166" fontId="73" fillId="27" borderId="0" xfId="7700" applyNumberFormat="1" applyFont="1" applyFill="1" applyAlignment="1" applyProtection="1">
      <alignment horizontal="left"/>
    </xf>
    <xf numFmtId="166" fontId="73" fillId="27" borderId="16" xfId="7700" applyNumberFormat="1" applyFont="1" applyFill="1" applyBorder="1" applyAlignment="1" applyProtection="1">
      <alignment horizontal="left"/>
    </xf>
    <xf numFmtId="166" fontId="74" fillId="27" borderId="23" xfId="7700" applyNumberFormat="1" applyFont="1" applyFill="1" applyBorder="1" applyProtection="1"/>
    <xf numFmtId="166" fontId="74" fillId="27" borderId="27" xfId="7700" applyNumberFormat="1" applyFont="1" applyFill="1" applyBorder="1" applyProtection="1"/>
    <xf numFmtId="0" fontId="73" fillId="27" borderId="49" xfId="7700" applyFont="1" applyFill="1" applyBorder="1" applyProtection="1"/>
    <xf numFmtId="0" fontId="73" fillId="27" borderId="65" xfId="7700" applyFont="1" applyFill="1" applyBorder="1" applyProtection="1"/>
    <xf numFmtId="166" fontId="73" fillId="27" borderId="65" xfId="7700" applyNumberFormat="1" applyFont="1" applyFill="1" applyBorder="1" applyProtection="1"/>
    <xf numFmtId="166" fontId="73" fillId="27" borderId="66" xfId="7700" applyNumberFormat="1" applyFont="1" applyFill="1" applyBorder="1" applyProtection="1"/>
    <xf numFmtId="3" fontId="73" fillId="27" borderId="49" xfId="7700" applyNumberFormat="1" applyFont="1" applyFill="1" applyBorder="1" applyProtection="1"/>
    <xf numFmtId="3" fontId="73" fillId="27" borderId="65" xfId="7700" applyNumberFormat="1" applyFont="1" applyFill="1" applyBorder="1" applyProtection="1"/>
    <xf numFmtId="3" fontId="73" fillId="27" borderId="31" xfId="7700" applyNumberFormat="1" applyFont="1" applyFill="1" applyBorder="1" applyProtection="1"/>
    <xf numFmtId="3" fontId="73" fillId="27" borderId="32" xfId="7700" applyNumberFormat="1" applyFont="1" applyFill="1" applyBorder="1" applyProtection="1"/>
    <xf numFmtId="0" fontId="73" fillId="27" borderId="11" xfId="7699" applyFont="1" applyFill="1" applyBorder="1" applyProtection="1"/>
    <xf numFmtId="43" fontId="74" fillId="27" borderId="14" xfId="7699" applyNumberFormat="1" applyFont="1" applyFill="1" applyBorder="1" applyProtection="1"/>
    <xf numFmtId="0" fontId="74" fillId="27" borderId="14" xfId="7699" applyFont="1" applyFill="1" applyBorder="1" applyAlignment="1" applyProtection="1">
      <alignment horizontal="center"/>
    </xf>
    <xf numFmtId="0" fontId="74" fillId="27" borderId="13" xfId="7699" applyFont="1" applyFill="1" applyBorder="1" applyAlignment="1" applyProtection="1">
      <alignment horizontal="center"/>
    </xf>
    <xf numFmtId="0" fontId="24" fillId="27" borderId="15" xfId="1170" applyFill="1" applyBorder="1" applyProtection="1"/>
    <xf numFmtId="0" fontId="24" fillId="27" borderId="19" xfId="1170" applyFill="1" applyBorder="1" applyProtection="1"/>
    <xf numFmtId="0" fontId="71" fillId="27" borderId="19" xfId="1170" applyFont="1" applyFill="1" applyBorder="1" applyProtection="1"/>
    <xf numFmtId="0" fontId="74" fillId="27" borderId="19" xfId="7699" applyFont="1" applyFill="1" applyBorder="1" applyAlignment="1" applyProtection="1">
      <alignment horizontal="center"/>
    </xf>
    <xf numFmtId="0" fontId="74" fillId="27" borderId="18" xfId="7699" applyFont="1" applyFill="1" applyBorder="1" applyAlignment="1" applyProtection="1">
      <alignment horizontal="center"/>
    </xf>
    <xf numFmtId="0" fontId="74" fillId="27" borderId="12" xfId="7699" applyFont="1" applyFill="1" applyBorder="1" applyProtection="1"/>
    <xf numFmtId="43" fontId="74" fillId="27" borderId="0" xfId="7699" applyNumberFormat="1" applyFont="1" applyFill="1" applyProtection="1"/>
    <xf numFmtId="0" fontId="74" fillId="27" borderId="16" xfId="7699" applyFont="1" applyFill="1" applyBorder="1" applyProtection="1"/>
    <xf numFmtId="0" fontId="71" fillId="27" borderId="11" xfId="1170" applyFont="1" applyFill="1" applyBorder="1" applyProtection="1"/>
    <xf numFmtId="0" fontId="71" fillId="27" borderId="14" xfId="1170" applyFont="1" applyFill="1" applyBorder="1" applyProtection="1"/>
    <xf numFmtId="0" fontId="71" fillId="27" borderId="13" xfId="1170" applyFont="1" applyFill="1" applyBorder="1" applyProtection="1"/>
    <xf numFmtId="0" fontId="74" fillId="27" borderId="12" xfId="7699" quotePrefix="1" applyFont="1" applyFill="1" applyBorder="1" applyProtection="1"/>
    <xf numFmtId="0" fontId="74" fillId="27" borderId="0" xfId="7699" quotePrefix="1" applyFont="1" applyFill="1" applyProtection="1"/>
    <xf numFmtId="0" fontId="76" fillId="27" borderId="12" xfId="1170" applyFont="1" applyFill="1" applyBorder="1" applyProtection="1"/>
    <xf numFmtId="0" fontId="77" fillId="27" borderId="12" xfId="1170" applyFont="1" applyFill="1" applyBorder="1" applyProtection="1"/>
    <xf numFmtId="3" fontId="74" fillId="27" borderId="12" xfId="7699" applyNumberFormat="1" applyFont="1" applyFill="1" applyBorder="1" applyProtection="1"/>
    <xf numFmtId="43" fontId="71" fillId="27" borderId="0" xfId="1170" applyNumberFormat="1" applyFont="1" applyFill="1" applyProtection="1"/>
    <xf numFmtId="166" fontId="73" fillId="27" borderId="0" xfId="7699" applyNumberFormat="1" applyFont="1" applyFill="1" applyProtection="1"/>
    <xf numFmtId="166" fontId="73" fillId="27" borderId="16" xfId="7699" applyNumberFormat="1" applyFont="1" applyFill="1" applyBorder="1" applyProtection="1"/>
    <xf numFmtId="43" fontId="71" fillId="27" borderId="10" xfId="1170" applyNumberFormat="1" applyFont="1" applyFill="1" applyBorder="1" applyProtection="1"/>
    <xf numFmtId="0" fontId="73" fillId="27" borderId="12" xfId="7699" applyFont="1" applyFill="1" applyBorder="1" applyProtection="1"/>
    <xf numFmtId="0" fontId="73" fillId="27" borderId="0" xfId="7699" applyFont="1" applyFill="1" applyProtection="1"/>
    <xf numFmtId="166" fontId="73" fillId="27" borderId="57" xfId="7699" applyNumberFormat="1" applyFont="1" applyFill="1" applyBorder="1" applyProtection="1"/>
    <xf numFmtId="166" fontId="73" fillId="27" borderId="59" xfId="7699" applyNumberFormat="1" applyFont="1" applyFill="1" applyBorder="1" applyProtection="1"/>
    <xf numFmtId="166" fontId="74" fillId="27" borderId="0" xfId="7699" applyNumberFormat="1" applyFont="1" applyFill="1" applyProtection="1"/>
    <xf numFmtId="166" fontId="74" fillId="27" borderId="16" xfId="7699" applyNumberFormat="1" applyFont="1" applyFill="1" applyBorder="1" applyProtection="1"/>
    <xf numFmtId="0" fontId="73" fillId="27" borderId="12" xfId="7699" quotePrefix="1" applyFont="1" applyFill="1" applyBorder="1" applyProtection="1"/>
    <xf numFmtId="0" fontId="73" fillId="27" borderId="0" xfId="7699" quotePrefix="1" applyFont="1" applyFill="1" applyProtection="1"/>
    <xf numFmtId="43" fontId="76" fillId="27" borderId="23" xfId="1170" applyNumberFormat="1" applyFont="1" applyFill="1" applyBorder="1" applyProtection="1"/>
    <xf numFmtId="0" fontId="71" fillId="27" borderId="49" xfId="1170" applyFont="1" applyFill="1" applyBorder="1" applyProtection="1"/>
    <xf numFmtId="0" fontId="71" fillId="27" borderId="65" xfId="1170" applyFont="1" applyFill="1" applyBorder="1" applyProtection="1"/>
    <xf numFmtId="0" fontId="71" fillId="27" borderId="89" xfId="1170" applyFont="1" applyFill="1" applyBorder="1" applyProtection="1"/>
    <xf numFmtId="0" fontId="76" fillId="27" borderId="11" xfId="1170" applyFont="1" applyFill="1" applyBorder="1" applyProtection="1"/>
    <xf numFmtId="0" fontId="70" fillId="27" borderId="11" xfId="7699" applyFont="1" applyFill="1" applyBorder="1" applyProtection="1"/>
    <xf numFmtId="0" fontId="70" fillId="27" borderId="14" xfId="7699" applyFont="1" applyFill="1" applyBorder="1" applyProtection="1"/>
    <xf numFmtId="166" fontId="70" fillId="27" borderId="14" xfId="7699" applyNumberFormat="1" applyFont="1" applyFill="1" applyBorder="1" applyProtection="1"/>
    <xf numFmtId="166" fontId="70" fillId="27" borderId="13" xfId="7699" applyNumberFormat="1" applyFont="1" applyFill="1" applyBorder="1" applyProtection="1"/>
    <xf numFmtId="3" fontId="71" fillId="27" borderId="12" xfId="1170" applyNumberFormat="1" applyFont="1" applyFill="1" applyBorder="1" applyProtection="1"/>
    <xf numFmtId="9" fontId="77" fillId="27" borderId="0" xfId="1170" applyNumberFormat="1" applyFont="1" applyFill="1" applyProtection="1"/>
    <xf numFmtId="0" fontId="77" fillId="27" borderId="0" xfId="1170" applyFont="1" applyFill="1" applyProtection="1"/>
    <xf numFmtId="166" fontId="77" fillId="27" borderId="0" xfId="1170" applyNumberFormat="1" applyFont="1" applyFill="1" applyProtection="1"/>
    <xf numFmtId="166" fontId="71" fillId="27" borderId="17" xfId="1170" applyNumberFormat="1" applyFont="1" applyFill="1" applyBorder="1" applyProtection="1"/>
    <xf numFmtId="0" fontId="77" fillId="27" borderId="49" xfId="1170" applyFont="1" applyFill="1" applyBorder="1" applyProtection="1"/>
    <xf numFmtId="0" fontId="76" fillId="27" borderId="49" xfId="1170" applyFont="1" applyFill="1" applyBorder="1" applyProtection="1"/>
    <xf numFmtId="43" fontId="76" fillId="27" borderId="89" xfId="1170" applyNumberFormat="1" applyFont="1" applyFill="1" applyBorder="1" applyProtection="1"/>
    <xf numFmtId="166" fontId="76" fillId="27" borderId="0" xfId="1170" applyNumberFormat="1" applyFont="1" applyFill="1" applyProtection="1"/>
    <xf numFmtId="166" fontId="76" fillId="27" borderId="16" xfId="1170" applyNumberFormat="1" applyFont="1" applyFill="1" applyBorder="1" applyProtection="1"/>
    <xf numFmtId="3" fontId="71" fillId="27" borderId="65" xfId="1170" applyNumberFormat="1" applyFont="1" applyFill="1" applyBorder="1" applyProtection="1"/>
    <xf numFmtId="3" fontId="71" fillId="27" borderId="89" xfId="1170" applyNumberFormat="1" applyFont="1" applyFill="1" applyBorder="1" applyProtection="1"/>
    <xf numFmtId="3" fontId="57" fillId="27" borderId="12" xfId="1168" applyNumberFormat="1" applyFont="1" applyFill="1" applyBorder="1" applyProtection="1"/>
    <xf numFmtId="0" fontId="57" fillId="27" borderId="0" xfId="1168" applyFont="1" applyFill="1" applyProtection="1"/>
    <xf numFmtId="3" fontId="57" fillId="27" borderId="0" xfId="1168" applyNumberFormat="1" applyFont="1" applyFill="1" applyProtection="1"/>
    <xf numFmtId="3" fontId="57" fillId="27" borderId="16" xfId="1168" applyNumberFormat="1" applyFont="1" applyFill="1" applyBorder="1" applyProtection="1"/>
    <xf numFmtId="0" fontId="58" fillId="27" borderId="12" xfId="1168" applyFont="1" applyFill="1" applyBorder="1" applyProtection="1"/>
    <xf numFmtId="3" fontId="58" fillId="27" borderId="23" xfId="1168" applyNumberFormat="1" applyFont="1" applyFill="1" applyBorder="1" applyProtection="1"/>
    <xf numFmtId="3" fontId="58" fillId="27" borderId="27" xfId="1168" applyNumberFormat="1" applyFont="1" applyFill="1" applyBorder="1" applyProtection="1"/>
    <xf numFmtId="0" fontId="47" fillId="27" borderId="12" xfId="1168" applyFont="1" applyFill="1" applyBorder="1" applyProtection="1"/>
    <xf numFmtId="0" fontId="47" fillId="27" borderId="0" xfId="1168" applyFont="1" applyFill="1" applyAlignment="1" applyProtection="1">
      <alignment horizontal="center"/>
    </xf>
    <xf numFmtId="0" fontId="47" fillId="27" borderId="16" xfId="1168" applyFont="1" applyFill="1" applyBorder="1" applyAlignment="1" applyProtection="1">
      <alignment horizontal="center"/>
    </xf>
    <xf numFmtId="0" fontId="68" fillId="27" borderId="0" xfId="39932" applyFont="1" applyFill="1" applyProtection="1"/>
    <xf numFmtId="0" fontId="68" fillId="27" borderId="16" xfId="39932" applyFont="1" applyFill="1" applyBorder="1" applyProtection="1"/>
    <xf numFmtId="43" fontId="57" fillId="27" borderId="0" xfId="40001" applyFont="1" applyFill="1" applyBorder="1" applyAlignment="1" applyProtection="1"/>
    <xf numFmtId="0" fontId="44" fillId="27" borderId="12" xfId="1168" applyFont="1" applyFill="1" applyBorder="1" applyProtection="1"/>
    <xf numFmtId="43" fontId="44" fillId="27" borderId="16" xfId="1168" applyNumberFormat="1" applyFont="1" applyFill="1" applyBorder="1" applyProtection="1"/>
    <xf numFmtId="0" fontId="84" fillId="27" borderId="12" xfId="1168" applyFont="1" applyFill="1" applyBorder="1" applyProtection="1"/>
    <xf numFmtId="0" fontId="57" fillId="27" borderId="12" xfId="39998" applyFont="1" applyFill="1" applyBorder="1" applyAlignment="1" applyProtection="1">
      <alignment vertical="top"/>
    </xf>
    <xf numFmtId="166" fontId="44" fillId="27" borderId="12" xfId="1168" applyNumberFormat="1" applyFont="1" applyFill="1" applyBorder="1" applyProtection="1"/>
    <xf numFmtId="0" fontId="44" fillId="27" borderId="0" xfId="1168" applyFont="1" applyFill="1" applyProtection="1"/>
    <xf numFmtId="0" fontId="44" fillId="27" borderId="16" xfId="1168" applyFont="1" applyFill="1" applyBorder="1" applyProtection="1"/>
    <xf numFmtId="0" fontId="57" fillId="27" borderId="12" xfId="39998" applyFont="1" applyFill="1" applyBorder="1" applyProtection="1"/>
    <xf numFmtId="3" fontId="57" fillId="27" borderId="10" xfId="1168" applyNumberFormat="1" applyFont="1" applyFill="1" applyBorder="1" applyProtection="1"/>
    <xf numFmtId="3" fontId="57" fillId="27" borderId="17" xfId="1168" applyNumberFormat="1" applyFont="1" applyFill="1" applyBorder="1" applyProtection="1"/>
    <xf numFmtId="3" fontId="57" fillId="27" borderId="23" xfId="1168" applyNumberFormat="1" applyFont="1" applyFill="1" applyBorder="1" applyProtection="1"/>
    <xf numFmtId="3" fontId="57" fillId="27" borderId="27" xfId="1168" applyNumberFormat="1" applyFont="1" applyFill="1" applyBorder="1" applyProtection="1"/>
    <xf numFmtId="43" fontId="47" fillId="27" borderId="57" xfId="1168" applyNumberFormat="1" applyFont="1" applyFill="1" applyBorder="1" applyProtection="1"/>
    <xf numFmtId="43" fontId="47" fillId="27" borderId="59" xfId="1168" applyNumberFormat="1" applyFont="1" applyFill="1" applyBorder="1" applyProtection="1"/>
    <xf numFmtId="43" fontId="47" fillId="27" borderId="0" xfId="1168" applyNumberFormat="1" applyFont="1" applyFill="1" applyProtection="1"/>
    <xf numFmtId="43" fontId="47" fillId="27" borderId="16" xfId="1168" applyNumberFormat="1" applyFont="1" applyFill="1" applyBorder="1" applyProtection="1"/>
    <xf numFmtId="166" fontId="71" fillId="27" borderId="10" xfId="1170" applyNumberFormat="1" applyFont="1" applyFill="1" applyBorder="1" applyProtection="1"/>
    <xf numFmtId="43" fontId="44" fillId="27" borderId="0" xfId="1168" applyNumberFormat="1" applyFont="1" applyFill="1" applyProtection="1"/>
    <xf numFmtId="3" fontId="58" fillId="27" borderId="0" xfId="1168" applyNumberFormat="1" applyFont="1" applyFill="1" applyProtection="1"/>
    <xf numFmtId="3" fontId="58" fillId="27" borderId="25" xfId="1168" applyNumberFormat="1" applyFont="1" applyFill="1" applyBorder="1" applyProtection="1"/>
    <xf numFmtId="0" fontId="44" fillId="27" borderId="49" xfId="1168" applyFont="1" applyFill="1" applyBorder="1" applyProtection="1"/>
    <xf numFmtId="43" fontId="44" fillId="27" borderId="65" xfId="1168" applyNumberFormat="1" applyFont="1" applyFill="1" applyBorder="1" applyProtection="1"/>
    <xf numFmtId="43" fontId="44" fillId="27" borderId="89" xfId="1168" applyNumberFormat="1" applyFont="1" applyFill="1" applyBorder="1" applyProtection="1"/>
    <xf numFmtId="0" fontId="69" fillId="27" borderId="12" xfId="39932" applyFont="1" applyFill="1" applyBorder="1" applyProtection="1"/>
    <xf numFmtId="3" fontId="68" fillId="27" borderId="0" xfId="39932" applyNumberFormat="1" applyFont="1" applyFill="1" applyProtection="1"/>
    <xf numFmtId="3" fontId="68" fillId="27" borderId="16" xfId="39932" applyNumberFormat="1" applyFont="1" applyFill="1" applyBorder="1" applyProtection="1"/>
    <xf numFmtId="0" fontId="68" fillId="27" borderId="12" xfId="39932" applyFont="1" applyFill="1" applyBorder="1" applyProtection="1"/>
    <xf numFmtId="3" fontId="68" fillId="27" borderId="10" xfId="39932" applyNumberFormat="1" applyFont="1" applyFill="1" applyBorder="1" applyProtection="1"/>
    <xf numFmtId="3" fontId="68" fillId="27" borderId="17" xfId="39932" applyNumberFormat="1" applyFont="1" applyFill="1" applyBorder="1" applyProtection="1"/>
    <xf numFmtId="43" fontId="57" fillId="27" borderId="10" xfId="40001" applyFont="1" applyFill="1" applyBorder="1" applyAlignment="1" applyProtection="1"/>
    <xf numFmtId="0" fontId="57" fillId="27" borderId="49" xfId="39998" applyFont="1" applyFill="1" applyBorder="1" applyAlignment="1" applyProtection="1">
      <alignment vertical="top"/>
    </xf>
    <xf numFmtId="43" fontId="57" fillId="27" borderId="65" xfId="40001" applyFont="1" applyFill="1" applyBorder="1" applyAlignment="1" applyProtection="1"/>
    <xf numFmtId="0" fontId="57" fillId="27" borderId="11" xfId="39998" applyFont="1" applyFill="1" applyBorder="1" applyAlignment="1" applyProtection="1">
      <alignment vertical="top"/>
    </xf>
    <xf numFmtId="43" fontId="57" fillId="27" borderId="14" xfId="40001" applyFont="1" applyFill="1" applyBorder="1" applyAlignment="1" applyProtection="1"/>
    <xf numFmtId="0" fontId="58" fillId="27" borderId="49" xfId="1168" applyFont="1" applyFill="1" applyBorder="1" applyProtection="1"/>
    <xf numFmtId="3" fontId="57" fillId="27" borderId="65" xfId="1168" applyNumberFormat="1" applyFont="1" applyFill="1" applyBorder="1" applyProtection="1"/>
    <xf numFmtId="0" fontId="58" fillId="27" borderId="12" xfId="39998" applyFont="1" applyFill="1" applyBorder="1" applyAlignment="1" applyProtection="1">
      <alignment vertical="top"/>
    </xf>
    <xf numFmtId="43" fontId="76" fillId="27" borderId="65" xfId="1170" applyNumberFormat="1" applyFont="1" applyFill="1" applyBorder="1" applyProtection="1"/>
    <xf numFmtId="9" fontId="71" fillId="27" borderId="0" xfId="1170" applyNumberFormat="1" applyFont="1" applyFill="1" applyProtection="1"/>
    <xf numFmtId="166" fontId="76" fillId="27" borderId="65" xfId="1170" applyNumberFormat="1" applyFont="1" applyFill="1" applyBorder="1" applyProtection="1"/>
    <xf numFmtId="166" fontId="76" fillId="27" borderId="89" xfId="1170" applyNumberFormat="1" applyFont="1" applyFill="1" applyBorder="1" applyProtection="1"/>
    <xf numFmtId="0" fontId="47" fillId="27" borderId="11" xfId="39935" applyFont="1" applyFill="1" applyBorder="1" applyProtection="1"/>
    <xf numFmtId="167" fontId="60" fillId="27" borderId="14" xfId="39935" applyNumberFormat="1" applyFont="1" applyFill="1" applyBorder="1" applyProtection="1"/>
    <xf numFmtId="3" fontId="68" fillId="27" borderId="13" xfId="39932" applyNumberFormat="1" applyFont="1" applyFill="1" applyBorder="1" applyProtection="1"/>
    <xf numFmtId="0" fontId="44" fillId="27" borderId="12" xfId="39935" applyFont="1" applyFill="1" applyBorder="1" applyProtection="1"/>
    <xf numFmtId="167" fontId="60" fillId="27" borderId="0" xfId="39935" applyNumberFormat="1" applyFont="1" applyFill="1" applyProtection="1"/>
    <xf numFmtId="167" fontId="44" fillId="26" borderId="0" xfId="39935" applyNumberFormat="1" applyFont="1" applyFill="1" applyProtection="1"/>
    <xf numFmtId="0" fontId="47" fillId="27" borderId="12" xfId="39935" applyFont="1" applyFill="1" applyBorder="1" applyProtection="1"/>
    <xf numFmtId="0" fontId="44" fillId="27" borderId="0" xfId="39935" applyFont="1" applyFill="1" applyProtection="1"/>
    <xf numFmtId="3" fontId="44" fillId="27" borderId="10" xfId="39935" applyNumberFormat="1" applyFont="1" applyFill="1" applyBorder="1" applyProtection="1"/>
    <xf numFmtId="3" fontId="44" fillId="27" borderId="17" xfId="39935" applyNumberFormat="1" applyFont="1" applyFill="1" applyBorder="1" applyProtection="1"/>
    <xf numFmtId="0" fontId="44" fillId="27" borderId="12" xfId="39932" applyFont="1" applyFill="1" applyBorder="1" applyProtection="1"/>
    <xf numFmtId="0" fontId="44" fillId="27" borderId="0" xfId="39932" applyFont="1" applyFill="1" applyProtection="1"/>
    <xf numFmtId="3" fontId="44" fillId="27" borderId="0" xfId="39932" applyNumberFormat="1" applyFont="1" applyFill="1" applyProtection="1"/>
    <xf numFmtId="3" fontId="44" fillId="27" borderId="16" xfId="39932" applyNumberFormat="1" applyFont="1" applyFill="1" applyBorder="1" applyProtection="1"/>
    <xf numFmtId="3" fontId="44" fillId="27" borderId="0" xfId="39935" applyNumberFormat="1" applyFont="1" applyFill="1" applyProtection="1"/>
    <xf numFmtId="3" fontId="44" fillId="27" borderId="16" xfId="39935" applyNumberFormat="1" applyFont="1" applyFill="1" applyBorder="1" applyProtection="1"/>
    <xf numFmtId="166" fontId="44" fillId="27" borderId="65" xfId="39935" applyNumberFormat="1" applyFont="1" applyFill="1" applyBorder="1" applyProtection="1"/>
    <xf numFmtId="3" fontId="44" fillId="27" borderId="65" xfId="39935" applyNumberFormat="1" applyFont="1" applyFill="1" applyBorder="1" applyProtection="1"/>
    <xf numFmtId="3" fontId="44" fillId="27" borderId="89" xfId="39935" applyNumberFormat="1" applyFont="1" applyFill="1" applyBorder="1" applyProtection="1"/>
    <xf numFmtId="166" fontId="71" fillId="27" borderId="65" xfId="1170" applyNumberFormat="1" applyFont="1" applyFill="1" applyBorder="1" applyProtection="1"/>
    <xf numFmtId="0" fontId="7" fillId="27" borderId="0" xfId="39943" applyFill="1" applyProtection="1"/>
    <xf numFmtId="0" fontId="24" fillId="27" borderId="0" xfId="1170" applyFill="1" applyProtection="1"/>
    <xf numFmtId="0" fontId="51" fillId="27" borderId="12" xfId="39943" applyFont="1" applyFill="1" applyBorder="1" applyAlignment="1" applyProtection="1">
      <alignment horizontal="center"/>
    </xf>
    <xf numFmtId="0" fontId="47" fillId="37" borderId="11" xfId="39944" applyFont="1" applyFill="1" applyBorder="1" applyAlignment="1" applyProtection="1">
      <alignment horizontal="left"/>
    </xf>
    <xf numFmtId="0" fontId="47" fillId="37" borderId="14" xfId="39944" applyFont="1" applyFill="1" applyBorder="1" applyAlignment="1" applyProtection="1">
      <alignment horizontal="center"/>
    </xf>
    <xf numFmtId="0" fontId="7" fillId="27" borderId="0" xfId="39944" applyFill="1" applyProtection="1"/>
    <xf numFmtId="0" fontId="51" fillId="37" borderId="11" xfId="39944" applyFont="1" applyFill="1" applyBorder="1" applyAlignment="1" applyProtection="1">
      <alignment horizontal="center"/>
    </xf>
    <xf numFmtId="0" fontId="51" fillId="37" borderId="14" xfId="39944" applyFont="1" applyFill="1" applyBorder="1" applyAlignment="1" applyProtection="1">
      <alignment horizontal="center"/>
    </xf>
    <xf numFmtId="0" fontId="47" fillId="37" borderId="12" xfId="39944" applyFont="1" applyFill="1" applyBorder="1" applyAlignment="1" applyProtection="1">
      <alignment horizontal="left"/>
    </xf>
    <xf numFmtId="0" fontId="44" fillId="37" borderId="0" xfId="39944" applyFont="1" applyFill="1" applyAlignment="1" applyProtection="1">
      <alignment horizontal="center"/>
    </xf>
    <xf numFmtId="0" fontId="44" fillId="27" borderId="0" xfId="39944" applyFont="1" applyFill="1" applyAlignment="1" applyProtection="1">
      <alignment horizontal="center"/>
    </xf>
    <xf numFmtId="0" fontId="44" fillId="37" borderId="16" xfId="39944" applyFont="1" applyFill="1" applyBorder="1" applyAlignment="1" applyProtection="1">
      <alignment horizontal="center"/>
    </xf>
    <xf numFmtId="0" fontId="44" fillId="37" borderId="12" xfId="39944" applyFont="1" applyFill="1" applyBorder="1" applyProtection="1"/>
    <xf numFmtId="3" fontId="44" fillId="37" borderId="0" xfId="39944" applyNumberFormat="1" applyFont="1" applyFill="1" applyBorder="1" applyProtection="1"/>
    <xf numFmtId="3" fontId="44" fillId="37" borderId="0" xfId="39944" applyNumberFormat="1" applyFont="1" applyFill="1" applyBorder="1" applyAlignment="1" applyProtection="1">
      <alignment horizontal="center"/>
    </xf>
    <xf numFmtId="0" fontId="44" fillId="37" borderId="0" xfId="39944" applyFont="1" applyFill="1" applyBorder="1" applyAlignment="1" applyProtection="1">
      <alignment horizontal="center"/>
    </xf>
    <xf numFmtId="0" fontId="47" fillId="27" borderId="0" xfId="39943" applyFont="1" applyFill="1" applyAlignment="1" applyProtection="1">
      <alignment horizontal="center"/>
    </xf>
    <xf numFmtId="0" fontId="44" fillId="27" borderId="12" xfId="39944" applyFont="1" applyFill="1" applyBorder="1" applyAlignment="1" applyProtection="1">
      <alignment horizontal="center"/>
    </xf>
    <xf numFmtId="3" fontId="47" fillId="27" borderId="0" xfId="39944" applyNumberFormat="1" applyFont="1" applyFill="1" applyAlignment="1" applyProtection="1">
      <alignment horizontal="center"/>
    </xf>
    <xf numFmtId="0" fontId="47" fillId="27" borderId="0" xfId="39944" applyFont="1" applyFill="1" applyAlignment="1" applyProtection="1">
      <alignment horizontal="center"/>
    </xf>
    <xf numFmtId="3" fontId="44" fillId="27" borderId="0" xfId="39944" applyNumberFormat="1" applyFont="1" applyFill="1" applyAlignment="1" applyProtection="1">
      <alignment horizontal="center"/>
    </xf>
    <xf numFmtId="0" fontId="44" fillId="27" borderId="16" xfId="39944" applyFont="1" applyFill="1" applyBorder="1" applyAlignment="1" applyProtection="1">
      <alignment horizontal="center"/>
    </xf>
    <xf numFmtId="0" fontId="47" fillId="27" borderId="12" xfId="39944" applyFont="1" applyFill="1" applyBorder="1" applyAlignment="1" applyProtection="1">
      <alignment horizontal="center"/>
    </xf>
    <xf numFmtId="0" fontId="47" fillId="27" borderId="0" xfId="39944" applyFont="1" applyFill="1" applyBorder="1" applyAlignment="1" applyProtection="1">
      <alignment horizontal="center"/>
    </xf>
    <xf numFmtId="0" fontId="47" fillId="27" borderId="16" xfId="39944" applyFont="1" applyFill="1" applyBorder="1" applyAlignment="1" applyProtection="1">
      <alignment horizontal="center"/>
    </xf>
    <xf numFmtId="0" fontId="44" fillId="27" borderId="0" xfId="39943" applyFont="1" applyFill="1" applyAlignment="1" applyProtection="1">
      <alignment horizontal="center"/>
    </xf>
    <xf numFmtId="0" fontId="44" fillId="27" borderId="12" xfId="39944" applyFont="1" applyFill="1" applyBorder="1" applyAlignment="1" applyProtection="1">
      <alignment horizontal="left"/>
    </xf>
    <xf numFmtId="0" fontId="47" fillId="27" borderId="0" xfId="39944" applyFont="1" applyFill="1" applyBorder="1" applyAlignment="1" applyProtection="1">
      <alignment horizontal="left"/>
    </xf>
    <xf numFmtId="3" fontId="44" fillId="27" borderId="0" xfId="39944" applyNumberFormat="1" applyFont="1" applyFill="1" applyBorder="1" applyProtection="1"/>
    <xf numFmtId="3" fontId="44" fillId="27" borderId="16" xfId="39944" applyNumberFormat="1" applyFont="1" applyFill="1" applyBorder="1" applyProtection="1"/>
    <xf numFmtId="3" fontId="47" fillId="27" borderId="0" xfId="39943" applyNumberFormat="1" applyFont="1" applyFill="1" applyProtection="1"/>
    <xf numFmtId="0" fontId="24" fillId="27" borderId="12" xfId="1170" applyFill="1" applyBorder="1" applyProtection="1"/>
    <xf numFmtId="0" fontId="47" fillId="27" borderId="0" xfId="39944" applyFont="1" applyFill="1" applyAlignment="1" applyProtection="1">
      <alignment horizontal="left"/>
    </xf>
    <xf numFmtId="3" fontId="44" fillId="27" borderId="10" xfId="39944" applyNumberFormat="1" applyFont="1" applyFill="1" applyBorder="1" applyProtection="1"/>
    <xf numFmtId="3" fontId="44" fillId="27" borderId="17" xfId="39944" applyNumberFormat="1" applyFont="1" applyFill="1" applyBorder="1" applyProtection="1"/>
    <xf numFmtId="0" fontId="24" fillId="27" borderId="0" xfId="1170" applyFill="1" applyBorder="1" applyProtection="1"/>
    <xf numFmtId="166" fontId="24" fillId="27" borderId="0" xfId="1170" applyNumberFormat="1" applyFill="1" applyBorder="1" applyProtection="1"/>
    <xf numFmtId="166" fontId="24" fillId="27" borderId="16" xfId="1170" applyNumberFormat="1" applyFill="1" applyBorder="1" applyProtection="1"/>
    <xf numFmtId="0" fontId="42" fillId="27" borderId="12" xfId="1170" applyFont="1" applyFill="1" applyBorder="1" applyProtection="1"/>
    <xf numFmtId="3" fontId="47" fillId="27" borderId="0" xfId="39944" applyNumberFormat="1" applyFont="1" applyFill="1" applyProtection="1"/>
    <xf numFmtId="3" fontId="47" fillId="27" borderId="16" xfId="39944" applyNumberFormat="1" applyFont="1" applyFill="1" applyBorder="1" applyProtection="1"/>
    <xf numFmtId="3" fontId="24" fillId="27" borderId="10" xfId="1170" applyNumberFormat="1" applyFill="1" applyBorder="1" applyProtection="1"/>
    <xf numFmtId="3" fontId="24" fillId="27" borderId="17" xfId="1170" applyNumberFormat="1" applyFill="1" applyBorder="1" applyProtection="1"/>
    <xf numFmtId="3" fontId="48" fillId="27" borderId="0" xfId="39943" applyNumberFormat="1" applyFont="1" applyFill="1" applyProtection="1"/>
    <xf numFmtId="0" fontId="24" fillId="27" borderId="16" xfId="1170" applyFill="1" applyBorder="1" applyProtection="1"/>
    <xf numFmtId="0" fontId="47" fillId="27" borderId="12" xfId="39944" applyFont="1" applyFill="1" applyBorder="1" applyAlignment="1" applyProtection="1">
      <alignment horizontal="left"/>
    </xf>
    <xf numFmtId="3" fontId="24" fillId="27" borderId="0" xfId="1170" applyNumberFormat="1" applyFill="1" applyBorder="1" applyProtection="1"/>
    <xf numFmtId="3" fontId="24" fillId="27" borderId="16" xfId="1170" applyNumberFormat="1" applyFill="1" applyBorder="1" applyProtection="1"/>
    <xf numFmtId="0" fontId="44" fillId="27" borderId="0" xfId="39943" applyFont="1" applyFill="1" applyProtection="1"/>
    <xf numFmtId="166" fontId="24" fillId="27" borderId="0" xfId="1170" applyNumberFormat="1" applyFill="1" applyProtection="1"/>
    <xf numFmtId="3" fontId="44" fillId="27" borderId="0" xfId="39943" applyNumberFormat="1" applyFont="1" applyFill="1" applyProtection="1"/>
    <xf numFmtId="0" fontId="44" fillId="27" borderId="0" xfId="39944" applyFont="1" applyFill="1" applyProtection="1"/>
    <xf numFmtId="0" fontId="44" fillId="27" borderId="0" xfId="39944" applyFont="1" applyFill="1" applyBorder="1" applyProtection="1"/>
    <xf numFmtId="0" fontId="47" fillId="27" borderId="16" xfId="39944" applyFont="1" applyFill="1" applyBorder="1" applyAlignment="1" applyProtection="1">
      <alignment horizontal="left"/>
    </xf>
    <xf numFmtId="3" fontId="24" fillId="27" borderId="0" xfId="1170" applyNumberFormat="1" applyFill="1" applyProtection="1"/>
    <xf numFmtId="3" fontId="42" fillId="27" borderId="0" xfId="1170" applyNumberFormat="1" applyFont="1" applyFill="1" applyProtection="1"/>
    <xf numFmtId="3" fontId="42" fillId="27" borderId="16" xfId="1170" applyNumberFormat="1" applyFont="1" applyFill="1" applyBorder="1" applyProtection="1"/>
    <xf numFmtId="3" fontId="24" fillId="27" borderId="16" xfId="1170" applyNumberFormat="1" applyFill="1" applyBorder="1" applyAlignment="1" applyProtection="1">
      <alignment horizontal="right"/>
    </xf>
    <xf numFmtId="0" fontId="44" fillId="27" borderId="0" xfId="39944" applyFont="1" applyFill="1" applyBorder="1" applyAlignment="1" applyProtection="1">
      <alignment horizontal="left"/>
    </xf>
    <xf numFmtId="0" fontId="47" fillId="27" borderId="12" xfId="39944" applyFont="1" applyFill="1" applyBorder="1" applyProtection="1"/>
    <xf numFmtId="3" fontId="44" fillId="27" borderId="0" xfId="39944" applyNumberFormat="1" applyFont="1" applyFill="1" applyProtection="1"/>
    <xf numFmtId="3" fontId="44" fillId="27" borderId="16" xfId="39944" applyNumberFormat="1" applyFont="1" applyFill="1" applyBorder="1" applyAlignment="1" applyProtection="1">
      <alignment horizontal="right"/>
    </xf>
    <xf numFmtId="0" fontId="44" fillId="27" borderId="12" xfId="39944" applyFont="1" applyFill="1" applyBorder="1" applyProtection="1"/>
    <xf numFmtId="0" fontId="44" fillId="27" borderId="10" xfId="39944" applyFont="1" applyFill="1" applyBorder="1" applyAlignment="1" applyProtection="1">
      <alignment horizontal="left"/>
    </xf>
    <xf numFmtId="0" fontId="24" fillId="27" borderId="16" xfId="1170" applyFill="1" applyBorder="1" applyAlignment="1" applyProtection="1">
      <alignment horizontal="right"/>
    </xf>
    <xf numFmtId="0" fontId="44" fillId="27" borderId="16" xfId="39944" applyFont="1" applyFill="1" applyBorder="1" applyAlignment="1" applyProtection="1">
      <alignment horizontal="right"/>
    </xf>
    <xf numFmtId="3" fontId="44" fillId="27" borderId="23" xfId="39944" applyNumberFormat="1" applyFont="1" applyFill="1" applyBorder="1" applyProtection="1"/>
    <xf numFmtId="3" fontId="44" fillId="27" borderId="27" xfId="39944" applyNumberFormat="1" applyFont="1" applyFill="1" applyBorder="1" applyProtection="1"/>
    <xf numFmtId="0" fontId="47" fillId="27" borderId="49" xfId="39944" applyFont="1" applyFill="1" applyBorder="1" applyProtection="1"/>
    <xf numFmtId="3" fontId="47" fillId="27" borderId="65" xfId="39944" applyNumberFormat="1" applyFont="1" applyFill="1" applyBorder="1" applyProtection="1"/>
    <xf numFmtId="3" fontId="47" fillId="27" borderId="89" xfId="39944" applyNumberFormat="1" applyFont="1" applyFill="1" applyBorder="1" applyProtection="1"/>
    <xf numFmtId="3" fontId="47" fillId="27" borderId="49" xfId="39944" applyNumberFormat="1" applyFont="1" applyFill="1" applyBorder="1" applyProtection="1"/>
    <xf numFmtId="3" fontId="47" fillId="27" borderId="31" xfId="39944" applyNumberFormat="1" applyFont="1" applyFill="1" applyBorder="1" applyProtection="1"/>
    <xf numFmtId="3" fontId="47" fillId="27" borderId="32" xfId="39944" applyNumberFormat="1" applyFont="1" applyFill="1" applyBorder="1" applyProtection="1"/>
    <xf numFmtId="43" fontId="24" fillId="27" borderId="0" xfId="638" applyFont="1" applyFill="1" applyProtection="1"/>
    <xf numFmtId="0" fontId="47" fillId="27" borderId="14" xfId="39943" applyFont="1" applyFill="1" applyBorder="1" applyAlignment="1" applyProtection="1">
      <alignment horizontal="left"/>
    </xf>
    <xf numFmtId="0" fontId="44" fillId="27" borderId="14" xfId="39943" applyFont="1" applyFill="1" applyBorder="1" applyAlignment="1" applyProtection="1">
      <alignment horizontal="center"/>
    </xf>
    <xf numFmtId="0" fontId="44" fillId="27" borderId="13" xfId="39943" applyFont="1" applyFill="1" applyBorder="1" applyAlignment="1" applyProtection="1">
      <alignment horizontal="center"/>
    </xf>
    <xf numFmtId="0" fontId="47" fillId="27" borderId="11" xfId="39943" applyFont="1" applyFill="1" applyBorder="1" applyProtection="1"/>
    <xf numFmtId="0" fontId="44" fillId="27" borderId="14" xfId="39943" applyFont="1" applyFill="1" applyBorder="1" applyProtection="1"/>
    <xf numFmtId="0" fontId="44" fillId="27" borderId="12" xfId="39943" applyFont="1" applyFill="1" applyBorder="1" applyProtection="1"/>
    <xf numFmtId="3" fontId="44" fillId="27" borderId="0" xfId="39943" applyNumberFormat="1" applyFont="1" applyFill="1" applyBorder="1" applyProtection="1"/>
    <xf numFmtId="0" fontId="44" fillId="27" borderId="0" xfId="39943" applyFont="1" applyFill="1" applyBorder="1" applyProtection="1"/>
    <xf numFmtId="0" fontId="44" fillId="27" borderId="16" xfId="39943" applyFont="1" applyFill="1" applyBorder="1" applyProtection="1"/>
    <xf numFmtId="166" fontId="44" fillId="27" borderId="0" xfId="39943" applyNumberFormat="1" applyFont="1" applyFill="1" applyProtection="1"/>
    <xf numFmtId="166" fontId="44" fillId="27" borderId="16" xfId="39943" applyNumberFormat="1" applyFont="1" applyFill="1" applyBorder="1" applyProtection="1"/>
    <xf numFmtId="0" fontId="57" fillId="27" borderId="12" xfId="1168" applyFont="1" applyFill="1" applyBorder="1" applyAlignment="1" applyProtection="1">
      <alignment horizontal="left"/>
    </xf>
    <xf numFmtId="0" fontId="57" fillId="27" borderId="0" xfId="1168" applyFont="1" applyFill="1" applyBorder="1" applyAlignment="1" applyProtection="1">
      <alignment horizontal="center"/>
    </xf>
    <xf numFmtId="3" fontId="57" fillId="27" borderId="0" xfId="1168" applyNumberFormat="1" applyFont="1" applyFill="1" applyBorder="1" applyProtection="1"/>
    <xf numFmtId="166" fontId="24" fillId="27" borderId="10" xfId="1170" applyNumberFormat="1" applyFill="1" applyBorder="1" applyProtection="1"/>
    <xf numFmtId="166" fontId="24" fillId="27" borderId="17" xfId="1170" applyNumberFormat="1" applyFill="1" applyBorder="1" applyProtection="1"/>
    <xf numFmtId="0" fontId="84" fillId="27" borderId="12" xfId="1168" applyFont="1" applyFill="1" applyBorder="1" applyAlignment="1" applyProtection="1">
      <alignment horizontal="left"/>
    </xf>
    <xf numFmtId="3" fontId="68" fillId="27" borderId="12" xfId="39932" applyNumberFormat="1" applyFont="1" applyFill="1" applyBorder="1" applyProtection="1"/>
    <xf numFmtId="0" fontId="68" fillId="27" borderId="0" xfId="39932" applyFont="1" applyFill="1" applyBorder="1" applyProtection="1"/>
    <xf numFmtId="3" fontId="68" fillId="27" borderId="0" xfId="39932" applyNumberFormat="1" applyFont="1" applyFill="1" applyBorder="1" applyProtection="1"/>
    <xf numFmtId="166" fontId="42" fillId="27" borderId="0" xfId="1170" applyNumberFormat="1" applyFont="1" applyFill="1" applyProtection="1"/>
    <xf numFmtId="166" fontId="42" fillId="27" borderId="16" xfId="1170" applyNumberFormat="1" applyFont="1" applyFill="1" applyBorder="1" applyProtection="1"/>
    <xf numFmtId="0" fontId="24" fillId="27" borderId="49" xfId="1170" applyFill="1" applyBorder="1" applyProtection="1"/>
    <xf numFmtId="0" fontId="24" fillId="27" borderId="65" xfId="1170" applyFill="1" applyBorder="1" applyProtection="1"/>
    <xf numFmtId="166" fontId="24" fillId="27" borderId="65" xfId="1170" applyNumberFormat="1" applyFill="1" applyBorder="1" applyProtection="1"/>
    <xf numFmtId="166" fontId="24" fillId="27" borderId="89" xfId="1170" applyNumberFormat="1" applyFill="1" applyBorder="1" applyProtection="1"/>
    <xf numFmtId="0" fontId="57" fillId="27" borderId="0" xfId="1168" applyFont="1" applyFill="1" applyBorder="1" applyProtection="1"/>
    <xf numFmtId="3" fontId="58" fillId="27" borderId="0" xfId="1168" applyNumberFormat="1" applyFont="1" applyFill="1" applyBorder="1" applyProtection="1"/>
    <xf numFmtId="0" fontId="42" fillId="27" borderId="11" xfId="1170" applyFont="1" applyFill="1" applyBorder="1" applyProtection="1"/>
    <xf numFmtId="0" fontId="24" fillId="27" borderId="14" xfId="1170" applyFill="1" applyBorder="1" applyProtection="1"/>
    <xf numFmtId="0" fontId="24" fillId="27" borderId="13" xfId="1170" applyFill="1" applyBorder="1" applyProtection="1"/>
    <xf numFmtId="0" fontId="58" fillId="27" borderId="12" xfId="1168" quotePrefix="1" applyFont="1" applyFill="1" applyBorder="1" applyProtection="1"/>
    <xf numFmtId="0" fontId="57" fillId="27" borderId="16" xfId="1168" applyFont="1" applyFill="1" applyBorder="1" applyProtection="1"/>
    <xf numFmtId="0" fontId="87" fillId="27" borderId="12" xfId="1168" applyFont="1" applyFill="1" applyBorder="1" applyProtection="1"/>
    <xf numFmtId="43" fontId="24" fillId="27" borderId="0" xfId="1170" applyNumberFormat="1" applyFill="1" applyProtection="1"/>
    <xf numFmtId="3" fontId="86" fillId="27" borderId="0" xfId="1168" applyNumberFormat="1" applyFont="1" applyFill="1" applyBorder="1" applyProtection="1"/>
    <xf numFmtId="0" fontId="57" fillId="27" borderId="12" xfId="1170" applyFont="1" applyFill="1" applyBorder="1" applyProtection="1"/>
    <xf numFmtId="3" fontId="44" fillId="27" borderId="16" xfId="39943" applyNumberFormat="1" applyFont="1" applyFill="1" applyBorder="1" applyProtection="1"/>
    <xf numFmtId="0" fontId="24" fillId="27" borderId="10" xfId="1170" applyFill="1" applyBorder="1" applyProtection="1"/>
    <xf numFmtId="0" fontId="42" fillId="27" borderId="49" xfId="1170" applyFont="1" applyFill="1" applyBorder="1" applyProtection="1"/>
    <xf numFmtId="43" fontId="42" fillId="27" borderId="65" xfId="1170" applyNumberFormat="1" applyFont="1" applyFill="1" applyBorder="1" applyProtection="1"/>
    <xf numFmtId="10" fontId="24" fillId="27" borderId="0" xfId="1153" applyNumberFormat="1" applyFont="1" applyFill="1" applyProtection="1"/>
    <xf numFmtId="3" fontId="24" fillId="27" borderId="65" xfId="1170" applyNumberFormat="1" applyFill="1" applyBorder="1" applyProtection="1"/>
    <xf numFmtId="3" fontId="24" fillId="27" borderId="14" xfId="1170" applyNumberFormat="1" applyFill="1" applyBorder="1" applyProtection="1"/>
    <xf numFmtId="0" fontId="7" fillId="27" borderId="0" xfId="39943" applyFill="1" applyBorder="1" applyProtection="1"/>
    <xf numFmtId="0" fontId="7" fillId="27" borderId="14" xfId="39943" applyFill="1" applyBorder="1" applyProtection="1"/>
    <xf numFmtId="0" fontId="7" fillId="27" borderId="13" xfId="39943" applyFill="1" applyBorder="1" applyProtection="1"/>
    <xf numFmtId="9" fontId="57" fillId="26" borderId="0" xfId="1170" applyNumberFormat="1" applyFont="1" applyFill="1" applyBorder="1" applyProtection="1"/>
    <xf numFmtId="9" fontId="57" fillId="27" borderId="0" xfId="1170" applyNumberFormat="1" applyFont="1" applyFill="1" applyBorder="1" applyProtection="1"/>
    <xf numFmtId="3" fontId="24" fillId="27" borderId="12" xfId="1170" applyNumberFormat="1" applyFill="1" applyBorder="1" applyAlignment="1" applyProtection="1">
      <alignment horizontal="left"/>
    </xf>
    <xf numFmtId="0" fontId="57" fillId="27" borderId="49" xfId="1170" applyFont="1" applyFill="1" applyBorder="1" applyProtection="1"/>
    <xf numFmtId="3" fontId="58" fillId="27" borderId="57" xfId="1168" applyNumberFormat="1" applyFont="1" applyFill="1" applyBorder="1" applyProtection="1"/>
    <xf numFmtId="3" fontId="58" fillId="27" borderId="59" xfId="1168" applyNumberFormat="1" applyFont="1" applyFill="1" applyBorder="1" applyProtection="1"/>
    <xf numFmtId="0" fontId="57" fillId="27" borderId="14" xfId="1168" applyFont="1" applyFill="1" applyBorder="1" applyAlignment="1" applyProtection="1">
      <alignment horizontal="center"/>
    </xf>
    <xf numFmtId="0" fontId="58" fillId="27" borderId="14" xfId="1168" applyFont="1" applyFill="1" applyBorder="1" applyAlignment="1" applyProtection="1">
      <alignment horizontal="center"/>
    </xf>
    <xf numFmtId="0" fontId="68" fillId="27" borderId="14" xfId="39932" applyFont="1" applyFill="1" applyBorder="1" applyProtection="1"/>
    <xf numFmtId="0" fontId="68" fillId="27" borderId="13" xfId="39932" applyFont="1" applyFill="1" applyBorder="1" applyProtection="1"/>
    <xf numFmtId="0" fontId="57" fillId="27" borderId="0" xfId="1168" applyFont="1" applyFill="1" applyAlignment="1" applyProtection="1">
      <alignment horizontal="center"/>
    </xf>
    <xf numFmtId="0" fontId="58" fillId="27" borderId="0" xfId="1168" applyFont="1" applyFill="1" applyAlignment="1" applyProtection="1">
      <alignment horizontal="center"/>
    </xf>
    <xf numFmtId="3" fontId="58" fillId="27" borderId="0" xfId="1168" applyNumberFormat="1" applyFont="1" applyFill="1" applyAlignment="1" applyProtection="1">
      <alignment horizontal="center"/>
    </xf>
    <xf numFmtId="3" fontId="58" fillId="27" borderId="16" xfId="1168" applyNumberFormat="1" applyFont="1" applyFill="1" applyBorder="1" applyAlignment="1" applyProtection="1">
      <alignment horizontal="center"/>
    </xf>
    <xf numFmtId="3" fontId="24" fillId="27" borderId="12" xfId="1170" applyNumberFormat="1" applyFill="1" applyBorder="1" applyProtection="1"/>
    <xf numFmtId="0" fontId="42" fillId="27" borderId="100" xfId="1170" applyFont="1" applyFill="1" applyBorder="1" applyProtection="1"/>
    <xf numFmtId="0" fontId="24" fillId="27" borderId="76" xfId="1170" applyFill="1" applyBorder="1" applyProtection="1"/>
    <xf numFmtId="0" fontId="24" fillId="27" borderId="79" xfId="1170" applyFill="1" applyBorder="1" applyProtection="1"/>
    <xf numFmtId="3" fontId="24" fillId="27" borderId="89" xfId="1170" applyNumberFormat="1" applyFill="1" applyBorder="1" applyProtection="1"/>
    <xf numFmtId="2" fontId="47" fillId="27" borderId="11" xfId="1168" applyNumberFormat="1" applyFont="1" applyFill="1" applyBorder="1" applyProtection="1"/>
    <xf numFmtId="0" fontId="44" fillId="27" borderId="14" xfId="1168" applyFont="1" applyFill="1" applyBorder="1" applyProtection="1"/>
    <xf numFmtId="0" fontId="51" fillId="27" borderId="14" xfId="1168" applyFont="1" applyFill="1" applyBorder="1" applyAlignment="1" applyProtection="1">
      <alignment horizontal="center"/>
    </xf>
    <xf numFmtId="0" fontId="51" fillId="27" borderId="13" xfId="1168" applyFont="1" applyFill="1" applyBorder="1" applyAlignment="1" applyProtection="1">
      <alignment horizontal="center"/>
    </xf>
    <xf numFmtId="0" fontId="47" fillId="27" borderId="65" xfId="1168" applyFont="1" applyFill="1" applyBorder="1" applyAlignment="1" applyProtection="1">
      <alignment horizontal="center"/>
    </xf>
    <xf numFmtId="0" fontId="47" fillId="27" borderId="89" xfId="1168" applyFont="1" applyFill="1" applyBorder="1" applyAlignment="1" applyProtection="1">
      <alignment horizontal="center"/>
    </xf>
    <xf numFmtId="0" fontId="47" fillId="27" borderId="11" xfId="1168" applyFont="1" applyFill="1" applyBorder="1" applyAlignment="1" applyProtection="1">
      <alignment horizontal="left"/>
    </xf>
    <xf numFmtId="0" fontId="47" fillId="27" borderId="13" xfId="1168" applyFont="1" applyFill="1" applyBorder="1" applyAlignment="1" applyProtection="1">
      <alignment horizontal="center"/>
    </xf>
    <xf numFmtId="3" fontId="44" fillId="27" borderId="12" xfId="1168" applyNumberFormat="1" applyFont="1" applyFill="1" applyBorder="1" applyProtection="1"/>
    <xf numFmtId="14" fontId="44" fillId="27" borderId="16" xfId="1168" applyNumberFormat="1" applyFont="1" applyFill="1" applyBorder="1" applyProtection="1"/>
    <xf numFmtId="166" fontId="44" fillId="27" borderId="60" xfId="1168" applyNumberFormat="1" applyFont="1" applyFill="1" applyBorder="1" applyProtection="1"/>
    <xf numFmtId="166" fontId="44" fillId="27" borderId="42" xfId="1168" applyNumberFormat="1" applyFont="1" applyFill="1" applyBorder="1" applyProtection="1"/>
    <xf numFmtId="166" fontId="47" fillId="27" borderId="0" xfId="1168" applyNumberFormat="1" applyFont="1" applyFill="1" applyProtection="1"/>
    <xf numFmtId="166" fontId="47" fillId="27" borderId="16" xfId="1168" applyNumberFormat="1" applyFont="1" applyFill="1" applyBorder="1" applyProtection="1"/>
    <xf numFmtId="166" fontId="44" fillId="27" borderId="0" xfId="1168" applyNumberFormat="1" applyFont="1" applyFill="1" applyProtection="1"/>
    <xf numFmtId="166" fontId="44" fillId="27" borderId="16" xfId="1168" applyNumberFormat="1" applyFont="1" applyFill="1" applyBorder="1" applyProtection="1"/>
    <xf numFmtId="3" fontId="47" fillId="27" borderId="11" xfId="1168" applyNumberFormat="1" applyFont="1" applyFill="1" applyBorder="1" applyProtection="1"/>
    <xf numFmtId="3" fontId="44" fillId="26" borderId="16" xfId="1168" applyNumberFormat="1" applyFont="1" applyFill="1" applyBorder="1" applyAlignment="1" applyProtection="1">
      <alignment horizontal="right"/>
    </xf>
    <xf numFmtId="0" fontId="47" fillId="27" borderId="49" xfId="1168" applyFont="1" applyFill="1" applyBorder="1" applyProtection="1"/>
    <xf numFmtId="3" fontId="47" fillId="27" borderId="65" xfId="1168" applyNumberFormat="1" applyFont="1" applyFill="1" applyBorder="1" applyProtection="1"/>
    <xf numFmtId="3" fontId="47" fillId="27" borderId="89" xfId="1168" applyNumberFormat="1" applyFont="1" applyFill="1" applyBorder="1" applyProtection="1"/>
    <xf numFmtId="0" fontId="47" fillId="27" borderId="11" xfId="1168" applyFont="1" applyFill="1" applyBorder="1" applyProtection="1"/>
    <xf numFmtId="0" fontId="57" fillId="27" borderId="49" xfId="1168" applyFont="1" applyFill="1" applyBorder="1" applyProtection="1"/>
    <xf numFmtId="0" fontId="57" fillId="27" borderId="65" xfId="1168" applyFont="1" applyFill="1" applyBorder="1" applyProtection="1"/>
    <xf numFmtId="0" fontId="48" fillId="27" borderId="12" xfId="1168" applyFont="1" applyFill="1" applyBorder="1" applyAlignment="1" applyProtection="1">
      <alignment horizontal="center"/>
    </xf>
    <xf numFmtId="0" fontId="58" fillId="27" borderId="11" xfId="1168" applyFont="1" applyFill="1" applyBorder="1" applyProtection="1"/>
    <xf numFmtId="3" fontId="57" fillId="27" borderId="14" xfId="1168" applyNumberFormat="1" applyFont="1" applyFill="1" applyBorder="1" applyProtection="1"/>
    <xf numFmtId="3" fontId="58" fillId="27" borderId="14" xfId="1168" applyNumberFormat="1" applyFont="1" applyFill="1" applyBorder="1" applyProtection="1"/>
    <xf numFmtId="3" fontId="58" fillId="27" borderId="13" xfId="1168" applyNumberFormat="1" applyFont="1" applyFill="1" applyBorder="1" applyProtection="1"/>
    <xf numFmtId="3" fontId="44" fillId="27" borderId="16" xfId="1168" applyNumberFormat="1" applyFont="1" applyFill="1" applyBorder="1" applyProtection="1"/>
    <xf numFmtId="3" fontId="44" fillId="27" borderId="49" xfId="1168" applyNumberFormat="1" applyFont="1" applyFill="1" applyBorder="1" applyProtection="1"/>
    <xf numFmtId="3" fontId="44" fillId="27" borderId="60" xfId="1168" applyNumberFormat="1" applyFont="1" applyFill="1" applyBorder="1" applyProtection="1"/>
    <xf numFmtId="3" fontId="44" fillId="27" borderId="42" xfId="1168" applyNumberFormat="1" applyFont="1" applyFill="1" applyBorder="1" applyProtection="1"/>
    <xf numFmtId="3" fontId="62" fillId="27" borderId="12" xfId="2258" applyNumberFormat="1" applyFont="1" applyFill="1" applyBorder="1" applyProtection="1"/>
    <xf numFmtId="3" fontId="44" fillId="26" borderId="16" xfId="1168" applyNumberFormat="1" applyFont="1" applyFill="1" applyBorder="1" applyProtection="1"/>
    <xf numFmtId="3" fontId="62" fillId="27" borderId="49" xfId="2258" applyNumberFormat="1" applyFont="1" applyFill="1" applyBorder="1" applyProtection="1"/>
    <xf numFmtId="3" fontId="57" fillId="27" borderId="60" xfId="1168" applyNumberFormat="1" applyFont="1" applyFill="1" applyBorder="1" applyProtection="1"/>
    <xf numFmtId="3" fontId="57" fillId="27" borderId="42" xfId="1168" applyNumberFormat="1" applyFont="1" applyFill="1" applyBorder="1" applyProtection="1"/>
    <xf numFmtId="0" fontId="44" fillId="27" borderId="11" xfId="1168" applyFont="1" applyFill="1" applyBorder="1" applyProtection="1"/>
    <xf numFmtId="10" fontId="44" fillId="26" borderId="16" xfId="1168" applyNumberFormat="1" applyFont="1" applyFill="1" applyBorder="1" applyAlignment="1" applyProtection="1">
      <alignment horizontal="right"/>
    </xf>
    <xf numFmtId="3" fontId="44" fillId="27" borderId="0" xfId="1168" applyNumberFormat="1" applyFont="1" applyFill="1" applyProtection="1"/>
    <xf numFmtId="3" fontId="57" fillId="27" borderId="49" xfId="1168" applyNumberFormat="1" applyFont="1" applyFill="1" applyBorder="1" applyProtection="1"/>
    <xf numFmtId="166" fontId="44" fillId="27" borderId="65" xfId="1168" applyNumberFormat="1" applyFont="1" applyFill="1" applyBorder="1" applyProtection="1"/>
    <xf numFmtId="166" fontId="44" fillId="27" borderId="89" xfId="1168" applyNumberFormat="1" applyFont="1" applyFill="1" applyBorder="1" applyProtection="1"/>
    <xf numFmtId="166" fontId="44" fillId="27" borderId="10" xfId="39935" applyNumberFormat="1" applyFont="1" applyFill="1" applyBorder="1" applyProtection="1"/>
    <xf numFmtId="166" fontId="44" fillId="27" borderId="17" xfId="39935" applyNumberFormat="1" applyFont="1" applyFill="1" applyBorder="1" applyProtection="1"/>
    <xf numFmtId="9" fontId="24" fillId="26" borderId="0" xfId="1170" applyNumberFormat="1" applyFill="1" applyProtection="1"/>
    <xf numFmtId="43" fontId="24" fillId="27" borderId="10" xfId="1170" applyNumberFormat="1" applyFill="1" applyBorder="1" applyProtection="1"/>
    <xf numFmtId="0" fontId="24" fillId="27" borderId="89" xfId="1170" applyFill="1" applyBorder="1" applyProtection="1"/>
    <xf numFmtId="0" fontId="24" fillId="27" borderId="11" xfId="1170" applyFill="1" applyBorder="1" applyProtection="1"/>
    <xf numFmtId="9" fontId="77" fillId="26" borderId="0" xfId="1170" applyNumberFormat="1" applyFont="1" applyFill="1" applyProtection="1"/>
    <xf numFmtId="0" fontId="49" fillId="27" borderId="0" xfId="39935" applyFont="1" applyFill="1" applyAlignment="1" applyProtection="1">
      <alignment horizontal="left"/>
    </xf>
    <xf numFmtId="14" fontId="48" fillId="27" borderId="0" xfId="39935" applyNumberFormat="1" applyFont="1" applyFill="1" applyAlignment="1" applyProtection="1">
      <alignment horizontal="center"/>
    </xf>
    <xf numFmtId="0" fontId="44" fillId="27" borderId="14" xfId="39935" applyFont="1" applyFill="1" applyBorder="1" applyProtection="1"/>
    <xf numFmtId="0" fontId="47" fillId="27" borderId="11" xfId="39935" applyFont="1" applyFill="1" applyBorder="1" applyAlignment="1" applyProtection="1">
      <alignment horizontal="left"/>
    </xf>
    <xf numFmtId="0" fontId="47" fillId="27" borderId="13" xfId="39935" applyFont="1" applyFill="1" applyBorder="1" applyAlignment="1" applyProtection="1">
      <alignment horizontal="center"/>
    </xf>
    <xf numFmtId="166" fontId="47" fillId="27" borderId="0" xfId="39935" applyNumberFormat="1" applyFont="1" applyFill="1" applyAlignment="1" applyProtection="1">
      <alignment horizontal="center"/>
    </xf>
    <xf numFmtId="0" fontId="50" fillId="27" borderId="11" xfId="39935" applyFont="1" applyFill="1" applyBorder="1" applyAlignment="1" applyProtection="1">
      <alignment horizontal="center"/>
    </xf>
    <xf numFmtId="0" fontId="51" fillId="27" borderId="14" xfId="39935" applyFont="1" applyFill="1" applyBorder="1" applyAlignment="1" applyProtection="1">
      <alignment horizontal="center"/>
    </xf>
    <xf numFmtId="0" fontId="51" fillId="27" borderId="13" xfId="39935" applyFont="1" applyFill="1" applyBorder="1" applyAlignment="1" applyProtection="1">
      <alignment horizontal="center"/>
    </xf>
    <xf numFmtId="0" fontId="60" fillId="27" borderId="0" xfId="39935" applyFont="1" applyFill="1" applyProtection="1"/>
    <xf numFmtId="0" fontId="47" fillId="27" borderId="49" xfId="39935" applyFont="1" applyFill="1" applyBorder="1" applyAlignment="1" applyProtection="1">
      <alignment horizontal="left"/>
    </xf>
    <xf numFmtId="14" fontId="47" fillId="27" borderId="66" xfId="39935" applyNumberFormat="1" applyFont="1" applyFill="1" applyBorder="1" applyAlignment="1" applyProtection="1">
      <alignment horizontal="center"/>
    </xf>
    <xf numFmtId="0" fontId="48" fillId="27" borderId="15" xfId="39935" applyFont="1" applyFill="1" applyBorder="1" applyAlignment="1" applyProtection="1">
      <alignment horizontal="center"/>
    </xf>
    <xf numFmtId="0" fontId="44" fillId="27" borderId="19" xfId="39935" applyFont="1" applyFill="1" applyBorder="1" applyAlignment="1" applyProtection="1">
      <alignment horizontal="center"/>
    </xf>
    <xf numFmtId="0" fontId="47" fillId="27" borderId="19" xfId="39935" applyFont="1" applyFill="1" applyBorder="1" applyAlignment="1" applyProtection="1">
      <alignment horizontal="center"/>
    </xf>
    <xf numFmtId="0" fontId="47" fillId="27" borderId="18" xfId="39935" applyFont="1" applyFill="1" applyBorder="1" applyAlignment="1" applyProtection="1">
      <alignment horizontal="center"/>
    </xf>
    <xf numFmtId="0" fontId="47" fillId="27" borderId="0" xfId="39935" applyFont="1" applyFill="1" applyAlignment="1" applyProtection="1">
      <alignment horizontal="left"/>
    </xf>
    <xf numFmtId="0" fontId="47" fillId="27" borderId="0" xfId="39935" applyFont="1" applyFill="1" applyAlignment="1" applyProtection="1">
      <alignment horizontal="center"/>
    </xf>
    <xf numFmtId="0" fontId="48" fillId="27" borderId="11" xfId="39935" applyFont="1" applyFill="1" applyBorder="1" applyAlignment="1" applyProtection="1">
      <alignment horizontal="center"/>
    </xf>
    <xf numFmtId="0" fontId="44" fillId="27" borderId="14" xfId="39935" applyFont="1" applyFill="1" applyBorder="1" applyAlignment="1" applyProtection="1">
      <alignment horizontal="center"/>
    </xf>
    <xf numFmtId="0" fontId="47" fillId="27" borderId="14" xfId="39935" applyFont="1" applyFill="1" applyBorder="1" applyAlignment="1" applyProtection="1">
      <alignment horizontal="center"/>
    </xf>
    <xf numFmtId="0" fontId="42" fillId="27" borderId="11" xfId="1168" applyFont="1" applyFill="1" applyBorder="1" applyProtection="1"/>
    <xf numFmtId="0" fontId="24" fillId="27" borderId="14" xfId="1168" applyFill="1" applyBorder="1" applyProtection="1"/>
    <xf numFmtId="0" fontId="24" fillId="27" borderId="13" xfId="1168" applyFill="1" applyBorder="1" applyProtection="1"/>
    <xf numFmtId="0" fontId="44" fillId="27" borderId="15" xfId="39935" applyFont="1" applyFill="1" applyBorder="1" applyProtection="1"/>
    <xf numFmtId="0" fontId="44" fillId="27" borderId="12" xfId="39935" applyFont="1" applyFill="1" applyBorder="1" applyAlignment="1" applyProtection="1">
      <alignment horizontal="left"/>
    </xf>
    <xf numFmtId="0" fontId="44" fillId="27" borderId="0" xfId="39935" applyFont="1" applyFill="1" applyAlignment="1" applyProtection="1">
      <alignment horizontal="center"/>
    </xf>
    <xf numFmtId="166" fontId="44" fillId="27" borderId="0" xfId="39935" applyNumberFormat="1" applyFont="1" applyFill="1" applyProtection="1"/>
    <xf numFmtId="166" fontId="44" fillId="27" borderId="16" xfId="39935" applyNumberFormat="1" applyFont="1" applyFill="1" applyBorder="1" applyProtection="1"/>
    <xf numFmtId="0" fontId="42" fillId="27" borderId="12" xfId="1168" applyFont="1" applyFill="1" applyBorder="1" applyProtection="1"/>
    <xf numFmtId="0" fontId="24" fillId="27" borderId="0" xfId="1168" applyFill="1" applyProtection="1"/>
    <xf numFmtId="0" fontId="24" fillId="27" borderId="16" xfId="1168" applyFill="1" applyBorder="1" applyProtection="1"/>
    <xf numFmtId="0" fontId="24" fillId="27" borderId="10" xfId="1168" applyFill="1" applyBorder="1" applyAlignment="1" applyProtection="1">
      <alignment horizontal="center"/>
    </xf>
    <xf numFmtId="166" fontId="44" fillId="27" borderId="18" xfId="39935" applyNumberFormat="1" applyFont="1" applyFill="1" applyBorder="1" applyProtection="1"/>
    <xf numFmtId="0" fontId="24" fillId="27" borderId="12" xfId="1168" applyFill="1" applyBorder="1" applyAlignment="1" applyProtection="1">
      <alignment horizontal="left"/>
    </xf>
    <xf numFmtId="166" fontId="24" fillId="27" borderId="0" xfId="1168" applyNumberFormat="1" applyFill="1" applyProtection="1"/>
    <xf numFmtId="0" fontId="51" fillId="27" borderId="12" xfId="39935" applyFont="1" applyFill="1" applyBorder="1" applyAlignment="1" applyProtection="1">
      <alignment horizontal="left"/>
    </xf>
    <xf numFmtId="0" fontId="44" fillId="27" borderId="11" xfId="1168" quotePrefix="1" applyFont="1" applyFill="1" applyBorder="1" applyProtection="1"/>
    <xf numFmtId="3" fontId="44" fillId="27" borderId="13" xfId="39935" applyNumberFormat="1" applyFont="1" applyFill="1" applyBorder="1" applyAlignment="1" applyProtection="1">
      <alignment horizontal="right"/>
    </xf>
    <xf numFmtId="0" fontId="44" fillId="27" borderId="16" xfId="39935" applyFont="1" applyFill="1" applyBorder="1" applyProtection="1"/>
    <xf numFmtId="3" fontId="44" fillId="26" borderId="42" xfId="39935" applyNumberFormat="1" applyFont="1" applyFill="1" applyBorder="1" applyAlignment="1" applyProtection="1">
      <alignment horizontal="right"/>
    </xf>
    <xf numFmtId="3" fontId="47" fillId="27" borderId="66" xfId="39935" applyNumberFormat="1" applyFont="1" applyFill="1" applyBorder="1" applyAlignment="1" applyProtection="1">
      <alignment horizontal="right"/>
    </xf>
    <xf numFmtId="166" fontId="24" fillId="27" borderId="10" xfId="1168" applyNumberFormat="1" applyFill="1" applyBorder="1" applyProtection="1"/>
    <xf numFmtId="0" fontId="44" fillId="27" borderId="13" xfId="39935" applyFont="1" applyFill="1" applyBorder="1" applyProtection="1"/>
    <xf numFmtId="166" fontId="42" fillId="27" borderId="0" xfId="1168" applyNumberFormat="1" applyFont="1" applyFill="1" applyProtection="1"/>
    <xf numFmtId="0" fontId="44" fillId="27" borderId="49" xfId="39935" applyFont="1" applyFill="1" applyBorder="1" applyProtection="1"/>
    <xf numFmtId="0" fontId="44" fillId="26" borderId="89" xfId="39935" applyFont="1" applyFill="1" applyBorder="1" applyProtection="1"/>
    <xf numFmtId="0" fontId="24" fillId="27" borderId="0" xfId="1168" applyFill="1" applyAlignment="1" applyProtection="1">
      <alignment horizontal="center"/>
    </xf>
    <xf numFmtId="0" fontId="47" fillId="27" borderId="0" xfId="39935" applyFont="1" applyFill="1" applyProtection="1"/>
    <xf numFmtId="0" fontId="51" fillId="27" borderId="12" xfId="39935" applyFont="1" applyFill="1" applyBorder="1" applyProtection="1"/>
    <xf numFmtId="166" fontId="47" fillId="27" borderId="60" xfId="39935" applyNumberFormat="1" applyFont="1" applyFill="1" applyBorder="1" applyProtection="1"/>
    <xf numFmtId="166" fontId="47" fillId="27" borderId="42" xfId="39935" applyNumberFormat="1" applyFont="1" applyFill="1" applyBorder="1" applyProtection="1"/>
    <xf numFmtId="0" fontId="48" fillId="27" borderId="0" xfId="39935" applyFont="1" applyFill="1" applyProtection="1"/>
    <xf numFmtId="9" fontId="0" fillId="27" borderId="33" xfId="1154" applyFont="1" applyFill="1" applyBorder="1" applyProtection="1"/>
    <xf numFmtId="0" fontId="24" fillId="27" borderId="33" xfId="1168" applyFill="1" applyBorder="1" applyProtection="1"/>
    <xf numFmtId="9" fontId="0" fillId="27" borderId="16" xfId="1154" applyFont="1" applyFill="1" applyBorder="1" applyProtection="1"/>
    <xf numFmtId="166" fontId="57" fillId="27" borderId="13" xfId="638" applyNumberFormat="1" applyFont="1" applyFill="1" applyBorder="1" applyProtection="1"/>
    <xf numFmtId="166" fontId="47" fillId="27" borderId="0" xfId="39935" applyNumberFormat="1" applyFont="1" applyFill="1" applyProtection="1"/>
    <xf numFmtId="166" fontId="47" fillId="27" borderId="16" xfId="39935" applyNumberFormat="1" applyFont="1" applyFill="1" applyBorder="1" applyProtection="1"/>
    <xf numFmtId="9" fontId="0" fillId="27" borderId="0" xfId="1154" applyFont="1" applyFill="1" applyBorder="1" applyProtection="1"/>
    <xf numFmtId="0" fontId="24" fillId="27" borderId="12" xfId="1168" applyFill="1" applyBorder="1" applyProtection="1"/>
    <xf numFmtId="166" fontId="0" fillId="26" borderId="16" xfId="638" applyNumberFormat="1" applyFont="1" applyFill="1" applyBorder="1" applyProtection="1"/>
    <xf numFmtId="0" fontId="47" fillId="27" borderId="12" xfId="1168" quotePrefix="1" applyFont="1" applyFill="1" applyBorder="1" applyProtection="1"/>
    <xf numFmtId="166" fontId="47" fillId="27" borderId="23" xfId="39935" applyNumberFormat="1" applyFont="1" applyFill="1" applyBorder="1" applyProtection="1"/>
    <xf numFmtId="166" fontId="47" fillId="27" borderId="27" xfId="39935" applyNumberFormat="1" applyFont="1" applyFill="1" applyBorder="1" applyProtection="1"/>
    <xf numFmtId="0" fontId="52" fillId="27" borderId="12" xfId="1168" applyFont="1" applyFill="1" applyBorder="1" applyProtection="1"/>
    <xf numFmtId="0" fontId="24" fillId="27" borderId="10" xfId="1168" applyFill="1" applyBorder="1" applyProtection="1"/>
    <xf numFmtId="9" fontId="0" fillId="27" borderId="10" xfId="1154" applyFont="1" applyFill="1" applyBorder="1" applyProtection="1"/>
    <xf numFmtId="166" fontId="42" fillId="27" borderId="16" xfId="638" applyNumberFormat="1" applyFont="1" applyFill="1" applyBorder="1" applyProtection="1"/>
    <xf numFmtId="3" fontId="53" fillId="27" borderId="0" xfId="39935" applyNumberFormat="1" applyFont="1" applyFill="1" applyProtection="1"/>
    <xf numFmtId="180" fontId="0" fillId="27" borderId="16" xfId="1727" applyNumberFormat="1" applyFont="1" applyFill="1" applyBorder="1" applyProtection="1"/>
    <xf numFmtId="0" fontId="44" fillId="27" borderId="12" xfId="1168" quotePrefix="1" applyFont="1" applyFill="1" applyBorder="1" applyProtection="1"/>
    <xf numFmtId="166" fontId="0" fillId="27" borderId="76" xfId="642" applyNumberFormat="1" applyFont="1" applyFill="1" applyBorder="1" applyProtection="1"/>
    <xf numFmtId="166" fontId="0" fillId="27" borderId="0" xfId="642" applyNumberFormat="1" applyFont="1" applyFill="1" applyBorder="1" applyProtection="1"/>
    <xf numFmtId="166" fontId="24" fillId="27" borderId="76" xfId="1168" applyNumberFormat="1" applyFill="1" applyBorder="1" applyProtection="1"/>
    <xf numFmtId="166" fontId="0" fillId="27" borderId="16" xfId="1154" applyNumberFormat="1" applyFont="1" applyFill="1" applyBorder="1" applyProtection="1"/>
    <xf numFmtId="180" fontId="42" fillId="27" borderId="16" xfId="1727" applyNumberFormat="1" applyFont="1" applyFill="1" applyBorder="1" applyProtection="1"/>
    <xf numFmtId="166" fontId="0" fillId="27" borderId="10" xfId="642" applyNumberFormat="1" applyFont="1" applyFill="1" applyBorder="1" applyProtection="1"/>
    <xf numFmtId="166" fontId="0" fillId="27" borderId="17" xfId="1154" applyNumberFormat="1" applyFont="1" applyFill="1" applyBorder="1" applyProtection="1"/>
    <xf numFmtId="0" fontId="42" fillId="27" borderId="49" xfId="1168" applyFont="1" applyFill="1" applyBorder="1" applyProtection="1"/>
    <xf numFmtId="180" fontId="42" fillId="27" borderId="66" xfId="1727" applyNumberFormat="1" applyFont="1" applyFill="1" applyBorder="1" applyProtection="1"/>
    <xf numFmtId="10" fontId="44" fillId="26" borderId="18" xfId="1168" applyNumberFormat="1" applyFont="1" applyFill="1" applyBorder="1" applyAlignment="1" applyProtection="1">
      <alignment horizontal="right"/>
    </xf>
    <xf numFmtId="0" fontId="44" fillId="27" borderId="10" xfId="39935" applyFont="1" applyFill="1" applyBorder="1" applyProtection="1"/>
    <xf numFmtId="166" fontId="24" fillId="27" borderId="16" xfId="1168" applyNumberFormat="1" applyFill="1" applyBorder="1" applyProtection="1"/>
    <xf numFmtId="0" fontId="47" fillId="27" borderId="13" xfId="39935" applyFont="1" applyFill="1" applyBorder="1" applyProtection="1"/>
    <xf numFmtId="0" fontId="44" fillId="26" borderId="16" xfId="39935" applyFont="1" applyFill="1" applyBorder="1" applyProtection="1"/>
    <xf numFmtId="0" fontId="44" fillId="26" borderId="66" xfId="39935" applyFont="1" applyFill="1" applyBorder="1" applyProtection="1"/>
    <xf numFmtId="43" fontId="44" fillId="27" borderId="0" xfId="39935" applyNumberFormat="1" applyFont="1" applyFill="1" applyProtection="1"/>
    <xf numFmtId="43" fontId="44" fillId="27" borderId="0" xfId="638" applyFont="1" applyFill="1" applyProtection="1"/>
    <xf numFmtId="0" fontId="47" fillId="27" borderId="12" xfId="39935" applyFont="1" applyFill="1" applyBorder="1" applyAlignment="1" applyProtection="1">
      <alignment horizontal="left"/>
    </xf>
    <xf numFmtId="166" fontId="47" fillId="27" borderId="25" xfId="39935" applyNumberFormat="1" applyFont="1" applyFill="1" applyBorder="1" applyProtection="1"/>
    <xf numFmtId="166" fontId="47" fillId="27" borderId="24" xfId="39935" applyNumberFormat="1" applyFont="1" applyFill="1" applyBorder="1" applyProtection="1"/>
    <xf numFmtId="0" fontId="47" fillId="27" borderId="26" xfId="39935" applyFont="1" applyFill="1" applyBorder="1" applyProtection="1"/>
    <xf numFmtId="3" fontId="44" fillId="27" borderId="25" xfId="39935" applyNumberFormat="1" applyFont="1" applyFill="1" applyBorder="1" applyProtection="1"/>
    <xf numFmtId="0" fontId="69" fillId="27" borderId="12" xfId="39945" applyFont="1" applyFill="1" applyBorder="1" applyProtection="1"/>
    <xf numFmtId="0" fontId="68" fillId="27" borderId="12" xfId="39945" applyFont="1" applyFill="1" applyBorder="1" applyProtection="1"/>
    <xf numFmtId="188" fontId="0" fillId="27" borderId="0" xfId="642" applyNumberFormat="1" applyFont="1" applyFill="1" applyBorder="1" applyProtection="1"/>
    <xf numFmtId="0" fontId="47" fillId="27" borderId="49" xfId="39935" applyFont="1" applyFill="1" applyBorder="1" applyProtection="1"/>
    <xf numFmtId="166" fontId="47" fillId="27" borderId="65" xfId="39935" applyNumberFormat="1" applyFont="1" applyFill="1" applyBorder="1" applyProtection="1"/>
    <xf numFmtId="166" fontId="47" fillId="27" borderId="89" xfId="39935" applyNumberFormat="1" applyFont="1" applyFill="1" applyBorder="1" applyProtection="1"/>
    <xf numFmtId="166" fontId="42" fillId="27" borderId="0" xfId="642" applyNumberFormat="1" applyFont="1" applyFill="1" applyBorder="1" applyProtection="1"/>
    <xf numFmtId="0" fontId="47" fillId="27" borderId="15" xfId="39935" applyFont="1" applyFill="1" applyBorder="1" applyProtection="1"/>
    <xf numFmtId="3" fontId="44" fillId="27" borderId="19" xfId="39935" applyNumberFormat="1" applyFont="1" applyFill="1" applyBorder="1" applyProtection="1"/>
    <xf numFmtId="166" fontId="47" fillId="27" borderId="19" xfId="39935" applyNumberFormat="1" applyFont="1" applyFill="1" applyBorder="1" applyProtection="1"/>
    <xf numFmtId="166" fontId="47" fillId="27" borderId="18" xfId="39935" applyNumberFormat="1" applyFont="1" applyFill="1" applyBorder="1" applyProtection="1"/>
    <xf numFmtId="43" fontId="42" fillId="27" borderId="0" xfId="642" applyFont="1" applyFill="1" applyBorder="1" applyProtection="1"/>
    <xf numFmtId="10" fontId="59" fillId="27" borderId="11" xfId="39935" applyNumberFormat="1" applyFont="1" applyFill="1" applyBorder="1" applyProtection="1"/>
    <xf numFmtId="3" fontId="59" fillId="27" borderId="14" xfId="39935" applyNumberFormat="1" applyFont="1" applyFill="1" applyBorder="1" applyProtection="1"/>
    <xf numFmtId="166" fontId="47" fillId="27" borderId="14" xfId="39935" applyNumberFormat="1" applyFont="1" applyFill="1" applyBorder="1" applyProtection="1"/>
    <xf numFmtId="166" fontId="47" fillId="27" borderId="13" xfId="39935" applyNumberFormat="1" applyFont="1" applyFill="1" applyBorder="1" applyProtection="1"/>
    <xf numFmtId="0" fontId="24" fillId="27" borderId="49" xfId="1168" applyFill="1" applyBorder="1" applyProtection="1"/>
    <xf numFmtId="0" fontId="24" fillId="27" borderId="65" xfId="1168" applyFill="1" applyBorder="1" applyProtection="1"/>
    <xf numFmtId="0" fontId="44" fillId="27" borderId="65" xfId="39935" applyFont="1" applyFill="1" applyBorder="1" applyProtection="1"/>
    <xf numFmtId="166" fontId="47" fillId="27" borderId="57" xfId="39935" applyNumberFormat="1" applyFont="1" applyFill="1" applyBorder="1" applyProtection="1"/>
    <xf numFmtId="166" fontId="47" fillId="27" borderId="59" xfId="39935" applyNumberFormat="1" applyFont="1" applyFill="1" applyBorder="1" applyProtection="1"/>
    <xf numFmtId="0" fontId="44" fillId="27" borderId="0" xfId="39935" applyFont="1" applyFill="1" applyBorder="1" applyProtection="1"/>
    <xf numFmtId="3" fontId="44" fillId="27" borderId="0" xfId="39935" applyNumberFormat="1" applyFont="1" applyFill="1" applyBorder="1" applyAlignment="1" applyProtection="1">
      <alignment horizontal="center"/>
    </xf>
    <xf numFmtId="0" fontId="47" fillId="27" borderId="11" xfId="27049" applyFont="1" applyFill="1" applyBorder="1" applyProtection="1"/>
    <xf numFmtId="167" fontId="44" fillId="27" borderId="14" xfId="27049" applyNumberFormat="1" applyFont="1" applyFill="1" applyBorder="1" applyAlignment="1" applyProtection="1">
      <alignment horizontal="right"/>
    </xf>
    <xf numFmtId="166" fontId="44" fillId="27" borderId="14" xfId="638" applyNumberFormat="1" applyFont="1" applyFill="1" applyBorder="1" applyProtection="1"/>
    <xf numFmtId="166" fontId="44" fillId="27" borderId="13" xfId="638" applyNumberFormat="1" applyFont="1" applyFill="1" applyBorder="1" applyProtection="1"/>
    <xf numFmtId="166" fontId="0" fillId="27" borderId="33" xfId="642" applyNumberFormat="1" applyFont="1" applyFill="1" applyBorder="1" applyProtection="1"/>
    <xf numFmtId="0" fontId="47" fillId="27" borderId="12" xfId="27049" applyFont="1" applyFill="1" applyBorder="1" applyProtection="1"/>
    <xf numFmtId="167" fontId="44" fillId="27" borderId="0" xfId="27049" applyNumberFormat="1" applyFont="1" applyFill="1" applyAlignment="1" applyProtection="1">
      <alignment horizontal="right"/>
    </xf>
    <xf numFmtId="166" fontId="24" fillId="27" borderId="0" xfId="1168" applyNumberFormat="1" applyFill="1" applyBorder="1" applyProtection="1"/>
    <xf numFmtId="167" fontId="60" fillId="27" borderId="0" xfId="27049" applyNumberFormat="1" applyFont="1" applyFill="1" applyProtection="1"/>
    <xf numFmtId="166" fontId="60" fillId="27" borderId="0" xfId="27050" applyNumberFormat="1" applyFont="1" applyFill="1" applyBorder="1" applyProtection="1"/>
    <xf numFmtId="166" fontId="44" fillId="27" borderId="0" xfId="27050" applyNumberFormat="1" applyFont="1" applyFill="1" applyBorder="1" applyProtection="1"/>
    <xf numFmtId="166" fontId="60" fillId="27" borderId="16" xfId="27050" applyNumberFormat="1" applyFont="1" applyFill="1" applyBorder="1" applyProtection="1"/>
    <xf numFmtId="0" fontId="44" fillId="27" borderId="12" xfId="27049" applyFont="1" applyFill="1" applyBorder="1" applyProtection="1"/>
    <xf numFmtId="0" fontId="44" fillId="27" borderId="0" xfId="27049" applyFont="1" applyFill="1" applyProtection="1"/>
    <xf numFmtId="10" fontId="44" fillId="27" borderId="0" xfId="1154" applyNumberFormat="1" applyFont="1" applyFill="1" applyBorder="1" applyProtection="1"/>
    <xf numFmtId="10" fontId="44" fillId="27" borderId="60" xfId="1154" applyNumberFormat="1" applyFont="1" applyFill="1" applyBorder="1" applyProtection="1"/>
    <xf numFmtId="10" fontId="44" fillId="27" borderId="42" xfId="1154" applyNumberFormat="1" applyFont="1" applyFill="1" applyBorder="1" applyProtection="1"/>
    <xf numFmtId="166" fontId="47" fillId="27" borderId="0" xfId="39935" applyNumberFormat="1" applyFont="1" applyFill="1" applyBorder="1" applyProtection="1"/>
    <xf numFmtId="166" fontId="44" fillId="27" borderId="0" xfId="27049" applyNumberFormat="1" applyFont="1" applyFill="1" applyProtection="1"/>
    <xf numFmtId="3" fontId="44" fillId="27" borderId="0" xfId="27049" applyNumberFormat="1" applyFont="1" applyFill="1" applyProtection="1"/>
    <xf numFmtId="3" fontId="44" fillId="27" borderId="16" xfId="27049" applyNumberFormat="1" applyFont="1" applyFill="1" applyBorder="1" applyProtection="1"/>
    <xf numFmtId="3" fontId="44" fillId="27" borderId="0" xfId="39935" applyNumberFormat="1" applyFont="1" applyFill="1" applyBorder="1" applyProtection="1"/>
    <xf numFmtId="166" fontId="44" fillId="27" borderId="16" xfId="27050" applyNumberFormat="1" applyFont="1" applyFill="1" applyBorder="1" applyProtection="1"/>
    <xf numFmtId="166" fontId="44" fillId="27" borderId="0" xfId="39935" applyNumberFormat="1" applyFont="1" applyFill="1" applyBorder="1" applyProtection="1"/>
    <xf numFmtId="0" fontId="44" fillId="27" borderId="49" xfId="27049" applyFont="1" applyFill="1" applyBorder="1" applyProtection="1"/>
    <xf numFmtId="0" fontId="44" fillId="27" borderId="65" xfId="27049" applyFont="1" applyFill="1" applyBorder="1" applyProtection="1"/>
    <xf numFmtId="166" fontId="44" fillId="27" borderId="65" xfId="27049" applyNumberFormat="1" applyFont="1" applyFill="1" applyBorder="1" applyProtection="1"/>
    <xf numFmtId="0" fontId="44" fillId="27" borderId="66" xfId="27049" applyFont="1" applyFill="1" applyBorder="1" applyProtection="1"/>
    <xf numFmtId="166" fontId="44" fillId="27" borderId="89" xfId="39935" applyNumberFormat="1" applyFont="1" applyFill="1" applyBorder="1" applyProtection="1"/>
    <xf numFmtId="0" fontId="50" fillId="27" borderId="0" xfId="1168" applyFont="1" applyFill="1" applyAlignment="1" applyProtection="1">
      <alignment horizontal="left"/>
    </xf>
    <xf numFmtId="14" fontId="48" fillId="27" borderId="0" xfId="1168" applyNumberFormat="1" applyFont="1" applyFill="1" applyAlignment="1" applyProtection="1">
      <alignment horizontal="center"/>
    </xf>
    <xf numFmtId="14" fontId="44" fillId="27" borderId="0" xfId="1168" applyNumberFormat="1" applyFont="1" applyFill="1" applyProtection="1"/>
    <xf numFmtId="0" fontId="47" fillId="27" borderId="0" xfId="1168" applyFont="1" applyFill="1" applyAlignment="1" applyProtection="1">
      <alignment horizontal="left"/>
    </xf>
    <xf numFmtId="0" fontId="47" fillId="27" borderId="15" xfId="1168" applyFont="1" applyFill="1" applyBorder="1" applyAlignment="1" applyProtection="1">
      <alignment horizontal="left"/>
    </xf>
    <xf numFmtId="0" fontId="47" fillId="27" borderId="18" xfId="1168" applyFont="1" applyFill="1" applyBorder="1" applyAlignment="1" applyProtection="1">
      <alignment horizontal="center"/>
    </xf>
    <xf numFmtId="166" fontId="47" fillId="27" borderId="0" xfId="1168" applyNumberFormat="1" applyFont="1" applyFill="1" applyAlignment="1" applyProtection="1">
      <alignment horizontal="center"/>
    </xf>
    <xf numFmtId="0" fontId="50" fillId="27" borderId="11" xfId="1168" applyFont="1" applyFill="1" applyBorder="1" applyAlignment="1" applyProtection="1">
      <alignment horizontal="center"/>
    </xf>
    <xf numFmtId="0" fontId="48" fillId="27" borderId="49" xfId="1168" applyFont="1" applyFill="1" applyBorder="1" applyAlignment="1" applyProtection="1">
      <alignment horizontal="center"/>
    </xf>
    <xf numFmtId="0" fontId="44" fillId="27" borderId="65" xfId="1168" applyFont="1" applyFill="1" applyBorder="1" applyAlignment="1" applyProtection="1">
      <alignment horizontal="center"/>
    </xf>
    <xf numFmtId="0" fontId="47" fillId="27" borderId="15" xfId="1168" applyFont="1" applyFill="1" applyBorder="1" applyProtection="1"/>
    <xf numFmtId="0" fontId="44" fillId="27" borderId="18" xfId="1168" applyFont="1" applyFill="1" applyBorder="1" applyProtection="1"/>
    <xf numFmtId="3" fontId="44" fillId="27" borderId="14" xfId="1168" applyNumberFormat="1" applyFont="1" applyFill="1" applyBorder="1" applyProtection="1"/>
    <xf numFmtId="3" fontId="44" fillId="27" borderId="13" xfId="1168" applyNumberFormat="1" applyFont="1" applyFill="1" applyBorder="1" applyProtection="1"/>
    <xf numFmtId="0" fontId="57" fillId="27" borderId="11" xfId="1168" applyFont="1" applyFill="1" applyBorder="1" applyProtection="1"/>
    <xf numFmtId="3" fontId="57" fillId="26" borderId="13" xfId="39935" applyNumberFormat="1" applyFont="1" applyFill="1" applyBorder="1" applyAlignment="1" applyProtection="1">
      <alignment horizontal="center"/>
    </xf>
    <xf numFmtId="3" fontId="44" fillId="27" borderId="0" xfId="1168" applyNumberFormat="1" applyFont="1" applyFill="1" applyBorder="1" applyProtection="1"/>
    <xf numFmtId="0" fontId="57" fillId="27" borderId="12" xfId="39935" applyFont="1" applyFill="1" applyBorder="1" applyProtection="1"/>
    <xf numFmtId="0" fontId="57" fillId="27" borderId="49" xfId="39935" applyFont="1" applyFill="1" applyBorder="1" applyProtection="1"/>
    <xf numFmtId="166" fontId="57" fillId="27" borderId="66" xfId="39936" applyNumberFormat="1" applyFont="1" applyFill="1" applyBorder="1" applyProtection="1"/>
    <xf numFmtId="3" fontId="44" fillId="27" borderId="10" xfId="1168" applyNumberFormat="1" applyFont="1" applyFill="1" applyBorder="1" applyProtection="1"/>
    <xf numFmtId="3" fontId="44" fillId="27" borderId="17" xfId="1168" applyNumberFormat="1" applyFont="1" applyFill="1" applyBorder="1" applyProtection="1"/>
    <xf numFmtId="3" fontId="47" fillId="27" borderId="0" xfId="1168" applyNumberFormat="1" applyFont="1" applyFill="1" applyAlignment="1" applyProtection="1">
      <alignment horizontal="center"/>
    </xf>
    <xf numFmtId="0" fontId="44" fillId="27" borderId="65" xfId="1168" applyFont="1" applyFill="1" applyBorder="1" applyProtection="1"/>
    <xf numFmtId="3" fontId="44" fillId="27" borderId="65" xfId="1168" applyNumberFormat="1" applyFont="1" applyFill="1" applyBorder="1" applyProtection="1"/>
    <xf numFmtId="3" fontId="44" fillId="27" borderId="89" xfId="1168" applyNumberFormat="1" applyFont="1" applyFill="1" applyBorder="1" applyProtection="1"/>
    <xf numFmtId="3" fontId="44" fillId="27" borderId="66" xfId="1168" applyNumberFormat="1" applyFont="1" applyFill="1" applyBorder="1" applyProtection="1"/>
    <xf numFmtId="0" fontId="44" fillId="27" borderId="13" xfId="1168" applyFont="1" applyFill="1" applyBorder="1" applyProtection="1"/>
    <xf numFmtId="0" fontId="57" fillId="27" borderId="14" xfId="1168" applyFont="1" applyFill="1" applyBorder="1" applyProtection="1"/>
    <xf numFmtId="0" fontId="57" fillId="27" borderId="13" xfId="1168" applyFont="1" applyFill="1" applyBorder="1" applyProtection="1"/>
    <xf numFmtId="166" fontId="0" fillId="27" borderId="14" xfId="39933" applyNumberFormat="1" applyFont="1" applyFill="1" applyBorder="1" applyProtection="1"/>
    <xf numFmtId="3" fontId="44" fillId="27" borderId="16" xfId="1168" applyNumberFormat="1" applyFont="1" applyFill="1" applyBorder="1" applyAlignment="1" applyProtection="1">
      <alignment horizontal="right"/>
    </xf>
    <xf numFmtId="0" fontId="44" fillId="27" borderId="0" xfId="1168" applyFont="1" applyFill="1" applyBorder="1" applyProtection="1"/>
    <xf numFmtId="14" fontId="44" fillId="26" borderId="16" xfId="1168" applyNumberFormat="1" applyFont="1" applyFill="1" applyBorder="1" applyProtection="1"/>
    <xf numFmtId="44" fontId="44" fillId="27" borderId="0" xfId="1168" applyNumberFormat="1" applyFont="1" applyFill="1" applyProtection="1"/>
    <xf numFmtId="9" fontId="44" fillId="27" borderId="0" xfId="1168" applyNumberFormat="1" applyFont="1" applyFill="1" applyBorder="1" applyProtection="1"/>
    <xf numFmtId="0" fontId="44" fillId="27" borderId="121" xfId="1168" applyFont="1" applyFill="1" applyBorder="1" applyProtection="1"/>
    <xf numFmtId="0" fontId="44" fillId="27" borderId="122" xfId="1168" applyFont="1" applyFill="1" applyBorder="1" applyProtection="1"/>
    <xf numFmtId="0" fontId="58" fillId="27" borderId="124" xfId="1168" applyFont="1" applyFill="1" applyBorder="1" applyProtection="1"/>
    <xf numFmtId="0" fontId="57" fillId="27" borderId="123" xfId="1168" applyFont="1" applyFill="1" applyBorder="1" applyProtection="1"/>
    <xf numFmtId="166" fontId="57" fillId="27" borderId="123" xfId="638" applyNumberFormat="1" applyFont="1" applyFill="1" applyBorder="1" applyProtection="1"/>
    <xf numFmtId="166" fontId="57" fillId="27" borderId="125" xfId="638" applyNumberFormat="1" applyFont="1" applyFill="1" applyBorder="1" applyProtection="1"/>
    <xf numFmtId="166" fontId="57" fillId="27" borderId="19" xfId="638" applyNumberFormat="1" applyFont="1" applyFill="1" applyBorder="1" applyProtection="1"/>
    <xf numFmtId="166" fontId="24" fillId="27" borderId="19" xfId="638" applyNumberFormat="1" applyFont="1" applyFill="1" applyBorder="1" applyProtection="1"/>
    <xf numFmtId="0" fontId="24" fillId="27" borderId="19" xfId="1168" applyFill="1" applyBorder="1" applyProtection="1"/>
    <xf numFmtId="0" fontId="24" fillId="27" borderId="18" xfId="1168" applyFill="1" applyBorder="1" applyProtection="1"/>
    <xf numFmtId="2" fontId="44" fillId="26" borderId="66" xfId="1168" applyNumberFormat="1" applyFont="1" applyFill="1" applyBorder="1" applyProtection="1"/>
    <xf numFmtId="164" fontId="0" fillId="27" borderId="0" xfId="1727" applyFont="1" applyFill="1" applyBorder="1" applyProtection="1"/>
    <xf numFmtId="166" fontId="57" fillId="27" borderId="16" xfId="638" applyNumberFormat="1" applyFont="1" applyFill="1" applyBorder="1" applyProtection="1"/>
    <xf numFmtId="166" fontId="57" fillId="27" borderId="14" xfId="638" applyNumberFormat="1" applyFont="1" applyFill="1" applyBorder="1" applyProtection="1"/>
    <xf numFmtId="0" fontId="24" fillId="27" borderId="12" xfId="1168" applyFont="1" applyFill="1" applyBorder="1" applyProtection="1"/>
    <xf numFmtId="0" fontId="24" fillId="27" borderId="0" xfId="1168" applyFill="1" applyBorder="1" applyProtection="1"/>
    <xf numFmtId="166" fontId="0" fillId="27" borderId="0" xfId="638" applyNumberFormat="1" applyFont="1" applyFill="1" applyBorder="1" applyProtection="1"/>
    <xf numFmtId="166" fontId="0" fillId="27" borderId="16" xfId="638" applyNumberFormat="1" applyFont="1" applyFill="1" applyBorder="1" applyProtection="1"/>
    <xf numFmtId="180" fontId="0" fillId="27" borderId="0" xfId="1727" applyNumberFormat="1" applyFont="1" applyFill="1" applyBorder="1" applyProtection="1"/>
    <xf numFmtId="180" fontId="57" fillId="27" borderId="0" xfId="1168" applyNumberFormat="1" applyFont="1" applyFill="1" applyBorder="1" applyProtection="1"/>
    <xf numFmtId="180" fontId="57" fillId="27" borderId="16" xfId="1168" applyNumberFormat="1" applyFont="1" applyFill="1" applyBorder="1" applyProtection="1"/>
    <xf numFmtId="180" fontId="57" fillId="27" borderId="0" xfId="1168" applyNumberFormat="1" applyFont="1" applyFill="1" applyProtection="1"/>
    <xf numFmtId="10" fontId="24" fillId="27" borderId="0" xfId="1168" applyNumberFormat="1" applyFill="1" applyBorder="1" applyProtection="1"/>
    <xf numFmtId="0" fontId="58" fillId="27" borderId="15" xfId="1168" applyFont="1" applyFill="1" applyBorder="1" applyProtection="1"/>
    <xf numFmtId="0" fontId="57" fillId="27" borderId="19" xfId="1168" applyFont="1" applyFill="1" applyBorder="1" applyProtection="1"/>
    <xf numFmtId="0" fontId="57" fillId="27" borderId="18" xfId="1168" applyFont="1" applyFill="1" applyBorder="1" applyProtection="1"/>
    <xf numFmtId="166" fontId="57" fillId="27" borderId="0" xfId="1168" applyNumberFormat="1" applyFont="1" applyFill="1" applyProtection="1"/>
    <xf numFmtId="166" fontId="57" fillId="27" borderId="16" xfId="1168" applyNumberFormat="1" applyFont="1" applyFill="1" applyBorder="1" applyProtection="1"/>
    <xf numFmtId="166" fontId="57" fillId="27" borderId="10" xfId="642" applyNumberFormat="1" applyFont="1" applyFill="1" applyBorder="1" applyProtection="1"/>
    <xf numFmtId="166" fontId="57" fillId="27" borderId="17" xfId="642" applyNumberFormat="1" applyFont="1" applyFill="1" applyBorder="1" applyProtection="1"/>
    <xf numFmtId="43" fontId="57" fillId="27" borderId="0" xfId="1168" applyNumberFormat="1" applyFont="1" applyFill="1" applyProtection="1"/>
    <xf numFmtId="43" fontId="57" fillId="27" borderId="16" xfId="1168" applyNumberFormat="1" applyFont="1" applyFill="1" applyBorder="1" applyProtection="1"/>
    <xf numFmtId="9" fontId="57" fillId="26" borderId="0" xfId="1154" applyFont="1" applyFill="1" applyBorder="1" applyProtection="1"/>
    <xf numFmtId="9" fontId="57" fillId="27" borderId="0" xfId="1154" applyFont="1" applyFill="1" applyBorder="1" applyProtection="1"/>
    <xf numFmtId="9" fontId="57" fillId="27" borderId="16" xfId="1154" applyFont="1" applyFill="1" applyBorder="1" applyProtection="1"/>
    <xf numFmtId="9" fontId="57" fillId="26" borderId="16" xfId="1154" applyFont="1" applyFill="1" applyBorder="1" applyProtection="1"/>
    <xf numFmtId="43" fontId="58" fillId="27" borderId="23" xfId="1168" applyNumberFormat="1" applyFont="1" applyFill="1" applyBorder="1" applyProtection="1"/>
    <xf numFmtId="43" fontId="58" fillId="27" borderId="27" xfId="1168" applyNumberFormat="1" applyFont="1" applyFill="1" applyBorder="1" applyProtection="1"/>
    <xf numFmtId="2" fontId="57" fillId="27" borderId="0" xfId="1168" applyNumberFormat="1" applyFont="1" applyFill="1" applyProtection="1"/>
    <xf numFmtId="2" fontId="57" fillId="27" borderId="16" xfId="1168" applyNumberFormat="1" applyFont="1" applyFill="1" applyBorder="1" applyProtection="1"/>
    <xf numFmtId="43" fontId="57" fillId="27" borderId="0" xfId="642" applyFont="1" applyFill="1" applyBorder="1" applyProtection="1"/>
    <xf numFmtId="43" fontId="57" fillId="27" borderId="16" xfId="642" applyFont="1" applyFill="1" applyBorder="1" applyProtection="1"/>
    <xf numFmtId="188" fontId="57" fillId="27" borderId="0" xfId="642" applyNumberFormat="1" applyFont="1" applyFill="1" applyBorder="1" applyProtection="1"/>
    <xf numFmtId="9" fontId="57" fillId="27" borderId="0" xfId="642" applyNumberFormat="1" applyFont="1" applyFill="1" applyBorder="1" applyProtection="1"/>
    <xf numFmtId="43" fontId="58" fillId="27" borderId="65" xfId="1168" applyNumberFormat="1" applyFont="1" applyFill="1" applyBorder="1" applyProtection="1"/>
    <xf numFmtId="43" fontId="58" fillId="27" borderId="89" xfId="1168" applyNumberFormat="1" applyFont="1" applyFill="1" applyBorder="1" applyProtection="1"/>
    <xf numFmtId="10" fontId="24" fillId="27" borderId="0" xfId="1168" applyNumberFormat="1" applyFill="1" applyProtection="1"/>
    <xf numFmtId="0" fontId="44" fillId="27" borderId="19" xfId="1168" applyFont="1" applyFill="1" applyBorder="1" applyProtection="1"/>
    <xf numFmtId="179" fontId="44" fillId="27" borderId="0" xfId="638" applyNumberFormat="1" applyFont="1" applyFill="1" applyBorder="1" applyProtection="1"/>
    <xf numFmtId="179" fontId="44" fillId="27" borderId="16" xfId="638" applyNumberFormat="1" applyFont="1" applyFill="1" applyBorder="1" applyProtection="1"/>
    <xf numFmtId="166" fontId="44" fillId="27" borderId="0" xfId="638" applyNumberFormat="1" applyFont="1" applyFill="1" applyProtection="1"/>
    <xf numFmtId="166" fontId="24" fillId="27" borderId="0" xfId="638" applyNumberFormat="1" applyFont="1" applyFill="1" applyProtection="1"/>
    <xf numFmtId="43" fontId="47" fillId="27" borderId="65" xfId="638" applyFont="1" applyFill="1" applyBorder="1" applyProtection="1"/>
    <xf numFmtId="43" fontId="47" fillId="27" borderId="89" xfId="638" applyFont="1" applyFill="1" applyBorder="1" applyProtection="1"/>
    <xf numFmtId="0" fontId="79" fillId="27" borderId="11" xfId="1168" applyFont="1" applyFill="1" applyBorder="1" applyProtection="1"/>
    <xf numFmtId="0" fontId="24" fillId="33" borderId="12" xfId="1168" applyFill="1" applyBorder="1" applyProtection="1"/>
    <xf numFmtId="0" fontId="24" fillId="33" borderId="0" xfId="1168" applyFill="1" applyProtection="1"/>
    <xf numFmtId="189" fontId="24" fillId="33" borderId="16" xfId="1168" applyNumberFormat="1" applyFill="1" applyBorder="1" applyProtection="1"/>
    <xf numFmtId="0" fontId="24" fillId="27" borderId="66" xfId="1168" applyFill="1" applyBorder="1" applyProtection="1"/>
    <xf numFmtId="0" fontId="89" fillId="27" borderId="0" xfId="39935" applyFont="1" applyFill="1" applyAlignment="1" applyProtection="1">
      <alignment horizontal="left"/>
    </xf>
    <xf numFmtId="14" fontId="85" fillId="27" borderId="0" xfId="39935" applyNumberFormat="1" applyFont="1" applyFill="1" applyAlignment="1" applyProtection="1">
      <alignment horizontal="center"/>
    </xf>
    <xf numFmtId="0" fontId="57" fillId="27" borderId="0" xfId="39935" applyFont="1" applyFill="1" applyProtection="1"/>
    <xf numFmtId="0" fontId="58" fillId="27" borderId="0" xfId="39935" applyFont="1" applyFill="1" applyAlignment="1" applyProtection="1">
      <alignment horizontal="left"/>
    </xf>
    <xf numFmtId="0" fontId="58" fillId="27" borderId="0" xfId="39935" applyFont="1" applyFill="1" applyAlignment="1" applyProtection="1">
      <alignment horizontal="center"/>
    </xf>
    <xf numFmtId="0" fontId="80" fillId="27" borderId="0" xfId="39935" applyFont="1" applyFill="1" applyProtection="1"/>
    <xf numFmtId="0" fontId="80" fillId="27" borderId="0" xfId="39935" applyFont="1" applyFill="1" applyBorder="1" applyProtection="1"/>
    <xf numFmtId="0" fontId="58" fillId="27" borderId="15" xfId="39935" applyFont="1" applyFill="1" applyBorder="1" applyAlignment="1" applyProtection="1">
      <alignment horizontal="left"/>
    </xf>
    <xf numFmtId="0" fontId="58" fillId="27" borderId="18" xfId="39935" applyFont="1" applyFill="1" applyBorder="1" applyAlignment="1" applyProtection="1">
      <alignment horizontal="center"/>
    </xf>
    <xf numFmtId="0" fontId="89" fillId="27" borderId="11" xfId="39935" applyFont="1" applyFill="1" applyBorder="1" applyAlignment="1" applyProtection="1">
      <alignment horizontal="center"/>
    </xf>
    <xf numFmtId="0" fontId="84" fillId="27" borderId="14" xfId="39935" applyFont="1" applyFill="1" applyBorder="1" applyAlignment="1" applyProtection="1">
      <alignment horizontal="center"/>
    </xf>
    <xf numFmtId="0" fontId="84" fillId="27" borderId="13" xfId="39935" applyFont="1" applyFill="1" applyBorder="1" applyAlignment="1" applyProtection="1">
      <alignment horizontal="center"/>
    </xf>
    <xf numFmtId="0" fontId="58" fillId="27" borderId="15" xfId="39935" applyFont="1" applyFill="1" applyBorder="1" applyProtection="1"/>
    <xf numFmtId="0" fontId="57" fillId="27" borderId="19" xfId="39935" applyFont="1" applyFill="1" applyBorder="1" applyProtection="1"/>
    <xf numFmtId="0" fontId="58" fillId="27" borderId="19" xfId="39935" applyFont="1" applyFill="1" applyBorder="1" applyAlignment="1" applyProtection="1">
      <alignment horizontal="center"/>
    </xf>
    <xf numFmtId="0" fontId="58" fillId="27" borderId="11" xfId="39935" applyFont="1" applyFill="1" applyBorder="1" applyAlignment="1" applyProtection="1">
      <alignment horizontal="left"/>
    </xf>
    <xf numFmtId="14" fontId="58" fillId="27" borderId="13" xfId="39935" applyNumberFormat="1" applyFont="1" applyFill="1" applyBorder="1" applyAlignment="1" applyProtection="1">
      <alignment horizontal="center"/>
    </xf>
    <xf numFmtId="0" fontId="85" fillId="27" borderId="49" xfId="39935" applyFont="1" applyFill="1" applyBorder="1" applyAlignment="1" applyProtection="1">
      <alignment horizontal="center"/>
    </xf>
    <xf numFmtId="0" fontId="57" fillId="27" borderId="65" xfId="39935" applyFont="1" applyFill="1" applyBorder="1" applyAlignment="1" applyProtection="1">
      <alignment horizontal="center"/>
    </xf>
    <xf numFmtId="0" fontId="58" fillId="27" borderId="65" xfId="39935" applyFont="1" applyFill="1" applyBorder="1" applyAlignment="1" applyProtection="1">
      <alignment horizontal="center"/>
    </xf>
    <xf numFmtId="0" fontId="58" fillId="27" borderId="89" xfId="39935" applyFont="1" applyFill="1" applyBorder="1" applyAlignment="1" applyProtection="1">
      <alignment horizontal="center"/>
    </xf>
    <xf numFmtId="0" fontId="58" fillId="27" borderId="11" xfId="39935" applyFont="1" applyFill="1" applyBorder="1" applyProtection="1"/>
    <xf numFmtId="0" fontId="57" fillId="27" borderId="14" xfId="39935" applyFont="1" applyFill="1" applyBorder="1" applyProtection="1"/>
    <xf numFmtId="0" fontId="57" fillId="27" borderId="13" xfId="39935" applyFont="1" applyFill="1" applyBorder="1" applyProtection="1"/>
    <xf numFmtId="0" fontId="58" fillId="27" borderId="49" xfId="39935" applyFont="1" applyFill="1" applyBorder="1" applyAlignment="1" applyProtection="1">
      <alignment horizontal="left"/>
    </xf>
    <xf numFmtId="14" fontId="58" fillId="27" borderId="66" xfId="39935" applyNumberFormat="1" applyFont="1" applyFill="1" applyBorder="1" applyAlignment="1" applyProtection="1">
      <alignment horizontal="center"/>
    </xf>
    <xf numFmtId="0" fontId="57" fillId="27" borderId="11" xfId="39935" applyFont="1" applyFill="1" applyBorder="1" applyProtection="1"/>
    <xf numFmtId="0" fontId="57" fillId="27" borderId="12" xfId="39935" applyFont="1" applyFill="1" applyBorder="1" applyAlignment="1" applyProtection="1">
      <alignment horizontal="left"/>
    </xf>
    <xf numFmtId="0" fontId="57" fillId="27" borderId="0" xfId="39935" applyFont="1" applyFill="1" applyBorder="1" applyProtection="1"/>
    <xf numFmtId="10" fontId="58" fillId="39" borderId="0" xfId="39937" applyNumberFormat="1" applyFont="1" applyFill="1" applyBorder="1" applyAlignment="1" applyProtection="1">
      <alignment horizontal="center"/>
    </xf>
    <xf numFmtId="10" fontId="58" fillId="39" borderId="16" xfId="39937" applyNumberFormat="1" applyFont="1" applyFill="1" applyBorder="1" applyAlignment="1" applyProtection="1">
      <alignment horizontal="center"/>
    </xf>
    <xf numFmtId="166" fontId="57" fillId="27" borderId="0" xfId="39935" applyNumberFormat="1" applyFont="1" applyFill="1" applyProtection="1"/>
    <xf numFmtId="10" fontId="94" fillId="40" borderId="0" xfId="39937" applyNumberFormat="1" applyFont="1" applyFill="1" applyBorder="1" applyProtection="1"/>
    <xf numFmtId="3" fontId="58" fillId="39" borderId="18" xfId="39935" applyNumberFormat="1" applyFont="1" applyFill="1" applyBorder="1" applyAlignment="1" applyProtection="1">
      <alignment horizontal="center"/>
    </xf>
    <xf numFmtId="10" fontId="58" fillId="40" borderId="0" xfId="39937" applyNumberFormat="1" applyFont="1" applyFill="1" applyBorder="1" applyAlignment="1" applyProtection="1">
      <alignment horizontal="center"/>
    </xf>
    <xf numFmtId="0" fontId="57" fillId="27" borderId="0" xfId="39935" applyFont="1" applyFill="1" applyAlignment="1" applyProtection="1">
      <alignment horizontal="center"/>
    </xf>
    <xf numFmtId="167" fontId="85" fillId="27" borderId="0" xfId="39935" applyNumberFormat="1" applyFont="1" applyFill="1" applyProtection="1"/>
    <xf numFmtId="10" fontId="57" fillId="40" borderId="0" xfId="39937" applyNumberFormat="1" applyFont="1" applyFill="1" applyBorder="1" applyAlignment="1" applyProtection="1">
      <alignment horizontal="center"/>
    </xf>
    <xf numFmtId="3" fontId="57" fillId="27" borderId="13" xfId="39935" applyNumberFormat="1" applyFont="1" applyFill="1" applyBorder="1" applyProtection="1"/>
    <xf numFmtId="0" fontId="57" fillId="27" borderId="65" xfId="39935" applyFont="1" applyFill="1" applyBorder="1" applyProtection="1"/>
    <xf numFmtId="166" fontId="57" fillId="27" borderId="65" xfId="39935" applyNumberFormat="1" applyFont="1" applyFill="1" applyBorder="1" applyProtection="1"/>
    <xf numFmtId="166" fontId="57" fillId="27" borderId="89" xfId="39935" applyNumberFormat="1" applyFont="1" applyFill="1" applyBorder="1" applyProtection="1"/>
    <xf numFmtId="0" fontId="85" fillId="27" borderId="0" xfId="39935" applyFont="1" applyFill="1" applyProtection="1"/>
    <xf numFmtId="10" fontId="57" fillId="40" borderId="0" xfId="39937" applyNumberFormat="1" applyFont="1" applyFill="1" applyBorder="1" applyProtection="1"/>
    <xf numFmtId="2" fontId="58" fillId="27" borderId="0" xfId="39935" applyNumberFormat="1" applyFont="1" applyFill="1" applyAlignment="1" applyProtection="1">
      <alignment horizontal="center"/>
    </xf>
    <xf numFmtId="43" fontId="94" fillId="40" borderId="0" xfId="39936" applyFont="1" applyFill="1" applyBorder="1" applyProtection="1"/>
    <xf numFmtId="0" fontId="57" fillId="40" borderId="0" xfId="39935" applyFont="1" applyFill="1" applyBorder="1" applyProtection="1"/>
    <xf numFmtId="0" fontId="57" fillId="40" borderId="16" xfId="39935" applyFont="1" applyFill="1" applyBorder="1" applyProtection="1"/>
    <xf numFmtId="166" fontId="57" fillId="27" borderId="89" xfId="638" applyNumberFormat="1" applyFont="1" applyFill="1" applyBorder="1" applyProtection="1"/>
    <xf numFmtId="166" fontId="58" fillId="27" borderId="0" xfId="39936" applyNumberFormat="1" applyFont="1" applyFill="1" applyBorder="1" applyProtection="1"/>
    <xf numFmtId="166" fontId="58" fillId="27" borderId="16" xfId="39936" applyNumberFormat="1" applyFont="1" applyFill="1" applyBorder="1" applyProtection="1"/>
    <xf numFmtId="0" fontId="58" fillId="27" borderId="12" xfId="39935" applyFont="1" applyFill="1" applyBorder="1" applyProtection="1"/>
    <xf numFmtId="0" fontId="57" fillId="27" borderId="16" xfId="39935" applyFont="1" applyFill="1" applyBorder="1" applyProtection="1"/>
    <xf numFmtId="2" fontId="57" fillId="27" borderId="10" xfId="39935" applyNumberFormat="1" applyFont="1" applyFill="1" applyBorder="1" applyProtection="1"/>
    <xf numFmtId="43" fontId="57" fillId="27" borderId="10" xfId="39936" applyFont="1" applyFill="1" applyBorder="1" applyProtection="1"/>
    <xf numFmtId="43" fontId="57" fillId="27" borderId="17" xfId="39936" applyFont="1" applyFill="1" applyBorder="1" applyProtection="1"/>
    <xf numFmtId="43" fontId="57" fillId="27" borderId="0" xfId="39935" applyNumberFormat="1" applyFont="1" applyFill="1" applyBorder="1" applyProtection="1"/>
    <xf numFmtId="43" fontId="57" fillId="27" borderId="16" xfId="39935" applyNumberFormat="1" applyFont="1" applyFill="1" applyBorder="1" applyProtection="1"/>
    <xf numFmtId="3" fontId="57" fillId="27" borderId="16" xfId="39935" applyNumberFormat="1" applyFont="1" applyFill="1" applyBorder="1" applyProtection="1"/>
    <xf numFmtId="166" fontId="58" fillId="27" borderId="0" xfId="39935" applyNumberFormat="1" applyFont="1" applyFill="1" applyBorder="1" applyProtection="1"/>
    <xf numFmtId="166" fontId="58" fillId="27" borderId="16" xfId="39935" applyNumberFormat="1" applyFont="1" applyFill="1" applyBorder="1" applyProtection="1"/>
    <xf numFmtId="43" fontId="57" fillId="40" borderId="0" xfId="39935" applyNumberFormat="1" applyFont="1" applyFill="1" applyBorder="1" applyProtection="1"/>
    <xf numFmtId="166" fontId="57" fillId="27" borderId="89" xfId="39936" applyNumberFormat="1" applyFont="1" applyFill="1" applyBorder="1" applyProtection="1"/>
    <xf numFmtId="171" fontId="57" fillId="27" borderId="0" xfId="39937" applyNumberFormat="1" applyFont="1" applyFill="1" applyBorder="1" applyProtection="1"/>
    <xf numFmtId="171" fontId="57" fillId="27" borderId="16" xfId="39937" applyNumberFormat="1" applyFont="1" applyFill="1" applyBorder="1" applyProtection="1"/>
    <xf numFmtId="0" fontId="58" fillId="27" borderId="0" xfId="39935" applyFont="1" applyFill="1" applyProtection="1"/>
    <xf numFmtId="3" fontId="58" fillId="27" borderId="0" xfId="39935" applyNumberFormat="1" applyFont="1" applyFill="1" applyAlignment="1" applyProtection="1">
      <alignment horizontal="center"/>
    </xf>
    <xf numFmtId="166" fontId="57" fillId="27" borderId="0" xfId="39935" applyNumberFormat="1" applyFont="1" applyFill="1" applyBorder="1" applyProtection="1"/>
    <xf numFmtId="166" fontId="57" fillId="27" borderId="16" xfId="39935" applyNumberFormat="1" applyFont="1" applyFill="1" applyBorder="1" applyProtection="1"/>
    <xf numFmtId="166" fontId="57" fillId="27" borderId="13" xfId="39936" applyNumberFormat="1" applyFont="1" applyFill="1" applyBorder="1" applyProtection="1"/>
    <xf numFmtId="43" fontId="57" fillId="40" borderId="10" xfId="39935" applyNumberFormat="1" applyFont="1" applyFill="1" applyBorder="1" applyProtection="1"/>
    <xf numFmtId="43" fontId="57" fillId="40" borderId="17" xfId="39935" applyNumberFormat="1" applyFont="1" applyFill="1" applyBorder="1" applyProtection="1"/>
    <xf numFmtId="10" fontId="57" fillId="27" borderId="0" xfId="1153" applyNumberFormat="1" applyFont="1" applyFill="1" applyProtection="1"/>
    <xf numFmtId="43" fontId="57" fillId="27" borderId="89" xfId="39935" applyNumberFormat="1" applyFont="1" applyFill="1" applyBorder="1" applyProtection="1"/>
    <xf numFmtId="44" fontId="57" fillId="27" borderId="0" xfId="39935" applyNumberFormat="1" applyFont="1" applyFill="1" applyProtection="1"/>
    <xf numFmtId="10" fontId="57" fillId="27" borderId="0" xfId="39937" applyNumberFormat="1" applyFont="1" applyFill="1" applyBorder="1" applyProtection="1"/>
    <xf numFmtId="9" fontId="57" fillId="27" borderId="0" xfId="39935" applyNumberFormat="1" applyFont="1" applyFill="1" applyBorder="1" applyProtection="1"/>
    <xf numFmtId="9" fontId="57" fillId="27" borderId="16" xfId="39935" applyNumberFormat="1" applyFont="1" applyFill="1" applyBorder="1" applyProtection="1"/>
    <xf numFmtId="166" fontId="58" fillId="27" borderId="33" xfId="39935" applyNumberFormat="1" applyFont="1" applyFill="1" applyBorder="1" applyProtection="1"/>
    <xf numFmtId="166" fontId="58" fillId="27" borderId="76" xfId="39935" applyNumberFormat="1" applyFont="1" applyFill="1" applyBorder="1" applyProtection="1"/>
    <xf numFmtId="166" fontId="58" fillId="27" borderId="79" xfId="39935" applyNumberFormat="1" applyFont="1" applyFill="1" applyBorder="1" applyProtection="1"/>
    <xf numFmtId="167" fontId="58" fillId="27" borderId="0" xfId="39935" applyNumberFormat="1" applyFont="1" applyFill="1" applyAlignment="1" applyProtection="1">
      <alignment horizontal="center"/>
    </xf>
    <xf numFmtId="0" fontId="58" fillId="27" borderId="49" xfId="39935" applyFont="1" applyFill="1" applyBorder="1" applyProtection="1"/>
    <xf numFmtId="10" fontId="58" fillId="27" borderId="65" xfId="39937" applyNumberFormat="1" applyFont="1" applyFill="1" applyBorder="1" applyProtection="1"/>
    <xf numFmtId="10" fontId="58" fillId="27" borderId="89" xfId="39937" applyNumberFormat="1" applyFont="1" applyFill="1" applyBorder="1" applyProtection="1"/>
    <xf numFmtId="43" fontId="57" fillId="27" borderId="0" xfId="39936" applyFont="1" applyFill="1" applyBorder="1" applyProtection="1"/>
    <xf numFmtId="43" fontId="57" fillId="27" borderId="16" xfId="39936" applyFont="1" applyFill="1" applyBorder="1" applyProtection="1"/>
    <xf numFmtId="43" fontId="57" fillId="40" borderId="0" xfId="39936" applyFont="1" applyFill="1" applyBorder="1" applyProtection="1"/>
    <xf numFmtId="166" fontId="57" fillId="27" borderId="13" xfId="39935" applyNumberFormat="1" applyFont="1" applyFill="1" applyBorder="1" applyProtection="1"/>
    <xf numFmtId="43" fontId="57" fillId="40" borderId="10" xfId="39936" applyFont="1" applyFill="1" applyBorder="1" applyProtection="1"/>
    <xf numFmtId="43" fontId="57" fillId="40" borderId="17" xfId="39936" applyFont="1" applyFill="1" applyBorder="1" applyProtection="1"/>
    <xf numFmtId="10" fontId="57" fillId="27" borderId="0" xfId="39935" applyNumberFormat="1" applyFont="1" applyFill="1" applyAlignment="1" applyProtection="1">
      <alignment horizontal="right"/>
    </xf>
    <xf numFmtId="200" fontId="58" fillId="39" borderId="13" xfId="39935" applyNumberFormat="1" applyFont="1" applyFill="1" applyBorder="1" applyAlignment="1" applyProtection="1">
      <alignment horizontal="right"/>
    </xf>
    <xf numFmtId="200" fontId="58" fillId="39" borderId="89" xfId="39935" applyNumberFormat="1" applyFont="1" applyFill="1" applyBorder="1" applyAlignment="1" applyProtection="1">
      <alignment horizontal="right"/>
    </xf>
    <xf numFmtId="0" fontId="57" fillId="27" borderId="15" xfId="1168" applyFont="1" applyFill="1" applyBorder="1" applyProtection="1"/>
    <xf numFmtId="166" fontId="57" fillId="40" borderId="0" xfId="39936" applyNumberFormat="1" applyFont="1" applyFill="1" applyBorder="1" applyProtection="1"/>
    <xf numFmtId="43" fontId="58" fillId="39" borderId="13" xfId="39936" applyFont="1" applyFill="1" applyBorder="1" applyAlignment="1" applyProtection="1">
      <alignment horizontal="right"/>
    </xf>
    <xf numFmtId="10" fontId="58" fillId="39" borderId="89" xfId="39937" applyNumberFormat="1" applyFont="1" applyFill="1" applyBorder="1" applyAlignment="1" applyProtection="1">
      <alignment horizontal="right"/>
    </xf>
    <xf numFmtId="166" fontId="57" fillId="40" borderId="17" xfId="39936" applyNumberFormat="1" applyFont="1" applyFill="1" applyBorder="1" applyProtection="1"/>
    <xf numFmtId="14" fontId="57" fillId="27" borderId="11" xfId="39935" applyNumberFormat="1" applyFont="1" applyFill="1" applyBorder="1" applyProtection="1"/>
    <xf numFmtId="14" fontId="57" fillId="27" borderId="14" xfId="39935" applyNumberFormat="1" applyFont="1" applyFill="1" applyBorder="1" applyProtection="1"/>
    <xf numFmtId="43" fontId="57" fillId="27" borderId="0" xfId="39935" applyNumberFormat="1" applyFont="1" applyFill="1" applyProtection="1"/>
    <xf numFmtId="14" fontId="57" fillId="27" borderId="0" xfId="39935" applyNumberFormat="1" applyFont="1" applyFill="1" applyBorder="1" applyProtection="1"/>
    <xf numFmtId="0" fontId="58" fillId="39" borderId="0" xfId="39935" applyFont="1" applyFill="1" applyBorder="1" applyAlignment="1" applyProtection="1">
      <alignment horizontal="center"/>
    </xf>
    <xf numFmtId="0" fontId="58" fillId="39" borderId="16" xfId="39935" applyFont="1" applyFill="1" applyBorder="1" applyAlignment="1" applyProtection="1">
      <alignment horizontal="center"/>
    </xf>
    <xf numFmtId="43" fontId="58" fillId="39" borderId="0" xfId="39935" applyNumberFormat="1" applyFont="1" applyFill="1" applyBorder="1" applyProtection="1"/>
    <xf numFmtId="14" fontId="57" fillId="27" borderId="65" xfId="39935" applyNumberFormat="1" applyFont="1" applyFill="1" applyBorder="1" applyProtection="1"/>
    <xf numFmtId="10" fontId="58" fillId="27" borderId="89" xfId="39937" applyNumberFormat="1" applyFont="1" applyFill="1" applyBorder="1" applyAlignment="1" applyProtection="1">
      <alignment horizontal="center"/>
    </xf>
    <xf numFmtId="0" fontId="57" fillId="27" borderId="18" xfId="39935" applyFont="1" applyFill="1" applyBorder="1" applyProtection="1"/>
    <xf numFmtId="0" fontId="57" fillId="40" borderId="0" xfId="39935" applyFont="1" applyFill="1" applyBorder="1" applyAlignment="1" applyProtection="1">
      <alignment horizontal="right"/>
    </xf>
    <xf numFmtId="10" fontId="58" fillId="39" borderId="13" xfId="39937" applyNumberFormat="1" applyFont="1" applyFill="1" applyBorder="1" applyAlignment="1" applyProtection="1">
      <alignment horizontal="right"/>
    </xf>
    <xf numFmtId="10" fontId="57" fillId="27" borderId="65" xfId="39937" applyNumberFormat="1" applyFont="1" applyFill="1" applyBorder="1" applyProtection="1"/>
    <xf numFmtId="10" fontId="57" fillId="27" borderId="14" xfId="39937" applyNumberFormat="1" applyFont="1" applyFill="1" applyBorder="1" applyProtection="1"/>
    <xf numFmtId="10" fontId="57" fillId="40" borderId="0" xfId="39937" applyNumberFormat="1" applyFont="1" applyFill="1" applyBorder="1" applyAlignment="1" applyProtection="1">
      <alignment horizontal="right"/>
    </xf>
    <xf numFmtId="10" fontId="58" fillId="27" borderId="10" xfId="39937" applyNumberFormat="1" applyFont="1" applyFill="1" applyBorder="1" applyProtection="1"/>
    <xf numFmtId="10" fontId="58" fillId="27" borderId="17" xfId="39937" applyNumberFormat="1" applyFont="1" applyFill="1" applyBorder="1" applyProtection="1"/>
    <xf numFmtId="10" fontId="57" fillId="40" borderId="10" xfId="39937" applyNumberFormat="1" applyFont="1" applyFill="1" applyBorder="1" applyAlignment="1" applyProtection="1">
      <alignment horizontal="right"/>
    </xf>
    <xf numFmtId="10" fontId="57" fillId="40" borderId="17" xfId="39937" applyNumberFormat="1" applyFont="1" applyFill="1" applyBorder="1" applyAlignment="1" applyProtection="1">
      <alignment horizontal="right"/>
    </xf>
    <xf numFmtId="166" fontId="57" fillId="27" borderId="0" xfId="638" applyNumberFormat="1" applyFont="1" applyFill="1" applyProtection="1"/>
    <xf numFmtId="167" fontId="58" fillId="27" borderId="65" xfId="39937" applyNumberFormat="1" applyFont="1" applyFill="1" applyBorder="1" applyProtection="1"/>
    <xf numFmtId="166" fontId="57" fillId="27" borderId="10" xfId="39935" applyNumberFormat="1" applyFont="1" applyFill="1" applyBorder="1" applyProtection="1"/>
    <xf numFmtId="166" fontId="57" fillId="27" borderId="17" xfId="39935" applyNumberFormat="1" applyFont="1" applyFill="1" applyBorder="1" applyProtection="1"/>
    <xf numFmtId="10" fontId="58" fillId="27" borderId="65" xfId="1153" applyNumberFormat="1" applyFont="1" applyFill="1" applyBorder="1" applyProtection="1"/>
    <xf numFmtId="10" fontId="57" fillId="40" borderId="65" xfId="39937" applyNumberFormat="1" applyFont="1" applyFill="1" applyBorder="1" applyAlignment="1" applyProtection="1">
      <alignment horizontal="right"/>
    </xf>
    <xf numFmtId="10" fontId="57" fillId="40" borderId="89" xfId="39937" applyNumberFormat="1" applyFont="1" applyFill="1" applyBorder="1" applyAlignment="1" applyProtection="1">
      <alignment horizontal="right"/>
    </xf>
    <xf numFmtId="43" fontId="57" fillId="27" borderId="65" xfId="39935" applyNumberFormat="1" applyFont="1" applyFill="1" applyBorder="1" applyProtection="1"/>
    <xf numFmtId="43" fontId="57" fillId="27" borderId="14" xfId="39935" applyNumberFormat="1" applyFont="1" applyFill="1" applyBorder="1" applyProtection="1"/>
    <xf numFmtId="43" fontId="57" fillId="27" borderId="14" xfId="39936" applyFont="1" applyFill="1" applyBorder="1" applyAlignment="1" applyProtection="1"/>
    <xf numFmtId="43" fontId="57" fillId="27" borderId="13" xfId="39936" applyFont="1" applyFill="1" applyBorder="1" applyAlignment="1" applyProtection="1"/>
    <xf numFmtId="0" fontId="57" fillId="27" borderId="0" xfId="39935" applyFont="1" applyFill="1" applyBorder="1" applyAlignment="1" applyProtection="1">
      <alignment horizontal="center"/>
    </xf>
    <xf numFmtId="0" fontId="57" fillId="27" borderId="16" xfId="39935" applyFont="1" applyFill="1" applyBorder="1" applyAlignment="1" applyProtection="1">
      <alignment horizontal="center"/>
    </xf>
    <xf numFmtId="10" fontId="57" fillId="27" borderId="0" xfId="39937" applyNumberFormat="1" applyFont="1" applyFill="1" applyBorder="1" applyAlignment="1" applyProtection="1">
      <alignment horizontal="right"/>
    </xf>
    <xf numFmtId="10" fontId="57" fillId="27" borderId="16" xfId="39937" applyNumberFormat="1" applyFont="1" applyFill="1" applyBorder="1" applyAlignment="1" applyProtection="1">
      <alignment horizontal="right"/>
    </xf>
    <xf numFmtId="10" fontId="57" fillId="40" borderId="16" xfId="39937" applyNumberFormat="1" applyFont="1" applyFill="1" applyBorder="1" applyAlignment="1" applyProtection="1">
      <alignment horizontal="right"/>
    </xf>
    <xf numFmtId="0" fontId="57" fillId="27" borderId="0" xfId="39935" applyFont="1" applyFill="1" applyBorder="1" applyAlignment="1" applyProtection="1">
      <alignment horizontal="right"/>
    </xf>
    <xf numFmtId="0" fontId="57" fillId="27" borderId="16" xfId="39935" applyFont="1" applyFill="1" applyBorder="1" applyAlignment="1" applyProtection="1">
      <alignment horizontal="right"/>
    </xf>
    <xf numFmtId="43" fontId="57" fillId="27" borderId="0" xfId="39935" applyNumberFormat="1" applyFont="1" applyFill="1" applyBorder="1" applyAlignment="1" applyProtection="1">
      <alignment horizontal="right"/>
    </xf>
    <xf numFmtId="43" fontId="57" fillId="27" borderId="0" xfId="39936" applyFont="1" applyFill="1" applyBorder="1" applyAlignment="1" applyProtection="1">
      <alignment horizontal="right"/>
    </xf>
    <xf numFmtId="43" fontId="57" fillId="27" borderId="16" xfId="39936" applyFont="1" applyFill="1" applyBorder="1" applyAlignment="1" applyProtection="1">
      <alignment horizontal="right"/>
    </xf>
    <xf numFmtId="2" fontId="57" fillId="27" borderId="0" xfId="39935" applyNumberFormat="1" applyFont="1" applyFill="1" applyBorder="1" applyAlignment="1" applyProtection="1">
      <alignment horizontal="right"/>
    </xf>
    <xf numFmtId="10" fontId="57" fillId="27" borderId="0" xfId="39935" applyNumberFormat="1" applyFont="1" applyFill="1" applyProtection="1"/>
    <xf numFmtId="2" fontId="57" fillId="27" borderId="16" xfId="39935" applyNumberFormat="1" applyFont="1" applyFill="1" applyBorder="1" applyAlignment="1" applyProtection="1">
      <alignment horizontal="right"/>
    </xf>
    <xf numFmtId="166" fontId="58" fillId="27" borderId="65" xfId="39936" applyNumberFormat="1" applyFont="1" applyFill="1" applyBorder="1" applyProtection="1"/>
    <xf numFmtId="166" fontId="58" fillId="27" borderId="89" xfId="39936" applyNumberFormat="1" applyFont="1" applyFill="1" applyBorder="1" applyProtection="1"/>
    <xf numFmtId="43" fontId="57" fillId="27" borderId="0" xfId="39937" applyNumberFormat="1" applyFont="1" applyFill="1" applyBorder="1" applyAlignment="1" applyProtection="1">
      <alignment horizontal="right"/>
    </xf>
    <xf numFmtId="43" fontId="57" fillId="27" borderId="16" xfId="39937" applyNumberFormat="1" applyFont="1" applyFill="1" applyBorder="1" applyAlignment="1" applyProtection="1">
      <alignment horizontal="right"/>
    </xf>
    <xf numFmtId="43" fontId="57" fillId="27" borderId="0" xfId="39937" applyNumberFormat="1" applyFont="1" applyFill="1" applyBorder="1" applyAlignment="1" applyProtection="1">
      <alignment horizontal="center"/>
    </xf>
    <xf numFmtId="43" fontId="57" fillId="27" borderId="16" xfId="39937" applyNumberFormat="1" applyFont="1" applyFill="1" applyBorder="1" applyAlignment="1" applyProtection="1">
      <alignment horizontal="center"/>
    </xf>
    <xf numFmtId="43" fontId="57" fillId="40" borderId="0" xfId="39937" applyNumberFormat="1" applyFont="1" applyFill="1" applyBorder="1" applyAlignment="1" applyProtection="1">
      <alignment horizontal="center"/>
    </xf>
    <xf numFmtId="43" fontId="57" fillId="40" borderId="16" xfId="39937" applyNumberFormat="1" applyFont="1" applyFill="1" applyBorder="1" applyAlignment="1" applyProtection="1">
      <alignment horizontal="center"/>
    </xf>
    <xf numFmtId="0" fontId="57" fillId="27" borderId="10" xfId="39935" applyFont="1" applyFill="1" applyBorder="1" applyProtection="1"/>
    <xf numFmtId="0" fontId="57" fillId="27" borderId="17" xfId="39935" applyFont="1" applyFill="1" applyBorder="1" applyProtection="1"/>
    <xf numFmtId="0" fontId="57" fillId="27" borderId="49" xfId="39935" applyFont="1" applyFill="1" applyBorder="1" applyAlignment="1" applyProtection="1">
      <alignment horizontal="left"/>
    </xf>
    <xf numFmtId="10" fontId="57" fillId="40" borderId="65" xfId="39937" applyNumberFormat="1" applyFont="1" applyFill="1" applyBorder="1" applyProtection="1"/>
    <xf numFmtId="43" fontId="57" fillId="40" borderId="65" xfId="39937" applyNumberFormat="1" applyFont="1" applyFill="1" applyBorder="1" applyAlignment="1" applyProtection="1">
      <alignment horizontal="center"/>
    </xf>
    <xf numFmtId="43" fontId="57" fillId="40" borderId="89" xfId="39937" applyNumberFormat="1" applyFont="1" applyFill="1" applyBorder="1" applyAlignment="1" applyProtection="1">
      <alignment horizontal="center"/>
    </xf>
    <xf numFmtId="0" fontId="58" fillId="27" borderId="65" xfId="39935" applyFont="1" applyFill="1" applyBorder="1" applyProtection="1"/>
    <xf numFmtId="0" fontId="58" fillId="27" borderId="89" xfId="39935" applyFont="1" applyFill="1" applyBorder="1" applyProtection="1"/>
    <xf numFmtId="9" fontId="57" fillId="27" borderId="14" xfId="39935" applyNumberFormat="1" applyFont="1" applyFill="1" applyBorder="1" applyProtection="1"/>
    <xf numFmtId="167" fontId="57" fillId="27" borderId="14" xfId="39935" applyNumberFormat="1" applyFont="1" applyFill="1" applyBorder="1" applyProtection="1"/>
    <xf numFmtId="167" fontId="57" fillId="27" borderId="13" xfId="39935" applyNumberFormat="1" applyFont="1" applyFill="1" applyBorder="1" applyProtection="1"/>
    <xf numFmtId="0" fontId="57" fillId="27" borderId="0" xfId="39935" applyFont="1" applyFill="1" applyAlignment="1" applyProtection="1">
      <alignment vertical="justify" wrapText="1"/>
    </xf>
    <xf numFmtId="9" fontId="57" fillId="27" borderId="65" xfId="39935" applyNumberFormat="1" applyFont="1" applyFill="1" applyBorder="1" applyProtection="1"/>
    <xf numFmtId="9" fontId="57" fillId="27" borderId="89" xfId="39935" applyNumberFormat="1" applyFont="1" applyFill="1" applyBorder="1" applyProtection="1"/>
    <xf numFmtId="10" fontId="57" fillId="27" borderId="0" xfId="39937" applyNumberFormat="1" applyFont="1" applyFill="1" applyProtection="1"/>
    <xf numFmtId="200" fontId="57" fillId="27" borderId="14" xfId="39935" applyNumberFormat="1" applyFont="1" applyFill="1" applyBorder="1" applyProtection="1"/>
    <xf numFmtId="43" fontId="57" fillId="27" borderId="14" xfId="39936" applyFont="1" applyFill="1" applyBorder="1" applyProtection="1"/>
    <xf numFmtId="43" fontId="57" fillId="27" borderId="13" xfId="39936" applyFont="1" applyFill="1" applyBorder="1" applyProtection="1"/>
    <xf numFmtId="0" fontId="57" fillId="27" borderId="0" xfId="39935" applyFont="1" applyFill="1" applyAlignment="1" applyProtection="1">
      <alignment wrapText="1"/>
    </xf>
    <xf numFmtId="4" fontId="57" fillId="27" borderId="65" xfId="39935" applyNumberFormat="1" applyFont="1" applyFill="1" applyBorder="1" applyProtection="1"/>
    <xf numFmtId="43" fontId="57" fillId="27" borderId="65" xfId="39936" applyFont="1" applyFill="1" applyBorder="1" applyProtection="1"/>
    <xf numFmtId="43" fontId="57" fillId="27" borderId="89" xfId="39936" applyFont="1" applyFill="1" applyBorder="1" applyProtection="1"/>
    <xf numFmtId="0" fontId="57" fillId="27" borderId="14" xfId="39935" applyFont="1" applyFill="1" applyBorder="1" applyAlignment="1" applyProtection="1">
      <alignment horizontal="left" vertical="top"/>
    </xf>
    <xf numFmtId="0" fontId="57" fillId="27" borderId="12" xfId="39935" applyFont="1" applyFill="1" applyBorder="1" applyAlignment="1" applyProtection="1">
      <alignment horizontal="justify" vertical="distributed"/>
    </xf>
    <xf numFmtId="0" fontId="57" fillId="27" borderId="0" xfId="39935" applyFont="1" applyFill="1" applyBorder="1" applyAlignment="1" applyProtection="1">
      <alignment horizontal="justify" vertical="distributed"/>
    </xf>
    <xf numFmtId="0" fontId="57" fillId="27" borderId="12" xfId="39935" applyFont="1" applyFill="1" applyBorder="1" applyAlignment="1" applyProtection="1">
      <alignment horizontal="justify" vertical="distributed" wrapText="1"/>
    </xf>
    <xf numFmtId="0" fontId="57" fillId="27" borderId="0" xfId="39935" applyFont="1" applyFill="1" applyBorder="1" applyAlignment="1" applyProtection="1">
      <alignment horizontal="justify" vertical="distributed" wrapText="1"/>
    </xf>
    <xf numFmtId="0" fontId="68" fillId="27" borderId="0" xfId="0" applyFont="1" applyFill="1" applyProtection="1"/>
    <xf numFmtId="0" fontId="69" fillId="27" borderId="55" xfId="0" applyFont="1" applyFill="1" applyBorder="1" applyProtection="1"/>
    <xf numFmtId="0" fontId="69" fillId="27" borderId="64" xfId="0" applyFont="1" applyFill="1" applyBorder="1" applyProtection="1"/>
    <xf numFmtId="0" fontId="68" fillId="27" borderId="64" xfId="0" applyFont="1" applyFill="1" applyBorder="1" applyProtection="1"/>
    <xf numFmtId="0" fontId="69" fillId="27" borderId="64" xfId="0" applyFont="1" applyFill="1" applyBorder="1" applyAlignment="1" applyProtection="1">
      <alignment horizontal="center"/>
    </xf>
    <xf numFmtId="0" fontId="69" fillId="27" borderId="90" xfId="0" applyFont="1" applyFill="1" applyBorder="1" applyAlignment="1" applyProtection="1">
      <alignment horizontal="center"/>
    </xf>
    <xf numFmtId="0" fontId="68" fillId="27" borderId="100" xfId="0" applyFont="1" applyFill="1" applyBorder="1" applyProtection="1"/>
    <xf numFmtId="0" fontId="96" fillId="27" borderId="33" xfId="39918" applyFont="1" applyFill="1" applyBorder="1" applyAlignment="1" applyProtection="1">
      <alignment horizontal="left" vertical="top"/>
    </xf>
    <xf numFmtId="0" fontId="68" fillId="27" borderId="33" xfId="0" applyFont="1" applyFill="1" applyBorder="1" applyProtection="1"/>
    <xf numFmtId="43" fontId="68" fillId="27" borderId="79" xfId="0" applyNumberFormat="1" applyFont="1" applyFill="1" applyBorder="1" applyProtection="1"/>
    <xf numFmtId="0" fontId="68" fillId="27" borderId="10" xfId="0" applyFont="1" applyFill="1" applyBorder="1" applyProtection="1"/>
    <xf numFmtId="0" fontId="58" fillId="39" borderId="55" xfId="0" applyFont="1" applyFill="1" applyBorder="1" applyProtection="1"/>
    <xf numFmtId="0" fontId="57" fillId="39" borderId="64" xfId="0" applyFont="1" applyFill="1" applyBorder="1" applyProtection="1"/>
    <xf numFmtId="0" fontId="57" fillId="39" borderId="90" xfId="0" applyFont="1" applyFill="1" applyBorder="1" applyProtection="1"/>
    <xf numFmtId="0" fontId="58" fillId="27" borderId="11" xfId="1168" applyFont="1" applyFill="1" applyBorder="1" applyAlignment="1" applyProtection="1">
      <alignment horizontal="center"/>
    </xf>
    <xf numFmtId="0" fontId="57" fillId="27" borderId="14" xfId="0" applyFont="1" applyFill="1" applyBorder="1" applyProtection="1"/>
    <xf numFmtId="0" fontId="57" fillId="27" borderId="13" xfId="0" applyFont="1" applyFill="1" applyBorder="1" applyProtection="1"/>
    <xf numFmtId="0" fontId="58" fillId="27" borderId="126" xfId="1168" applyFont="1" applyFill="1" applyBorder="1" applyAlignment="1" applyProtection="1">
      <alignment horizontal="center"/>
    </xf>
    <xf numFmtId="166" fontId="58" fillId="27" borderId="127" xfId="642" applyNumberFormat="1" applyFont="1" applyFill="1" applyBorder="1" applyAlignment="1" applyProtection="1">
      <alignment horizontal="left"/>
    </xf>
    <xf numFmtId="0" fontId="58" fillId="27" borderId="127" xfId="1168" applyFont="1" applyFill="1" applyBorder="1" applyAlignment="1" applyProtection="1">
      <alignment horizontal="center"/>
    </xf>
    <xf numFmtId="0" fontId="58" fillId="27" borderId="127" xfId="0" applyFont="1" applyFill="1" applyBorder="1" applyAlignment="1" applyProtection="1">
      <alignment horizontal="center"/>
    </xf>
    <xf numFmtId="0" fontId="58" fillId="27" borderId="128" xfId="0" applyFont="1" applyFill="1" applyBorder="1" applyAlignment="1" applyProtection="1">
      <alignment horizontal="center"/>
    </xf>
    <xf numFmtId="0" fontId="57" fillId="27" borderId="12" xfId="1168" applyFont="1" applyFill="1" applyBorder="1" applyAlignment="1" applyProtection="1">
      <alignment horizontal="center"/>
    </xf>
    <xf numFmtId="198" fontId="57" fillId="27" borderId="0" xfId="1168" applyNumberFormat="1" applyFont="1" applyFill="1" applyBorder="1" applyProtection="1"/>
    <xf numFmtId="164" fontId="57" fillId="27" borderId="0" xfId="1727" applyFont="1" applyFill="1" applyBorder="1" applyProtection="1"/>
    <xf numFmtId="198" fontId="57" fillId="27" borderId="0" xfId="0" applyNumberFormat="1" applyFont="1" applyFill="1" applyBorder="1" applyProtection="1"/>
    <xf numFmtId="0" fontId="57" fillId="27" borderId="0" xfId="0" applyFont="1" applyFill="1" applyBorder="1" applyProtection="1"/>
    <xf numFmtId="198" fontId="57" fillId="27" borderId="16" xfId="0" applyNumberFormat="1" applyFont="1" applyFill="1" applyBorder="1" applyProtection="1"/>
    <xf numFmtId="0" fontId="57" fillId="27" borderId="126" xfId="1168" applyFont="1" applyFill="1" applyBorder="1" applyAlignment="1" applyProtection="1">
      <alignment horizontal="center"/>
    </xf>
    <xf numFmtId="0" fontId="57" fillId="27" borderId="127" xfId="1168" applyFont="1" applyFill="1" applyBorder="1" applyProtection="1"/>
    <xf numFmtId="166" fontId="57" fillId="27" borderId="10" xfId="638" applyNumberFormat="1" applyFont="1" applyFill="1" applyBorder="1" applyProtection="1"/>
    <xf numFmtId="198" fontId="57" fillId="27" borderId="10" xfId="1168" applyNumberFormat="1" applyFont="1" applyFill="1" applyBorder="1" applyProtection="1"/>
    <xf numFmtId="164" fontId="57" fillId="27" borderId="10" xfId="1727" applyFont="1" applyFill="1" applyBorder="1" applyProtection="1"/>
    <xf numFmtId="198" fontId="57" fillId="27" borderId="10" xfId="0" applyNumberFormat="1" applyFont="1" applyFill="1" applyBorder="1" applyProtection="1"/>
    <xf numFmtId="0" fontId="57" fillId="27" borderId="10" xfId="0" applyFont="1" applyFill="1" applyBorder="1" applyProtection="1"/>
    <xf numFmtId="198" fontId="57" fillId="27" borderId="17" xfId="0" applyNumberFormat="1" applyFont="1" applyFill="1" applyBorder="1" applyProtection="1"/>
    <xf numFmtId="0" fontId="58" fillId="27" borderId="12" xfId="1168" applyFont="1" applyFill="1" applyBorder="1" applyAlignment="1" applyProtection="1">
      <alignment horizontal="center"/>
    </xf>
    <xf numFmtId="198" fontId="58" fillId="27" borderId="0" xfId="1168" applyNumberFormat="1" applyFont="1" applyFill="1" applyBorder="1" applyProtection="1"/>
    <xf numFmtId="0" fontId="58" fillId="27" borderId="0" xfId="0" applyFont="1" applyFill="1" applyBorder="1" applyProtection="1"/>
    <xf numFmtId="198" fontId="58" fillId="27" borderId="16" xfId="1168" applyNumberFormat="1" applyFont="1" applyFill="1" applyBorder="1" applyProtection="1"/>
    <xf numFmtId="0" fontId="57" fillId="27" borderId="12" xfId="0" applyFont="1" applyFill="1" applyBorder="1" applyAlignment="1" applyProtection="1">
      <alignment horizontal="center"/>
    </xf>
    <xf numFmtId="0" fontId="57" fillId="27" borderId="16" xfId="0" applyFont="1" applyFill="1" applyBorder="1" applyProtection="1"/>
    <xf numFmtId="166" fontId="58" fillId="27" borderId="0" xfId="642" applyNumberFormat="1" applyFont="1" applyFill="1" applyBorder="1" applyProtection="1"/>
    <xf numFmtId="0" fontId="58" fillId="27" borderId="16" xfId="0" applyFont="1" applyFill="1" applyBorder="1" applyAlignment="1" applyProtection="1">
      <alignment horizontal="center"/>
    </xf>
    <xf numFmtId="0" fontId="57" fillId="27" borderId="129" xfId="1168" applyFont="1" applyFill="1" applyBorder="1" applyAlignment="1" applyProtection="1">
      <alignment horizontal="center"/>
    </xf>
    <xf numFmtId="0" fontId="57" fillId="27" borderId="130" xfId="1168" applyFont="1" applyFill="1" applyBorder="1" applyProtection="1"/>
    <xf numFmtId="166" fontId="57" fillId="27" borderId="130" xfId="0" applyNumberFormat="1" applyFont="1" applyFill="1" applyBorder="1" applyProtection="1"/>
    <xf numFmtId="166" fontId="57" fillId="27" borderId="10" xfId="0" applyNumberFormat="1" applyFont="1" applyFill="1" applyBorder="1" applyProtection="1"/>
    <xf numFmtId="166" fontId="57" fillId="27" borderId="17" xfId="0" applyNumberFormat="1" applyFont="1" applyFill="1" applyBorder="1" applyProtection="1"/>
    <xf numFmtId="0" fontId="58" fillId="27" borderId="129" xfId="1168" applyFont="1" applyFill="1" applyBorder="1" applyAlignment="1" applyProtection="1">
      <alignment horizontal="center"/>
    </xf>
    <xf numFmtId="0" fontId="57" fillId="27" borderId="130" xfId="0" applyFont="1" applyFill="1" applyBorder="1" applyProtection="1"/>
    <xf numFmtId="164" fontId="58" fillId="27" borderId="0" xfId="1727" applyFont="1" applyFill="1" applyBorder="1" applyProtection="1"/>
    <xf numFmtId="166" fontId="57" fillId="27" borderId="0" xfId="0" applyNumberFormat="1" applyFont="1" applyFill="1" applyBorder="1" applyProtection="1"/>
    <xf numFmtId="166" fontId="57" fillId="27" borderId="16" xfId="0" applyNumberFormat="1" applyFont="1" applyFill="1" applyBorder="1" applyProtection="1"/>
    <xf numFmtId="0" fontId="57" fillId="27" borderId="126" xfId="0" applyFont="1" applyFill="1" applyBorder="1" applyAlignment="1" applyProtection="1">
      <alignment horizontal="center"/>
    </xf>
    <xf numFmtId="0" fontId="57" fillId="27" borderId="127" xfId="0" applyFont="1" applyFill="1" applyBorder="1" applyProtection="1"/>
    <xf numFmtId="166" fontId="58" fillId="27" borderId="0" xfId="638" applyNumberFormat="1" applyFont="1" applyFill="1" applyBorder="1" applyProtection="1"/>
    <xf numFmtId="166" fontId="58" fillId="27" borderId="16" xfId="638" applyNumberFormat="1" applyFont="1" applyFill="1" applyBorder="1" applyProtection="1"/>
    <xf numFmtId="0" fontId="57" fillId="27" borderId="12" xfId="0" applyFont="1" applyFill="1" applyBorder="1" applyProtection="1"/>
    <xf numFmtId="0" fontId="58" fillId="27" borderId="49" xfId="0" applyFont="1" applyFill="1" applyBorder="1" applyProtection="1"/>
    <xf numFmtId="0" fontId="57" fillId="27" borderId="65" xfId="0" applyFont="1" applyFill="1" applyBorder="1" applyProtection="1"/>
    <xf numFmtId="44" fontId="57" fillId="27" borderId="0" xfId="0" applyNumberFormat="1" applyFont="1" applyFill="1" applyBorder="1" applyProtection="1"/>
    <xf numFmtId="44" fontId="57" fillId="27" borderId="10" xfId="0" applyNumberFormat="1" applyFont="1" applyFill="1" applyBorder="1" applyProtection="1"/>
    <xf numFmtId="0" fontId="58" fillId="27" borderId="131" xfId="1168" applyFont="1" applyFill="1" applyBorder="1" applyAlignment="1" applyProtection="1">
      <alignment horizontal="center"/>
    </xf>
    <xf numFmtId="0" fontId="57" fillId="27" borderId="132" xfId="0" applyFont="1" applyFill="1" applyBorder="1" applyProtection="1"/>
    <xf numFmtId="166" fontId="58" fillId="27" borderId="65" xfId="0" applyNumberFormat="1" applyFont="1" applyFill="1" applyBorder="1" applyProtection="1"/>
    <xf numFmtId="166" fontId="58" fillId="27" borderId="89" xfId="0" applyNumberFormat="1" applyFont="1" applyFill="1" applyBorder="1" applyProtection="1"/>
    <xf numFmtId="0" fontId="58" fillId="27" borderId="15" xfId="0" applyFont="1" applyFill="1" applyBorder="1" applyProtection="1"/>
    <xf numFmtId="0" fontId="57" fillId="27" borderId="19" xfId="0" applyFont="1" applyFill="1" applyBorder="1" applyProtection="1"/>
    <xf numFmtId="198" fontId="58" fillId="27" borderId="19" xfId="0" applyNumberFormat="1" applyFont="1" applyFill="1" applyBorder="1" applyProtection="1"/>
    <xf numFmtId="198" fontId="58" fillId="27" borderId="18" xfId="0" applyNumberFormat="1" applyFont="1" applyFill="1" applyBorder="1" applyProtection="1"/>
    <xf numFmtId="0" fontId="49" fillId="27" borderId="0" xfId="1168" applyFont="1" applyFill="1" applyAlignment="1" applyProtection="1">
      <alignment horizontal="left"/>
    </xf>
    <xf numFmtId="0" fontId="44" fillId="27" borderId="14" xfId="1168" applyFont="1" applyFill="1" applyBorder="1" applyAlignment="1" applyProtection="1">
      <alignment horizontal="center"/>
    </xf>
    <xf numFmtId="0" fontId="44" fillId="27" borderId="12" xfId="1168" applyFont="1" applyFill="1" applyBorder="1" applyAlignment="1" applyProtection="1">
      <alignment horizontal="left"/>
    </xf>
    <xf numFmtId="0" fontId="44" fillId="27" borderId="0" xfId="1168" applyFont="1" applyFill="1" applyAlignment="1" applyProtection="1">
      <alignment horizontal="center"/>
    </xf>
    <xf numFmtId="3" fontId="44" fillId="27" borderId="12" xfId="1168" applyNumberFormat="1" applyFont="1" applyFill="1" applyBorder="1" applyAlignment="1" applyProtection="1">
      <alignment horizontal="left"/>
    </xf>
    <xf numFmtId="0" fontId="47" fillId="27" borderId="12" xfId="1168" applyFont="1" applyFill="1" applyBorder="1" applyAlignment="1" applyProtection="1">
      <alignment horizontal="left"/>
    </xf>
    <xf numFmtId="3" fontId="44" fillId="27" borderId="49" xfId="1168" applyNumberFormat="1" applyFont="1" applyFill="1" applyBorder="1" applyAlignment="1" applyProtection="1">
      <alignment horizontal="left"/>
    </xf>
    <xf numFmtId="0" fontId="78" fillId="27" borderId="12" xfId="1168" applyFont="1" applyFill="1" applyBorder="1" applyAlignment="1" applyProtection="1">
      <alignment horizontal="center"/>
    </xf>
    <xf numFmtId="0" fontId="47" fillId="27" borderId="12" xfId="1168" applyFont="1" applyFill="1" applyBorder="1" applyAlignment="1" applyProtection="1">
      <alignment horizontal="center"/>
    </xf>
    <xf numFmtId="166" fontId="47" fillId="27" borderId="12" xfId="1168" applyNumberFormat="1" applyFont="1" applyFill="1" applyBorder="1" applyProtection="1"/>
    <xf numFmtId="166" fontId="44" fillId="29" borderId="16" xfId="642" applyNumberFormat="1" applyFont="1" applyFill="1" applyBorder="1" applyProtection="1"/>
    <xf numFmtId="166" fontId="44" fillId="29" borderId="89" xfId="642" applyNumberFormat="1" applyFont="1" applyFill="1" applyBorder="1" applyProtection="1"/>
    <xf numFmtId="0" fontId="44" fillId="27" borderId="21" xfId="1168" applyFont="1" applyFill="1" applyBorder="1" applyProtection="1"/>
    <xf numFmtId="43" fontId="44" fillId="27" borderId="10" xfId="1168" applyNumberFormat="1" applyFont="1" applyFill="1" applyBorder="1" applyProtection="1"/>
    <xf numFmtId="43" fontId="44" fillId="27" borderId="17" xfId="1168" applyNumberFormat="1" applyFont="1" applyFill="1" applyBorder="1" applyProtection="1"/>
    <xf numFmtId="3" fontId="44" fillId="29" borderId="16" xfId="1168" applyNumberFormat="1" applyFont="1" applyFill="1" applyBorder="1" applyAlignment="1" applyProtection="1">
      <alignment horizontal="right"/>
    </xf>
    <xf numFmtId="0" fontId="47" fillId="27" borderId="65" xfId="1168" applyFont="1" applyFill="1" applyBorder="1" applyProtection="1"/>
    <xf numFmtId="3" fontId="47" fillId="27" borderId="12" xfId="1168" applyNumberFormat="1" applyFont="1" applyFill="1" applyBorder="1" applyProtection="1"/>
    <xf numFmtId="0" fontId="51" fillId="27" borderId="12" xfId="1168" applyFont="1" applyFill="1" applyBorder="1" applyAlignment="1" applyProtection="1">
      <alignment horizontal="center"/>
    </xf>
    <xf numFmtId="10" fontId="44" fillId="29" borderId="89" xfId="1154" applyNumberFormat="1" applyFont="1" applyFill="1" applyBorder="1" applyAlignment="1" applyProtection="1">
      <alignment horizontal="right"/>
    </xf>
    <xf numFmtId="6" fontId="44" fillId="27" borderId="12" xfId="1168" applyNumberFormat="1" applyFont="1" applyFill="1" applyBorder="1" applyProtection="1"/>
    <xf numFmtId="0" fontId="44" fillId="27" borderId="21" xfId="1168" applyFont="1" applyFill="1" applyBorder="1" applyAlignment="1" applyProtection="1">
      <alignment horizontal="left"/>
    </xf>
    <xf numFmtId="10" fontId="44" fillId="29" borderId="89" xfId="1168" applyNumberFormat="1" applyFont="1" applyFill="1" applyBorder="1" applyAlignment="1" applyProtection="1">
      <alignment horizontal="right"/>
    </xf>
    <xf numFmtId="10" fontId="44" fillId="29" borderId="13" xfId="1168" applyNumberFormat="1" applyFont="1" applyFill="1" applyBorder="1" applyAlignment="1" applyProtection="1">
      <alignment horizontal="right"/>
    </xf>
    <xf numFmtId="10" fontId="44" fillId="29" borderId="16" xfId="1168" applyNumberFormat="1" applyFont="1" applyFill="1" applyBorder="1" applyAlignment="1" applyProtection="1">
      <alignment horizontal="right"/>
    </xf>
    <xf numFmtId="10" fontId="44" fillId="29" borderId="89" xfId="1154" applyNumberFormat="1" applyFont="1" applyFill="1" applyBorder="1" applyProtection="1"/>
    <xf numFmtId="0" fontId="51" fillId="27" borderId="0" xfId="1168" applyFont="1" applyFill="1" applyAlignment="1" applyProtection="1">
      <alignment horizontal="center"/>
    </xf>
    <xf numFmtId="0" fontId="44" fillId="27" borderId="15" xfId="1168" applyFont="1" applyFill="1" applyBorder="1" applyProtection="1"/>
    <xf numFmtId="14" fontId="44" fillId="27" borderId="18" xfId="1168" applyNumberFormat="1" applyFont="1" applyFill="1" applyBorder="1" applyProtection="1"/>
    <xf numFmtId="10" fontId="44" fillId="29" borderId="16" xfId="1168" applyNumberFormat="1" applyFont="1" applyFill="1" applyBorder="1" applyProtection="1"/>
    <xf numFmtId="10" fontId="44" fillId="29" borderId="16" xfId="1153" applyNumberFormat="1" applyFont="1" applyFill="1" applyBorder="1" applyProtection="1"/>
    <xf numFmtId="10" fontId="44" fillId="29" borderId="89" xfId="1168" applyNumberFormat="1" applyFont="1" applyFill="1" applyBorder="1" applyProtection="1"/>
    <xf numFmtId="10" fontId="44" fillId="29" borderId="16" xfId="1154" applyNumberFormat="1" applyFont="1" applyFill="1" applyBorder="1" applyAlignment="1" applyProtection="1">
      <alignment horizontal="right"/>
    </xf>
    <xf numFmtId="9" fontId="44" fillId="29" borderId="16" xfId="1168" applyNumberFormat="1" applyFont="1" applyFill="1" applyBorder="1" applyProtection="1"/>
    <xf numFmtId="9" fontId="44" fillId="29" borderId="89" xfId="1168" applyNumberFormat="1" applyFont="1" applyFill="1" applyBorder="1" applyProtection="1"/>
    <xf numFmtId="0" fontId="44" fillId="29" borderId="89" xfId="1168" applyFont="1" applyFill="1" applyBorder="1" applyProtection="1"/>
    <xf numFmtId="0" fontId="47" fillId="27" borderId="14" xfId="1168" applyFont="1" applyFill="1" applyBorder="1" applyAlignment="1" applyProtection="1">
      <alignment horizontal="center"/>
    </xf>
    <xf numFmtId="166" fontId="44" fillId="27" borderId="10" xfId="1168" applyNumberFormat="1" applyFont="1" applyFill="1" applyBorder="1" applyProtection="1"/>
    <xf numFmtId="166" fontId="44" fillId="27" borderId="17" xfId="1168" applyNumberFormat="1" applyFont="1" applyFill="1" applyBorder="1" applyProtection="1"/>
    <xf numFmtId="166" fontId="47" fillId="27" borderId="65" xfId="1168" applyNumberFormat="1" applyFont="1" applyFill="1" applyBorder="1" applyProtection="1"/>
    <xf numFmtId="166" fontId="47" fillId="27" borderId="89" xfId="1168" applyNumberFormat="1" applyFont="1" applyFill="1" applyBorder="1" applyProtection="1"/>
    <xf numFmtId="3" fontId="47" fillId="27" borderId="57" xfId="1168" applyNumberFormat="1" applyFont="1" applyFill="1" applyBorder="1" applyProtection="1"/>
    <xf numFmtId="3" fontId="47" fillId="27" borderId="59" xfId="1168" applyNumberFormat="1" applyFont="1" applyFill="1" applyBorder="1" applyProtection="1"/>
    <xf numFmtId="3" fontId="47" fillId="27" borderId="14" xfId="1168" applyNumberFormat="1" applyFont="1" applyFill="1" applyBorder="1" applyProtection="1"/>
    <xf numFmtId="3" fontId="47" fillId="27" borderId="13" xfId="1168" applyNumberFormat="1" applyFont="1" applyFill="1" applyBorder="1" applyProtection="1"/>
    <xf numFmtId="10" fontId="44" fillId="27" borderId="0" xfId="1168" applyNumberFormat="1" applyFont="1" applyFill="1" applyProtection="1"/>
    <xf numFmtId="166" fontId="44" fillId="27" borderId="0" xfId="1168" applyNumberFormat="1" applyFont="1" applyFill="1" applyAlignment="1" applyProtection="1">
      <alignment horizontal="center"/>
    </xf>
    <xf numFmtId="166" fontId="44" fillId="27" borderId="16" xfId="1168" applyNumberFormat="1" applyFont="1" applyFill="1" applyBorder="1" applyAlignment="1" applyProtection="1">
      <alignment horizontal="center"/>
    </xf>
    <xf numFmtId="166" fontId="44" fillId="27" borderId="10" xfId="1168" applyNumberFormat="1" applyFont="1" applyFill="1" applyBorder="1" applyAlignment="1" applyProtection="1">
      <alignment horizontal="center"/>
    </xf>
    <xf numFmtId="166" fontId="44" fillId="27" borderId="17" xfId="1168" applyNumberFormat="1" applyFont="1" applyFill="1" applyBorder="1" applyAlignment="1" applyProtection="1">
      <alignment horizontal="center"/>
    </xf>
    <xf numFmtId="166" fontId="44" fillId="27" borderId="57" xfId="1168" applyNumberFormat="1" applyFont="1" applyFill="1" applyBorder="1" applyProtection="1"/>
    <xf numFmtId="166" fontId="44" fillId="27" borderId="59" xfId="1168" applyNumberFormat="1" applyFont="1" applyFill="1" applyBorder="1" applyProtection="1"/>
    <xf numFmtId="0" fontId="47" fillId="27" borderId="0" xfId="1168" applyFont="1" applyFill="1" applyProtection="1"/>
    <xf numFmtId="0" fontId="44" fillId="27" borderId="89" xfId="1168" applyFont="1" applyFill="1" applyBorder="1" applyProtection="1"/>
    <xf numFmtId="0" fontId="24" fillId="0" borderId="0" xfId="1168" applyProtection="1"/>
    <xf numFmtId="10" fontId="24" fillId="26" borderId="0" xfId="1168" applyNumberFormat="1" applyFill="1" applyProtection="1"/>
    <xf numFmtId="43" fontId="57" fillId="27" borderId="14" xfId="1168" applyNumberFormat="1" applyFont="1" applyFill="1" applyBorder="1" applyProtection="1"/>
    <xf numFmtId="43" fontId="57" fillId="27" borderId="14" xfId="642" applyFont="1" applyFill="1" applyBorder="1" applyAlignment="1" applyProtection="1"/>
    <xf numFmtId="43" fontId="57" fillId="27" borderId="13" xfId="642" applyFont="1" applyFill="1" applyBorder="1" applyAlignment="1" applyProtection="1"/>
    <xf numFmtId="0" fontId="57" fillId="27" borderId="16" xfId="1168" applyFont="1" applyFill="1" applyBorder="1" applyAlignment="1" applyProtection="1">
      <alignment horizontal="center"/>
    </xf>
    <xf numFmtId="10" fontId="57" fillId="32" borderId="0" xfId="1154" applyNumberFormat="1" applyFont="1" applyFill="1" applyBorder="1" applyProtection="1"/>
    <xf numFmtId="10" fontId="57" fillId="26" borderId="0" xfId="1154" applyNumberFormat="1" applyFont="1" applyFill="1" applyBorder="1" applyAlignment="1" applyProtection="1">
      <alignment horizontal="center"/>
    </xf>
    <xf numFmtId="10" fontId="57" fillId="32" borderId="0" xfId="1154" applyNumberFormat="1" applyFont="1" applyFill="1" applyBorder="1" applyAlignment="1" applyProtection="1">
      <alignment horizontal="center"/>
    </xf>
    <xf numFmtId="10" fontId="57" fillId="32" borderId="16" xfId="1154" applyNumberFormat="1" applyFont="1" applyFill="1" applyBorder="1" applyAlignment="1" applyProtection="1">
      <alignment horizontal="center"/>
    </xf>
    <xf numFmtId="10" fontId="57" fillId="26" borderId="16" xfId="1154" applyNumberFormat="1" applyFont="1" applyFill="1" applyBorder="1" applyAlignment="1" applyProtection="1">
      <alignment horizontal="center"/>
    </xf>
    <xf numFmtId="10" fontId="57" fillId="32" borderId="16" xfId="1154" applyNumberFormat="1" applyFont="1" applyFill="1" applyBorder="1" applyProtection="1"/>
    <xf numFmtId="10" fontId="57" fillId="27" borderId="0" xfId="1154" applyNumberFormat="1" applyFont="1" applyFill="1" applyBorder="1" applyProtection="1"/>
    <xf numFmtId="10" fontId="57" fillId="27" borderId="16" xfId="1154" applyNumberFormat="1" applyFont="1" applyFill="1" applyBorder="1" applyProtection="1"/>
    <xf numFmtId="10" fontId="57" fillId="27" borderId="0" xfId="1154" applyNumberFormat="1" applyFont="1" applyFill="1" applyBorder="1" applyAlignment="1" applyProtection="1">
      <alignment horizontal="center"/>
    </xf>
    <xf numFmtId="10" fontId="57" fillId="27" borderId="16" xfId="1154" applyNumberFormat="1" applyFont="1" applyFill="1" applyBorder="1" applyAlignment="1" applyProtection="1">
      <alignment horizontal="center"/>
    </xf>
    <xf numFmtId="0" fontId="57" fillId="0" borderId="0" xfId="1168" applyFont="1" applyProtection="1"/>
    <xf numFmtId="0" fontId="57" fillId="0" borderId="16" xfId="1168" applyFont="1" applyBorder="1" applyProtection="1"/>
    <xf numFmtId="43" fontId="57" fillId="32" borderId="0" xfId="1168" applyNumberFormat="1" applyFont="1" applyFill="1" applyProtection="1"/>
    <xf numFmtId="43" fontId="57" fillId="27" borderId="0" xfId="642" applyFont="1" applyFill="1" applyBorder="1" applyAlignment="1" applyProtection="1">
      <alignment horizontal="center"/>
    </xf>
    <xf numFmtId="43" fontId="57" fillId="27" borderId="16" xfId="642" applyFont="1" applyFill="1" applyBorder="1" applyAlignment="1" applyProtection="1">
      <alignment horizontal="center"/>
    </xf>
    <xf numFmtId="0" fontId="57" fillId="32" borderId="0" xfId="1168" applyFont="1" applyFill="1" applyProtection="1"/>
    <xf numFmtId="2" fontId="57" fillId="32" borderId="0" xfId="1168" applyNumberFormat="1" applyFont="1" applyFill="1" applyProtection="1"/>
    <xf numFmtId="2" fontId="57" fillId="32" borderId="16" xfId="1168" applyNumberFormat="1" applyFont="1" applyFill="1" applyBorder="1" applyProtection="1"/>
    <xf numFmtId="43" fontId="57" fillId="27" borderId="0" xfId="1154" applyNumberFormat="1" applyFont="1" applyFill="1" applyBorder="1" applyAlignment="1" applyProtection="1">
      <alignment horizontal="center"/>
    </xf>
    <xf numFmtId="43" fontId="57" fillId="27" borderId="16" xfId="1154" applyNumberFormat="1" applyFont="1" applyFill="1" applyBorder="1" applyAlignment="1" applyProtection="1">
      <alignment horizontal="center"/>
    </xf>
    <xf numFmtId="0" fontId="57" fillId="27" borderId="49" xfId="1168" applyFont="1" applyFill="1" applyBorder="1" applyAlignment="1" applyProtection="1">
      <alignment horizontal="left"/>
    </xf>
    <xf numFmtId="10" fontId="57" fillId="32" borderId="65" xfId="1154" applyNumberFormat="1" applyFont="1" applyFill="1" applyBorder="1" applyProtection="1"/>
    <xf numFmtId="10" fontId="57" fillId="32" borderId="66" xfId="1154" applyNumberFormat="1" applyFont="1" applyFill="1" applyBorder="1" applyProtection="1"/>
    <xf numFmtId="0" fontId="57" fillId="27" borderId="0" xfId="1168" applyFont="1" applyFill="1" applyAlignment="1" applyProtection="1">
      <alignment horizontal="left"/>
    </xf>
    <xf numFmtId="43" fontId="57" fillId="32" borderId="0" xfId="638" applyFont="1" applyFill="1" applyBorder="1" applyProtection="1"/>
    <xf numFmtId="43" fontId="57" fillId="27" borderId="0" xfId="638" applyFont="1" applyFill="1" applyBorder="1" applyAlignment="1" applyProtection="1">
      <alignment horizontal="center"/>
    </xf>
    <xf numFmtId="43" fontId="57" fillId="27" borderId="16" xfId="638" applyFont="1" applyFill="1" applyBorder="1" applyAlignment="1" applyProtection="1">
      <alignment horizontal="center"/>
    </xf>
    <xf numFmtId="43" fontId="57" fillId="32" borderId="89" xfId="638" applyFont="1" applyFill="1" applyBorder="1" applyProtection="1"/>
    <xf numFmtId="43" fontId="57" fillId="32" borderId="65" xfId="638" applyFont="1" applyFill="1" applyBorder="1" applyProtection="1"/>
    <xf numFmtId="43" fontId="57" fillId="32" borderId="66" xfId="638" applyFont="1" applyFill="1" applyBorder="1" applyProtection="1"/>
    <xf numFmtId="0" fontId="24" fillId="27" borderId="11" xfId="1168" applyFill="1" applyBorder="1" applyProtection="1"/>
    <xf numFmtId="0" fontId="24" fillId="27" borderId="0" xfId="1168" applyFill="1" applyBorder="1" applyAlignment="1" applyProtection="1">
      <alignment horizontal="center"/>
    </xf>
    <xf numFmtId="0" fontId="24" fillId="27" borderId="16" xfId="1168" applyFill="1" applyBorder="1" applyAlignment="1" applyProtection="1">
      <alignment horizontal="center"/>
    </xf>
    <xf numFmtId="3" fontId="24" fillId="27" borderId="0" xfId="1168" applyNumberFormat="1" applyFill="1" applyBorder="1" applyProtection="1"/>
    <xf numFmtId="43" fontId="0" fillId="27" borderId="16" xfId="642" applyFont="1" applyFill="1" applyBorder="1" applyProtection="1"/>
    <xf numFmtId="2" fontId="24" fillId="27" borderId="0" xfId="1168" applyNumberFormat="1" applyFill="1" applyBorder="1" applyProtection="1"/>
    <xf numFmtId="3" fontId="24" fillId="27" borderId="65" xfId="1168" applyNumberFormat="1" applyFill="1" applyBorder="1" applyProtection="1"/>
    <xf numFmtId="43" fontId="0" fillId="27" borderId="89" xfId="642" applyFont="1" applyFill="1" applyBorder="1" applyProtection="1"/>
    <xf numFmtId="3" fontId="24" fillId="27" borderId="0" xfId="1168" applyNumberFormat="1" applyFill="1" applyProtection="1"/>
    <xf numFmtId="189" fontId="24" fillId="27" borderId="0" xfId="1168" applyNumberFormat="1" applyFill="1" applyProtection="1"/>
    <xf numFmtId="10" fontId="24" fillId="27" borderId="0" xfId="1168" applyNumberFormat="1" applyFill="1" applyAlignment="1" applyProtection="1">
      <alignment horizontal="center"/>
    </xf>
    <xf numFmtId="2" fontId="24" fillId="27" borderId="0" xfId="1168" applyNumberFormat="1" applyFill="1" applyProtection="1"/>
    <xf numFmtId="0" fontId="57" fillId="27" borderId="0" xfId="35529" applyFont="1" applyFill="1" applyProtection="1"/>
    <xf numFmtId="0" fontId="58" fillId="27" borderId="15" xfId="35529" applyFont="1" applyFill="1" applyBorder="1" applyAlignment="1" applyProtection="1">
      <alignment vertical="center"/>
    </xf>
    <xf numFmtId="0" fontId="58" fillId="27" borderId="19" xfId="35529" applyFont="1" applyFill="1" applyBorder="1" applyAlignment="1" applyProtection="1">
      <alignment horizontal="center" vertical="center"/>
    </xf>
    <xf numFmtId="0" fontId="58" fillId="27" borderId="19" xfId="39932" applyFont="1" applyFill="1" applyBorder="1" applyAlignment="1" applyProtection="1">
      <alignment horizontal="center" vertical="center"/>
    </xf>
    <xf numFmtId="0" fontId="58" fillId="27" borderId="19" xfId="39932" applyFont="1" applyFill="1" applyBorder="1" applyAlignment="1" applyProtection="1">
      <alignment horizontal="center" vertical="center" wrapText="1"/>
    </xf>
    <xf numFmtId="0" fontId="58" fillId="27" borderId="18" xfId="39932" applyFont="1" applyFill="1" applyBorder="1" applyAlignment="1" applyProtection="1">
      <alignment horizontal="center" vertical="center" wrapText="1"/>
    </xf>
    <xf numFmtId="0" fontId="57" fillId="27" borderId="44" xfId="35529" applyFont="1" applyFill="1" applyBorder="1" applyAlignment="1" applyProtection="1">
      <alignment horizontal="center"/>
    </xf>
    <xf numFmtId="0" fontId="57" fillId="27" borderId="0" xfId="35529" applyFont="1" applyFill="1" applyAlignment="1" applyProtection="1">
      <alignment horizontal="center"/>
    </xf>
    <xf numFmtId="0" fontId="58" fillId="27" borderId="11" xfId="35529" applyFont="1" applyFill="1" applyBorder="1" applyProtection="1"/>
    <xf numFmtId="0" fontId="57" fillId="27" borderId="14" xfId="35529" applyFont="1" applyFill="1" applyBorder="1" applyProtection="1"/>
    <xf numFmtId="0" fontId="57" fillId="27" borderId="13" xfId="35529" applyFont="1" applyFill="1" applyBorder="1" applyProtection="1"/>
    <xf numFmtId="2" fontId="57" fillId="27" borderId="0" xfId="39932" applyNumberFormat="1" applyFont="1" applyFill="1" applyProtection="1"/>
    <xf numFmtId="0" fontId="57" fillId="29" borderId="13" xfId="39932" applyFont="1" applyFill="1" applyBorder="1" applyAlignment="1" applyProtection="1">
      <alignment horizontal="center" vertical="center" wrapText="1"/>
    </xf>
    <xf numFmtId="3" fontId="57" fillId="27" borderId="14" xfId="39932" applyNumberFormat="1" applyFont="1" applyFill="1" applyBorder="1" applyProtection="1"/>
    <xf numFmtId="3" fontId="57" fillId="27" borderId="13" xfId="39932" applyNumberFormat="1" applyFont="1" applyFill="1" applyBorder="1" applyProtection="1"/>
    <xf numFmtId="0" fontId="57" fillId="27" borderId="46" xfId="39932" applyFont="1" applyFill="1" applyBorder="1" applyProtection="1"/>
    <xf numFmtId="0" fontId="57" fillId="27" borderId="0" xfId="39932" applyFont="1" applyFill="1" applyProtection="1"/>
    <xf numFmtId="0" fontId="57" fillId="27" borderId="12" xfId="35529" applyFont="1" applyFill="1" applyBorder="1" applyProtection="1"/>
    <xf numFmtId="0" fontId="57" fillId="27" borderId="16" xfId="35529" applyFont="1" applyFill="1" applyBorder="1" applyProtection="1"/>
    <xf numFmtId="2" fontId="68" fillId="27" borderId="12" xfId="39932" applyNumberFormat="1" applyFont="1" applyFill="1" applyBorder="1" applyProtection="1"/>
    <xf numFmtId="0" fontId="57" fillId="29" borderId="16" xfId="39932" applyFont="1" applyFill="1" applyBorder="1" applyAlignment="1" applyProtection="1">
      <alignment horizontal="center" vertical="center" wrapText="1"/>
    </xf>
    <xf numFmtId="3" fontId="57" fillId="27" borderId="0" xfId="39932" applyNumberFormat="1" applyFont="1" applyFill="1" applyProtection="1"/>
    <xf numFmtId="3" fontId="57" fillId="27" borderId="16" xfId="39932" applyNumberFormat="1" applyFont="1" applyFill="1" applyBorder="1" applyProtection="1"/>
    <xf numFmtId="0" fontId="58" fillId="27" borderId="15" xfId="35529" applyFont="1" applyFill="1" applyBorder="1" applyProtection="1"/>
    <xf numFmtId="0" fontId="58" fillId="27" borderId="18" xfId="35529" applyFont="1" applyFill="1" applyBorder="1" applyAlignment="1" applyProtection="1">
      <alignment horizontal="center"/>
    </xf>
    <xf numFmtId="0" fontId="58" fillId="27" borderId="15" xfId="35529" applyFont="1" applyFill="1" applyBorder="1" applyAlignment="1" applyProtection="1">
      <alignment horizontal="center"/>
    </xf>
    <xf numFmtId="0" fontId="58" fillId="27" borderId="19" xfId="35529" applyFont="1" applyFill="1" applyBorder="1" applyAlignment="1" applyProtection="1">
      <alignment horizontal="center"/>
    </xf>
    <xf numFmtId="43" fontId="57" fillId="27" borderId="0" xfId="638" applyFont="1" applyFill="1" applyBorder="1" applyProtection="1"/>
    <xf numFmtId="43" fontId="57" fillId="27" borderId="16" xfId="638" applyFont="1" applyFill="1" applyBorder="1" applyProtection="1"/>
    <xf numFmtId="2" fontId="57" fillId="27" borderId="49" xfId="39932" applyNumberFormat="1" applyFont="1" applyFill="1" applyBorder="1" applyProtection="1"/>
    <xf numFmtId="2" fontId="57" fillId="27" borderId="65" xfId="39932" applyNumberFormat="1" applyFont="1" applyFill="1" applyBorder="1" applyProtection="1"/>
    <xf numFmtId="0" fontId="57" fillId="27" borderId="65" xfId="39932" applyFont="1" applyFill="1" applyBorder="1" applyProtection="1"/>
    <xf numFmtId="0" fontId="57" fillId="29" borderId="89" xfId="39932" applyFont="1" applyFill="1" applyBorder="1" applyAlignment="1" applyProtection="1">
      <alignment horizontal="center" vertical="center" wrapText="1"/>
    </xf>
    <xf numFmtId="185" fontId="57" fillId="27" borderId="0" xfId="35529" applyNumberFormat="1" applyFont="1" applyFill="1" applyProtection="1"/>
    <xf numFmtId="0" fontId="58" fillId="27" borderId="49" xfId="35529" applyFont="1" applyFill="1" applyBorder="1" applyProtection="1"/>
    <xf numFmtId="166" fontId="57" fillId="27" borderId="57" xfId="35529" applyNumberFormat="1" applyFont="1" applyFill="1" applyBorder="1" applyProtection="1"/>
    <xf numFmtId="0" fontId="57" fillId="27" borderId="57" xfId="35529" applyFont="1" applyFill="1" applyBorder="1" applyProtection="1"/>
    <xf numFmtId="0" fontId="57" fillId="27" borderId="65" xfId="35529" applyFont="1" applyFill="1" applyBorder="1" applyProtection="1"/>
    <xf numFmtId="166" fontId="57" fillId="27" borderId="57" xfId="31614" applyNumberFormat="1" applyFont="1" applyFill="1" applyBorder="1" applyProtection="1"/>
    <xf numFmtId="166" fontId="57" fillId="27" borderId="59" xfId="31614" applyNumberFormat="1" applyFont="1" applyFill="1" applyBorder="1" applyProtection="1"/>
    <xf numFmtId="0" fontId="58" fillId="27" borderId="15" xfId="35529" applyFont="1" applyFill="1" applyBorder="1" applyAlignment="1" applyProtection="1">
      <alignment vertical="center" wrapText="1"/>
    </xf>
    <xf numFmtId="0" fontId="58" fillId="27" borderId="19" xfId="35529" applyFont="1" applyFill="1" applyBorder="1" applyAlignment="1" applyProtection="1">
      <alignment horizontal="center" vertical="center" wrapText="1"/>
    </xf>
    <xf numFmtId="0" fontId="58" fillId="27" borderId="18" xfId="35529" applyFont="1" applyFill="1" applyBorder="1" applyAlignment="1" applyProtection="1">
      <alignment horizontal="center" vertical="center" wrapText="1"/>
    </xf>
    <xf numFmtId="0" fontId="58" fillId="27" borderId="28" xfId="39932" applyFont="1" applyFill="1" applyBorder="1" applyAlignment="1" applyProtection="1">
      <alignment horizontal="center"/>
    </xf>
    <xf numFmtId="0" fontId="57" fillId="27" borderId="11" xfId="35529" applyFont="1" applyFill="1" applyBorder="1" applyProtection="1"/>
    <xf numFmtId="2" fontId="57" fillId="27" borderId="14" xfId="39932" applyNumberFormat="1" applyFont="1" applyFill="1" applyBorder="1" applyProtection="1"/>
    <xf numFmtId="0" fontId="57" fillId="27" borderId="44" xfId="39932" applyFont="1" applyFill="1" applyBorder="1" applyAlignment="1" applyProtection="1">
      <alignment horizontal="center"/>
    </xf>
    <xf numFmtId="0" fontId="57" fillId="27" borderId="45" xfId="39932" applyFont="1" applyFill="1" applyBorder="1" applyAlignment="1" applyProtection="1">
      <alignment horizontal="center"/>
    </xf>
    <xf numFmtId="0" fontId="57" fillId="27" borderId="12" xfId="39932" applyFont="1" applyFill="1" applyBorder="1" applyProtection="1"/>
    <xf numFmtId="0" fontId="58" fillId="27" borderId="58" xfId="35529" applyFont="1" applyFill="1" applyBorder="1" applyProtection="1"/>
    <xf numFmtId="9" fontId="57" fillId="27" borderId="28" xfId="39932" applyNumberFormat="1" applyFont="1" applyFill="1" applyBorder="1" applyAlignment="1" applyProtection="1">
      <alignment horizontal="center"/>
    </xf>
    <xf numFmtId="166" fontId="57" fillId="27" borderId="17" xfId="638" applyNumberFormat="1" applyFont="1" applyFill="1" applyBorder="1" applyProtection="1"/>
    <xf numFmtId="0" fontId="57" fillId="27" borderId="49" xfId="35529" applyFont="1" applyFill="1" applyBorder="1" applyProtection="1"/>
    <xf numFmtId="166" fontId="58" fillId="27" borderId="65" xfId="638" applyNumberFormat="1" applyFont="1" applyFill="1" applyBorder="1" applyProtection="1"/>
    <xf numFmtId="166" fontId="58" fillId="27" borderId="89" xfId="638" applyNumberFormat="1" applyFont="1" applyFill="1" applyBorder="1" applyProtection="1"/>
    <xf numFmtId="0" fontId="57" fillId="29" borderId="0" xfId="39932" applyFont="1" applyFill="1" applyAlignment="1" applyProtection="1">
      <alignment horizontal="center" vertical="center" wrapText="1"/>
    </xf>
    <xf numFmtId="3" fontId="57" fillId="27" borderId="12" xfId="39932" applyNumberFormat="1" applyFont="1" applyFill="1" applyBorder="1" applyProtection="1"/>
    <xf numFmtId="0" fontId="58" fillId="27" borderId="0" xfId="39932" applyFont="1" applyFill="1" applyAlignment="1" applyProtection="1">
      <alignment horizontal="center"/>
    </xf>
    <xf numFmtId="0" fontId="57" fillId="27" borderId="0" xfId="39932" applyFont="1" applyFill="1" applyAlignment="1" applyProtection="1">
      <alignment horizontal="center"/>
    </xf>
    <xf numFmtId="2" fontId="57" fillId="27" borderId="12" xfId="39932" applyNumberFormat="1" applyFont="1" applyFill="1" applyBorder="1" applyProtection="1"/>
    <xf numFmtId="2" fontId="57" fillId="27" borderId="10" xfId="39932" applyNumberFormat="1" applyFont="1" applyFill="1" applyBorder="1" applyProtection="1"/>
    <xf numFmtId="3" fontId="57" fillId="27" borderId="21" xfId="39932" applyNumberFormat="1" applyFont="1" applyFill="1" applyBorder="1" applyProtection="1"/>
    <xf numFmtId="3" fontId="57" fillId="27" borderId="10" xfId="39932" applyNumberFormat="1" applyFont="1" applyFill="1" applyBorder="1" applyProtection="1"/>
    <xf numFmtId="3" fontId="57" fillId="27" borderId="17" xfId="39932" applyNumberFormat="1" applyFont="1" applyFill="1" applyBorder="1" applyProtection="1"/>
    <xf numFmtId="0" fontId="57" fillId="27" borderId="46" xfId="35529" applyFont="1" applyFill="1" applyBorder="1" applyProtection="1"/>
    <xf numFmtId="166" fontId="57" fillId="27" borderId="58" xfId="35529" applyNumberFormat="1" applyFont="1" applyFill="1" applyBorder="1" applyProtection="1"/>
    <xf numFmtId="166" fontId="57" fillId="27" borderId="59" xfId="35529" applyNumberFormat="1" applyFont="1" applyFill="1" applyBorder="1" applyProtection="1"/>
    <xf numFmtId="0" fontId="58" fillId="27" borderId="19" xfId="35529" applyFont="1" applyFill="1" applyBorder="1" applyProtection="1"/>
    <xf numFmtId="166" fontId="57" fillId="27" borderId="19" xfId="31614" applyNumberFormat="1" applyFont="1" applyFill="1" applyBorder="1" applyProtection="1"/>
    <xf numFmtId="166" fontId="57" fillId="27" borderId="18" xfId="31614" applyNumberFormat="1" applyFont="1" applyFill="1" applyBorder="1" applyProtection="1"/>
    <xf numFmtId="0" fontId="58" fillId="27" borderId="15" xfId="39932" applyFont="1" applyFill="1" applyBorder="1" applyProtection="1"/>
    <xf numFmtId="0" fontId="58" fillId="27" borderId="19" xfId="39932" applyFont="1" applyFill="1" applyBorder="1" applyAlignment="1" applyProtection="1">
      <alignment vertical="center"/>
    </xf>
    <xf numFmtId="0" fontId="58" fillId="27" borderId="19" xfId="39932" applyFont="1" applyFill="1" applyBorder="1" applyAlignment="1" applyProtection="1">
      <alignment vertical="center" wrapText="1"/>
    </xf>
    <xf numFmtId="0" fontId="57" fillId="27" borderId="19" xfId="35529" applyFont="1" applyFill="1" applyBorder="1" applyProtection="1"/>
    <xf numFmtId="9" fontId="57" fillId="27" borderId="0" xfId="39932" applyNumberFormat="1" applyFont="1" applyFill="1" applyAlignment="1" applyProtection="1">
      <alignment horizontal="center"/>
    </xf>
    <xf numFmtId="166" fontId="57" fillId="27" borderId="0" xfId="39932" applyNumberFormat="1" applyFont="1" applyFill="1" applyProtection="1"/>
    <xf numFmtId="166" fontId="57" fillId="27" borderId="16" xfId="39932" applyNumberFormat="1" applyFont="1" applyFill="1" applyBorder="1" applyProtection="1"/>
    <xf numFmtId="166" fontId="57" fillId="27" borderId="10" xfId="39932" applyNumberFormat="1" applyFont="1" applyFill="1" applyBorder="1" applyProtection="1"/>
    <xf numFmtId="166" fontId="57" fillId="27" borderId="17" xfId="39932" applyNumberFormat="1" applyFont="1" applyFill="1" applyBorder="1" applyProtection="1"/>
    <xf numFmtId="0" fontId="58" fillId="27" borderId="58" xfId="39932" applyFont="1" applyFill="1" applyBorder="1" applyProtection="1"/>
    <xf numFmtId="0" fontId="57" fillId="27" borderId="57" xfId="39932" applyFont="1" applyFill="1" applyBorder="1" applyProtection="1"/>
    <xf numFmtId="166" fontId="57" fillId="27" borderId="57" xfId="39932" applyNumberFormat="1" applyFont="1" applyFill="1" applyBorder="1" applyProtection="1"/>
    <xf numFmtId="166" fontId="57" fillId="27" borderId="59" xfId="39932" applyNumberFormat="1" applyFont="1" applyFill="1" applyBorder="1" applyProtection="1"/>
    <xf numFmtId="166" fontId="57" fillId="27" borderId="0" xfId="35529" applyNumberFormat="1" applyFont="1" applyFill="1" applyProtection="1"/>
    <xf numFmtId="166" fontId="58" fillId="27" borderId="65" xfId="35529" applyNumberFormat="1" applyFont="1" applyFill="1" applyBorder="1" applyProtection="1"/>
    <xf numFmtId="166" fontId="58" fillId="27" borderId="89" xfId="35529" applyNumberFormat="1" applyFont="1" applyFill="1" applyBorder="1" applyProtection="1"/>
    <xf numFmtId="166" fontId="58" fillId="27" borderId="19" xfId="31614" applyNumberFormat="1" applyFont="1" applyFill="1" applyBorder="1" applyProtection="1"/>
    <xf numFmtId="166" fontId="58" fillId="27" borderId="18" xfId="31614" applyNumberFormat="1" applyFont="1" applyFill="1" applyBorder="1" applyProtection="1"/>
    <xf numFmtId="0" fontId="57" fillId="27" borderId="18" xfId="35529" applyFont="1" applyFill="1" applyBorder="1" applyProtection="1"/>
    <xf numFmtId="0" fontId="58" fillId="27" borderId="19" xfId="35529" applyFont="1" applyFill="1" applyBorder="1" applyAlignment="1" applyProtection="1">
      <alignment vertical="center"/>
    </xf>
    <xf numFmtId="10" fontId="57" fillId="29" borderId="14" xfId="39926" applyNumberFormat="1" applyFont="1" applyFill="1" applyBorder="1" applyProtection="1"/>
    <xf numFmtId="166" fontId="24" fillId="27" borderId="14" xfId="39934" applyNumberFormat="1" applyFont="1" applyFill="1" applyBorder="1" applyProtection="1"/>
    <xf numFmtId="166" fontId="57" fillId="27" borderId="14" xfId="39932" applyNumberFormat="1" applyFont="1" applyFill="1" applyBorder="1" applyProtection="1"/>
    <xf numFmtId="0" fontId="57" fillId="29" borderId="14" xfId="39932" applyFont="1" applyFill="1" applyBorder="1" applyAlignment="1" applyProtection="1">
      <alignment horizontal="center" vertical="center" wrapText="1"/>
    </xf>
    <xf numFmtId="166" fontId="57" fillId="29" borderId="13" xfId="39933" applyNumberFormat="1" applyFont="1" applyFill="1" applyBorder="1" applyAlignment="1" applyProtection="1">
      <alignment horizontal="center"/>
    </xf>
    <xf numFmtId="10" fontId="57" fillId="29" borderId="0" xfId="39926" applyNumberFormat="1" applyFont="1" applyFill="1" applyBorder="1" applyProtection="1"/>
    <xf numFmtId="166" fontId="24" fillId="27" borderId="0" xfId="39934" applyNumberFormat="1" applyFont="1" applyFill="1" applyBorder="1" applyProtection="1"/>
    <xf numFmtId="166" fontId="57" fillId="29" borderId="16" xfId="39933" applyNumberFormat="1" applyFont="1" applyFill="1" applyBorder="1" applyAlignment="1" applyProtection="1">
      <alignment horizontal="center"/>
    </xf>
    <xf numFmtId="0" fontId="24" fillId="27" borderId="12" xfId="1168" applyFill="1" applyBorder="1" applyAlignment="1" applyProtection="1">
      <alignment wrapText="1"/>
    </xf>
    <xf numFmtId="0" fontId="58" fillId="27" borderId="12" xfId="35529" applyFont="1" applyFill="1" applyBorder="1" applyProtection="1"/>
    <xf numFmtId="0" fontId="57" fillId="27" borderId="49" xfId="35529" applyFont="1" applyFill="1" applyBorder="1" applyAlignment="1" applyProtection="1">
      <alignment vertical="center"/>
    </xf>
    <xf numFmtId="166" fontId="57" fillId="29" borderId="65" xfId="35529" applyNumberFormat="1" applyFont="1" applyFill="1" applyBorder="1" applyAlignment="1" applyProtection="1">
      <alignment vertical="center"/>
    </xf>
    <xf numFmtId="10" fontId="57" fillId="29" borderId="65" xfId="39926" applyNumberFormat="1" applyFont="1" applyFill="1" applyBorder="1" applyProtection="1"/>
    <xf numFmtId="166" fontId="24" fillId="27" borderId="65" xfId="39934" applyNumberFormat="1" applyFont="1" applyFill="1" applyBorder="1" applyProtection="1"/>
    <xf numFmtId="166" fontId="57" fillId="27" borderId="65" xfId="39932" applyNumberFormat="1" applyFont="1" applyFill="1" applyBorder="1" applyProtection="1"/>
    <xf numFmtId="0" fontId="57" fillId="0" borderId="65" xfId="1168" applyFont="1" applyFill="1" applyBorder="1" applyProtection="1"/>
    <xf numFmtId="0" fontId="57" fillId="29" borderId="65" xfId="39932" applyFont="1" applyFill="1" applyBorder="1" applyAlignment="1" applyProtection="1">
      <alignment horizontal="center" vertical="center" wrapText="1"/>
    </xf>
    <xf numFmtId="166" fontId="57" fillId="29" borderId="89" xfId="39933" applyNumberFormat="1" applyFont="1" applyFill="1" applyBorder="1" applyAlignment="1" applyProtection="1">
      <alignment horizontal="center"/>
    </xf>
    <xf numFmtId="9" fontId="57" fillId="29" borderId="0" xfId="39932" applyNumberFormat="1" applyFont="1" applyFill="1" applyProtection="1"/>
    <xf numFmtId="166" fontId="57" fillId="27" borderId="16" xfId="35529" applyNumberFormat="1" applyFont="1" applyFill="1" applyBorder="1" applyProtection="1"/>
    <xf numFmtId="0" fontId="57" fillId="27" borderId="58" xfId="35529" applyFont="1" applyFill="1" applyBorder="1" applyProtection="1"/>
    <xf numFmtId="0" fontId="58" fillId="27" borderId="49" xfId="39932" applyFont="1" applyFill="1" applyBorder="1" applyProtection="1"/>
    <xf numFmtId="0" fontId="58" fillId="27" borderId="11" xfId="39932" applyFont="1" applyFill="1" applyBorder="1" applyAlignment="1" applyProtection="1">
      <alignment vertical="center"/>
    </xf>
    <xf numFmtId="0" fontId="58" fillId="27" borderId="14" xfId="39932" applyFont="1" applyFill="1" applyBorder="1" applyAlignment="1" applyProtection="1">
      <alignment horizontal="center" vertical="center"/>
    </xf>
    <xf numFmtId="0" fontId="58" fillId="27" borderId="14" xfId="39932" applyFont="1" applyFill="1" applyBorder="1" applyAlignment="1" applyProtection="1">
      <alignment vertical="center"/>
    </xf>
    <xf numFmtId="0" fontId="58" fillId="27" borderId="14" xfId="39932" applyFont="1" applyFill="1" applyBorder="1" applyAlignment="1" applyProtection="1">
      <alignment horizontal="center" vertical="center" wrapText="1"/>
    </xf>
    <xf numFmtId="0" fontId="58" fillId="27" borderId="13" xfId="39932" applyFont="1" applyFill="1" applyBorder="1" applyAlignment="1" applyProtection="1">
      <alignment horizontal="center" vertical="center" wrapText="1"/>
    </xf>
    <xf numFmtId="0" fontId="24" fillId="27" borderId="115" xfId="1168" applyFill="1" applyBorder="1" applyProtection="1"/>
    <xf numFmtId="0" fontId="24" fillId="27" borderId="114" xfId="1168" applyFill="1" applyBorder="1" applyProtection="1"/>
    <xf numFmtId="10" fontId="57" fillId="29" borderId="114" xfId="39926" applyNumberFormat="1" applyFont="1" applyFill="1" applyBorder="1" applyProtection="1"/>
    <xf numFmtId="10" fontId="57" fillId="29" borderId="116" xfId="39926" applyNumberFormat="1" applyFont="1" applyFill="1" applyBorder="1" applyProtection="1"/>
    <xf numFmtId="0" fontId="24" fillId="27" borderId="118" xfId="1168" applyFill="1" applyBorder="1" applyProtection="1"/>
    <xf numFmtId="166" fontId="24" fillId="27" borderId="117" xfId="39934" applyNumberFormat="1" applyFont="1" applyFill="1" applyBorder="1" applyProtection="1"/>
    <xf numFmtId="0" fontId="24" fillId="27" borderId="117" xfId="1168" applyFill="1" applyBorder="1" applyProtection="1"/>
    <xf numFmtId="9" fontId="24" fillId="27" borderId="117" xfId="1154" applyFont="1" applyFill="1" applyBorder="1" applyProtection="1"/>
    <xf numFmtId="9" fontId="24" fillId="27" borderId="119" xfId="1154" applyFont="1" applyFill="1" applyBorder="1" applyProtection="1"/>
    <xf numFmtId="0" fontId="58" fillId="27" borderId="15" xfId="39932" applyFont="1" applyFill="1" applyBorder="1" applyAlignment="1" applyProtection="1">
      <alignment vertical="center"/>
    </xf>
    <xf numFmtId="43" fontId="57" fillId="27" borderId="0" xfId="638" applyFont="1" applyFill="1" applyProtection="1"/>
    <xf numFmtId="166" fontId="57" fillId="29" borderId="16" xfId="39933" applyNumberFormat="1" applyFont="1" applyFill="1" applyBorder="1" applyProtection="1"/>
    <xf numFmtId="0" fontId="57" fillId="27" borderId="58" xfId="39932" applyFont="1" applyFill="1" applyBorder="1" applyProtection="1"/>
    <xf numFmtId="0" fontId="58" fillId="27" borderId="107" xfId="35529" applyFont="1" applyFill="1" applyBorder="1" applyAlignment="1" applyProtection="1">
      <alignment horizontal="center" vertical="center"/>
    </xf>
    <xf numFmtId="10" fontId="57" fillId="27" borderId="0" xfId="35529" applyNumberFormat="1" applyFont="1" applyFill="1" applyProtection="1"/>
    <xf numFmtId="0" fontId="68" fillId="27" borderId="11" xfId="39932" applyFont="1" applyFill="1" applyBorder="1" applyProtection="1"/>
    <xf numFmtId="3" fontId="57" fillId="27" borderId="54" xfId="39932" applyNumberFormat="1" applyFont="1" applyFill="1" applyBorder="1" applyProtection="1"/>
    <xf numFmtId="166" fontId="57" fillId="27" borderId="0" xfId="35529" applyNumberFormat="1" applyFont="1" applyFill="1" applyBorder="1" applyProtection="1"/>
    <xf numFmtId="3" fontId="57" fillId="27" borderId="51" xfId="39932" applyNumberFormat="1" applyFont="1" applyFill="1" applyBorder="1" applyProtection="1"/>
    <xf numFmtId="3" fontId="57" fillId="27" borderId="0" xfId="39932" applyNumberFormat="1" applyFont="1" applyFill="1" applyBorder="1" applyProtection="1"/>
    <xf numFmtId="3" fontId="57" fillId="27" borderId="52" xfId="39932" applyNumberFormat="1" applyFont="1" applyFill="1" applyBorder="1" applyProtection="1"/>
    <xf numFmtId="166" fontId="58" fillId="27" borderId="79" xfId="31614" applyNumberFormat="1" applyFont="1" applyFill="1" applyBorder="1" applyProtection="1"/>
    <xf numFmtId="166" fontId="57" fillId="27" borderId="51" xfId="35529" applyNumberFormat="1" applyFont="1" applyFill="1" applyBorder="1" applyProtection="1"/>
    <xf numFmtId="9" fontId="57" fillId="27" borderId="0" xfId="35529" applyNumberFormat="1" applyFont="1" applyFill="1" applyProtection="1"/>
    <xf numFmtId="166" fontId="57" fillId="27" borderId="52" xfId="35529" applyNumberFormat="1" applyFont="1" applyFill="1" applyBorder="1" applyProtection="1"/>
    <xf numFmtId="166" fontId="58" fillId="27" borderId="75" xfId="35529" applyNumberFormat="1" applyFont="1" applyFill="1" applyBorder="1" applyProtection="1"/>
    <xf numFmtId="166" fontId="58" fillId="27" borderId="79" xfId="35529" applyNumberFormat="1" applyFont="1" applyFill="1" applyBorder="1" applyProtection="1"/>
    <xf numFmtId="3" fontId="57" fillId="27" borderId="10" xfId="35529" applyNumberFormat="1" applyFont="1" applyFill="1" applyBorder="1" applyProtection="1"/>
    <xf numFmtId="3" fontId="57" fillId="27" borderId="17" xfId="35529" applyNumberFormat="1" applyFont="1" applyFill="1" applyBorder="1" applyProtection="1"/>
    <xf numFmtId="166" fontId="58" fillId="27" borderId="120" xfId="35529" applyNumberFormat="1" applyFont="1" applyFill="1" applyBorder="1" applyProtection="1"/>
    <xf numFmtId="0" fontId="80" fillId="27" borderId="0" xfId="35529" applyFont="1" applyFill="1" applyProtection="1"/>
    <xf numFmtId="166" fontId="80" fillId="27" borderId="0" xfId="39932" applyNumberFormat="1" applyFont="1" applyFill="1" applyProtection="1"/>
    <xf numFmtId="166" fontId="80" fillId="27" borderId="0" xfId="35529" applyNumberFormat="1" applyFont="1" applyFill="1" applyProtection="1"/>
    <xf numFmtId="43" fontId="80" fillId="27" borderId="0" xfId="39936" applyFont="1" applyFill="1" applyProtection="1"/>
    <xf numFmtId="166" fontId="58" fillId="27" borderId="76" xfId="39936" applyNumberFormat="1" applyFont="1" applyFill="1" applyBorder="1" applyProtection="1"/>
    <xf numFmtId="166" fontId="58" fillId="27" borderId="79" xfId="39936" applyNumberFormat="1" applyFont="1" applyFill="1" applyBorder="1" applyProtection="1"/>
    <xf numFmtId="3" fontId="57" fillId="27" borderId="52" xfId="35529" applyNumberFormat="1" applyFont="1" applyFill="1" applyBorder="1" applyProtection="1"/>
    <xf numFmtId="0" fontId="0" fillId="0" borderId="0" xfId="0" applyProtection="1"/>
    <xf numFmtId="0" fontId="69" fillId="0" borderId="11" xfId="1168" applyFont="1" applyBorder="1" applyProtection="1"/>
    <xf numFmtId="0" fontId="57" fillId="0" borderId="14" xfId="1168" applyFont="1" applyBorder="1" applyProtection="1"/>
    <xf numFmtId="0" fontId="57" fillId="0" borderId="13" xfId="1168" applyFont="1" applyBorder="1" applyProtection="1"/>
    <xf numFmtId="0" fontId="58" fillId="0" borderId="11" xfId="1168" applyFont="1" applyBorder="1" applyProtection="1"/>
    <xf numFmtId="0" fontId="57" fillId="0" borderId="11" xfId="1168" applyFont="1" applyBorder="1" applyProtection="1"/>
    <xf numFmtId="0" fontId="57" fillId="0" borderId="13" xfId="1168" applyFont="1" applyBorder="1" applyAlignment="1" applyProtection="1">
      <alignment horizontal="center"/>
    </xf>
    <xf numFmtId="0" fontId="57" fillId="0" borderId="88" xfId="39925" applyFont="1" applyBorder="1" applyAlignment="1" applyProtection="1">
      <alignment horizontal="center"/>
    </xf>
    <xf numFmtId="0" fontId="57" fillId="0" borderId="69" xfId="39925" applyFont="1" applyBorder="1" applyAlignment="1" applyProtection="1">
      <alignment horizontal="center"/>
    </xf>
    <xf numFmtId="9" fontId="57" fillId="0" borderId="69" xfId="1160" applyFont="1" applyBorder="1" applyAlignment="1" applyProtection="1">
      <alignment horizontal="center"/>
    </xf>
    <xf numFmtId="0" fontId="57" fillId="0" borderId="69" xfId="1168" applyFont="1" applyBorder="1" applyAlignment="1" applyProtection="1">
      <alignment horizontal="center"/>
    </xf>
    <xf numFmtId="0" fontId="57" fillId="0" borderId="0" xfId="1168" applyFont="1" applyAlignment="1" applyProtection="1">
      <alignment horizontal="center"/>
    </xf>
    <xf numFmtId="10" fontId="57" fillId="0" borderId="0" xfId="1154" applyNumberFormat="1" applyFont="1" applyBorder="1" applyAlignment="1" applyProtection="1">
      <alignment horizontal="center"/>
    </xf>
    <xf numFmtId="0" fontId="58" fillId="0" borderId="16" xfId="1168" applyFont="1" applyBorder="1" applyProtection="1"/>
    <xf numFmtId="0" fontId="57" fillId="0" borderId="12" xfId="1168" applyFont="1" applyBorder="1" applyProtection="1"/>
    <xf numFmtId="0" fontId="57" fillId="0" borderId="50" xfId="1168" applyFont="1" applyBorder="1" applyAlignment="1" applyProtection="1">
      <alignment horizontal="center"/>
    </xf>
    <xf numFmtId="166" fontId="57" fillId="0" borderId="12" xfId="638" applyNumberFormat="1" applyFont="1" applyBorder="1" applyProtection="1"/>
    <xf numFmtId="164" fontId="57" fillId="0" borderId="16" xfId="1727" applyFont="1" applyBorder="1" applyProtection="1"/>
    <xf numFmtId="0" fontId="57" fillId="0" borderId="88" xfId="39925" applyFont="1" applyBorder="1" applyProtection="1"/>
    <xf numFmtId="0" fontId="57" fillId="0" borderId="69" xfId="39925" applyFont="1" applyBorder="1" applyProtection="1"/>
    <xf numFmtId="9" fontId="57" fillId="0" borderId="69" xfId="39925" applyNumberFormat="1" applyFont="1" applyBorder="1" applyAlignment="1" applyProtection="1">
      <alignment horizontal="center"/>
    </xf>
    <xf numFmtId="0" fontId="57" fillId="29" borderId="69" xfId="642" applyNumberFormat="1" applyFont="1" applyFill="1" applyBorder="1" applyAlignment="1" applyProtection="1">
      <alignment horizontal="center"/>
    </xf>
    <xf numFmtId="0" fontId="57" fillId="29" borderId="69" xfId="1168" applyFont="1" applyFill="1" applyBorder="1" applyAlignment="1" applyProtection="1">
      <alignment horizontal="center"/>
    </xf>
    <xf numFmtId="0" fontId="58" fillId="0" borderId="21" xfId="1168" applyFont="1" applyBorder="1" applyProtection="1"/>
    <xf numFmtId="0" fontId="58" fillId="0" borderId="10" xfId="1168" applyFont="1" applyBorder="1" applyProtection="1"/>
    <xf numFmtId="0" fontId="58" fillId="0" borderId="10" xfId="1168" applyFont="1" applyBorder="1" applyAlignment="1" applyProtection="1">
      <alignment horizontal="center"/>
    </xf>
    <xf numFmtId="0" fontId="57" fillId="0" borderId="78" xfId="1168" applyFont="1" applyBorder="1" applyAlignment="1" applyProtection="1">
      <alignment horizontal="center"/>
    </xf>
    <xf numFmtId="0" fontId="57" fillId="0" borderId="10" xfId="1168" applyFont="1" applyBorder="1" applyAlignment="1" applyProtection="1">
      <alignment horizontal="center"/>
    </xf>
    <xf numFmtId="0" fontId="57" fillId="0" borderId="80" xfId="39925" applyFont="1" applyBorder="1" applyProtection="1"/>
    <xf numFmtId="0" fontId="57" fillId="0" borderId="70" xfId="39925" applyFont="1" applyBorder="1" applyProtection="1"/>
    <xf numFmtId="9" fontId="57" fillId="29" borderId="70" xfId="39925" applyNumberFormat="1" applyFont="1" applyFill="1" applyBorder="1" applyAlignment="1" applyProtection="1">
      <alignment horizontal="center"/>
    </xf>
    <xf numFmtId="9" fontId="57" fillId="0" borderId="70" xfId="1160" applyFont="1" applyBorder="1" applyAlignment="1" applyProtection="1">
      <alignment horizontal="center"/>
    </xf>
    <xf numFmtId="0" fontId="57" fillId="0" borderId="76" xfId="1168" applyFont="1" applyBorder="1" applyAlignment="1" applyProtection="1">
      <alignment horizontal="center"/>
    </xf>
    <xf numFmtId="43" fontId="57" fillId="0" borderId="76" xfId="638" applyFont="1" applyBorder="1" applyProtection="1"/>
    <xf numFmtId="0" fontId="57" fillId="0" borderId="76" xfId="1168" applyFont="1" applyBorder="1" applyProtection="1"/>
    <xf numFmtId="0" fontId="57" fillId="0" borderId="50" xfId="1168" applyFont="1" applyBorder="1" applyProtection="1"/>
    <xf numFmtId="0" fontId="57" fillId="0" borderId="81" xfId="39925" applyFont="1" applyBorder="1" applyProtection="1"/>
    <xf numFmtId="0" fontId="57" fillId="0" borderId="71" xfId="39925" applyFont="1" applyBorder="1" applyProtection="1"/>
    <xf numFmtId="9" fontId="57" fillId="29" borderId="71" xfId="39925" applyNumberFormat="1" applyFont="1" applyFill="1" applyBorder="1" applyAlignment="1" applyProtection="1">
      <alignment horizontal="center"/>
    </xf>
    <xf numFmtId="9" fontId="57" fillId="0" borderId="71" xfId="1160" applyFont="1" applyBorder="1" applyAlignment="1" applyProtection="1">
      <alignment horizontal="center"/>
    </xf>
    <xf numFmtId="43" fontId="57" fillId="0" borderId="0" xfId="638" applyFont="1" applyBorder="1" applyProtection="1"/>
    <xf numFmtId="166" fontId="57" fillId="0" borderId="50" xfId="1168" applyNumberFormat="1" applyFont="1" applyBorder="1" applyProtection="1"/>
    <xf numFmtId="43" fontId="57" fillId="0" borderId="0" xfId="1168" applyNumberFormat="1" applyFont="1" applyProtection="1"/>
    <xf numFmtId="43" fontId="57" fillId="0" borderId="10" xfId="638" applyFont="1" applyBorder="1" applyProtection="1"/>
    <xf numFmtId="43" fontId="57" fillId="0" borderId="10" xfId="1168" applyNumberFormat="1" applyFont="1" applyBorder="1" applyProtection="1"/>
    <xf numFmtId="166" fontId="57" fillId="0" borderId="78" xfId="1168" applyNumberFormat="1" applyFont="1" applyBorder="1" applyProtection="1"/>
    <xf numFmtId="0" fontId="57" fillId="0" borderId="82" xfId="39925" applyFont="1" applyBorder="1" applyProtection="1"/>
    <xf numFmtId="0" fontId="57" fillId="0" borderId="72" xfId="39925" applyFont="1" applyBorder="1" applyProtection="1"/>
    <xf numFmtId="9" fontId="57" fillId="29" borderId="72" xfId="1160" applyFont="1" applyFill="1" applyBorder="1" applyAlignment="1" applyProtection="1">
      <alignment horizontal="center"/>
    </xf>
    <xf numFmtId="9" fontId="57" fillId="0" borderId="72" xfId="1160" applyFont="1" applyBorder="1" applyAlignment="1" applyProtection="1">
      <alignment horizontal="center"/>
    </xf>
    <xf numFmtId="0" fontId="57" fillId="0" borderId="83" xfId="1168" applyFont="1" applyBorder="1" applyProtection="1"/>
    <xf numFmtId="0" fontId="57" fillId="0" borderId="43" xfId="1168" applyFont="1" applyBorder="1" applyAlignment="1" applyProtection="1">
      <alignment horizontal="center"/>
    </xf>
    <xf numFmtId="43" fontId="57" fillId="0" borderId="43" xfId="638" applyFont="1" applyBorder="1" applyProtection="1"/>
    <xf numFmtId="43" fontId="57" fillId="0" borderId="43" xfId="1168" applyNumberFormat="1" applyFont="1" applyBorder="1" applyProtection="1"/>
    <xf numFmtId="166" fontId="57" fillId="0" borderId="73" xfId="1168" applyNumberFormat="1" applyFont="1" applyBorder="1" applyProtection="1"/>
    <xf numFmtId="166" fontId="57" fillId="0" borderId="16" xfId="638" applyNumberFormat="1" applyFont="1" applyBorder="1" applyProtection="1"/>
    <xf numFmtId="9" fontId="57" fillId="29" borderId="71" xfId="1160" applyFont="1" applyFill="1" applyBorder="1" applyAlignment="1" applyProtection="1">
      <alignment horizontal="center"/>
    </xf>
    <xf numFmtId="0" fontId="57" fillId="0" borderId="100" xfId="1168" applyFont="1" applyBorder="1" applyAlignment="1" applyProtection="1">
      <alignment vertical="center" wrapText="1"/>
    </xf>
    <xf numFmtId="9" fontId="57" fillId="29" borderId="70" xfId="1160" applyFont="1" applyFill="1" applyBorder="1" applyAlignment="1" applyProtection="1">
      <alignment horizontal="center"/>
    </xf>
    <xf numFmtId="166" fontId="57" fillId="0" borderId="49" xfId="638" applyNumberFormat="1" applyFont="1" applyBorder="1" applyProtection="1"/>
    <xf numFmtId="166" fontId="57" fillId="0" borderId="89" xfId="638" applyNumberFormat="1" applyFont="1" applyBorder="1" applyProtection="1"/>
    <xf numFmtId="0" fontId="58" fillId="0" borderId="12" xfId="1168" applyFont="1" applyBorder="1" applyProtection="1"/>
    <xf numFmtId="0" fontId="57" fillId="0" borderId="101" xfId="1168" applyFont="1" applyBorder="1" applyAlignment="1" applyProtection="1">
      <alignment vertical="center" wrapText="1"/>
    </xf>
    <xf numFmtId="0" fontId="57" fillId="0" borderId="94" xfId="1168" applyFont="1" applyBorder="1" applyProtection="1"/>
    <xf numFmtId="166" fontId="57" fillId="0" borderId="94" xfId="638" applyNumberFormat="1" applyFont="1" applyBorder="1" applyProtection="1"/>
    <xf numFmtId="0" fontId="57" fillId="0" borderId="95" xfId="1168" applyFont="1" applyBorder="1" applyProtection="1"/>
    <xf numFmtId="166" fontId="57" fillId="0" borderId="91" xfId="1168" applyNumberFormat="1" applyFont="1" applyBorder="1" applyProtection="1"/>
    <xf numFmtId="0" fontId="57" fillId="0" borderId="102" xfId="1168" applyFont="1" applyBorder="1" applyProtection="1"/>
    <xf numFmtId="0" fontId="57" fillId="0" borderId="96" xfId="1168" applyFont="1" applyBorder="1" applyProtection="1"/>
    <xf numFmtId="166" fontId="57" fillId="0" borderId="96" xfId="638" applyNumberFormat="1" applyFont="1" applyBorder="1" applyProtection="1"/>
    <xf numFmtId="0" fontId="57" fillId="0" borderId="97" xfId="1168" applyFont="1" applyBorder="1" applyProtection="1"/>
    <xf numFmtId="166" fontId="57" fillId="0" borderId="92" xfId="1168" applyNumberFormat="1" applyFont="1" applyBorder="1" applyProtection="1"/>
    <xf numFmtId="0" fontId="57" fillId="0" borderId="67" xfId="39925" applyFont="1" applyBorder="1" applyProtection="1"/>
    <xf numFmtId="0" fontId="57" fillId="0" borderId="68" xfId="39925" applyFont="1" applyBorder="1" applyProtection="1"/>
    <xf numFmtId="9" fontId="57" fillId="29" borderId="68" xfId="1160" applyFont="1" applyFill="1" applyBorder="1" applyAlignment="1" applyProtection="1">
      <alignment horizontal="center"/>
    </xf>
    <xf numFmtId="9" fontId="57" fillId="0" borderId="68" xfId="1160" applyFont="1" applyBorder="1" applyAlignment="1" applyProtection="1">
      <alignment horizontal="center"/>
    </xf>
    <xf numFmtId="0" fontId="57" fillId="0" borderId="65" xfId="1168" applyFont="1" applyBorder="1" applyProtection="1"/>
    <xf numFmtId="43" fontId="57" fillId="0" borderId="65" xfId="1168" applyNumberFormat="1" applyFont="1" applyBorder="1" applyProtection="1"/>
    <xf numFmtId="0" fontId="57" fillId="0" borderId="89" xfId="1168" applyFont="1" applyBorder="1" applyProtection="1"/>
    <xf numFmtId="0" fontId="57" fillId="0" borderId="102" xfId="1168" applyFont="1" applyBorder="1" applyAlignment="1" applyProtection="1">
      <alignment vertical="center" wrapText="1"/>
    </xf>
    <xf numFmtId="43" fontId="57" fillId="0" borderId="14" xfId="642" applyFont="1" applyBorder="1" applyProtection="1"/>
    <xf numFmtId="0" fontId="57" fillId="0" borderId="103" xfId="1168" applyFont="1" applyBorder="1" applyProtection="1"/>
    <xf numFmtId="0" fontId="57" fillId="0" borderId="98" xfId="1168" applyFont="1" applyBorder="1" applyProtection="1"/>
    <xf numFmtId="166" fontId="57" fillId="0" borderId="98" xfId="638" applyNumberFormat="1" applyFont="1" applyBorder="1" applyProtection="1"/>
    <xf numFmtId="0" fontId="57" fillId="0" borderId="99" xfId="1168" applyFont="1" applyBorder="1" applyProtection="1"/>
    <xf numFmtId="166" fontId="57" fillId="0" borderId="93" xfId="1168" applyNumberFormat="1" applyFont="1" applyBorder="1" applyProtection="1"/>
    <xf numFmtId="166" fontId="57" fillId="0" borderId="0" xfId="1168" applyNumberFormat="1" applyFont="1" applyProtection="1"/>
    <xf numFmtId="0" fontId="68" fillId="0" borderId="82" xfId="39927" applyFont="1" applyBorder="1" applyProtection="1"/>
    <xf numFmtId="187" fontId="68" fillId="0" borderId="72" xfId="39927" applyNumberFormat="1" applyFont="1" applyBorder="1" applyProtection="1"/>
    <xf numFmtId="166" fontId="68" fillId="26" borderId="72" xfId="39928" applyNumberFormat="1" applyFont="1" applyFill="1" applyBorder="1" applyProtection="1"/>
    <xf numFmtId="10" fontId="57" fillId="0" borderId="0" xfId="1168" applyNumberFormat="1" applyFont="1" applyProtection="1"/>
    <xf numFmtId="43" fontId="57" fillId="0" borderId="70" xfId="1168" applyNumberFormat="1" applyFont="1" applyBorder="1" applyProtection="1"/>
    <xf numFmtId="10" fontId="57" fillId="29" borderId="72" xfId="39926" applyNumberFormat="1" applyFont="1" applyFill="1" applyBorder="1" applyProtection="1"/>
    <xf numFmtId="43" fontId="57" fillId="0" borderId="92" xfId="638" applyFont="1" applyBorder="1" applyProtection="1"/>
    <xf numFmtId="43" fontId="57" fillId="0" borderId="72" xfId="1168" applyNumberFormat="1" applyFont="1" applyBorder="1" applyProtection="1"/>
    <xf numFmtId="0" fontId="68" fillId="0" borderId="81" xfId="39927" applyFont="1" applyBorder="1" applyProtection="1"/>
    <xf numFmtId="187" fontId="68" fillId="0" borderId="71" xfId="39927" applyNumberFormat="1" applyFont="1" applyBorder="1" applyProtection="1"/>
    <xf numFmtId="166" fontId="68" fillId="26" borderId="71" xfId="39928" applyNumberFormat="1" applyFont="1" applyFill="1" applyBorder="1" applyProtection="1"/>
    <xf numFmtId="43" fontId="57" fillId="0" borderId="71" xfId="1168" applyNumberFormat="1" applyFont="1" applyBorder="1" applyProtection="1"/>
    <xf numFmtId="10" fontId="57" fillId="29" borderId="71" xfId="39926" applyNumberFormat="1" applyFont="1" applyFill="1" applyBorder="1" applyProtection="1"/>
    <xf numFmtId="0" fontId="68" fillId="0" borderId="12" xfId="39927" applyFont="1" applyBorder="1" applyProtection="1"/>
    <xf numFmtId="179" fontId="69" fillId="0" borderId="57" xfId="39927" applyNumberFormat="1" applyFont="1" applyBorder="1" applyProtection="1"/>
    <xf numFmtId="166" fontId="69" fillId="0" borderId="57" xfId="39927" applyNumberFormat="1" applyFont="1" applyBorder="1" applyProtection="1"/>
    <xf numFmtId="43" fontId="57" fillId="0" borderId="93" xfId="638" applyFont="1" applyBorder="1" applyProtection="1"/>
    <xf numFmtId="0" fontId="69" fillId="0" borderId="12" xfId="1168" applyFont="1" applyBorder="1" applyProtection="1"/>
    <xf numFmtId="0" fontId="57" fillId="0" borderId="83" xfId="1168" applyFont="1" applyBorder="1" applyAlignment="1" applyProtection="1">
      <alignment horizontal="center" vertical="center"/>
    </xf>
    <xf numFmtId="0" fontId="57" fillId="0" borderId="69" xfId="1168" applyFont="1" applyBorder="1" applyAlignment="1" applyProtection="1">
      <alignment horizontal="center" vertical="center"/>
    </xf>
    <xf numFmtId="0" fontId="57" fillId="0" borderId="74" xfId="1168" applyFont="1" applyBorder="1" applyAlignment="1" applyProtection="1">
      <alignment horizontal="center" vertical="center"/>
    </xf>
    <xf numFmtId="0" fontId="57" fillId="0" borderId="69" xfId="1168" applyFont="1" applyBorder="1" applyAlignment="1" applyProtection="1">
      <alignment horizontal="center" vertical="center" wrapText="1"/>
    </xf>
    <xf numFmtId="0" fontId="57" fillId="0" borderId="84" xfId="1168" applyFont="1" applyBorder="1" applyAlignment="1" applyProtection="1">
      <alignment horizontal="center" vertical="center" wrapText="1"/>
    </xf>
    <xf numFmtId="166" fontId="57" fillId="0" borderId="91" xfId="638" applyNumberFormat="1" applyFont="1" applyBorder="1" applyProtection="1"/>
    <xf numFmtId="0" fontId="57" fillId="0" borderId="80" xfId="1168" applyFont="1" applyBorder="1" applyProtection="1"/>
    <xf numFmtId="187" fontId="57" fillId="0" borderId="70" xfId="642" applyNumberFormat="1" applyFont="1" applyBorder="1" applyAlignment="1" applyProtection="1">
      <alignment horizontal="right"/>
    </xf>
    <xf numFmtId="166" fontId="57" fillId="0" borderId="75" xfId="642" applyNumberFormat="1" applyFont="1" applyBorder="1" applyProtection="1"/>
    <xf numFmtId="43" fontId="57" fillId="29" borderId="72" xfId="642" applyFont="1" applyFill="1" applyBorder="1" applyProtection="1"/>
    <xf numFmtId="10" fontId="57" fillId="29" borderId="70" xfId="39926" applyNumberFormat="1" applyFont="1" applyFill="1" applyBorder="1" applyProtection="1"/>
    <xf numFmtId="43" fontId="57" fillId="27" borderId="70" xfId="39930" applyFont="1" applyFill="1" applyBorder="1" applyProtection="1"/>
    <xf numFmtId="43" fontId="57" fillId="27" borderId="70" xfId="642" applyFont="1" applyFill="1" applyBorder="1" applyProtection="1"/>
    <xf numFmtId="10" fontId="57" fillId="27" borderId="85" xfId="39926" applyNumberFormat="1" applyFont="1" applyFill="1" applyBorder="1" applyProtection="1"/>
    <xf numFmtId="0" fontId="57" fillId="0" borderId="102" xfId="1168" applyFont="1" applyBorder="1" applyAlignment="1" applyProtection="1">
      <alignment vertical="center"/>
    </xf>
    <xf numFmtId="166" fontId="57" fillId="0" borderId="92" xfId="638" applyNumberFormat="1" applyFont="1" applyBorder="1" applyAlignment="1" applyProtection="1">
      <alignment vertical="center"/>
    </xf>
    <xf numFmtId="0" fontId="57" fillId="0" borderId="82" xfId="1168" applyFont="1" applyBorder="1" applyProtection="1"/>
    <xf numFmtId="187" fontId="57" fillId="0" borderId="72" xfId="642" applyNumberFormat="1" applyFont="1" applyBorder="1" applyAlignment="1" applyProtection="1">
      <alignment horizontal="right"/>
    </xf>
    <xf numFmtId="166" fontId="57" fillId="0" borderId="51" xfId="642" applyNumberFormat="1" applyFont="1" applyBorder="1" applyProtection="1"/>
    <xf numFmtId="43" fontId="57" fillId="27" borderId="72" xfId="39930" applyFont="1" applyFill="1" applyBorder="1" applyProtection="1"/>
    <xf numFmtId="43" fontId="57" fillId="27" borderId="72" xfId="642" applyFont="1" applyFill="1" applyBorder="1" applyProtection="1"/>
    <xf numFmtId="10" fontId="57" fillId="27" borderId="86" xfId="39926" applyNumberFormat="1" applyFont="1" applyFill="1" applyBorder="1" applyProtection="1"/>
    <xf numFmtId="166" fontId="57" fillId="0" borderId="92" xfId="638" applyNumberFormat="1" applyFont="1" applyBorder="1" applyProtection="1"/>
    <xf numFmtId="166" fontId="57" fillId="0" borderId="93" xfId="638" applyNumberFormat="1" applyFont="1" applyBorder="1" applyProtection="1"/>
    <xf numFmtId="0" fontId="57" fillId="0" borderId="81" xfId="1168" applyFont="1" applyBorder="1" applyProtection="1"/>
    <xf numFmtId="187" fontId="57" fillId="0" borderId="71" xfId="642" applyNumberFormat="1" applyFont="1" applyBorder="1" applyAlignment="1" applyProtection="1">
      <alignment horizontal="right"/>
    </xf>
    <xf numFmtId="166" fontId="57" fillId="0" borderId="52" xfId="642" applyNumberFormat="1" applyFont="1" applyBorder="1" applyProtection="1"/>
    <xf numFmtId="43" fontId="57" fillId="29" borderId="71" xfId="642" applyFont="1" applyFill="1" applyBorder="1" applyProtection="1"/>
    <xf numFmtId="43" fontId="57" fillId="27" borderId="71" xfId="39930" applyFont="1" applyFill="1" applyBorder="1" applyProtection="1"/>
    <xf numFmtId="43" fontId="57" fillId="27" borderId="71" xfId="642" applyFont="1" applyFill="1" applyBorder="1" applyProtection="1"/>
    <xf numFmtId="10" fontId="57" fillId="27" borderId="87" xfId="39926" applyNumberFormat="1" applyFont="1" applyFill="1" applyBorder="1" applyProtection="1"/>
    <xf numFmtId="43" fontId="57" fillId="0" borderId="57" xfId="39930" applyFont="1" applyBorder="1" applyProtection="1"/>
    <xf numFmtId="166" fontId="57" fillId="0" borderId="57" xfId="39930" applyNumberFormat="1" applyFont="1" applyBorder="1" applyProtection="1"/>
    <xf numFmtId="10" fontId="57" fillId="0" borderId="59" xfId="39926" applyNumberFormat="1" applyFont="1" applyBorder="1" applyProtection="1"/>
    <xf numFmtId="0" fontId="57" fillId="0" borderId="49" xfId="1168" applyFont="1" applyBorder="1" applyProtection="1"/>
    <xf numFmtId="0" fontId="57" fillId="0" borderId="66" xfId="1168" applyFont="1" applyBorder="1" applyProtection="1"/>
    <xf numFmtId="0" fontId="57" fillId="0" borderId="104" xfId="1168" applyFont="1" applyBorder="1" applyProtection="1"/>
    <xf numFmtId="0" fontId="57" fillId="0" borderId="105" xfId="1168" applyFont="1" applyBorder="1" applyProtection="1"/>
    <xf numFmtId="166" fontId="57" fillId="0" borderId="106" xfId="638" applyNumberFormat="1" applyFont="1" applyBorder="1" applyProtection="1"/>
    <xf numFmtId="166" fontId="57" fillId="0" borderId="106" xfId="1168" applyNumberFormat="1" applyFont="1" applyBorder="1" applyProtection="1"/>
    <xf numFmtId="0" fontId="57" fillId="0" borderId="17" xfId="1168" applyFont="1" applyBorder="1" applyAlignment="1" applyProtection="1">
      <alignment horizontal="center"/>
    </xf>
    <xf numFmtId="43" fontId="57" fillId="0" borderId="14" xfId="1168" applyNumberFormat="1" applyFont="1" applyBorder="1" applyProtection="1"/>
    <xf numFmtId="0" fontId="58" fillId="0" borderId="0" xfId="1168" applyFont="1" applyProtection="1"/>
    <xf numFmtId="0" fontId="58" fillId="0" borderId="13" xfId="1168" applyFont="1" applyBorder="1" applyAlignment="1" applyProtection="1">
      <alignment horizontal="center"/>
    </xf>
    <xf numFmtId="0" fontId="58" fillId="0" borderId="28" xfId="1168" applyFont="1" applyBorder="1" applyAlignment="1" applyProtection="1">
      <alignment horizontal="center"/>
    </xf>
    <xf numFmtId="166" fontId="57" fillId="0" borderId="0" xfId="638" applyNumberFormat="1" applyFont="1" applyBorder="1" applyProtection="1"/>
    <xf numFmtId="0" fontId="57" fillId="0" borderId="44" xfId="1168" applyFont="1" applyBorder="1" applyAlignment="1" applyProtection="1">
      <alignment horizontal="center"/>
    </xf>
    <xf numFmtId="0" fontId="57" fillId="0" borderId="45" xfId="1168" applyFont="1" applyBorder="1" applyProtection="1"/>
    <xf numFmtId="0" fontId="57" fillId="0" borderId="45" xfId="1168" applyFont="1" applyBorder="1" applyAlignment="1" applyProtection="1">
      <alignment horizontal="center"/>
    </xf>
    <xf numFmtId="9" fontId="57" fillId="0" borderId="0" xfId="39926" applyFont="1" applyBorder="1" applyProtection="1"/>
    <xf numFmtId="9" fontId="57" fillId="0" borderId="16" xfId="39926" applyFont="1" applyBorder="1" applyProtection="1"/>
    <xf numFmtId="10" fontId="57" fillId="0" borderId="0" xfId="1154" applyNumberFormat="1" applyFont="1" applyBorder="1" applyProtection="1"/>
    <xf numFmtId="10" fontId="57" fillId="0" borderId="16" xfId="1154" applyNumberFormat="1" applyFont="1" applyBorder="1" applyProtection="1"/>
    <xf numFmtId="10" fontId="57" fillId="0" borderId="10" xfId="1154" applyNumberFormat="1" applyFont="1" applyBorder="1" applyProtection="1"/>
    <xf numFmtId="10" fontId="57" fillId="0" borderId="17" xfId="1154" applyNumberFormat="1" applyFont="1" applyBorder="1" applyProtection="1"/>
    <xf numFmtId="10" fontId="57" fillId="0" borderId="65" xfId="1168" applyNumberFormat="1" applyFont="1" applyBorder="1" applyProtection="1"/>
    <xf numFmtId="166" fontId="57" fillId="0" borderId="16" xfId="1168" applyNumberFormat="1" applyFont="1" applyBorder="1" applyProtection="1"/>
    <xf numFmtId="9" fontId="57" fillId="29" borderId="0" xfId="39926" applyFont="1" applyFill="1" applyBorder="1" applyProtection="1"/>
    <xf numFmtId="9" fontId="57" fillId="29" borderId="16" xfId="39926" applyFont="1" applyFill="1" applyBorder="1" applyProtection="1"/>
    <xf numFmtId="9" fontId="57" fillId="29" borderId="10" xfId="39926" applyFont="1" applyFill="1" applyBorder="1" applyProtection="1"/>
    <xf numFmtId="9" fontId="57" fillId="29" borderId="17" xfId="39926" applyFont="1" applyFill="1" applyBorder="1" applyProtection="1"/>
    <xf numFmtId="0" fontId="58" fillId="0" borderId="14" xfId="1168" applyFont="1" applyBorder="1" applyProtection="1"/>
    <xf numFmtId="0" fontId="57" fillId="0" borderId="64" xfId="1168" applyFont="1" applyBorder="1" applyProtection="1"/>
    <xf numFmtId="0" fontId="57" fillId="0" borderId="90" xfId="1168" applyFont="1" applyBorder="1" applyProtection="1"/>
    <xf numFmtId="166" fontId="57" fillId="0" borderId="0" xfId="642" applyNumberFormat="1" applyFont="1" applyBorder="1" applyProtection="1"/>
    <xf numFmtId="166" fontId="57" fillId="0" borderId="16" xfId="642" applyNumberFormat="1" applyFont="1" applyBorder="1" applyProtection="1"/>
    <xf numFmtId="166" fontId="57" fillId="0" borderId="10" xfId="642" applyNumberFormat="1" applyFont="1" applyBorder="1" applyProtection="1"/>
    <xf numFmtId="166" fontId="57" fillId="0" borderId="17" xfId="642" applyNumberFormat="1" applyFont="1" applyBorder="1" applyProtection="1"/>
    <xf numFmtId="43" fontId="57" fillId="0" borderId="16" xfId="1168" applyNumberFormat="1" applyFont="1" applyBorder="1" applyProtection="1"/>
    <xf numFmtId="166" fontId="58" fillId="0" borderId="0" xfId="1168" applyNumberFormat="1" applyFont="1" applyProtection="1"/>
    <xf numFmtId="166" fontId="58" fillId="0" borderId="16" xfId="1168" applyNumberFormat="1" applyFont="1" applyBorder="1" applyProtection="1"/>
    <xf numFmtId="166" fontId="57" fillId="0" borderId="65" xfId="1168" applyNumberFormat="1" applyFont="1" applyBorder="1" applyProtection="1"/>
    <xf numFmtId="166" fontId="57" fillId="0" borderId="89" xfId="1168" applyNumberFormat="1" applyFont="1" applyBorder="1" applyProtection="1"/>
    <xf numFmtId="10" fontId="57" fillId="0" borderId="0" xfId="1153" applyNumberFormat="1" applyFont="1" applyProtection="1"/>
    <xf numFmtId="43" fontId="57" fillId="0" borderId="10" xfId="642" applyFont="1" applyBorder="1" applyProtection="1"/>
    <xf numFmtId="166" fontId="58" fillId="0" borderId="65" xfId="1168" applyNumberFormat="1" applyFont="1" applyBorder="1" applyProtection="1"/>
    <xf numFmtId="0" fontId="57" fillId="0" borderId="14" xfId="1168" applyFont="1" applyBorder="1" applyAlignment="1" applyProtection="1">
      <alignment horizontal="center"/>
    </xf>
    <xf numFmtId="43" fontId="57" fillId="0" borderId="69" xfId="1168" applyNumberFormat="1" applyFont="1" applyBorder="1" applyProtection="1"/>
    <xf numFmtId="0" fontId="42" fillId="0" borderId="12" xfId="0" applyFont="1" applyBorder="1" applyProtection="1"/>
    <xf numFmtId="0" fontId="24" fillId="0" borderId="12" xfId="0" applyFont="1" applyBorder="1" applyProtection="1"/>
    <xf numFmtId="43" fontId="0" fillId="0" borderId="0" xfId="0" applyNumberFormat="1" applyProtection="1"/>
    <xf numFmtId="0" fontId="80" fillId="0" borderId="71" xfId="39925" applyFont="1" applyBorder="1" applyProtection="1"/>
    <xf numFmtId="43" fontId="0" fillId="0" borderId="65" xfId="0" applyNumberFormat="1" applyBorder="1" applyProtection="1"/>
    <xf numFmtId="0" fontId="80" fillId="0" borderId="72" xfId="39925" applyFont="1" applyBorder="1" applyProtection="1"/>
    <xf numFmtId="0" fontId="57" fillId="0" borderId="12" xfId="1168" applyFont="1" applyBorder="1" applyAlignment="1" applyProtection="1">
      <alignment horizontal="center"/>
    </xf>
    <xf numFmtId="166" fontId="57" fillId="26" borderId="0" xfId="638" applyNumberFormat="1" applyFont="1" applyFill="1" applyBorder="1" applyProtection="1"/>
    <xf numFmtId="43" fontId="57" fillId="26" borderId="0" xfId="638" applyFont="1" applyFill="1" applyBorder="1" applyProtection="1"/>
    <xf numFmtId="9" fontId="57" fillId="0" borderId="0" xfId="1168" applyNumberFormat="1" applyFont="1" applyProtection="1"/>
    <xf numFmtId="0" fontId="57" fillId="35" borderId="0" xfId="1168" applyFont="1" applyFill="1" applyProtection="1"/>
    <xf numFmtId="43" fontId="57" fillId="0" borderId="73" xfId="1168" applyNumberFormat="1" applyFont="1" applyBorder="1" applyProtection="1"/>
    <xf numFmtId="43" fontId="57" fillId="0" borderId="77" xfId="1168" applyNumberFormat="1" applyFont="1" applyBorder="1" applyProtection="1"/>
    <xf numFmtId="43" fontId="57" fillId="35" borderId="0" xfId="1168" applyNumberFormat="1" applyFont="1" applyFill="1" applyProtection="1"/>
    <xf numFmtId="43" fontId="57" fillId="0" borderId="78" xfId="1168" applyNumberFormat="1" applyFont="1" applyBorder="1" applyProtection="1"/>
    <xf numFmtId="43" fontId="57" fillId="0" borderId="50" xfId="1168" applyNumberFormat="1" applyFont="1" applyBorder="1" applyProtection="1"/>
    <xf numFmtId="0" fontId="57" fillId="35" borderId="10" xfId="1168" applyFont="1" applyFill="1" applyBorder="1" applyProtection="1"/>
    <xf numFmtId="0" fontId="57" fillId="35" borderId="17" xfId="1168" applyFont="1" applyFill="1" applyBorder="1" applyProtection="1"/>
    <xf numFmtId="0" fontId="58" fillId="0" borderId="12" xfId="1168" applyFont="1" applyBorder="1" applyAlignment="1" applyProtection="1">
      <alignment horizontal="center"/>
    </xf>
    <xf numFmtId="166" fontId="58" fillId="0" borderId="23" xfId="1168" applyNumberFormat="1" applyFont="1" applyBorder="1" applyProtection="1"/>
    <xf numFmtId="166" fontId="58" fillId="0" borderId="27" xfId="1168" applyNumberFormat="1" applyFont="1" applyBorder="1" applyProtection="1"/>
    <xf numFmtId="9" fontId="58" fillId="0" borderId="0" xfId="1160" applyFont="1" applyProtection="1"/>
    <xf numFmtId="9" fontId="57" fillId="0" borderId="0" xfId="1160" applyFont="1" applyProtection="1"/>
    <xf numFmtId="10" fontId="57" fillId="0" borderId="69" xfId="1160" applyNumberFormat="1" applyFont="1" applyBorder="1" applyProtection="1"/>
    <xf numFmtId="166" fontId="57" fillId="35" borderId="0" xfId="638" applyNumberFormat="1" applyFont="1" applyFill="1" applyBorder="1" applyProtection="1"/>
    <xf numFmtId="10" fontId="57" fillId="0" borderId="77" xfId="1160" applyNumberFormat="1" applyFont="1" applyFill="1" applyBorder="1" applyProtection="1"/>
    <xf numFmtId="10" fontId="57" fillId="0" borderId="70" xfId="1160" applyNumberFormat="1" applyFont="1" applyFill="1" applyBorder="1" applyProtection="1"/>
    <xf numFmtId="10" fontId="57" fillId="0" borderId="78" xfId="1160" applyNumberFormat="1" applyFont="1" applyFill="1" applyBorder="1" applyProtection="1"/>
    <xf numFmtId="10" fontId="57" fillId="0" borderId="71" xfId="1160" applyNumberFormat="1" applyFont="1" applyFill="1" applyBorder="1" applyProtection="1"/>
    <xf numFmtId="10" fontId="57" fillId="0" borderId="50" xfId="1160" applyNumberFormat="1" applyFont="1" applyFill="1" applyBorder="1" applyProtection="1"/>
    <xf numFmtId="10" fontId="57" fillId="0" borderId="72" xfId="1160" applyNumberFormat="1" applyFont="1" applyFill="1" applyBorder="1" applyProtection="1"/>
    <xf numFmtId="166" fontId="57" fillId="35" borderId="10" xfId="638" applyNumberFormat="1" applyFont="1" applyFill="1" applyBorder="1" applyProtection="1"/>
    <xf numFmtId="166" fontId="57" fillId="0" borderId="17" xfId="638" applyNumberFormat="1" applyFont="1" applyBorder="1" applyProtection="1"/>
    <xf numFmtId="0" fontId="57" fillId="29" borderId="13" xfId="1168" applyFont="1" applyFill="1" applyBorder="1" applyProtection="1"/>
    <xf numFmtId="0" fontId="57" fillId="29" borderId="66" xfId="1168" applyFont="1" applyFill="1" applyBorder="1" applyProtection="1"/>
    <xf numFmtId="0" fontId="58" fillId="0" borderId="13" xfId="1168" applyFont="1" applyBorder="1" applyProtection="1"/>
    <xf numFmtId="166" fontId="57" fillId="0" borderId="10" xfId="1168" applyNumberFormat="1" applyFont="1" applyBorder="1" applyProtection="1"/>
    <xf numFmtId="166" fontId="57" fillId="0" borderId="17" xfId="1168" applyNumberFormat="1" applyFont="1" applyBorder="1" applyProtection="1"/>
    <xf numFmtId="166" fontId="57" fillId="0" borderId="10" xfId="638" applyNumberFormat="1" applyFont="1" applyBorder="1" applyProtection="1"/>
    <xf numFmtId="43" fontId="57" fillId="0" borderId="17" xfId="642" applyFont="1" applyBorder="1" applyProtection="1"/>
    <xf numFmtId="166" fontId="58" fillId="27" borderId="16" xfId="1168" applyNumberFormat="1" applyFont="1" applyFill="1" applyBorder="1" applyProtection="1"/>
    <xf numFmtId="9" fontId="58" fillId="0" borderId="0" xfId="1154" applyFont="1" applyBorder="1" applyAlignment="1" applyProtection="1">
      <alignment horizontal="center"/>
    </xf>
    <xf numFmtId="10" fontId="58" fillId="0" borderId="0" xfId="1154" applyNumberFormat="1" applyFont="1" applyBorder="1" applyAlignment="1" applyProtection="1">
      <alignment horizontal="center"/>
    </xf>
    <xf numFmtId="10" fontId="58" fillId="0" borderId="16" xfId="1154" applyNumberFormat="1" applyFont="1" applyBorder="1" applyAlignment="1" applyProtection="1">
      <alignment horizontal="center"/>
    </xf>
    <xf numFmtId="9" fontId="58" fillId="0" borderId="16" xfId="1154" applyFont="1" applyBorder="1" applyAlignment="1" applyProtection="1">
      <alignment horizontal="center"/>
    </xf>
    <xf numFmtId="43" fontId="57" fillId="0" borderId="17" xfId="1168" applyNumberFormat="1" applyFont="1" applyBorder="1" applyProtection="1"/>
    <xf numFmtId="43" fontId="57" fillId="0" borderId="0" xfId="642" applyFont="1" applyBorder="1" applyAlignment="1" applyProtection="1">
      <alignment horizontal="center"/>
    </xf>
    <xf numFmtId="43" fontId="57" fillId="0" borderId="16" xfId="642" applyFont="1" applyBorder="1" applyAlignment="1" applyProtection="1">
      <alignment horizontal="center"/>
    </xf>
    <xf numFmtId="166" fontId="57" fillId="26" borderId="0" xfId="1168" applyNumberFormat="1" applyFont="1" applyFill="1" applyProtection="1"/>
    <xf numFmtId="43" fontId="57" fillId="0" borderId="10" xfId="642" applyFont="1" applyBorder="1" applyAlignment="1" applyProtection="1">
      <alignment horizontal="center"/>
    </xf>
    <xf numFmtId="43" fontId="57" fillId="0" borderId="17" xfId="642" applyFont="1" applyBorder="1" applyAlignment="1" applyProtection="1">
      <alignment horizontal="center"/>
    </xf>
    <xf numFmtId="43" fontId="58" fillId="0" borderId="79" xfId="1154" applyNumberFormat="1" applyFont="1" applyBorder="1" applyAlignment="1" applyProtection="1">
      <alignment horizontal="center"/>
    </xf>
    <xf numFmtId="166" fontId="58" fillId="0" borderId="65" xfId="638" applyNumberFormat="1" applyFont="1" applyBorder="1" applyProtection="1"/>
    <xf numFmtId="166" fontId="58" fillId="0" borderId="89" xfId="638" applyNumberFormat="1" applyFont="1" applyBorder="1" applyProtection="1"/>
    <xf numFmtId="0" fontId="57" fillId="26" borderId="0" xfId="1168" applyFont="1" applyFill="1" applyProtection="1"/>
    <xf numFmtId="166" fontId="57" fillId="0" borderId="0" xfId="638" applyNumberFormat="1" applyFont="1" applyFill="1" applyBorder="1" applyProtection="1"/>
    <xf numFmtId="166" fontId="57" fillId="27" borderId="10" xfId="1168" applyNumberFormat="1" applyFont="1" applyFill="1" applyBorder="1" applyProtection="1"/>
    <xf numFmtId="43" fontId="57" fillId="0" borderId="89" xfId="1168" applyNumberFormat="1" applyFont="1" applyBorder="1" applyProtection="1"/>
    <xf numFmtId="0" fontId="42" fillId="0" borderId="77" xfId="0" applyFont="1" applyBorder="1" applyProtection="1"/>
    <xf numFmtId="0" fontId="0" fillId="0" borderId="76" xfId="0" applyBorder="1" applyAlignment="1" applyProtection="1">
      <alignment horizontal="center"/>
    </xf>
    <xf numFmtId="0" fontId="24" fillId="0" borderId="76" xfId="0" applyFont="1" applyBorder="1" applyProtection="1"/>
    <xf numFmtId="0" fontId="0" fillId="0" borderId="76" xfId="0" applyBorder="1" applyProtection="1"/>
    <xf numFmtId="0" fontId="0" fillId="0" borderId="75" xfId="0" applyBorder="1" applyProtection="1"/>
    <xf numFmtId="0" fontId="0" fillId="0" borderId="33" xfId="0" applyBorder="1" applyAlignment="1" applyProtection="1">
      <alignment horizontal="center"/>
    </xf>
    <xf numFmtId="0" fontId="24" fillId="0" borderId="33" xfId="0" applyFont="1" applyBorder="1" applyProtection="1"/>
    <xf numFmtId="0" fontId="0" fillId="0" borderId="33" xfId="0" applyBorder="1" applyProtection="1"/>
    <xf numFmtId="0" fontId="42" fillId="0" borderId="50" xfId="0" applyFont="1" applyBorder="1" applyProtection="1"/>
    <xf numFmtId="0" fontId="0" fillId="0" borderId="51" xfId="0" applyBorder="1" applyProtection="1"/>
    <xf numFmtId="0" fontId="0" fillId="0" borderId="77" xfId="0" applyBorder="1" applyProtection="1"/>
    <xf numFmtId="0" fontId="0" fillId="0" borderId="50" xfId="0" applyBorder="1" applyProtection="1"/>
    <xf numFmtId="0" fontId="24" fillId="0" borderId="43" xfId="0" applyFont="1" applyBorder="1" applyAlignment="1" applyProtection="1">
      <alignment horizontal="center"/>
    </xf>
    <xf numFmtId="0" fontId="24" fillId="0" borderId="74" xfId="0" applyFont="1" applyBorder="1" applyAlignment="1" applyProtection="1">
      <alignment horizontal="center"/>
    </xf>
    <xf numFmtId="0" fontId="24" fillId="0" borderId="10" xfId="0" applyFont="1" applyBorder="1" applyAlignment="1" applyProtection="1">
      <alignment horizontal="center"/>
    </xf>
    <xf numFmtId="0" fontId="24" fillId="0" borderId="52" xfId="0" applyFont="1" applyBorder="1" applyAlignment="1" applyProtection="1">
      <alignment horizontal="center"/>
    </xf>
    <xf numFmtId="43" fontId="0" fillId="0" borderId="0" xfId="638" applyFont="1" applyBorder="1" applyProtection="1"/>
    <xf numFmtId="43" fontId="0" fillId="0" borderId="51" xfId="638" applyFont="1" applyBorder="1" applyProtection="1"/>
    <xf numFmtId="166" fontId="0" fillId="0" borderId="0" xfId="638" applyNumberFormat="1" applyFont="1" applyBorder="1" applyProtection="1"/>
    <xf numFmtId="166" fontId="0" fillId="0" borderId="51" xfId="638" applyNumberFormat="1" applyFont="1" applyBorder="1" applyProtection="1"/>
    <xf numFmtId="166" fontId="0" fillId="0" borderId="0" xfId="638" applyNumberFormat="1" applyFont="1" applyFill="1" applyBorder="1" applyProtection="1"/>
    <xf numFmtId="166" fontId="0" fillId="0" borderId="51" xfId="638" applyNumberFormat="1" applyFont="1" applyFill="1" applyBorder="1" applyProtection="1"/>
    <xf numFmtId="0" fontId="0" fillId="0" borderId="78" xfId="0" applyBorder="1" applyProtection="1"/>
    <xf numFmtId="166" fontId="0" fillId="0" borderId="10" xfId="638" applyNumberFormat="1" applyFont="1" applyBorder="1" applyProtection="1"/>
    <xf numFmtId="166" fontId="0" fillId="0" borderId="52" xfId="638" applyNumberFormat="1" applyFont="1" applyBorder="1" applyProtection="1"/>
    <xf numFmtId="166" fontId="42" fillId="0" borderId="10" xfId="638" applyNumberFormat="1" applyFont="1" applyFill="1" applyBorder="1" applyProtection="1"/>
    <xf numFmtId="166" fontId="42" fillId="0" borderId="52" xfId="638" applyNumberFormat="1" applyFont="1" applyFill="1" applyBorder="1" applyProtection="1"/>
    <xf numFmtId="166" fontId="0" fillId="26" borderId="0" xfId="638" applyNumberFormat="1" applyFont="1" applyFill="1" applyBorder="1" applyProtection="1"/>
    <xf numFmtId="0" fontId="0" fillId="0" borderId="0" xfId="0" applyBorder="1" applyProtection="1"/>
    <xf numFmtId="166" fontId="0" fillId="38" borderId="0" xfId="638" applyNumberFormat="1" applyFont="1" applyFill="1" applyBorder="1" applyProtection="1"/>
    <xf numFmtId="166" fontId="42" fillId="0" borderId="0" xfId="638" applyNumberFormat="1" applyFont="1" applyBorder="1" applyProtection="1"/>
    <xf numFmtId="166" fontId="42" fillId="0" borderId="51" xfId="638" applyNumberFormat="1" applyFont="1" applyBorder="1" applyProtection="1"/>
    <xf numFmtId="0" fontId="24" fillId="0" borderId="50" xfId="0" applyFont="1" applyBorder="1" applyProtection="1"/>
    <xf numFmtId="43" fontId="0" fillId="34" borderId="0" xfId="0" applyNumberFormat="1" applyFill="1" applyBorder="1" applyProtection="1"/>
    <xf numFmtId="166" fontId="42" fillId="0" borderId="0" xfId="0" applyNumberFormat="1" applyFont="1" applyProtection="1"/>
    <xf numFmtId="166" fontId="42" fillId="0" borderId="51" xfId="0" applyNumberFormat="1" applyFont="1" applyBorder="1" applyProtection="1"/>
    <xf numFmtId="166" fontId="42" fillId="0" borderId="0" xfId="0" applyNumberFormat="1" applyFont="1" applyBorder="1" applyProtection="1"/>
    <xf numFmtId="2" fontId="42" fillId="0" borderId="0" xfId="0" applyNumberFormat="1" applyFont="1" applyBorder="1" applyProtection="1"/>
    <xf numFmtId="0" fontId="42" fillId="0" borderId="0" xfId="0" applyFont="1" applyBorder="1" applyProtection="1"/>
    <xf numFmtId="0" fontId="42" fillId="0" borderId="51" xfId="0" applyFont="1" applyBorder="1" applyProtection="1"/>
    <xf numFmtId="43" fontId="0" fillId="34" borderId="0" xfId="0" applyNumberFormat="1" applyFill="1" applyProtection="1"/>
    <xf numFmtId="43" fontId="0" fillId="34" borderId="51" xfId="0" applyNumberFormat="1" applyFill="1" applyBorder="1" applyProtection="1"/>
    <xf numFmtId="43" fontId="0" fillId="0" borderId="51" xfId="0" applyNumberFormat="1" applyBorder="1" applyProtection="1"/>
    <xf numFmtId="43" fontId="0" fillId="0" borderId="0" xfId="0" applyNumberFormat="1" applyFill="1" applyBorder="1" applyProtection="1"/>
    <xf numFmtId="43" fontId="0" fillId="0" borderId="0" xfId="638" applyFont="1" applyFill="1" applyBorder="1" applyProtection="1"/>
    <xf numFmtId="43" fontId="0" fillId="0" borderId="0" xfId="0" applyNumberFormat="1" applyBorder="1" applyProtection="1"/>
    <xf numFmtId="43" fontId="0" fillId="0" borderId="51" xfId="638" applyFont="1" applyFill="1" applyBorder="1" applyProtection="1"/>
    <xf numFmtId="166" fontId="0" fillId="0" borderId="0" xfId="0" applyNumberFormat="1" applyProtection="1"/>
    <xf numFmtId="0" fontId="42" fillId="0" borderId="78" xfId="0" applyFont="1" applyBorder="1" applyProtection="1"/>
    <xf numFmtId="166" fontId="42" fillId="0" borderId="10" xfId="0" applyNumberFormat="1" applyFont="1" applyBorder="1" applyProtection="1"/>
    <xf numFmtId="166" fontId="42" fillId="0" borderId="52" xfId="0" applyNumberFormat="1" applyFont="1" applyBorder="1" applyProtection="1"/>
    <xf numFmtId="0" fontId="0" fillId="0" borderId="43" xfId="0" applyBorder="1" applyAlignment="1" applyProtection="1">
      <alignment horizontal="center"/>
    </xf>
    <xf numFmtId="0" fontId="0" fillId="0" borderId="74" xfId="0" applyBorder="1" applyAlignment="1" applyProtection="1">
      <alignment horizontal="center"/>
    </xf>
    <xf numFmtId="0" fontId="0" fillId="0" borderId="0" xfId="0" applyBorder="1" applyAlignment="1" applyProtection="1">
      <alignment horizontal="center"/>
    </xf>
    <xf numFmtId="0" fontId="0" fillId="0" borderId="51" xfId="0" applyBorder="1" applyAlignment="1" applyProtection="1">
      <alignment horizontal="center"/>
    </xf>
    <xf numFmtId="166" fontId="0" fillId="0" borderId="10" xfId="638" applyNumberFormat="1" applyFont="1" applyFill="1" applyBorder="1" applyProtection="1"/>
    <xf numFmtId="166" fontId="42" fillId="0" borderId="10" xfId="638" applyNumberFormat="1" applyFont="1" applyBorder="1" applyProtection="1"/>
    <xf numFmtId="166" fontId="42" fillId="0" borderId="52" xfId="638" applyNumberFormat="1" applyFont="1" applyBorder="1" applyProtection="1"/>
    <xf numFmtId="166" fontId="0" fillId="0" borderId="76" xfId="0" applyNumberFormat="1" applyBorder="1" applyProtection="1"/>
    <xf numFmtId="0" fontId="0" fillId="0" borderId="75" xfId="0" applyBorder="1" applyAlignment="1" applyProtection="1">
      <alignment horizontal="center"/>
    </xf>
    <xf numFmtId="43" fontId="0" fillId="0" borderId="0" xfId="0" applyNumberFormat="1" applyBorder="1" applyAlignment="1" applyProtection="1">
      <alignment horizontal="center"/>
    </xf>
    <xf numFmtId="43" fontId="24" fillId="0" borderId="0" xfId="0" applyNumberFormat="1" applyFont="1" applyBorder="1" applyProtection="1"/>
    <xf numFmtId="43" fontId="0" fillId="0" borderId="10" xfId="0" applyNumberFormat="1" applyBorder="1" applyProtection="1"/>
    <xf numFmtId="43" fontId="0" fillId="0" borderId="52" xfId="0" applyNumberFormat="1" applyBorder="1" applyProtection="1"/>
    <xf numFmtId="0" fontId="24" fillId="0" borderId="77" xfId="0" applyFont="1" applyBorder="1" applyProtection="1"/>
    <xf numFmtId="0" fontId="24" fillId="0" borderId="78" xfId="0" applyFont="1" applyBorder="1" applyProtection="1"/>
    <xf numFmtId="166" fontId="0" fillId="26" borderId="0" xfId="638" applyNumberFormat="1" applyFont="1" applyFill="1" applyBorder="1" applyAlignment="1" applyProtection="1">
      <alignment horizontal="center"/>
    </xf>
    <xf numFmtId="166" fontId="0" fillId="0" borderId="0" xfId="638" applyNumberFormat="1" applyFont="1" applyBorder="1" applyAlignment="1" applyProtection="1">
      <alignment horizontal="center"/>
    </xf>
    <xf numFmtId="166" fontId="0" fillId="0" borderId="51" xfId="638" applyNumberFormat="1" applyFont="1" applyBorder="1" applyAlignment="1" applyProtection="1">
      <alignment horizontal="center"/>
    </xf>
    <xf numFmtId="0" fontId="0" fillId="0" borderId="0" xfId="0" applyFill="1" applyBorder="1" applyProtection="1"/>
    <xf numFmtId="0" fontId="0" fillId="0" borderId="10" xfId="0" applyBorder="1" applyAlignment="1" applyProtection="1">
      <alignment horizontal="center"/>
    </xf>
    <xf numFmtId="0" fontId="0" fillId="0" borderId="52" xfId="0" applyBorder="1" applyAlignment="1" applyProtection="1">
      <alignment horizontal="center"/>
    </xf>
    <xf numFmtId="166" fontId="0" fillId="27" borderId="51" xfId="638" applyNumberFormat="1" applyFont="1" applyFill="1" applyBorder="1" applyProtection="1"/>
    <xf numFmtId="166" fontId="0" fillId="0" borderId="52" xfId="638" applyNumberFormat="1" applyFont="1" applyFill="1" applyBorder="1" applyProtection="1"/>
    <xf numFmtId="0" fontId="42" fillId="0" borderId="0" xfId="0" applyFont="1" applyProtection="1"/>
    <xf numFmtId="0" fontId="24" fillId="0" borderId="0" xfId="0" applyFont="1" applyProtection="1"/>
    <xf numFmtId="186" fontId="0" fillId="0" borderId="0" xfId="638" applyNumberFormat="1" applyFont="1" applyProtection="1"/>
    <xf numFmtId="0" fontId="69" fillId="27" borderId="0" xfId="40010" applyFont="1" applyFill="1" applyProtection="1"/>
    <xf numFmtId="0" fontId="68" fillId="27" borderId="0" xfId="40010" applyFont="1" applyFill="1" applyProtection="1"/>
    <xf numFmtId="0" fontId="69" fillId="27" borderId="0" xfId="40010" applyFont="1" applyFill="1" applyAlignment="1" applyProtection="1">
      <alignment horizontal="center"/>
    </xf>
    <xf numFmtId="0" fontId="69" fillId="27" borderId="11" xfId="40010" applyFont="1" applyFill="1" applyBorder="1" applyProtection="1"/>
    <xf numFmtId="0" fontId="68" fillId="27" borderId="64" xfId="40010" applyFont="1" applyFill="1" applyBorder="1" applyAlignment="1" applyProtection="1">
      <alignment horizontal="center"/>
    </xf>
    <xf numFmtId="0" fontId="68" fillId="27" borderId="90" xfId="40010" applyFont="1" applyFill="1" applyBorder="1" applyAlignment="1" applyProtection="1">
      <alignment horizontal="center"/>
    </xf>
    <xf numFmtId="0" fontId="69" fillId="27" borderId="113" xfId="40010" applyFont="1" applyFill="1" applyBorder="1" applyAlignment="1" applyProtection="1">
      <alignment horizontal="center"/>
    </xf>
    <xf numFmtId="0" fontId="68" fillId="27" borderId="12" xfId="40010" applyFont="1" applyFill="1" applyBorder="1" applyProtection="1"/>
    <xf numFmtId="166" fontId="68" fillId="27" borderId="0" xfId="40009" applyNumberFormat="1" applyFont="1" applyFill="1" applyBorder="1" applyProtection="1"/>
    <xf numFmtId="166" fontId="68" fillId="27" borderId="16" xfId="40009" applyNumberFormat="1" applyFont="1" applyFill="1" applyBorder="1" applyProtection="1"/>
    <xf numFmtId="166" fontId="68" fillId="27" borderId="45" xfId="40010" applyNumberFormat="1" applyFont="1" applyFill="1" applyBorder="1" applyProtection="1"/>
    <xf numFmtId="166" fontId="68" fillId="27" borderId="10" xfId="40009" applyNumberFormat="1" applyFont="1" applyFill="1" applyBorder="1" applyProtection="1"/>
    <xf numFmtId="166" fontId="68" fillId="27" borderId="17" xfId="40009" applyNumberFormat="1" applyFont="1" applyFill="1" applyBorder="1" applyProtection="1"/>
    <xf numFmtId="166" fontId="68" fillId="27" borderId="112" xfId="40010" applyNumberFormat="1" applyFont="1" applyFill="1" applyBorder="1" applyProtection="1"/>
    <xf numFmtId="0" fontId="68" fillId="27" borderId="49" xfId="40010" applyFont="1" applyFill="1" applyBorder="1" applyProtection="1"/>
    <xf numFmtId="166" fontId="69" fillId="27" borderId="65" xfId="40009" applyNumberFormat="1" applyFont="1" applyFill="1" applyBorder="1" applyProtection="1"/>
    <xf numFmtId="166" fontId="69" fillId="27" borderId="89" xfId="40009" applyNumberFormat="1" applyFont="1" applyFill="1" applyBorder="1" applyProtection="1"/>
    <xf numFmtId="166" fontId="69" fillId="27" borderId="46" xfId="40010" applyNumberFormat="1" applyFont="1" applyFill="1" applyBorder="1" applyProtection="1"/>
    <xf numFmtId="166" fontId="68" fillId="27" borderId="0" xfId="40009" applyNumberFormat="1" applyFont="1" applyFill="1" applyProtection="1"/>
    <xf numFmtId="0" fontId="58" fillId="27" borderId="11" xfId="1168" applyFont="1" applyFill="1" applyBorder="1" applyAlignment="1" applyProtection="1">
      <alignment horizontal="left"/>
    </xf>
    <xf numFmtId="0" fontId="57" fillId="30" borderId="69" xfId="642" applyNumberFormat="1" applyFont="1" applyFill="1" applyBorder="1" applyAlignment="1" applyProtection="1">
      <alignment horizontal="center"/>
    </xf>
    <xf numFmtId="0" fontId="57" fillId="30" borderId="69" xfId="1168" applyFont="1" applyFill="1" applyBorder="1" applyAlignment="1" applyProtection="1">
      <alignment horizontal="center"/>
    </xf>
    <xf numFmtId="0" fontId="58" fillId="27" borderId="55" xfId="1168" applyFont="1" applyFill="1" applyBorder="1" applyAlignment="1" applyProtection="1">
      <alignment horizontal="center" vertical="center"/>
    </xf>
    <xf numFmtId="0" fontId="58" fillId="27" borderId="64" xfId="1168" applyFont="1" applyFill="1" applyBorder="1" applyAlignment="1" applyProtection="1">
      <alignment horizontal="center" vertical="center"/>
    </xf>
    <xf numFmtId="0" fontId="58" fillId="27" borderId="90" xfId="1168" applyFont="1" applyFill="1" applyBorder="1" applyAlignment="1" applyProtection="1">
      <alignment horizontal="center" vertical="center"/>
    </xf>
    <xf numFmtId="9" fontId="57" fillId="30" borderId="70" xfId="39925" applyNumberFormat="1" applyFont="1" applyFill="1" applyBorder="1" applyAlignment="1" applyProtection="1">
      <alignment horizontal="center"/>
    </xf>
    <xf numFmtId="0" fontId="57" fillId="30" borderId="70" xfId="642" applyNumberFormat="1" applyFont="1" applyFill="1" applyBorder="1" applyAlignment="1" applyProtection="1">
      <alignment horizontal="center" vertical="center"/>
    </xf>
    <xf numFmtId="0" fontId="57" fillId="30" borderId="70" xfId="1168" applyFont="1" applyFill="1" applyBorder="1" applyAlignment="1" applyProtection="1">
      <alignment horizontal="center" vertical="center"/>
    </xf>
    <xf numFmtId="0" fontId="57" fillId="30" borderId="109" xfId="642" applyNumberFormat="1" applyFont="1" applyFill="1" applyBorder="1" applyAlignment="1" applyProtection="1">
      <alignment horizontal="center"/>
    </xf>
    <xf numFmtId="0" fontId="57" fillId="30" borderId="109" xfId="1168" applyFont="1" applyFill="1" applyBorder="1" applyAlignment="1" applyProtection="1">
      <alignment horizontal="center"/>
    </xf>
    <xf numFmtId="166" fontId="57" fillId="30" borderId="109" xfId="642" applyNumberFormat="1" applyFont="1" applyFill="1" applyBorder="1" applyProtection="1"/>
    <xf numFmtId="0" fontId="57" fillId="30" borderId="108" xfId="1168" applyFont="1" applyFill="1" applyBorder="1" applyProtection="1"/>
    <xf numFmtId="0" fontId="57" fillId="30" borderId="111" xfId="1168" applyFont="1" applyFill="1" applyBorder="1" applyAlignment="1" applyProtection="1">
      <alignment horizontal="center"/>
    </xf>
    <xf numFmtId="0" fontId="57" fillId="30" borderId="111" xfId="1168" applyFont="1" applyFill="1" applyBorder="1" applyProtection="1"/>
    <xf numFmtId="166" fontId="57" fillId="30" borderId="110" xfId="1168" applyNumberFormat="1" applyFont="1" applyFill="1" applyBorder="1" applyProtection="1"/>
    <xf numFmtId="9" fontId="57" fillId="30" borderId="71" xfId="39925" applyNumberFormat="1" applyFont="1" applyFill="1" applyBorder="1" applyAlignment="1" applyProtection="1">
      <alignment horizontal="center"/>
    </xf>
    <xf numFmtId="0" fontId="57" fillId="30" borderId="71" xfId="642" applyNumberFormat="1" applyFont="1" applyFill="1" applyBorder="1" applyAlignment="1" applyProtection="1">
      <alignment horizontal="center" vertical="center"/>
    </xf>
    <xf numFmtId="0" fontId="57" fillId="30" borderId="71" xfId="1168" applyFont="1" applyFill="1" applyBorder="1" applyAlignment="1" applyProtection="1">
      <alignment horizontal="center" vertical="center"/>
    </xf>
    <xf numFmtId="166" fontId="57" fillId="30" borderId="109" xfId="642" applyNumberFormat="1" applyFont="1" applyFill="1" applyBorder="1" applyAlignment="1" applyProtection="1">
      <alignment horizontal="center"/>
    </xf>
    <xf numFmtId="166" fontId="57" fillId="30" borderId="108" xfId="1168" applyNumberFormat="1" applyFont="1" applyFill="1" applyBorder="1" applyProtection="1"/>
    <xf numFmtId="9" fontId="57" fillId="30" borderId="72" xfId="1160" applyFont="1" applyFill="1" applyBorder="1" applyAlignment="1" applyProtection="1">
      <alignment horizontal="center"/>
    </xf>
    <xf numFmtId="0" fontId="57" fillId="30" borderId="72" xfId="642" applyNumberFormat="1" applyFont="1" applyFill="1" applyBorder="1" applyAlignment="1" applyProtection="1">
      <alignment horizontal="center" vertical="center"/>
    </xf>
    <xf numFmtId="0" fontId="57" fillId="30" borderId="72" xfId="1168" applyFont="1" applyFill="1" applyBorder="1" applyAlignment="1" applyProtection="1">
      <alignment horizontal="center" vertical="center"/>
    </xf>
    <xf numFmtId="9" fontId="57" fillId="30" borderId="71" xfId="1160" applyFont="1" applyFill="1" applyBorder="1" applyAlignment="1" applyProtection="1">
      <alignment horizontal="center"/>
    </xf>
    <xf numFmtId="9" fontId="57" fillId="30" borderId="70" xfId="1160" applyFont="1" applyFill="1" applyBorder="1" applyAlignment="1" applyProtection="1">
      <alignment horizontal="center"/>
    </xf>
    <xf numFmtId="9" fontId="57" fillId="30" borderId="68" xfId="1160" applyFont="1" applyFill="1" applyBorder="1" applyAlignment="1" applyProtection="1">
      <alignment horizontal="center"/>
    </xf>
    <xf numFmtId="0" fontId="57" fillId="30" borderId="68" xfId="642" applyNumberFormat="1" applyFont="1" applyFill="1" applyBorder="1" applyAlignment="1" applyProtection="1">
      <alignment horizontal="center" vertical="center"/>
    </xf>
    <xf numFmtId="0" fontId="57" fillId="30" borderId="68" xfId="1168" applyFont="1" applyFill="1" applyBorder="1" applyAlignment="1" applyProtection="1">
      <alignment horizontal="center" vertical="center"/>
    </xf>
    <xf numFmtId="0" fontId="58" fillId="27" borderId="58" xfId="1168" applyFont="1" applyFill="1" applyBorder="1" applyProtection="1"/>
    <xf numFmtId="0" fontId="57" fillId="27" borderId="57" xfId="1168" applyFont="1" applyFill="1" applyBorder="1" applyProtection="1"/>
    <xf numFmtId="198" fontId="58" fillId="27" borderId="57" xfId="1168" applyNumberFormat="1" applyFont="1" applyFill="1" applyBorder="1" applyProtection="1"/>
    <xf numFmtId="198" fontId="57" fillId="27" borderId="59" xfId="1168" applyNumberFormat="1" applyFont="1" applyFill="1" applyBorder="1" applyProtection="1"/>
    <xf numFmtId="198" fontId="57" fillId="27" borderId="14" xfId="1168" applyNumberFormat="1" applyFont="1" applyFill="1" applyBorder="1" applyProtection="1"/>
    <xf numFmtId="0" fontId="57" fillId="30" borderId="79" xfId="1168" applyFont="1" applyFill="1" applyBorder="1" applyProtection="1"/>
    <xf numFmtId="0" fontId="58" fillId="27" borderId="12" xfId="1168" applyFont="1" applyFill="1" applyBorder="1" applyAlignment="1" applyProtection="1">
      <alignment horizontal="left"/>
    </xf>
    <xf numFmtId="0" fontId="58" fillId="27" borderId="55" xfId="1168" applyFont="1" applyFill="1" applyBorder="1" applyAlignment="1" applyProtection="1">
      <alignment horizontal="center"/>
    </xf>
    <xf numFmtId="166" fontId="58" fillId="27" borderId="64" xfId="642" applyNumberFormat="1" applyFont="1" applyFill="1" applyBorder="1" applyProtection="1"/>
    <xf numFmtId="0" fontId="58" fillId="27" borderId="64" xfId="1168" applyFont="1" applyFill="1" applyBorder="1" applyProtection="1"/>
    <xf numFmtId="0" fontId="58" fillId="27" borderId="90" xfId="1168" applyFont="1" applyFill="1" applyBorder="1" applyProtection="1"/>
    <xf numFmtId="9" fontId="57" fillId="30" borderId="0" xfId="40008" applyFont="1" applyFill="1" applyBorder="1" applyProtection="1"/>
    <xf numFmtId="198" fontId="57" fillId="30" borderId="0" xfId="1168" applyNumberFormat="1" applyFont="1" applyFill="1" applyProtection="1"/>
    <xf numFmtId="198" fontId="57" fillId="27" borderId="0" xfId="1168" applyNumberFormat="1" applyFont="1" applyFill="1" applyProtection="1"/>
    <xf numFmtId="9" fontId="57" fillId="30" borderId="10" xfId="40008" applyFont="1" applyFill="1" applyBorder="1" applyProtection="1"/>
    <xf numFmtId="0" fontId="57" fillId="27" borderId="65" xfId="1168" applyFont="1" applyFill="1" applyBorder="1" applyAlignment="1" applyProtection="1">
      <alignment horizontal="center"/>
    </xf>
    <xf numFmtId="166" fontId="57" fillId="27" borderId="65" xfId="1168" applyNumberFormat="1" applyFont="1" applyFill="1" applyBorder="1" applyProtection="1"/>
    <xf numFmtId="0" fontId="57" fillId="27" borderId="89" xfId="1168" applyFont="1" applyFill="1" applyBorder="1" applyProtection="1"/>
    <xf numFmtId="0" fontId="57" fillId="30" borderId="16" xfId="1168" applyFont="1" applyFill="1" applyBorder="1" applyProtection="1"/>
    <xf numFmtId="166" fontId="57" fillId="27" borderId="57" xfId="642" applyNumberFormat="1" applyFont="1" applyFill="1" applyBorder="1" applyProtection="1"/>
    <xf numFmtId="0" fontId="57" fillId="27" borderId="59" xfId="1168" applyFont="1" applyFill="1" applyBorder="1" applyProtection="1"/>
    <xf numFmtId="0" fontId="57" fillId="30" borderId="0" xfId="1168" applyFont="1" applyFill="1" applyProtection="1"/>
    <xf numFmtId="166" fontId="57" fillId="30" borderId="0" xfId="638" applyNumberFormat="1" applyFont="1" applyFill="1" applyProtection="1"/>
    <xf numFmtId="166" fontId="57" fillId="27" borderId="0" xfId="642" applyNumberFormat="1" applyFont="1" applyFill="1" applyBorder="1" applyAlignment="1" applyProtection="1"/>
    <xf numFmtId="0" fontId="57" fillId="27" borderId="12" xfId="1168" applyFont="1" applyFill="1" applyBorder="1" applyAlignment="1" applyProtection="1">
      <alignment horizontal="center" vertical="center"/>
    </xf>
    <xf numFmtId="0" fontId="57" fillId="27" borderId="0" xfId="1168" applyFont="1" applyFill="1" applyAlignment="1" applyProtection="1">
      <alignment horizontal="center" vertical="center"/>
    </xf>
    <xf numFmtId="0" fontId="57" fillId="30" borderId="16" xfId="1168" applyFont="1" applyFill="1" applyBorder="1" applyAlignment="1" applyProtection="1">
      <alignment vertical="center"/>
    </xf>
    <xf numFmtId="166" fontId="83" fillId="30" borderId="0" xfId="642" applyNumberFormat="1" applyFont="1" applyFill="1" applyBorder="1" applyAlignment="1" applyProtection="1">
      <alignment horizontal="right" vertical="center"/>
    </xf>
    <xf numFmtId="0" fontId="83" fillId="27" borderId="12" xfId="1168" applyFont="1" applyFill="1" applyBorder="1" applyAlignment="1" applyProtection="1">
      <alignment horizontal="center"/>
    </xf>
    <xf numFmtId="9" fontId="57" fillId="30" borderId="16" xfId="40008" applyFont="1" applyFill="1" applyBorder="1" applyProtection="1"/>
    <xf numFmtId="166" fontId="57" fillId="27" borderId="12" xfId="1168" applyNumberFormat="1" applyFont="1" applyFill="1" applyBorder="1" applyProtection="1"/>
    <xf numFmtId="9" fontId="57" fillId="30" borderId="17" xfId="40008" applyFont="1" applyFill="1" applyBorder="1" applyProtection="1"/>
    <xf numFmtId="0" fontId="57" fillId="27" borderId="15" xfId="1168" applyFont="1" applyFill="1" applyBorder="1" applyAlignment="1" applyProtection="1">
      <alignment horizontal="center" vertical="center"/>
    </xf>
    <xf numFmtId="0" fontId="57" fillId="27" borderId="19" xfId="1168" applyFont="1" applyFill="1" applyBorder="1" applyAlignment="1" applyProtection="1">
      <alignment horizontal="center" vertical="center"/>
    </xf>
    <xf numFmtId="0" fontId="57" fillId="30" borderId="19" xfId="1168" applyFont="1" applyFill="1" applyBorder="1" applyProtection="1"/>
    <xf numFmtId="0" fontId="57" fillId="30" borderId="18" xfId="1168" applyFont="1" applyFill="1" applyBorder="1" applyAlignment="1" applyProtection="1">
      <alignment vertical="center"/>
    </xf>
    <xf numFmtId="0" fontId="57" fillId="27" borderId="15" xfId="1168" applyFont="1" applyFill="1" applyBorder="1" applyAlignment="1" applyProtection="1">
      <alignment horizontal="center"/>
    </xf>
    <xf numFmtId="166" fontId="57" fillId="27" borderId="65" xfId="642" applyNumberFormat="1" applyFont="1" applyFill="1" applyBorder="1" applyProtection="1"/>
    <xf numFmtId="166" fontId="57" fillId="27" borderId="0" xfId="642" applyNumberFormat="1" applyFont="1" applyFill="1" applyProtection="1"/>
    <xf numFmtId="0" fontId="44" fillId="26" borderId="13" xfId="1168" applyFont="1" applyFill="1" applyBorder="1" applyAlignment="1" applyProtection="1">
      <alignment horizontal="right"/>
    </xf>
    <xf numFmtId="0" fontId="48" fillId="27" borderId="15" xfId="1168" applyFont="1" applyFill="1" applyBorder="1" applyAlignment="1" applyProtection="1">
      <alignment horizontal="left"/>
    </xf>
    <xf numFmtId="0" fontId="44" fillId="27" borderId="19" xfId="1168" applyFont="1" applyFill="1" applyBorder="1" applyAlignment="1" applyProtection="1">
      <alignment horizontal="center"/>
    </xf>
    <xf numFmtId="2" fontId="47" fillId="27" borderId="0" xfId="1168" applyNumberFormat="1" applyFont="1" applyFill="1" applyAlignment="1" applyProtection="1">
      <alignment horizontal="center"/>
    </xf>
    <xf numFmtId="3" fontId="47" fillId="27" borderId="0" xfId="1168" applyNumberFormat="1" applyFont="1" applyFill="1" applyProtection="1"/>
    <xf numFmtId="3" fontId="47" fillId="27" borderId="16" xfId="1168" applyNumberFormat="1" applyFont="1" applyFill="1" applyBorder="1" applyProtection="1"/>
    <xf numFmtId="2" fontId="44" fillId="26" borderId="16" xfId="1168" applyNumberFormat="1" applyFont="1" applyFill="1" applyBorder="1" applyProtection="1"/>
    <xf numFmtId="0" fontId="52" fillId="27" borderId="49" xfId="1168" applyFont="1" applyFill="1" applyBorder="1" applyProtection="1"/>
    <xf numFmtId="10" fontId="44" fillId="27" borderId="16" xfId="1168" applyNumberFormat="1" applyFont="1" applyFill="1" applyBorder="1" applyAlignment="1" applyProtection="1">
      <alignment horizontal="right"/>
    </xf>
    <xf numFmtId="0" fontId="44" fillId="27" borderId="49" xfId="1168" applyFont="1" applyFill="1" applyBorder="1" applyAlignment="1" applyProtection="1">
      <alignment horizontal="left"/>
    </xf>
    <xf numFmtId="10" fontId="44" fillId="27" borderId="47" xfId="1168" applyNumberFormat="1" applyFont="1" applyFill="1" applyBorder="1" applyProtection="1"/>
    <xf numFmtId="0" fontId="44" fillId="27" borderId="22" xfId="1168" applyFont="1" applyFill="1" applyBorder="1" applyProtection="1"/>
    <xf numFmtId="0" fontId="44" fillId="27" borderId="60" xfId="1168" applyFont="1" applyFill="1" applyBorder="1" applyProtection="1"/>
    <xf numFmtId="0" fontId="44" fillId="27" borderId="61" xfId="1168" applyFont="1" applyFill="1" applyBorder="1" applyProtection="1"/>
    <xf numFmtId="0" fontId="44" fillId="27" borderId="62" xfId="1168" applyFont="1" applyFill="1" applyBorder="1" applyProtection="1"/>
    <xf numFmtId="167" fontId="44" fillId="27" borderId="62" xfId="1168" applyNumberFormat="1" applyFont="1" applyFill="1" applyBorder="1" applyAlignment="1" applyProtection="1">
      <alignment horizontal="center"/>
    </xf>
    <xf numFmtId="167" fontId="44" fillId="27" borderId="63" xfId="1168" applyNumberFormat="1" applyFont="1" applyFill="1" applyBorder="1" applyAlignment="1" applyProtection="1">
      <alignment horizontal="center"/>
    </xf>
    <xf numFmtId="167" fontId="44" fillId="27" borderId="0" xfId="1168" applyNumberFormat="1" applyFont="1" applyFill="1" applyAlignment="1" applyProtection="1">
      <alignment horizontal="center"/>
    </xf>
    <xf numFmtId="167" fontId="44" fillId="27" borderId="16" xfId="1168" applyNumberFormat="1" applyFont="1" applyFill="1" applyBorder="1" applyAlignment="1" applyProtection="1">
      <alignment horizontal="center"/>
    </xf>
    <xf numFmtId="167" fontId="44" fillId="27" borderId="48" xfId="1168" applyNumberFormat="1" applyFont="1" applyFill="1" applyBorder="1" applyAlignment="1" applyProtection="1">
      <alignment horizontal="center"/>
    </xf>
    <xf numFmtId="167" fontId="44" fillId="27" borderId="47" xfId="1168" applyNumberFormat="1" applyFont="1" applyFill="1" applyBorder="1" applyAlignment="1" applyProtection="1">
      <alignment horizontal="center"/>
    </xf>
    <xf numFmtId="0" fontId="44" fillId="27" borderId="48" xfId="1168" applyFont="1" applyFill="1" applyBorder="1" applyProtection="1"/>
    <xf numFmtId="167" fontId="47" fillId="27" borderId="0" xfId="1168" applyNumberFormat="1" applyFont="1" applyFill="1" applyAlignment="1" applyProtection="1">
      <alignment horizontal="center"/>
    </xf>
    <xf numFmtId="10" fontId="47" fillId="27" borderId="0" xfId="1168" applyNumberFormat="1" applyFont="1" applyFill="1" applyAlignment="1" applyProtection="1">
      <alignment horizontal="center"/>
    </xf>
    <xf numFmtId="10" fontId="44" fillId="27" borderId="13" xfId="1168" applyNumberFormat="1" applyFont="1" applyFill="1" applyBorder="1" applyAlignment="1" applyProtection="1">
      <alignment horizontal="right"/>
    </xf>
    <xf numFmtId="10" fontId="44" fillId="27" borderId="89" xfId="1168" applyNumberFormat="1" applyFont="1" applyFill="1" applyBorder="1" applyAlignment="1" applyProtection="1">
      <alignment horizontal="right"/>
    </xf>
    <xf numFmtId="166" fontId="57" fillId="27" borderId="0" xfId="1168" applyNumberFormat="1" applyFont="1" applyFill="1" applyBorder="1" applyProtection="1"/>
    <xf numFmtId="166" fontId="57" fillId="27" borderId="19" xfId="642" applyNumberFormat="1" applyFont="1" applyFill="1" applyBorder="1" applyProtection="1"/>
    <xf numFmtId="166" fontId="97" fillId="27" borderId="0" xfId="642" applyNumberFormat="1" applyFont="1" applyFill="1" applyBorder="1" applyAlignment="1" applyProtection="1">
      <alignment horizontal="center"/>
    </xf>
    <xf numFmtId="0" fontId="97" fillId="27" borderId="0" xfId="1168" applyFont="1" applyFill="1" applyBorder="1" applyAlignment="1" applyProtection="1">
      <alignment horizontal="center"/>
    </xf>
    <xf numFmtId="9" fontId="57" fillId="27" borderId="0" xfId="1153" applyFont="1" applyFill="1" applyBorder="1" applyProtection="1"/>
    <xf numFmtId="10" fontId="57" fillId="27" borderId="0" xfId="1153" applyNumberFormat="1" applyFont="1" applyFill="1" applyBorder="1" applyProtection="1"/>
    <xf numFmtId="10" fontId="57" fillId="27" borderId="10" xfId="1153" applyNumberFormat="1" applyFont="1" applyFill="1" applyBorder="1" applyProtection="1"/>
    <xf numFmtId="10" fontId="57" fillId="27" borderId="0" xfId="1153" applyNumberFormat="1" applyFont="1" applyFill="1" applyBorder="1" applyAlignment="1" applyProtection="1">
      <alignment horizontal="center"/>
    </xf>
    <xf numFmtId="10" fontId="57" fillId="27" borderId="16" xfId="1153" applyNumberFormat="1" applyFont="1" applyFill="1" applyBorder="1" applyAlignment="1" applyProtection="1">
      <alignment horizontal="center"/>
    </xf>
    <xf numFmtId="10" fontId="57" fillId="27" borderId="10" xfId="1153" applyNumberFormat="1" applyFont="1" applyFill="1" applyBorder="1" applyAlignment="1" applyProtection="1">
      <alignment horizontal="center"/>
    </xf>
    <xf numFmtId="10" fontId="57" fillId="27" borderId="17" xfId="1153" applyNumberFormat="1" applyFont="1" applyFill="1" applyBorder="1" applyAlignment="1" applyProtection="1">
      <alignment horizontal="center"/>
    </xf>
    <xf numFmtId="43" fontId="57" fillId="27" borderId="0" xfId="642" applyNumberFormat="1" applyFont="1" applyFill="1" applyBorder="1" applyProtection="1"/>
    <xf numFmtId="10" fontId="57" fillId="27" borderId="0" xfId="1168" applyNumberFormat="1" applyFont="1" applyFill="1" applyBorder="1" applyProtection="1"/>
    <xf numFmtId="43" fontId="57" fillId="27" borderId="0" xfId="638" applyNumberFormat="1" applyFont="1" applyFill="1" applyBorder="1" applyProtection="1"/>
    <xf numFmtId="43" fontId="57" fillId="27" borderId="10" xfId="638" applyFont="1" applyFill="1" applyBorder="1" applyProtection="1"/>
    <xf numFmtId="0" fontId="57" fillId="27" borderId="10" xfId="1168" applyFont="1" applyFill="1" applyBorder="1" applyAlignment="1" applyProtection="1">
      <alignment horizontal="center"/>
    </xf>
    <xf numFmtId="0" fontId="57" fillId="27" borderId="17" xfId="1168" applyFont="1" applyFill="1" applyBorder="1" applyAlignment="1" applyProtection="1">
      <alignment horizontal="center"/>
    </xf>
    <xf numFmtId="166" fontId="57" fillId="27" borderId="10" xfId="638" applyNumberFormat="1" applyFont="1" applyFill="1" applyBorder="1" applyAlignment="1" applyProtection="1">
      <alignment horizontal="center"/>
    </xf>
    <xf numFmtId="43" fontId="57" fillId="27" borderId="0" xfId="1168" applyNumberFormat="1" applyFont="1" applyFill="1" applyBorder="1" applyProtection="1"/>
    <xf numFmtId="166" fontId="57" fillId="27" borderId="65" xfId="638" applyNumberFormat="1" applyFont="1" applyFill="1" applyBorder="1" applyProtection="1"/>
    <xf numFmtId="2" fontId="57" fillId="27" borderId="0" xfId="1168" applyNumberFormat="1" applyFont="1" applyFill="1" applyBorder="1" applyProtection="1"/>
    <xf numFmtId="2" fontId="57" fillId="27" borderId="10" xfId="1168" applyNumberFormat="1" applyFont="1" applyFill="1" applyBorder="1" applyProtection="1"/>
    <xf numFmtId="2" fontId="58" fillId="27" borderId="65" xfId="1168" applyNumberFormat="1" applyFont="1" applyFill="1" applyBorder="1" applyProtection="1"/>
    <xf numFmtId="166" fontId="57" fillId="27" borderId="14" xfId="1168" applyNumberFormat="1" applyFont="1" applyFill="1" applyBorder="1" applyProtection="1"/>
    <xf numFmtId="43" fontId="0" fillId="0" borderId="51" xfId="0" applyNumberFormat="1" applyFill="1" applyBorder="1" applyProtection="1"/>
    <xf numFmtId="166" fontId="42" fillId="0" borderId="75" xfId="638" applyNumberFormat="1" applyFont="1" applyBorder="1" applyProtection="1"/>
    <xf numFmtId="166" fontId="57" fillId="27" borderId="134" xfId="0" applyNumberFormat="1" applyFont="1" applyFill="1" applyBorder="1" applyProtection="1"/>
    <xf numFmtId="166" fontId="57" fillId="27" borderId="133" xfId="0" applyNumberFormat="1" applyFont="1" applyFill="1" applyBorder="1" applyProtection="1"/>
    <xf numFmtId="166" fontId="57" fillId="27" borderId="136" xfId="0" applyNumberFormat="1" applyFont="1" applyFill="1" applyBorder="1" applyProtection="1"/>
    <xf numFmtId="164" fontId="57" fillId="27" borderId="136" xfId="1727" applyFont="1" applyFill="1" applyBorder="1" applyProtection="1"/>
    <xf numFmtId="166" fontId="57" fillId="27" borderId="136" xfId="638" applyNumberFormat="1" applyFont="1" applyFill="1" applyBorder="1" applyProtection="1"/>
    <xf numFmtId="166" fontId="57" fillId="27" borderId="135" xfId="0" applyNumberFormat="1" applyFont="1" applyFill="1" applyBorder="1" applyProtection="1"/>
    <xf numFmtId="166" fontId="58" fillId="27" borderId="19" xfId="638" applyNumberFormat="1" applyFont="1" applyFill="1" applyBorder="1" applyProtection="1"/>
    <xf numFmtId="166" fontId="58" fillId="27" borderId="18" xfId="638" applyNumberFormat="1" applyFont="1" applyFill="1" applyBorder="1" applyProtection="1"/>
    <xf numFmtId="166" fontId="68" fillId="27" borderId="33" xfId="0" applyNumberFormat="1" applyFont="1" applyFill="1" applyBorder="1" applyProtection="1"/>
    <xf numFmtId="166" fontId="95" fillId="27" borderId="33" xfId="39919" applyNumberFormat="1" applyFont="1" applyFill="1" applyBorder="1" applyAlignment="1" applyProtection="1">
      <alignment horizontal="right" vertical="top" shrinkToFit="1"/>
    </xf>
    <xf numFmtId="0" fontId="58" fillId="27" borderId="49" xfId="0" applyFont="1" applyFill="1" applyBorder="1" applyAlignment="1" applyProtection="1">
      <alignment horizontal="center"/>
    </xf>
    <xf numFmtId="198" fontId="58" fillId="27" borderId="65" xfId="1168" applyNumberFormat="1" applyFont="1" applyFill="1" applyBorder="1" applyProtection="1"/>
    <xf numFmtId="0" fontId="57" fillId="27" borderId="89" xfId="0" applyFont="1" applyFill="1" applyBorder="1" applyProtection="1"/>
    <xf numFmtId="0" fontId="7" fillId="27" borderId="12" xfId="39943" applyFill="1" applyBorder="1" applyProtection="1"/>
    <xf numFmtId="166" fontId="58" fillId="27" borderId="19" xfId="642" applyNumberFormat="1" applyFont="1" applyFill="1" applyBorder="1" applyProtection="1"/>
    <xf numFmtId="0" fontId="58" fillId="27" borderId="19" xfId="1168" applyFont="1" applyFill="1" applyBorder="1" applyProtection="1"/>
    <xf numFmtId="164" fontId="44" fillId="27" borderId="0" xfId="1727" applyFont="1" applyFill="1" applyProtection="1"/>
    <xf numFmtId="9" fontId="57" fillId="27" borderId="10" xfId="1153" applyFont="1" applyFill="1" applyBorder="1" applyProtection="1"/>
    <xf numFmtId="3" fontId="0" fillId="27" borderId="0" xfId="0" applyNumberFormat="1" applyFill="1" applyBorder="1"/>
    <xf numFmtId="43" fontId="0" fillId="27" borderId="0" xfId="638" applyNumberFormat="1" applyFont="1" applyFill="1" applyBorder="1"/>
    <xf numFmtId="43" fontId="57" fillId="0" borderId="0" xfId="1168" applyNumberFormat="1" applyFont="1" applyBorder="1" applyProtection="1"/>
    <xf numFmtId="166" fontId="57" fillId="0" borderId="0" xfId="1168" applyNumberFormat="1" applyFont="1" applyBorder="1" applyProtection="1"/>
    <xf numFmtId="0" fontId="57" fillId="0" borderId="0" xfId="1168" applyFont="1" applyBorder="1" applyProtection="1"/>
    <xf numFmtId="10" fontId="57" fillId="0" borderId="89" xfId="1168" applyNumberFormat="1" applyFont="1" applyBorder="1" applyProtection="1"/>
    <xf numFmtId="9" fontId="57" fillId="0" borderId="0" xfId="39926" applyFont="1" applyBorder="1" applyAlignment="1" applyProtection="1">
      <alignment horizontal="center"/>
    </xf>
    <xf numFmtId="9" fontId="57" fillId="0" borderId="10" xfId="39926" applyFont="1" applyBorder="1" applyProtection="1"/>
    <xf numFmtId="9" fontId="57" fillId="0" borderId="0" xfId="1168" applyNumberFormat="1" applyFont="1" applyBorder="1" applyProtection="1"/>
    <xf numFmtId="9" fontId="57" fillId="29" borderId="10" xfId="1153" applyFont="1" applyFill="1" applyBorder="1" applyProtection="1"/>
    <xf numFmtId="9" fontId="57" fillId="29" borderId="0" xfId="1153" applyFont="1" applyFill="1" applyBorder="1" applyProtection="1"/>
    <xf numFmtId="9" fontId="57" fillId="29" borderId="16" xfId="1153" applyFont="1" applyFill="1" applyBorder="1" applyProtection="1"/>
    <xf numFmtId="9" fontId="57" fillId="0" borderId="16" xfId="1168" applyNumberFormat="1" applyFont="1" applyBorder="1" applyProtection="1"/>
    <xf numFmtId="9" fontId="57" fillId="29" borderId="17" xfId="1153" applyFont="1" applyFill="1" applyBorder="1" applyProtection="1"/>
    <xf numFmtId="9" fontId="57" fillId="0" borderId="0" xfId="1168" applyNumberFormat="1" applyFont="1" applyBorder="1" applyAlignment="1" applyProtection="1">
      <alignment horizontal="center"/>
    </xf>
    <xf numFmtId="9" fontId="57" fillId="0" borderId="10" xfId="1168" applyNumberFormat="1" applyFont="1" applyBorder="1" applyProtection="1"/>
    <xf numFmtId="9" fontId="57" fillId="0" borderId="17" xfId="39926" applyFont="1" applyBorder="1" applyProtection="1"/>
    <xf numFmtId="9" fontId="57" fillId="0" borderId="17" xfId="1168" applyNumberFormat="1" applyFont="1" applyBorder="1" applyProtection="1"/>
    <xf numFmtId="9" fontId="57" fillId="0" borderId="65" xfId="39926" applyFont="1" applyBorder="1" applyProtection="1"/>
    <xf numFmtId="9" fontId="57" fillId="0" borderId="89" xfId="39926" applyFont="1" applyBorder="1" applyProtection="1"/>
    <xf numFmtId="166" fontId="58" fillId="27" borderId="0" xfId="1168" applyNumberFormat="1" applyFont="1" applyFill="1" applyBorder="1" applyProtection="1"/>
    <xf numFmtId="43" fontId="58" fillId="0" borderId="33" xfId="1154" applyNumberFormat="1" applyFont="1" applyBorder="1" applyAlignment="1" applyProtection="1">
      <alignment horizontal="center"/>
    </xf>
    <xf numFmtId="166" fontId="57" fillId="0" borderId="57" xfId="638" applyNumberFormat="1" applyFont="1" applyBorder="1" applyProtection="1"/>
    <xf numFmtId="166" fontId="57" fillId="0" borderId="59" xfId="638" applyNumberFormat="1" applyFont="1" applyBorder="1" applyProtection="1"/>
    <xf numFmtId="0" fontId="57" fillId="27" borderId="14" xfId="35529" applyFont="1" applyFill="1" applyBorder="1" applyAlignment="1" applyProtection="1">
      <alignment horizontal="center"/>
    </xf>
    <xf numFmtId="0" fontId="57" fillId="27" borderId="0" xfId="35529" applyFont="1" applyFill="1" applyBorder="1" applyAlignment="1" applyProtection="1">
      <alignment horizontal="center"/>
    </xf>
    <xf numFmtId="0" fontId="69" fillId="27" borderId="0" xfId="1168" applyFont="1" applyFill="1" applyBorder="1"/>
    <xf numFmtId="43" fontId="24" fillId="27" borderId="0" xfId="1168" applyNumberFormat="1" applyFill="1" applyBorder="1"/>
    <xf numFmtId="43" fontId="42" fillId="27" borderId="0" xfId="1168" applyNumberFormat="1" applyFont="1" applyFill="1" applyBorder="1"/>
    <xf numFmtId="0" fontId="68" fillId="27" borderId="0" xfId="1168" applyFont="1" applyFill="1" applyBorder="1"/>
    <xf numFmtId="43" fontId="68" fillId="27" borderId="0" xfId="1168" applyNumberFormat="1" applyFont="1" applyFill="1" applyBorder="1"/>
    <xf numFmtId="3" fontId="57" fillId="27" borderId="0" xfId="1168" applyNumberFormat="1" applyFont="1" applyFill="1" applyBorder="1"/>
    <xf numFmtId="10" fontId="57" fillId="27" borderId="0" xfId="1168" applyNumberFormat="1" applyFont="1" applyFill="1" applyBorder="1"/>
    <xf numFmtId="9" fontId="57" fillId="27" borderId="0" xfId="1168" applyNumberFormat="1" applyFont="1" applyFill="1" applyBorder="1"/>
    <xf numFmtId="0" fontId="42" fillId="27" borderId="0" xfId="0" applyFont="1" applyFill="1" applyBorder="1"/>
    <xf numFmtId="0" fontId="24" fillId="27" borderId="0" xfId="0" applyFont="1" applyFill="1" applyBorder="1" applyAlignment="1">
      <alignment horizontal="center"/>
    </xf>
    <xf numFmtId="43" fontId="42" fillId="27" borderId="0" xfId="0" applyNumberFormat="1" applyFont="1" applyFill="1" applyBorder="1"/>
    <xf numFmtId="0" fontId="57" fillId="0" borderId="28" xfId="1168" applyFont="1" applyBorder="1" applyAlignment="1" applyProtection="1">
      <alignment horizontal="center"/>
    </xf>
    <xf numFmtId="0" fontId="57" fillId="0" borderId="28" xfId="1168" applyFont="1" applyBorder="1" applyProtection="1"/>
    <xf numFmtId="0" fontId="58" fillId="0" borderId="0" xfId="1168" applyFont="1" applyBorder="1" applyProtection="1"/>
    <xf numFmtId="0" fontId="58" fillId="0" borderId="0" xfId="1168" applyFont="1" applyBorder="1" applyAlignment="1" applyProtection="1">
      <alignment horizontal="center"/>
    </xf>
    <xf numFmtId="0" fontId="57" fillId="0" borderId="0" xfId="1168" applyFont="1" applyFill="1" applyBorder="1" applyAlignment="1" applyProtection="1">
      <alignment horizontal="center"/>
    </xf>
    <xf numFmtId="0" fontId="57" fillId="0" borderId="0" xfId="1168" applyFont="1" applyFill="1" applyBorder="1" applyProtection="1"/>
    <xf numFmtId="43" fontId="2" fillId="39" borderId="16" xfId="39936" applyFont="1" applyFill="1" applyBorder="1" applyProtection="1"/>
    <xf numFmtId="0" fontId="57" fillId="32" borderId="0" xfId="1168" applyFont="1" applyFill="1" applyBorder="1" applyProtection="1"/>
    <xf numFmtId="2" fontId="57" fillId="32" borderId="0" xfId="1168" applyNumberFormat="1" applyFont="1" applyFill="1" applyBorder="1" applyProtection="1"/>
    <xf numFmtId="43" fontId="57" fillId="32" borderId="0" xfId="642" applyFont="1" applyFill="1" applyBorder="1" applyAlignment="1" applyProtection="1">
      <alignment horizontal="center"/>
    </xf>
    <xf numFmtId="43" fontId="57" fillId="32" borderId="0" xfId="1154" applyNumberFormat="1" applyFont="1" applyFill="1" applyBorder="1" applyAlignment="1" applyProtection="1">
      <alignment horizontal="center"/>
    </xf>
    <xf numFmtId="43" fontId="57" fillId="32" borderId="65" xfId="1154" applyNumberFormat="1" applyFont="1" applyFill="1" applyBorder="1" applyAlignment="1" applyProtection="1">
      <alignment horizontal="center"/>
    </xf>
    <xf numFmtId="43" fontId="57" fillId="27" borderId="65" xfId="1154" applyNumberFormat="1" applyFont="1" applyFill="1" applyBorder="1" applyAlignment="1" applyProtection="1">
      <alignment horizontal="center"/>
    </xf>
    <xf numFmtId="43" fontId="57" fillId="27" borderId="89" xfId="1154" applyNumberFormat="1" applyFont="1" applyFill="1" applyBorder="1" applyAlignment="1" applyProtection="1">
      <alignment horizontal="center"/>
    </xf>
    <xf numFmtId="0" fontId="57" fillId="27" borderId="65" xfId="1168" applyFont="1" applyFill="1" applyBorder="1" applyAlignment="1" applyProtection="1">
      <alignment horizontal="left"/>
    </xf>
    <xf numFmtId="10" fontId="24" fillId="26" borderId="65" xfId="1168" applyNumberFormat="1" applyFill="1" applyBorder="1" applyProtection="1"/>
    <xf numFmtId="1" fontId="58" fillId="27" borderId="14" xfId="638" applyNumberFormat="1" applyFont="1" applyFill="1" applyBorder="1" applyAlignment="1" applyProtection="1">
      <alignment horizontal="right"/>
    </xf>
    <xf numFmtId="1" fontId="58" fillId="27" borderId="13" xfId="638" applyNumberFormat="1" applyFont="1" applyFill="1" applyBorder="1" applyAlignment="1" applyProtection="1">
      <alignment horizontal="right"/>
    </xf>
    <xf numFmtId="166" fontId="58" fillId="27" borderId="65" xfId="1168" applyNumberFormat="1" applyFont="1" applyFill="1" applyBorder="1" applyProtection="1"/>
    <xf numFmtId="43" fontId="57" fillId="27" borderId="65" xfId="1168" applyNumberFormat="1" applyFont="1" applyFill="1" applyBorder="1" applyProtection="1"/>
    <xf numFmtId="166" fontId="58" fillId="27" borderId="33" xfId="31614" applyNumberFormat="1" applyFont="1" applyFill="1" applyBorder="1" applyProtection="1"/>
    <xf numFmtId="166" fontId="58" fillId="27" borderId="33" xfId="35529" applyNumberFormat="1" applyFont="1" applyFill="1" applyBorder="1" applyProtection="1"/>
    <xf numFmtId="9" fontId="58" fillId="27" borderId="65" xfId="1154" applyFont="1" applyFill="1" applyBorder="1" applyAlignment="1" applyProtection="1">
      <alignment horizontal="center"/>
    </xf>
    <xf numFmtId="166" fontId="57" fillId="27" borderId="122" xfId="638" applyNumberFormat="1" applyFont="1" applyFill="1" applyBorder="1" applyProtection="1"/>
    <xf numFmtId="166" fontId="57" fillId="27" borderId="127" xfId="638" applyNumberFormat="1" applyFont="1" applyFill="1" applyBorder="1" applyProtection="1"/>
    <xf numFmtId="166" fontId="57" fillId="27" borderId="139" xfId="638" applyNumberFormat="1" applyFont="1" applyFill="1" applyBorder="1" applyProtection="1"/>
    <xf numFmtId="0" fontId="58" fillId="27" borderId="137" xfId="1168" applyFont="1" applyFill="1" applyBorder="1" applyAlignment="1" applyProtection="1">
      <alignment horizontal="center"/>
    </xf>
    <xf numFmtId="43" fontId="57" fillId="27" borderId="122" xfId="638" applyFont="1" applyFill="1" applyBorder="1" applyProtection="1"/>
    <xf numFmtId="43" fontId="57" fillId="27" borderId="122" xfId="1168" applyNumberFormat="1" applyFont="1" applyFill="1" applyBorder="1" applyProtection="1"/>
    <xf numFmtId="43" fontId="57" fillId="27" borderId="138" xfId="1168" applyNumberFormat="1" applyFont="1" applyFill="1" applyBorder="1" applyProtection="1"/>
    <xf numFmtId="166" fontId="58" fillId="27" borderId="138" xfId="638" applyNumberFormat="1" applyFont="1" applyFill="1" applyBorder="1" applyProtection="1"/>
    <xf numFmtId="166" fontId="58" fillId="27" borderId="140" xfId="1168" applyNumberFormat="1" applyFont="1" applyFill="1" applyBorder="1" applyProtection="1"/>
    <xf numFmtId="1" fontId="58" fillId="27" borderId="137" xfId="1168" applyNumberFormat="1" applyFont="1" applyFill="1" applyBorder="1" applyAlignment="1" applyProtection="1">
      <alignment horizontal="center"/>
    </xf>
    <xf numFmtId="166" fontId="57" fillId="27" borderId="128" xfId="638" applyNumberFormat="1" applyFont="1" applyFill="1" applyBorder="1" applyProtection="1"/>
    <xf numFmtId="166" fontId="24" fillId="27" borderId="17" xfId="1168" applyNumberFormat="1" applyFill="1" applyBorder="1" applyProtection="1"/>
    <xf numFmtId="0" fontId="58" fillId="27" borderId="11" xfId="39935" applyFont="1" applyFill="1" applyBorder="1" applyAlignment="1">
      <alignment horizontal="left"/>
    </xf>
    <xf numFmtId="43" fontId="57" fillId="27" borderId="14" xfId="638" applyFont="1" applyFill="1" applyBorder="1"/>
    <xf numFmtId="0" fontId="57" fillId="27" borderId="12" xfId="39935" applyFont="1" applyFill="1" applyBorder="1" applyAlignment="1">
      <alignment horizontal="left"/>
    </xf>
    <xf numFmtId="10" fontId="57" fillId="27" borderId="0" xfId="1153" applyNumberFormat="1" applyFont="1" applyFill="1" applyBorder="1"/>
    <xf numFmtId="166" fontId="57" fillId="27" borderId="65" xfId="638" applyNumberFormat="1" applyFont="1" applyFill="1" applyBorder="1"/>
    <xf numFmtId="0" fontId="57" fillId="27" borderId="49" xfId="39935" applyFont="1" applyFill="1" applyBorder="1" applyAlignment="1">
      <alignment horizontal="left"/>
    </xf>
    <xf numFmtId="0" fontId="57" fillId="27" borderId="140" xfId="39935" applyFont="1" applyFill="1" applyBorder="1"/>
    <xf numFmtId="43" fontId="57" fillId="27" borderId="140" xfId="1168" applyNumberFormat="1" applyFont="1" applyFill="1" applyBorder="1" applyProtection="1"/>
    <xf numFmtId="166" fontId="58" fillId="27" borderId="140" xfId="638" applyNumberFormat="1" applyFont="1" applyFill="1" applyBorder="1" applyProtection="1"/>
    <xf numFmtId="10" fontId="57" fillId="27" borderId="16" xfId="1153" applyNumberFormat="1" applyFont="1" applyFill="1" applyBorder="1" applyProtection="1"/>
    <xf numFmtId="10" fontId="57" fillId="27" borderId="17" xfId="1153" applyNumberFormat="1" applyFont="1" applyFill="1" applyBorder="1" applyProtection="1"/>
    <xf numFmtId="10" fontId="57" fillId="27" borderId="65" xfId="1168" applyNumberFormat="1" applyFont="1" applyFill="1" applyBorder="1" applyProtection="1"/>
    <xf numFmtId="10" fontId="57" fillId="27" borderId="140" xfId="1168" applyNumberFormat="1" applyFont="1" applyFill="1" applyBorder="1" applyProtection="1"/>
    <xf numFmtId="0" fontId="58" fillId="27" borderId="0" xfId="1168" applyFont="1" applyFill="1" applyBorder="1" applyProtection="1"/>
    <xf numFmtId="0" fontId="58" fillId="27" borderId="16" xfId="1168" applyFont="1" applyFill="1" applyBorder="1" applyProtection="1"/>
    <xf numFmtId="43" fontId="57" fillId="27" borderId="10" xfId="1168" applyNumberFormat="1" applyFont="1" applyFill="1" applyBorder="1" applyProtection="1"/>
    <xf numFmtId="43" fontId="57" fillId="27" borderId="17" xfId="1168" applyNumberFormat="1" applyFont="1" applyFill="1" applyBorder="1" applyProtection="1"/>
    <xf numFmtId="0" fontId="58" fillId="27" borderId="14" xfId="1168" applyFont="1" applyFill="1" applyBorder="1" applyProtection="1"/>
    <xf numFmtId="0" fontId="58" fillId="27" borderId="13" xfId="1168" applyFont="1" applyFill="1" applyBorder="1" applyProtection="1"/>
    <xf numFmtId="166" fontId="68" fillId="27" borderId="0" xfId="638" applyNumberFormat="1" applyFont="1" applyFill="1" applyProtection="1"/>
    <xf numFmtId="166" fontId="58" fillId="27" borderId="0" xfId="35529" applyNumberFormat="1" applyFont="1" applyFill="1" applyBorder="1" applyProtection="1"/>
    <xf numFmtId="166" fontId="58" fillId="27" borderId="16" xfId="35529" applyNumberFormat="1" applyFont="1" applyFill="1" applyBorder="1" applyProtection="1"/>
    <xf numFmtId="166" fontId="58" fillId="27" borderId="53" xfId="35529" applyNumberFormat="1" applyFont="1" applyFill="1" applyBorder="1" applyProtection="1"/>
    <xf numFmtId="188" fontId="57" fillId="27" borderId="0" xfId="1168" applyNumberFormat="1" applyFont="1" applyFill="1" applyBorder="1" applyProtection="1"/>
    <xf numFmtId="203" fontId="57" fillId="27" borderId="0" xfId="1168" applyNumberFormat="1" applyFont="1" applyFill="1" applyBorder="1" applyProtection="1"/>
    <xf numFmtId="43" fontId="58" fillId="27" borderId="140" xfId="1168" applyNumberFormat="1" applyFont="1" applyFill="1" applyBorder="1" applyProtection="1"/>
    <xf numFmtId="166" fontId="24" fillId="27" borderId="140" xfId="638" applyNumberFormat="1" applyFont="1" applyFill="1" applyBorder="1" applyProtection="1"/>
    <xf numFmtId="166" fontId="57" fillId="0" borderId="33" xfId="39930" applyNumberFormat="1" applyFont="1" applyFill="1" applyBorder="1" applyProtection="1"/>
    <xf numFmtId="166" fontId="57" fillId="29" borderId="33" xfId="39930" applyNumberFormat="1" applyFont="1" applyFill="1" applyBorder="1" applyProtection="1"/>
    <xf numFmtId="166" fontId="58" fillId="0" borderId="0" xfId="1168" applyNumberFormat="1" applyFont="1" applyBorder="1" applyProtection="1"/>
    <xf numFmtId="171" fontId="57" fillId="0" borderId="0" xfId="1153" applyNumberFormat="1" applyFont="1" applyBorder="1" applyProtection="1"/>
    <xf numFmtId="166" fontId="58" fillId="0" borderId="140" xfId="1168" applyNumberFormat="1" applyFont="1" applyBorder="1" applyProtection="1"/>
    <xf numFmtId="166" fontId="57" fillId="0" borderId="140" xfId="1168" applyNumberFormat="1" applyFont="1" applyBorder="1" applyProtection="1"/>
    <xf numFmtId="10" fontId="68" fillId="27" borderId="16" xfId="40012" applyNumberFormat="1" applyFont="1" applyFill="1" applyBorder="1" applyProtection="1"/>
    <xf numFmtId="0" fontId="68" fillId="27" borderId="140" xfId="40012" applyFont="1" applyFill="1" applyBorder="1" applyProtection="1"/>
    <xf numFmtId="10" fontId="68" fillId="27" borderId="17" xfId="39937" applyNumberFormat="1" applyFont="1" applyFill="1" applyBorder="1" applyProtection="1"/>
    <xf numFmtId="0" fontId="57" fillId="27" borderId="0" xfId="1168" applyFont="1" applyFill="1" applyBorder="1" applyAlignment="1">
      <alignment horizontal="center" wrapText="1"/>
    </xf>
    <xf numFmtId="0" fontId="68" fillId="27" borderId="0" xfId="1168" applyFont="1" applyFill="1" applyBorder="1" applyAlignment="1">
      <alignment horizontal="center"/>
    </xf>
    <xf numFmtId="43" fontId="57" fillId="27" borderId="140" xfId="1168" applyNumberFormat="1" applyFont="1" applyFill="1" applyBorder="1"/>
    <xf numFmtId="0" fontId="57" fillId="27" borderId="0" xfId="1168" applyNumberFormat="1" applyFont="1" applyFill="1" applyBorder="1"/>
    <xf numFmtId="166" fontId="57" fillId="0" borderId="0" xfId="1168" applyNumberFormat="1" applyFont="1" applyFill="1" applyBorder="1" applyProtection="1"/>
    <xf numFmtId="0" fontId="68" fillId="27" borderId="140" xfId="40018" applyFont="1" applyFill="1" applyBorder="1" applyProtection="1"/>
    <xf numFmtId="0" fontId="1" fillId="27" borderId="12" xfId="40012" applyFont="1" applyFill="1" applyBorder="1" applyProtection="1"/>
    <xf numFmtId="10" fontId="68" fillId="27" borderId="140" xfId="39937" applyNumberFormat="1" applyFont="1" applyFill="1" applyBorder="1" applyProtection="1"/>
    <xf numFmtId="0" fontId="2" fillId="27" borderId="140" xfId="40012" applyFont="1" applyFill="1" applyBorder="1" applyProtection="1"/>
    <xf numFmtId="9" fontId="68" fillId="27" borderId="0" xfId="40012" applyNumberFormat="1" applyFont="1" applyFill="1" applyProtection="1"/>
    <xf numFmtId="43" fontId="68" fillId="27" borderId="0" xfId="40012" applyNumberFormat="1" applyFont="1" applyFill="1" applyProtection="1"/>
    <xf numFmtId="10" fontId="68" fillId="27" borderId="0" xfId="1153" applyNumberFormat="1" applyFont="1" applyFill="1" applyProtection="1"/>
    <xf numFmtId="1" fontId="57" fillId="27" borderId="0" xfId="1168" applyNumberFormat="1" applyFont="1" applyFill="1" applyBorder="1"/>
    <xf numFmtId="43" fontId="58" fillId="27" borderId="140" xfId="1168" applyNumberFormat="1" applyFont="1" applyFill="1" applyBorder="1"/>
    <xf numFmtId="0" fontId="57" fillId="27" borderId="140" xfId="1168" applyFont="1" applyFill="1" applyBorder="1" applyProtection="1"/>
    <xf numFmtId="9" fontId="57" fillId="27" borderId="140" xfId="40008" applyFont="1" applyFill="1" applyBorder="1" applyProtection="1"/>
    <xf numFmtId="0" fontId="57" fillId="36" borderId="0" xfId="1168" applyFont="1" applyFill="1" applyBorder="1" applyAlignment="1" applyProtection="1">
      <alignment horizontal="center" vertical="center"/>
    </xf>
    <xf numFmtId="0" fontId="57" fillId="30" borderId="0" xfId="1168" applyFont="1" applyFill="1" applyBorder="1" applyProtection="1"/>
    <xf numFmtId="0" fontId="57" fillId="27" borderId="0" xfId="1168" applyFont="1" applyFill="1" applyBorder="1" applyAlignment="1" applyProtection="1">
      <alignment horizontal="center" vertical="center"/>
    </xf>
    <xf numFmtId="166" fontId="0" fillId="0" borderId="0" xfId="638" applyNumberFormat="1" applyFont="1" applyProtection="1"/>
    <xf numFmtId="43" fontId="0" fillId="27" borderId="140" xfId="638" applyFont="1" applyFill="1" applyBorder="1"/>
    <xf numFmtId="0" fontId="24" fillId="0" borderId="50" xfId="0" applyFont="1" applyBorder="1" applyAlignment="1" applyProtection="1">
      <alignment horizontal="right"/>
    </xf>
    <xf numFmtId="0" fontId="0" fillId="0" borderId="50" xfId="0" applyBorder="1" applyAlignment="1" applyProtection="1">
      <alignment horizontal="right"/>
    </xf>
    <xf numFmtId="166" fontId="0" fillId="34" borderId="0" xfId="638" applyNumberFormat="1" applyFont="1" applyFill="1" applyBorder="1" applyProtection="1"/>
    <xf numFmtId="166" fontId="57" fillId="27" borderId="136" xfId="642" applyNumberFormat="1" applyFont="1" applyFill="1" applyBorder="1" applyProtection="1"/>
    <xf numFmtId="166" fontId="57" fillId="27" borderId="134" xfId="642" applyNumberFormat="1" applyFont="1" applyFill="1" applyBorder="1" applyProtection="1"/>
    <xf numFmtId="0" fontId="57" fillId="27" borderId="49" xfId="39935" applyFont="1" applyFill="1" applyBorder="1" applyAlignment="1" applyProtection="1">
      <alignment horizontal="left" vertical="top" wrapText="1"/>
    </xf>
    <xf numFmtId="0" fontId="57" fillId="27" borderId="65" xfId="39935" applyFont="1" applyFill="1" applyBorder="1" applyAlignment="1" applyProtection="1">
      <alignment horizontal="left" vertical="top" wrapText="1"/>
    </xf>
    <xf numFmtId="0" fontId="57" fillId="27" borderId="89" xfId="39935" applyFont="1" applyFill="1" applyBorder="1" applyAlignment="1" applyProtection="1">
      <alignment horizontal="left" vertical="top" wrapText="1"/>
    </xf>
    <xf numFmtId="10" fontId="57" fillId="0" borderId="0" xfId="1153" applyNumberFormat="1" applyFont="1" applyBorder="1" applyProtection="1"/>
    <xf numFmtId="166" fontId="57" fillId="27" borderId="140" xfId="39935" applyNumberFormat="1" applyFont="1" applyFill="1" applyBorder="1" applyProtection="1"/>
    <xf numFmtId="43" fontId="57" fillId="27" borderId="10" xfId="39935" applyNumberFormat="1" applyFont="1" applyFill="1" applyBorder="1" applyProtection="1"/>
    <xf numFmtId="43" fontId="57" fillId="27" borderId="17" xfId="39935" applyNumberFormat="1" applyFont="1" applyFill="1" applyBorder="1" applyProtection="1"/>
    <xf numFmtId="171" fontId="68" fillId="27" borderId="0" xfId="1153" applyNumberFormat="1" applyFont="1" applyFill="1" applyProtection="1"/>
    <xf numFmtId="0" fontId="58" fillId="27" borderId="14" xfId="1168" applyFont="1" applyFill="1" applyBorder="1" applyAlignment="1" applyProtection="1">
      <alignment horizontal="right"/>
    </xf>
    <xf numFmtId="0" fontId="58" fillId="27" borderId="13" xfId="1168" applyFont="1" applyFill="1" applyBorder="1" applyAlignment="1" applyProtection="1">
      <alignment horizontal="right"/>
    </xf>
    <xf numFmtId="1" fontId="58" fillId="27" borderId="13" xfId="1168" applyNumberFormat="1" applyFont="1" applyFill="1" applyBorder="1" applyAlignment="1" applyProtection="1">
      <alignment horizontal="right"/>
    </xf>
    <xf numFmtId="3" fontId="74" fillId="27" borderId="0" xfId="7700" applyNumberFormat="1" applyFont="1" applyFill="1" applyBorder="1" applyAlignment="1">
      <alignment horizontal="center"/>
    </xf>
    <xf numFmtId="0" fontId="73" fillId="27" borderId="0" xfId="7700" applyFont="1" applyFill="1" applyBorder="1" applyAlignment="1">
      <alignment horizontal="center"/>
    </xf>
    <xf numFmtId="0" fontId="74" fillId="27" borderId="0" xfId="7700" applyFont="1" applyFill="1" applyBorder="1" applyAlignment="1">
      <alignment horizontal="center"/>
    </xf>
    <xf numFmtId="0" fontId="74" fillId="27" borderId="0" xfId="7700" applyFont="1" applyFill="1" applyBorder="1"/>
    <xf numFmtId="0" fontId="71" fillId="27" borderId="0" xfId="1170" applyFont="1" applyFill="1" applyBorder="1"/>
    <xf numFmtId="166" fontId="76" fillId="27" borderId="0" xfId="1170" applyNumberFormat="1" applyFont="1" applyFill="1" applyBorder="1"/>
    <xf numFmtId="166" fontId="71" fillId="27" borderId="0" xfId="1170" applyNumberFormat="1" applyFont="1" applyFill="1" applyBorder="1"/>
    <xf numFmtId="0" fontId="73" fillId="27" borderId="0" xfId="7700" applyFont="1" applyFill="1" applyBorder="1"/>
    <xf numFmtId="166" fontId="73" fillId="27" borderId="33" xfId="638" applyNumberFormat="1" applyFont="1" applyFill="1" applyBorder="1" applyProtection="1"/>
    <xf numFmtId="166" fontId="73" fillId="27" borderId="33" xfId="7700" applyNumberFormat="1" applyFont="1" applyFill="1" applyBorder="1"/>
    <xf numFmtId="166" fontId="74" fillId="27" borderId="0" xfId="7700" applyNumberFormat="1" applyFont="1" applyFill="1" applyBorder="1"/>
    <xf numFmtId="166" fontId="73" fillId="27" borderId="140" xfId="7700" applyNumberFormat="1" applyFont="1" applyFill="1" applyBorder="1"/>
    <xf numFmtId="43" fontId="44" fillId="43" borderId="16" xfId="1168" applyNumberFormat="1" applyFont="1" applyFill="1" applyBorder="1" applyProtection="1"/>
    <xf numFmtId="0" fontId="57" fillId="27" borderId="11" xfId="39935" applyFont="1" applyFill="1" applyBorder="1" applyAlignment="1" applyProtection="1">
      <alignment horizontal="left" vertical="top"/>
    </xf>
    <xf numFmtId="0" fontId="57" fillId="27" borderId="14" xfId="39935" applyFont="1" applyFill="1" applyBorder="1" applyAlignment="1" applyProtection="1">
      <alignment horizontal="left" vertical="top"/>
    </xf>
    <xf numFmtId="0" fontId="57" fillId="27" borderId="12" xfId="39935" applyFont="1" applyFill="1" applyBorder="1" applyAlignment="1" applyProtection="1">
      <alignment horizontal="left" vertical="top" wrapText="1"/>
    </xf>
    <xf numFmtId="0" fontId="57" fillId="27" borderId="0" xfId="39935" applyFont="1" applyFill="1" applyBorder="1" applyAlignment="1" applyProtection="1">
      <alignment horizontal="left" vertical="top" wrapText="1"/>
    </xf>
    <xf numFmtId="0" fontId="72" fillId="37" borderId="14" xfId="39945" applyFont="1" applyFill="1" applyBorder="1" applyAlignment="1">
      <alignment horizontal="center"/>
    </xf>
    <xf numFmtId="0" fontId="51" fillId="37" borderId="14" xfId="39944" applyFont="1" applyFill="1" applyBorder="1" applyAlignment="1" applyProtection="1">
      <alignment horizontal="center"/>
    </xf>
    <xf numFmtId="0" fontId="51" fillId="37" borderId="13" xfId="39944" applyFont="1" applyFill="1" applyBorder="1" applyAlignment="1" applyProtection="1">
      <alignment horizontal="center"/>
    </xf>
    <xf numFmtId="0" fontId="72" fillId="27" borderId="15" xfId="7700" applyFont="1" applyFill="1" applyBorder="1" applyAlignment="1" applyProtection="1">
      <alignment horizontal="center"/>
    </xf>
    <xf numFmtId="0" fontId="72" fillId="27" borderId="19" xfId="7700" applyFont="1" applyFill="1" applyBorder="1" applyAlignment="1" applyProtection="1">
      <alignment horizontal="center"/>
    </xf>
    <xf numFmtId="0" fontId="72" fillId="27" borderId="18" xfId="7700" applyFont="1" applyFill="1" applyBorder="1" applyAlignment="1" applyProtection="1">
      <alignment horizontal="center"/>
    </xf>
    <xf numFmtId="0" fontId="72" fillId="27" borderId="19" xfId="7700" applyFont="1" applyFill="1" applyBorder="1" applyAlignment="1">
      <alignment horizontal="center"/>
    </xf>
    <xf numFmtId="0" fontId="72" fillId="27" borderId="18" xfId="7700" applyFont="1" applyFill="1" applyBorder="1" applyAlignment="1">
      <alignment horizontal="center"/>
    </xf>
    <xf numFmtId="0" fontId="72" fillId="27" borderId="15" xfId="7700" applyFont="1" applyFill="1" applyBorder="1" applyAlignment="1">
      <alignment horizontal="center"/>
    </xf>
    <xf numFmtId="0" fontId="47" fillId="27" borderId="11" xfId="1168" applyFont="1" applyFill="1" applyBorder="1" applyAlignment="1" applyProtection="1">
      <alignment horizontal="center" vertical="center"/>
    </xf>
    <xf numFmtId="0" fontId="47" fillId="27" borderId="49" xfId="1168" applyFont="1" applyFill="1" applyBorder="1" applyAlignment="1" applyProtection="1">
      <alignment horizontal="center" vertical="center"/>
    </xf>
    <xf numFmtId="0" fontId="68" fillId="0" borderId="80" xfId="39927" applyFont="1" applyBorder="1" applyAlignment="1" applyProtection="1">
      <alignment horizontal="center" vertical="center"/>
    </xf>
    <xf numFmtId="0" fontId="68" fillId="0" borderId="81" xfId="39927" applyFont="1" applyBorder="1" applyAlignment="1" applyProtection="1">
      <alignment horizontal="center" vertical="center"/>
    </xf>
    <xf numFmtId="0" fontId="68" fillId="0" borderId="70" xfId="39927" applyFont="1" applyBorder="1" applyAlignment="1" applyProtection="1">
      <alignment horizontal="center" vertical="center"/>
    </xf>
    <xf numFmtId="0" fontId="68" fillId="0" borderId="71" xfId="39927" applyFont="1" applyBorder="1" applyAlignment="1" applyProtection="1">
      <alignment horizontal="center" vertical="center"/>
    </xf>
    <xf numFmtId="0" fontId="57" fillId="0" borderId="70" xfId="39927" applyFont="1" applyBorder="1" applyAlignment="1" applyProtection="1">
      <alignment horizontal="center" vertical="center" wrapText="1"/>
    </xf>
    <xf numFmtId="0" fontId="57" fillId="0" borderId="71" xfId="39927" applyFont="1" applyBorder="1" applyAlignment="1" applyProtection="1">
      <alignment horizontal="center" vertical="center" wrapText="1"/>
    </xf>
    <xf numFmtId="0" fontId="57" fillId="0" borderId="100" xfId="1168" applyFont="1" applyBorder="1" applyAlignment="1" applyProtection="1">
      <alignment horizontal="center" vertical="center" wrapText="1"/>
    </xf>
    <xf numFmtId="0" fontId="57" fillId="0" borderId="12" xfId="1168" applyFont="1" applyBorder="1" applyAlignment="1" applyProtection="1">
      <alignment horizontal="center" vertical="center" wrapText="1"/>
    </xf>
    <xf numFmtId="0" fontId="57" fillId="0" borderId="21" xfId="1168" applyFont="1" applyBorder="1" applyAlignment="1" applyProtection="1">
      <alignment horizontal="center" vertical="center" wrapText="1"/>
    </xf>
    <xf numFmtId="0" fontId="57" fillId="29" borderId="70" xfId="642" applyNumberFormat="1" applyFont="1" applyFill="1" applyBorder="1" applyAlignment="1" applyProtection="1">
      <alignment horizontal="center" vertical="center"/>
    </xf>
    <xf numFmtId="0" fontId="57" fillId="29" borderId="71" xfId="642" applyNumberFormat="1" applyFont="1" applyFill="1" applyBorder="1" applyAlignment="1" applyProtection="1">
      <alignment horizontal="center" vertical="center"/>
    </xf>
    <xf numFmtId="0" fontId="57" fillId="29" borderId="70" xfId="1168" applyFont="1" applyFill="1" applyBorder="1" applyAlignment="1" applyProtection="1">
      <alignment horizontal="center" vertical="center"/>
    </xf>
    <xf numFmtId="0" fontId="57" fillId="29" borderId="71" xfId="1168" applyFont="1" applyFill="1" applyBorder="1" applyAlignment="1" applyProtection="1">
      <alignment horizontal="center" vertical="center"/>
    </xf>
    <xf numFmtId="0" fontId="57" fillId="29" borderId="72" xfId="642" applyNumberFormat="1" applyFont="1" applyFill="1" applyBorder="1" applyAlignment="1" applyProtection="1">
      <alignment horizontal="center" vertical="center"/>
    </xf>
    <xf numFmtId="0" fontId="57" fillId="29" borderId="72" xfId="1168" applyFont="1" applyFill="1" applyBorder="1" applyAlignment="1" applyProtection="1">
      <alignment horizontal="center" vertical="center"/>
    </xf>
    <xf numFmtId="0" fontId="57" fillId="29" borderId="68" xfId="642" applyNumberFormat="1" applyFont="1" applyFill="1" applyBorder="1" applyAlignment="1" applyProtection="1">
      <alignment horizontal="center" vertical="center"/>
    </xf>
    <xf numFmtId="0" fontId="57" fillId="29" borderId="68" xfId="1168" applyFont="1" applyFill="1" applyBorder="1" applyAlignment="1" applyProtection="1">
      <alignment horizontal="center" vertical="center"/>
    </xf>
  </cellXfs>
  <cellStyles count="40021">
    <cellStyle name="20% - Accent1 2" xfId="1"/>
    <cellStyle name="20% - Accent1 3" xfId="2"/>
    <cellStyle name="20% - Accent1 4" xfId="3"/>
    <cellStyle name="20% - Accent1 4 10" xfId="3802"/>
    <cellStyle name="20% - Accent1 4 10 2" xfId="12170"/>
    <cellStyle name="20% - Accent1 4 10 2 2" xfId="15222"/>
    <cellStyle name="20% - Accent1 4 10 3" xfId="15223"/>
    <cellStyle name="20% - Accent1 4 11" xfId="7707"/>
    <cellStyle name="20% - Accent1 4 11 2" xfId="15224"/>
    <cellStyle name="20% - Accent1 4 12" xfId="15225"/>
    <cellStyle name="20% - Accent1 4 2" xfId="1744"/>
    <cellStyle name="20% - Accent1 4 2 10" xfId="15226"/>
    <cellStyle name="20% - Accent1 4 2 2" xfId="1793"/>
    <cellStyle name="20% - Accent1 4 2 2 2" xfId="1919"/>
    <cellStyle name="20% - Accent1 4 2 2 2 2" xfId="2171"/>
    <cellStyle name="20% - Accent1 4 2 2 2 2 2" xfId="2715"/>
    <cellStyle name="20% - Accent1 4 2 2 2 2 2 2" xfId="3732"/>
    <cellStyle name="20% - Accent1 4 2 2 2 2 2 2 2" xfId="5766"/>
    <cellStyle name="20% - Accent1 4 2 2 2 2 2 2 2 2" xfId="12172"/>
    <cellStyle name="20% - Accent1 4 2 2 2 2 2 2 2 2 2" xfId="15227"/>
    <cellStyle name="20% - Accent1 4 2 2 2 2 2 2 2 3" xfId="15228"/>
    <cellStyle name="20% - Accent1 4 2 2 2 2 2 2 3" xfId="12171"/>
    <cellStyle name="20% - Accent1 4 2 2 2 2 2 2 3 2" xfId="15229"/>
    <cellStyle name="20% - Accent1 4 2 2 2 2 2 2 4" xfId="15230"/>
    <cellStyle name="20% - Accent1 4 2 2 2 2 2 3" xfId="4749"/>
    <cellStyle name="20% - Accent1 4 2 2 2 2 2 3 2" xfId="12173"/>
    <cellStyle name="20% - Accent1 4 2 2 2 2 2 3 2 2" xfId="15231"/>
    <cellStyle name="20% - Accent1 4 2 2 2 2 2 3 3" xfId="15232"/>
    <cellStyle name="20% - Accent1 4 2 2 2 2 2 4" xfId="7712"/>
    <cellStyle name="20% - Accent1 4 2 2 2 2 2 4 2" xfId="15233"/>
    <cellStyle name="20% - Accent1 4 2 2 2 2 2 5" xfId="15234"/>
    <cellStyle name="20% - Accent1 4 2 2 2 2 3" xfId="3219"/>
    <cellStyle name="20% - Accent1 4 2 2 2 2 3 2" xfId="5253"/>
    <cellStyle name="20% - Accent1 4 2 2 2 2 3 2 2" xfId="12175"/>
    <cellStyle name="20% - Accent1 4 2 2 2 2 3 2 2 2" xfId="15235"/>
    <cellStyle name="20% - Accent1 4 2 2 2 2 3 2 3" xfId="15236"/>
    <cellStyle name="20% - Accent1 4 2 2 2 2 3 3" xfId="12174"/>
    <cellStyle name="20% - Accent1 4 2 2 2 2 3 3 2" xfId="15237"/>
    <cellStyle name="20% - Accent1 4 2 2 2 2 3 4" xfId="15238"/>
    <cellStyle name="20% - Accent1 4 2 2 2 2 4" xfId="4236"/>
    <cellStyle name="20% - Accent1 4 2 2 2 2 4 2" xfId="12176"/>
    <cellStyle name="20% - Accent1 4 2 2 2 2 4 2 2" xfId="15239"/>
    <cellStyle name="20% - Accent1 4 2 2 2 2 4 3" xfId="15240"/>
    <cellStyle name="20% - Accent1 4 2 2 2 2 5" xfId="7711"/>
    <cellStyle name="20% - Accent1 4 2 2 2 2 5 2" xfId="15241"/>
    <cellStyle name="20% - Accent1 4 2 2 2 2 6" xfId="15242"/>
    <cellStyle name="20% - Accent1 4 2 2 2 3" xfId="2463"/>
    <cellStyle name="20% - Accent1 4 2 2 2 3 2" xfId="3480"/>
    <cellStyle name="20% - Accent1 4 2 2 2 3 2 2" xfId="5514"/>
    <cellStyle name="20% - Accent1 4 2 2 2 3 2 2 2" xfId="12178"/>
    <cellStyle name="20% - Accent1 4 2 2 2 3 2 2 2 2" xfId="15243"/>
    <cellStyle name="20% - Accent1 4 2 2 2 3 2 2 3" xfId="15244"/>
    <cellStyle name="20% - Accent1 4 2 2 2 3 2 3" xfId="12177"/>
    <cellStyle name="20% - Accent1 4 2 2 2 3 2 3 2" xfId="15245"/>
    <cellStyle name="20% - Accent1 4 2 2 2 3 2 4" xfId="15246"/>
    <cellStyle name="20% - Accent1 4 2 2 2 3 3" xfId="4497"/>
    <cellStyle name="20% - Accent1 4 2 2 2 3 3 2" xfId="12179"/>
    <cellStyle name="20% - Accent1 4 2 2 2 3 3 2 2" xfId="15247"/>
    <cellStyle name="20% - Accent1 4 2 2 2 3 3 3" xfId="15248"/>
    <cellStyle name="20% - Accent1 4 2 2 2 3 4" xfId="7713"/>
    <cellStyle name="20% - Accent1 4 2 2 2 3 4 2" xfId="15249"/>
    <cellStyle name="20% - Accent1 4 2 2 2 3 5" xfId="15250"/>
    <cellStyle name="20% - Accent1 4 2 2 2 4" xfId="2967"/>
    <cellStyle name="20% - Accent1 4 2 2 2 4 2" xfId="5001"/>
    <cellStyle name="20% - Accent1 4 2 2 2 4 2 2" xfId="12181"/>
    <cellStyle name="20% - Accent1 4 2 2 2 4 2 2 2" xfId="15251"/>
    <cellStyle name="20% - Accent1 4 2 2 2 4 2 3" xfId="15252"/>
    <cellStyle name="20% - Accent1 4 2 2 2 4 3" xfId="12180"/>
    <cellStyle name="20% - Accent1 4 2 2 2 4 3 2" xfId="15253"/>
    <cellStyle name="20% - Accent1 4 2 2 2 4 4" xfId="15254"/>
    <cellStyle name="20% - Accent1 4 2 2 2 5" xfId="3984"/>
    <cellStyle name="20% - Accent1 4 2 2 2 5 2" xfId="12182"/>
    <cellStyle name="20% - Accent1 4 2 2 2 5 2 2" xfId="15255"/>
    <cellStyle name="20% - Accent1 4 2 2 2 5 3" xfId="15256"/>
    <cellStyle name="20% - Accent1 4 2 2 2 6" xfId="7710"/>
    <cellStyle name="20% - Accent1 4 2 2 2 6 2" xfId="15257"/>
    <cellStyle name="20% - Accent1 4 2 2 2 7" xfId="15258"/>
    <cellStyle name="20% - Accent1 4 2 2 3" xfId="2045"/>
    <cellStyle name="20% - Accent1 4 2 2 3 2" xfId="2589"/>
    <cellStyle name="20% - Accent1 4 2 2 3 2 2" xfId="3606"/>
    <cellStyle name="20% - Accent1 4 2 2 3 2 2 2" xfId="5640"/>
    <cellStyle name="20% - Accent1 4 2 2 3 2 2 2 2" xfId="12184"/>
    <cellStyle name="20% - Accent1 4 2 2 3 2 2 2 2 2" xfId="15259"/>
    <cellStyle name="20% - Accent1 4 2 2 3 2 2 2 3" xfId="15260"/>
    <cellStyle name="20% - Accent1 4 2 2 3 2 2 3" xfId="12183"/>
    <cellStyle name="20% - Accent1 4 2 2 3 2 2 3 2" xfId="15261"/>
    <cellStyle name="20% - Accent1 4 2 2 3 2 2 4" xfId="15262"/>
    <cellStyle name="20% - Accent1 4 2 2 3 2 3" xfId="4623"/>
    <cellStyle name="20% - Accent1 4 2 2 3 2 3 2" xfId="12185"/>
    <cellStyle name="20% - Accent1 4 2 2 3 2 3 2 2" xfId="15263"/>
    <cellStyle name="20% - Accent1 4 2 2 3 2 3 3" xfId="15264"/>
    <cellStyle name="20% - Accent1 4 2 2 3 2 4" xfId="7715"/>
    <cellStyle name="20% - Accent1 4 2 2 3 2 4 2" xfId="15265"/>
    <cellStyle name="20% - Accent1 4 2 2 3 2 5" xfId="15266"/>
    <cellStyle name="20% - Accent1 4 2 2 3 3" xfId="3093"/>
    <cellStyle name="20% - Accent1 4 2 2 3 3 2" xfId="5127"/>
    <cellStyle name="20% - Accent1 4 2 2 3 3 2 2" xfId="12187"/>
    <cellStyle name="20% - Accent1 4 2 2 3 3 2 2 2" xfId="15267"/>
    <cellStyle name="20% - Accent1 4 2 2 3 3 2 3" xfId="15268"/>
    <cellStyle name="20% - Accent1 4 2 2 3 3 3" xfId="12186"/>
    <cellStyle name="20% - Accent1 4 2 2 3 3 3 2" xfId="15269"/>
    <cellStyle name="20% - Accent1 4 2 2 3 3 4" xfId="15270"/>
    <cellStyle name="20% - Accent1 4 2 2 3 4" xfId="4110"/>
    <cellStyle name="20% - Accent1 4 2 2 3 4 2" xfId="12188"/>
    <cellStyle name="20% - Accent1 4 2 2 3 4 2 2" xfId="15271"/>
    <cellStyle name="20% - Accent1 4 2 2 3 4 3" xfId="15272"/>
    <cellStyle name="20% - Accent1 4 2 2 3 5" xfId="7714"/>
    <cellStyle name="20% - Accent1 4 2 2 3 5 2" xfId="15273"/>
    <cellStyle name="20% - Accent1 4 2 2 3 6" xfId="15274"/>
    <cellStyle name="20% - Accent1 4 2 2 4" xfId="2337"/>
    <cellStyle name="20% - Accent1 4 2 2 4 2" xfId="3354"/>
    <cellStyle name="20% - Accent1 4 2 2 4 2 2" xfId="5388"/>
    <cellStyle name="20% - Accent1 4 2 2 4 2 2 2" xfId="12190"/>
    <cellStyle name="20% - Accent1 4 2 2 4 2 2 2 2" xfId="15275"/>
    <cellStyle name="20% - Accent1 4 2 2 4 2 2 3" xfId="15276"/>
    <cellStyle name="20% - Accent1 4 2 2 4 2 3" xfId="12189"/>
    <cellStyle name="20% - Accent1 4 2 2 4 2 3 2" xfId="15277"/>
    <cellStyle name="20% - Accent1 4 2 2 4 2 4" xfId="15278"/>
    <cellStyle name="20% - Accent1 4 2 2 4 3" xfId="4371"/>
    <cellStyle name="20% - Accent1 4 2 2 4 3 2" xfId="12191"/>
    <cellStyle name="20% - Accent1 4 2 2 4 3 2 2" xfId="15279"/>
    <cellStyle name="20% - Accent1 4 2 2 4 3 3" xfId="15280"/>
    <cellStyle name="20% - Accent1 4 2 2 4 4" xfId="7716"/>
    <cellStyle name="20% - Accent1 4 2 2 4 4 2" xfId="15281"/>
    <cellStyle name="20% - Accent1 4 2 2 4 5" xfId="15282"/>
    <cellStyle name="20% - Accent1 4 2 2 5" xfId="2841"/>
    <cellStyle name="20% - Accent1 4 2 2 5 2" xfId="4875"/>
    <cellStyle name="20% - Accent1 4 2 2 5 2 2" xfId="12193"/>
    <cellStyle name="20% - Accent1 4 2 2 5 2 2 2" xfId="15283"/>
    <cellStyle name="20% - Accent1 4 2 2 5 2 3" xfId="15284"/>
    <cellStyle name="20% - Accent1 4 2 2 5 3" xfId="12192"/>
    <cellStyle name="20% - Accent1 4 2 2 5 3 2" xfId="15285"/>
    <cellStyle name="20% - Accent1 4 2 2 5 4" xfId="15286"/>
    <cellStyle name="20% - Accent1 4 2 2 6" xfId="3858"/>
    <cellStyle name="20% - Accent1 4 2 2 6 2" xfId="12194"/>
    <cellStyle name="20% - Accent1 4 2 2 6 2 2" xfId="15287"/>
    <cellStyle name="20% - Accent1 4 2 2 6 3" xfId="15288"/>
    <cellStyle name="20% - Accent1 4 2 2 7" xfId="7709"/>
    <cellStyle name="20% - Accent1 4 2 2 7 2" xfId="15289"/>
    <cellStyle name="20% - Accent1 4 2 2 8" xfId="15290"/>
    <cellStyle name="20% - Accent1 4 2 3" xfId="1835"/>
    <cellStyle name="20% - Accent1 4 2 3 2" xfId="1961"/>
    <cellStyle name="20% - Accent1 4 2 3 2 2" xfId="2213"/>
    <cellStyle name="20% - Accent1 4 2 3 2 2 2" xfId="2757"/>
    <cellStyle name="20% - Accent1 4 2 3 2 2 2 2" xfId="3774"/>
    <cellStyle name="20% - Accent1 4 2 3 2 2 2 2 2" xfId="5808"/>
    <cellStyle name="20% - Accent1 4 2 3 2 2 2 2 2 2" xfId="12196"/>
    <cellStyle name="20% - Accent1 4 2 3 2 2 2 2 2 2 2" xfId="15291"/>
    <cellStyle name="20% - Accent1 4 2 3 2 2 2 2 2 3" xfId="15292"/>
    <cellStyle name="20% - Accent1 4 2 3 2 2 2 2 3" xfId="12195"/>
    <cellStyle name="20% - Accent1 4 2 3 2 2 2 2 3 2" xfId="15293"/>
    <cellStyle name="20% - Accent1 4 2 3 2 2 2 2 4" xfId="15294"/>
    <cellStyle name="20% - Accent1 4 2 3 2 2 2 3" xfId="4791"/>
    <cellStyle name="20% - Accent1 4 2 3 2 2 2 3 2" xfId="12197"/>
    <cellStyle name="20% - Accent1 4 2 3 2 2 2 3 2 2" xfId="15295"/>
    <cellStyle name="20% - Accent1 4 2 3 2 2 2 3 3" xfId="15296"/>
    <cellStyle name="20% - Accent1 4 2 3 2 2 2 4" xfId="7720"/>
    <cellStyle name="20% - Accent1 4 2 3 2 2 2 4 2" xfId="15297"/>
    <cellStyle name="20% - Accent1 4 2 3 2 2 2 5" xfId="15298"/>
    <cellStyle name="20% - Accent1 4 2 3 2 2 3" xfId="3261"/>
    <cellStyle name="20% - Accent1 4 2 3 2 2 3 2" xfId="5295"/>
    <cellStyle name="20% - Accent1 4 2 3 2 2 3 2 2" xfId="12199"/>
    <cellStyle name="20% - Accent1 4 2 3 2 2 3 2 2 2" xfId="15299"/>
    <cellStyle name="20% - Accent1 4 2 3 2 2 3 2 3" xfId="15300"/>
    <cellStyle name="20% - Accent1 4 2 3 2 2 3 3" xfId="12198"/>
    <cellStyle name="20% - Accent1 4 2 3 2 2 3 3 2" xfId="15301"/>
    <cellStyle name="20% - Accent1 4 2 3 2 2 3 4" xfId="15302"/>
    <cellStyle name="20% - Accent1 4 2 3 2 2 4" xfId="4278"/>
    <cellStyle name="20% - Accent1 4 2 3 2 2 4 2" xfId="12200"/>
    <cellStyle name="20% - Accent1 4 2 3 2 2 4 2 2" xfId="15303"/>
    <cellStyle name="20% - Accent1 4 2 3 2 2 4 3" xfId="15304"/>
    <cellStyle name="20% - Accent1 4 2 3 2 2 5" xfId="7719"/>
    <cellStyle name="20% - Accent1 4 2 3 2 2 5 2" xfId="15305"/>
    <cellStyle name="20% - Accent1 4 2 3 2 2 6" xfId="15306"/>
    <cellStyle name="20% - Accent1 4 2 3 2 3" xfId="2505"/>
    <cellStyle name="20% - Accent1 4 2 3 2 3 2" xfId="3522"/>
    <cellStyle name="20% - Accent1 4 2 3 2 3 2 2" xfId="5556"/>
    <cellStyle name="20% - Accent1 4 2 3 2 3 2 2 2" xfId="12202"/>
    <cellStyle name="20% - Accent1 4 2 3 2 3 2 2 2 2" xfId="15307"/>
    <cellStyle name="20% - Accent1 4 2 3 2 3 2 2 3" xfId="15308"/>
    <cellStyle name="20% - Accent1 4 2 3 2 3 2 3" xfId="12201"/>
    <cellStyle name="20% - Accent1 4 2 3 2 3 2 3 2" xfId="15309"/>
    <cellStyle name="20% - Accent1 4 2 3 2 3 2 4" xfId="15310"/>
    <cellStyle name="20% - Accent1 4 2 3 2 3 3" xfId="4539"/>
    <cellStyle name="20% - Accent1 4 2 3 2 3 3 2" xfId="12203"/>
    <cellStyle name="20% - Accent1 4 2 3 2 3 3 2 2" xfId="15311"/>
    <cellStyle name="20% - Accent1 4 2 3 2 3 3 3" xfId="15312"/>
    <cellStyle name="20% - Accent1 4 2 3 2 3 4" xfId="7721"/>
    <cellStyle name="20% - Accent1 4 2 3 2 3 4 2" xfId="15313"/>
    <cellStyle name="20% - Accent1 4 2 3 2 3 5" xfId="15314"/>
    <cellStyle name="20% - Accent1 4 2 3 2 4" xfId="3009"/>
    <cellStyle name="20% - Accent1 4 2 3 2 4 2" xfId="5043"/>
    <cellStyle name="20% - Accent1 4 2 3 2 4 2 2" xfId="12205"/>
    <cellStyle name="20% - Accent1 4 2 3 2 4 2 2 2" xfId="15315"/>
    <cellStyle name="20% - Accent1 4 2 3 2 4 2 3" xfId="15316"/>
    <cellStyle name="20% - Accent1 4 2 3 2 4 3" xfId="12204"/>
    <cellStyle name="20% - Accent1 4 2 3 2 4 3 2" xfId="15317"/>
    <cellStyle name="20% - Accent1 4 2 3 2 4 4" xfId="15318"/>
    <cellStyle name="20% - Accent1 4 2 3 2 5" xfId="4026"/>
    <cellStyle name="20% - Accent1 4 2 3 2 5 2" xfId="12206"/>
    <cellStyle name="20% - Accent1 4 2 3 2 5 2 2" xfId="15319"/>
    <cellStyle name="20% - Accent1 4 2 3 2 5 3" xfId="15320"/>
    <cellStyle name="20% - Accent1 4 2 3 2 6" xfId="7718"/>
    <cellStyle name="20% - Accent1 4 2 3 2 6 2" xfId="15321"/>
    <cellStyle name="20% - Accent1 4 2 3 2 7" xfId="15322"/>
    <cellStyle name="20% - Accent1 4 2 3 3" xfId="2087"/>
    <cellStyle name="20% - Accent1 4 2 3 3 2" xfId="2631"/>
    <cellStyle name="20% - Accent1 4 2 3 3 2 2" xfId="3648"/>
    <cellStyle name="20% - Accent1 4 2 3 3 2 2 2" xfId="5682"/>
    <cellStyle name="20% - Accent1 4 2 3 3 2 2 2 2" xfId="12208"/>
    <cellStyle name="20% - Accent1 4 2 3 3 2 2 2 2 2" xfId="15323"/>
    <cellStyle name="20% - Accent1 4 2 3 3 2 2 2 3" xfId="15324"/>
    <cellStyle name="20% - Accent1 4 2 3 3 2 2 3" xfId="12207"/>
    <cellStyle name="20% - Accent1 4 2 3 3 2 2 3 2" xfId="15325"/>
    <cellStyle name="20% - Accent1 4 2 3 3 2 2 4" xfId="15326"/>
    <cellStyle name="20% - Accent1 4 2 3 3 2 3" xfId="4665"/>
    <cellStyle name="20% - Accent1 4 2 3 3 2 3 2" xfId="12209"/>
    <cellStyle name="20% - Accent1 4 2 3 3 2 3 2 2" xfId="15327"/>
    <cellStyle name="20% - Accent1 4 2 3 3 2 3 3" xfId="15328"/>
    <cellStyle name="20% - Accent1 4 2 3 3 2 4" xfId="7723"/>
    <cellStyle name="20% - Accent1 4 2 3 3 2 4 2" xfId="15329"/>
    <cellStyle name="20% - Accent1 4 2 3 3 2 5" xfId="15330"/>
    <cellStyle name="20% - Accent1 4 2 3 3 3" xfId="3135"/>
    <cellStyle name="20% - Accent1 4 2 3 3 3 2" xfId="5169"/>
    <cellStyle name="20% - Accent1 4 2 3 3 3 2 2" xfId="12211"/>
    <cellStyle name="20% - Accent1 4 2 3 3 3 2 2 2" xfId="15331"/>
    <cellStyle name="20% - Accent1 4 2 3 3 3 2 3" xfId="15332"/>
    <cellStyle name="20% - Accent1 4 2 3 3 3 3" xfId="12210"/>
    <cellStyle name="20% - Accent1 4 2 3 3 3 3 2" xfId="15333"/>
    <cellStyle name="20% - Accent1 4 2 3 3 3 4" xfId="15334"/>
    <cellStyle name="20% - Accent1 4 2 3 3 4" xfId="4152"/>
    <cellStyle name="20% - Accent1 4 2 3 3 4 2" xfId="12212"/>
    <cellStyle name="20% - Accent1 4 2 3 3 4 2 2" xfId="15335"/>
    <cellStyle name="20% - Accent1 4 2 3 3 4 3" xfId="15336"/>
    <cellStyle name="20% - Accent1 4 2 3 3 5" xfId="7722"/>
    <cellStyle name="20% - Accent1 4 2 3 3 5 2" xfId="15337"/>
    <cellStyle name="20% - Accent1 4 2 3 3 6" xfId="15338"/>
    <cellStyle name="20% - Accent1 4 2 3 4" xfId="2379"/>
    <cellStyle name="20% - Accent1 4 2 3 4 2" xfId="3396"/>
    <cellStyle name="20% - Accent1 4 2 3 4 2 2" xfId="5430"/>
    <cellStyle name="20% - Accent1 4 2 3 4 2 2 2" xfId="12214"/>
    <cellStyle name="20% - Accent1 4 2 3 4 2 2 2 2" xfId="15339"/>
    <cellStyle name="20% - Accent1 4 2 3 4 2 2 3" xfId="15340"/>
    <cellStyle name="20% - Accent1 4 2 3 4 2 3" xfId="12213"/>
    <cellStyle name="20% - Accent1 4 2 3 4 2 3 2" xfId="15341"/>
    <cellStyle name="20% - Accent1 4 2 3 4 2 4" xfId="15342"/>
    <cellStyle name="20% - Accent1 4 2 3 4 3" xfId="4413"/>
    <cellStyle name="20% - Accent1 4 2 3 4 3 2" xfId="12215"/>
    <cellStyle name="20% - Accent1 4 2 3 4 3 2 2" xfId="15343"/>
    <cellStyle name="20% - Accent1 4 2 3 4 3 3" xfId="15344"/>
    <cellStyle name="20% - Accent1 4 2 3 4 4" xfId="7724"/>
    <cellStyle name="20% - Accent1 4 2 3 4 4 2" xfId="15345"/>
    <cellStyle name="20% - Accent1 4 2 3 4 5" xfId="15346"/>
    <cellStyle name="20% - Accent1 4 2 3 5" xfId="2883"/>
    <cellStyle name="20% - Accent1 4 2 3 5 2" xfId="4917"/>
    <cellStyle name="20% - Accent1 4 2 3 5 2 2" xfId="12217"/>
    <cellStyle name="20% - Accent1 4 2 3 5 2 2 2" xfId="15347"/>
    <cellStyle name="20% - Accent1 4 2 3 5 2 3" xfId="15348"/>
    <cellStyle name="20% - Accent1 4 2 3 5 3" xfId="12216"/>
    <cellStyle name="20% - Accent1 4 2 3 5 3 2" xfId="15349"/>
    <cellStyle name="20% - Accent1 4 2 3 5 4" xfId="15350"/>
    <cellStyle name="20% - Accent1 4 2 3 6" xfId="3900"/>
    <cellStyle name="20% - Accent1 4 2 3 6 2" xfId="12218"/>
    <cellStyle name="20% - Accent1 4 2 3 6 2 2" xfId="15351"/>
    <cellStyle name="20% - Accent1 4 2 3 6 3" xfId="15352"/>
    <cellStyle name="20% - Accent1 4 2 3 7" xfId="7717"/>
    <cellStyle name="20% - Accent1 4 2 3 7 2" xfId="15353"/>
    <cellStyle name="20% - Accent1 4 2 3 8" xfId="15354"/>
    <cellStyle name="20% - Accent1 4 2 4" xfId="1877"/>
    <cellStyle name="20% - Accent1 4 2 4 2" xfId="2129"/>
    <cellStyle name="20% - Accent1 4 2 4 2 2" xfId="2673"/>
    <cellStyle name="20% - Accent1 4 2 4 2 2 2" xfId="3690"/>
    <cellStyle name="20% - Accent1 4 2 4 2 2 2 2" xfId="5724"/>
    <cellStyle name="20% - Accent1 4 2 4 2 2 2 2 2" xfId="12220"/>
    <cellStyle name="20% - Accent1 4 2 4 2 2 2 2 2 2" xfId="15355"/>
    <cellStyle name="20% - Accent1 4 2 4 2 2 2 2 3" xfId="15356"/>
    <cellStyle name="20% - Accent1 4 2 4 2 2 2 3" xfId="12219"/>
    <cellStyle name="20% - Accent1 4 2 4 2 2 2 3 2" xfId="15357"/>
    <cellStyle name="20% - Accent1 4 2 4 2 2 2 4" xfId="15358"/>
    <cellStyle name="20% - Accent1 4 2 4 2 2 3" xfId="4707"/>
    <cellStyle name="20% - Accent1 4 2 4 2 2 3 2" xfId="12221"/>
    <cellStyle name="20% - Accent1 4 2 4 2 2 3 2 2" xfId="15359"/>
    <cellStyle name="20% - Accent1 4 2 4 2 2 3 3" xfId="15360"/>
    <cellStyle name="20% - Accent1 4 2 4 2 2 4" xfId="7727"/>
    <cellStyle name="20% - Accent1 4 2 4 2 2 4 2" xfId="15361"/>
    <cellStyle name="20% - Accent1 4 2 4 2 2 5" xfId="15362"/>
    <cellStyle name="20% - Accent1 4 2 4 2 3" xfId="3177"/>
    <cellStyle name="20% - Accent1 4 2 4 2 3 2" xfId="5211"/>
    <cellStyle name="20% - Accent1 4 2 4 2 3 2 2" xfId="12223"/>
    <cellStyle name="20% - Accent1 4 2 4 2 3 2 2 2" xfId="15363"/>
    <cellStyle name="20% - Accent1 4 2 4 2 3 2 3" xfId="15364"/>
    <cellStyle name="20% - Accent1 4 2 4 2 3 3" xfId="12222"/>
    <cellStyle name="20% - Accent1 4 2 4 2 3 3 2" xfId="15365"/>
    <cellStyle name="20% - Accent1 4 2 4 2 3 4" xfId="15366"/>
    <cellStyle name="20% - Accent1 4 2 4 2 4" xfId="4194"/>
    <cellStyle name="20% - Accent1 4 2 4 2 4 2" xfId="12224"/>
    <cellStyle name="20% - Accent1 4 2 4 2 4 2 2" xfId="15367"/>
    <cellStyle name="20% - Accent1 4 2 4 2 4 3" xfId="15368"/>
    <cellStyle name="20% - Accent1 4 2 4 2 5" xfId="7726"/>
    <cellStyle name="20% - Accent1 4 2 4 2 5 2" xfId="15369"/>
    <cellStyle name="20% - Accent1 4 2 4 2 6" xfId="15370"/>
    <cellStyle name="20% - Accent1 4 2 4 3" xfId="2421"/>
    <cellStyle name="20% - Accent1 4 2 4 3 2" xfId="3438"/>
    <cellStyle name="20% - Accent1 4 2 4 3 2 2" xfId="5472"/>
    <cellStyle name="20% - Accent1 4 2 4 3 2 2 2" xfId="12226"/>
    <cellStyle name="20% - Accent1 4 2 4 3 2 2 2 2" xfId="15371"/>
    <cellStyle name="20% - Accent1 4 2 4 3 2 2 3" xfId="15372"/>
    <cellStyle name="20% - Accent1 4 2 4 3 2 3" xfId="12225"/>
    <cellStyle name="20% - Accent1 4 2 4 3 2 3 2" xfId="15373"/>
    <cellStyle name="20% - Accent1 4 2 4 3 2 4" xfId="15374"/>
    <cellStyle name="20% - Accent1 4 2 4 3 3" xfId="4455"/>
    <cellStyle name="20% - Accent1 4 2 4 3 3 2" xfId="12227"/>
    <cellStyle name="20% - Accent1 4 2 4 3 3 2 2" xfId="15375"/>
    <cellStyle name="20% - Accent1 4 2 4 3 3 3" xfId="15376"/>
    <cellStyle name="20% - Accent1 4 2 4 3 4" xfId="7728"/>
    <cellStyle name="20% - Accent1 4 2 4 3 4 2" xfId="15377"/>
    <cellStyle name="20% - Accent1 4 2 4 3 5" xfId="15378"/>
    <cellStyle name="20% - Accent1 4 2 4 4" xfId="2925"/>
    <cellStyle name="20% - Accent1 4 2 4 4 2" xfId="4959"/>
    <cellStyle name="20% - Accent1 4 2 4 4 2 2" xfId="12229"/>
    <cellStyle name="20% - Accent1 4 2 4 4 2 2 2" xfId="15379"/>
    <cellStyle name="20% - Accent1 4 2 4 4 2 3" xfId="15380"/>
    <cellStyle name="20% - Accent1 4 2 4 4 3" xfId="12228"/>
    <cellStyle name="20% - Accent1 4 2 4 4 3 2" xfId="15381"/>
    <cellStyle name="20% - Accent1 4 2 4 4 4" xfId="15382"/>
    <cellStyle name="20% - Accent1 4 2 4 5" xfId="3942"/>
    <cellStyle name="20% - Accent1 4 2 4 5 2" xfId="12230"/>
    <cellStyle name="20% - Accent1 4 2 4 5 2 2" xfId="15383"/>
    <cellStyle name="20% - Accent1 4 2 4 5 3" xfId="15384"/>
    <cellStyle name="20% - Accent1 4 2 4 6" xfId="7725"/>
    <cellStyle name="20% - Accent1 4 2 4 6 2" xfId="15385"/>
    <cellStyle name="20% - Accent1 4 2 4 7" xfId="15386"/>
    <cellStyle name="20% - Accent1 4 2 5" xfId="2003"/>
    <cellStyle name="20% - Accent1 4 2 5 2" xfId="2547"/>
    <cellStyle name="20% - Accent1 4 2 5 2 2" xfId="3564"/>
    <cellStyle name="20% - Accent1 4 2 5 2 2 2" xfId="5598"/>
    <cellStyle name="20% - Accent1 4 2 5 2 2 2 2" xfId="12232"/>
    <cellStyle name="20% - Accent1 4 2 5 2 2 2 2 2" xfId="15387"/>
    <cellStyle name="20% - Accent1 4 2 5 2 2 2 3" xfId="15388"/>
    <cellStyle name="20% - Accent1 4 2 5 2 2 3" xfId="12231"/>
    <cellStyle name="20% - Accent1 4 2 5 2 2 3 2" xfId="15389"/>
    <cellStyle name="20% - Accent1 4 2 5 2 2 4" xfId="15390"/>
    <cellStyle name="20% - Accent1 4 2 5 2 3" xfId="4581"/>
    <cellStyle name="20% - Accent1 4 2 5 2 3 2" xfId="12233"/>
    <cellStyle name="20% - Accent1 4 2 5 2 3 2 2" xfId="15391"/>
    <cellStyle name="20% - Accent1 4 2 5 2 3 3" xfId="15392"/>
    <cellStyle name="20% - Accent1 4 2 5 2 4" xfId="7730"/>
    <cellStyle name="20% - Accent1 4 2 5 2 4 2" xfId="15393"/>
    <cellStyle name="20% - Accent1 4 2 5 2 5" xfId="15394"/>
    <cellStyle name="20% - Accent1 4 2 5 3" xfId="3051"/>
    <cellStyle name="20% - Accent1 4 2 5 3 2" xfId="5085"/>
    <cellStyle name="20% - Accent1 4 2 5 3 2 2" xfId="12235"/>
    <cellStyle name="20% - Accent1 4 2 5 3 2 2 2" xfId="15395"/>
    <cellStyle name="20% - Accent1 4 2 5 3 2 3" xfId="15396"/>
    <cellStyle name="20% - Accent1 4 2 5 3 3" xfId="12234"/>
    <cellStyle name="20% - Accent1 4 2 5 3 3 2" xfId="15397"/>
    <cellStyle name="20% - Accent1 4 2 5 3 4" xfId="15398"/>
    <cellStyle name="20% - Accent1 4 2 5 4" xfId="4068"/>
    <cellStyle name="20% - Accent1 4 2 5 4 2" xfId="12236"/>
    <cellStyle name="20% - Accent1 4 2 5 4 2 2" xfId="15399"/>
    <cellStyle name="20% - Accent1 4 2 5 4 3" xfId="15400"/>
    <cellStyle name="20% - Accent1 4 2 5 5" xfId="7729"/>
    <cellStyle name="20% - Accent1 4 2 5 5 2" xfId="15401"/>
    <cellStyle name="20% - Accent1 4 2 5 6" xfId="15402"/>
    <cellStyle name="20% - Accent1 4 2 6" xfId="2295"/>
    <cellStyle name="20% - Accent1 4 2 6 2" xfId="3312"/>
    <cellStyle name="20% - Accent1 4 2 6 2 2" xfId="5346"/>
    <cellStyle name="20% - Accent1 4 2 6 2 2 2" xfId="12238"/>
    <cellStyle name="20% - Accent1 4 2 6 2 2 2 2" xfId="15403"/>
    <cellStyle name="20% - Accent1 4 2 6 2 2 3" xfId="15404"/>
    <cellStyle name="20% - Accent1 4 2 6 2 3" xfId="12237"/>
    <cellStyle name="20% - Accent1 4 2 6 2 3 2" xfId="15405"/>
    <cellStyle name="20% - Accent1 4 2 6 2 4" xfId="15406"/>
    <cellStyle name="20% - Accent1 4 2 6 3" xfId="4329"/>
    <cellStyle name="20% - Accent1 4 2 6 3 2" xfId="12239"/>
    <cellStyle name="20% - Accent1 4 2 6 3 2 2" xfId="15407"/>
    <cellStyle name="20% - Accent1 4 2 6 3 3" xfId="15408"/>
    <cellStyle name="20% - Accent1 4 2 6 4" xfId="7731"/>
    <cellStyle name="20% - Accent1 4 2 6 4 2" xfId="15409"/>
    <cellStyle name="20% - Accent1 4 2 6 5" xfId="15410"/>
    <cellStyle name="20% - Accent1 4 2 7" xfId="2799"/>
    <cellStyle name="20% - Accent1 4 2 7 2" xfId="4833"/>
    <cellStyle name="20% - Accent1 4 2 7 2 2" xfId="12241"/>
    <cellStyle name="20% - Accent1 4 2 7 2 2 2" xfId="15411"/>
    <cellStyle name="20% - Accent1 4 2 7 2 3" xfId="15412"/>
    <cellStyle name="20% - Accent1 4 2 7 3" xfId="12240"/>
    <cellStyle name="20% - Accent1 4 2 7 3 2" xfId="15413"/>
    <cellStyle name="20% - Accent1 4 2 7 4" xfId="15414"/>
    <cellStyle name="20% - Accent1 4 2 8" xfId="3816"/>
    <cellStyle name="20% - Accent1 4 2 8 2" xfId="12242"/>
    <cellStyle name="20% - Accent1 4 2 8 2 2" xfId="15415"/>
    <cellStyle name="20% - Accent1 4 2 8 3" xfId="15416"/>
    <cellStyle name="20% - Accent1 4 2 9" xfId="7708"/>
    <cellStyle name="20% - Accent1 4 2 9 2" xfId="15417"/>
    <cellStyle name="20% - Accent1 4 3" xfId="1765"/>
    <cellStyle name="20% - Accent1 4 3 10" xfId="15418"/>
    <cellStyle name="20% - Accent1 4 3 2" xfId="1807"/>
    <cellStyle name="20% - Accent1 4 3 2 2" xfId="1933"/>
    <cellStyle name="20% - Accent1 4 3 2 2 2" xfId="2185"/>
    <cellStyle name="20% - Accent1 4 3 2 2 2 2" xfId="2729"/>
    <cellStyle name="20% - Accent1 4 3 2 2 2 2 2" xfId="3746"/>
    <cellStyle name="20% - Accent1 4 3 2 2 2 2 2 2" xfId="5780"/>
    <cellStyle name="20% - Accent1 4 3 2 2 2 2 2 2 2" xfId="12244"/>
    <cellStyle name="20% - Accent1 4 3 2 2 2 2 2 2 2 2" xfId="15419"/>
    <cellStyle name="20% - Accent1 4 3 2 2 2 2 2 2 3" xfId="15420"/>
    <cellStyle name="20% - Accent1 4 3 2 2 2 2 2 3" xfId="12243"/>
    <cellStyle name="20% - Accent1 4 3 2 2 2 2 2 3 2" xfId="15421"/>
    <cellStyle name="20% - Accent1 4 3 2 2 2 2 2 4" xfId="15422"/>
    <cellStyle name="20% - Accent1 4 3 2 2 2 2 3" xfId="4763"/>
    <cellStyle name="20% - Accent1 4 3 2 2 2 2 3 2" xfId="12245"/>
    <cellStyle name="20% - Accent1 4 3 2 2 2 2 3 2 2" xfId="15423"/>
    <cellStyle name="20% - Accent1 4 3 2 2 2 2 3 3" xfId="15424"/>
    <cellStyle name="20% - Accent1 4 3 2 2 2 2 4" xfId="7736"/>
    <cellStyle name="20% - Accent1 4 3 2 2 2 2 4 2" xfId="15425"/>
    <cellStyle name="20% - Accent1 4 3 2 2 2 2 5" xfId="15426"/>
    <cellStyle name="20% - Accent1 4 3 2 2 2 3" xfId="3233"/>
    <cellStyle name="20% - Accent1 4 3 2 2 2 3 2" xfId="5267"/>
    <cellStyle name="20% - Accent1 4 3 2 2 2 3 2 2" xfId="12247"/>
    <cellStyle name="20% - Accent1 4 3 2 2 2 3 2 2 2" xfId="15427"/>
    <cellStyle name="20% - Accent1 4 3 2 2 2 3 2 3" xfId="15428"/>
    <cellStyle name="20% - Accent1 4 3 2 2 2 3 3" xfId="12246"/>
    <cellStyle name="20% - Accent1 4 3 2 2 2 3 3 2" xfId="15429"/>
    <cellStyle name="20% - Accent1 4 3 2 2 2 3 4" xfId="15430"/>
    <cellStyle name="20% - Accent1 4 3 2 2 2 4" xfId="4250"/>
    <cellStyle name="20% - Accent1 4 3 2 2 2 4 2" xfId="12248"/>
    <cellStyle name="20% - Accent1 4 3 2 2 2 4 2 2" xfId="15431"/>
    <cellStyle name="20% - Accent1 4 3 2 2 2 4 3" xfId="15432"/>
    <cellStyle name="20% - Accent1 4 3 2 2 2 5" xfId="7735"/>
    <cellStyle name="20% - Accent1 4 3 2 2 2 5 2" xfId="15433"/>
    <cellStyle name="20% - Accent1 4 3 2 2 2 6" xfId="15434"/>
    <cellStyle name="20% - Accent1 4 3 2 2 3" xfId="2477"/>
    <cellStyle name="20% - Accent1 4 3 2 2 3 2" xfId="3494"/>
    <cellStyle name="20% - Accent1 4 3 2 2 3 2 2" xfId="5528"/>
    <cellStyle name="20% - Accent1 4 3 2 2 3 2 2 2" xfId="12250"/>
    <cellStyle name="20% - Accent1 4 3 2 2 3 2 2 2 2" xfId="15435"/>
    <cellStyle name="20% - Accent1 4 3 2 2 3 2 2 3" xfId="15436"/>
    <cellStyle name="20% - Accent1 4 3 2 2 3 2 3" xfId="12249"/>
    <cellStyle name="20% - Accent1 4 3 2 2 3 2 3 2" xfId="15437"/>
    <cellStyle name="20% - Accent1 4 3 2 2 3 2 4" xfId="15438"/>
    <cellStyle name="20% - Accent1 4 3 2 2 3 3" xfId="4511"/>
    <cellStyle name="20% - Accent1 4 3 2 2 3 3 2" xfId="12251"/>
    <cellStyle name="20% - Accent1 4 3 2 2 3 3 2 2" xfId="15439"/>
    <cellStyle name="20% - Accent1 4 3 2 2 3 3 3" xfId="15440"/>
    <cellStyle name="20% - Accent1 4 3 2 2 3 4" xfId="7737"/>
    <cellStyle name="20% - Accent1 4 3 2 2 3 4 2" xfId="15441"/>
    <cellStyle name="20% - Accent1 4 3 2 2 3 5" xfId="15442"/>
    <cellStyle name="20% - Accent1 4 3 2 2 4" xfId="2981"/>
    <cellStyle name="20% - Accent1 4 3 2 2 4 2" xfId="5015"/>
    <cellStyle name="20% - Accent1 4 3 2 2 4 2 2" xfId="12253"/>
    <cellStyle name="20% - Accent1 4 3 2 2 4 2 2 2" xfId="15443"/>
    <cellStyle name="20% - Accent1 4 3 2 2 4 2 3" xfId="15444"/>
    <cellStyle name="20% - Accent1 4 3 2 2 4 3" xfId="12252"/>
    <cellStyle name="20% - Accent1 4 3 2 2 4 3 2" xfId="15445"/>
    <cellStyle name="20% - Accent1 4 3 2 2 4 4" xfId="15446"/>
    <cellStyle name="20% - Accent1 4 3 2 2 5" xfId="3998"/>
    <cellStyle name="20% - Accent1 4 3 2 2 5 2" xfId="12254"/>
    <cellStyle name="20% - Accent1 4 3 2 2 5 2 2" xfId="15447"/>
    <cellStyle name="20% - Accent1 4 3 2 2 5 3" xfId="15448"/>
    <cellStyle name="20% - Accent1 4 3 2 2 6" xfId="7734"/>
    <cellStyle name="20% - Accent1 4 3 2 2 6 2" xfId="15449"/>
    <cellStyle name="20% - Accent1 4 3 2 2 7" xfId="15450"/>
    <cellStyle name="20% - Accent1 4 3 2 3" xfId="2059"/>
    <cellStyle name="20% - Accent1 4 3 2 3 2" xfId="2603"/>
    <cellStyle name="20% - Accent1 4 3 2 3 2 2" xfId="3620"/>
    <cellStyle name="20% - Accent1 4 3 2 3 2 2 2" xfId="5654"/>
    <cellStyle name="20% - Accent1 4 3 2 3 2 2 2 2" xfId="12256"/>
    <cellStyle name="20% - Accent1 4 3 2 3 2 2 2 2 2" xfId="15451"/>
    <cellStyle name="20% - Accent1 4 3 2 3 2 2 2 3" xfId="15452"/>
    <cellStyle name="20% - Accent1 4 3 2 3 2 2 3" xfId="12255"/>
    <cellStyle name="20% - Accent1 4 3 2 3 2 2 3 2" xfId="15453"/>
    <cellStyle name="20% - Accent1 4 3 2 3 2 2 4" xfId="15454"/>
    <cellStyle name="20% - Accent1 4 3 2 3 2 3" xfId="4637"/>
    <cellStyle name="20% - Accent1 4 3 2 3 2 3 2" xfId="12257"/>
    <cellStyle name="20% - Accent1 4 3 2 3 2 3 2 2" xfId="15455"/>
    <cellStyle name="20% - Accent1 4 3 2 3 2 3 3" xfId="15456"/>
    <cellStyle name="20% - Accent1 4 3 2 3 2 4" xfId="7739"/>
    <cellStyle name="20% - Accent1 4 3 2 3 2 4 2" xfId="15457"/>
    <cellStyle name="20% - Accent1 4 3 2 3 2 5" xfId="15458"/>
    <cellStyle name="20% - Accent1 4 3 2 3 3" xfId="3107"/>
    <cellStyle name="20% - Accent1 4 3 2 3 3 2" xfId="5141"/>
    <cellStyle name="20% - Accent1 4 3 2 3 3 2 2" xfId="12259"/>
    <cellStyle name="20% - Accent1 4 3 2 3 3 2 2 2" xfId="15459"/>
    <cellStyle name="20% - Accent1 4 3 2 3 3 2 3" xfId="15460"/>
    <cellStyle name="20% - Accent1 4 3 2 3 3 3" xfId="12258"/>
    <cellStyle name="20% - Accent1 4 3 2 3 3 3 2" xfId="15461"/>
    <cellStyle name="20% - Accent1 4 3 2 3 3 4" xfId="15462"/>
    <cellStyle name="20% - Accent1 4 3 2 3 4" xfId="4124"/>
    <cellStyle name="20% - Accent1 4 3 2 3 4 2" xfId="12260"/>
    <cellStyle name="20% - Accent1 4 3 2 3 4 2 2" xfId="15463"/>
    <cellStyle name="20% - Accent1 4 3 2 3 4 3" xfId="15464"/>
    <cellStyle name="20% - Accent1 4 3 2 3 5" xfId="7738"/>
    <cellStyle name="20% - Accent1 4 3 2 3 5 2" xfId="15465"/>
    <cellStyle name="20% - Accent1 4 3 2 3 6" xfId="15466"/>
    <cellStyle name="20% - Accent1 4 3 2 4" xfId="2351"/>
    <cellStyle name="20% - Accent1 4 3 2 4 2" xfId="3368"/>
    <cellStyle name="20% - Accent1 4 3 2 4 2 2" xfId="5402"/>
    <cellStyle name="20% - Accent1 4 3 2 4 2 2 2" xfId="12262"/>
    <cellStyle name="20% - Accent1 4 3 2 4 2 2 2 2" xfId="15467"/>
    <cellStyle name="20% - Accent1 4 3 2 4 2 2 3" xfId="15468"/>
    <cellStyle name="20% - Accent1 4 3 2 4 2 3" xfId="12261"/>
    <cellStyle name="20% - Accent1 4 3 2 4 2 3 2" xfId="15469"/>
    <cellStyle name="20% - Accent1 4 3 2 4 2 4" xfId="15470"/>
    <cellStyle name="20% - Accent1 4 3 2 4 3" xfId="4385"/>
    <cellStyle name="20% - Accent1 4 3 2 4 3 2" xfId="12263"/>
    <cellStyle name="20% - Accent1 4 3 2 4 3 2 2" xfId="15471"/>
    <cellStyle name="20% - Accent1 4 3 2 4 3 3" xfId="15472"/>
    <cellStyle name="20% - Accent1 4 3 2 4 4" xfId="7740"/>
    <cellStyle name="20% - Accent1 4 3 2 4 4 2" xfId="15473"/>
    <cellStyle name="20% - Accent1 4 3 2 4 5" xfId="15474"/>
    <cellStyle name="20% - Accent1 4 3 2 5" xfId="2855"/>
    <cellStyle name="20% - Accent1 4 3 2 5 2" xfId="4889"/>
    <cellStyle name="20% - Accent1 4 3 2 5 2 2" xfId="12265"/>
    <cellStyle name="20% - Accent1 4 3 2 5 2 2 2" xfId="15475"/>
    <cellStyle name="20% - Accent1 4 3 2 5 2 3" xfId="15476"/>
    <cellStyle name="20% - Accent1 4 3 2 5 3" xfId="12264"/>
    <cellStyle name="20% - Accent1 4 3 2 5 3 2" xfId="15477"/>
    <cellStyle name="20% - Accent1 4 3 2 5 4" xfId="15478"/>
    <cellStyle name="20% - Accent1 4 3 2 6" xfId="3872"/>
    <cellStyle name="20% - Accent1 4 3 2 6 2" xfId="12266"/>
    <cellStyle name="20% - Accent1 4 3 2 6 2 2" xfId="15479"/>
    <cellStyle name="20% - Accent1 4 3 2 6 3" xfId="15480"/>
    <cellStyle name="20% - Accent1 4 3 2 7" xfId="7733"/>
    <cellStyle name="20% - Accent1 4 3 2 7 2" xfId="15481"/>
    <cellStyle name="20% - Accent1 4 3 2 8" xfId="15482"/>
    <cellStyle name="20% - Accent1 4 3 3" xfId="1849"/>
    <cellStyle name="20% - Accent1 4 3 3 2" xfId="1975"/>
    <cellStyle name="20% - Accent1 4 3 3 2 2" xfId="2227"/>
    <cellStyle name="20% - Accent1 4 3 3 2 2 2" xfId="2771"/>
    <cellStyle name="20% - Accent1 4 3 3 2 2 2 2" xfId="3788"/>
    <cellStyle name="20% - Accent1 4 3 3 2 2 2 2 2" xfId="5822"/>
    <cellStyle name="20% - Accent1 4 3 3 2 2 2 2 2 2" xfId="12268"/>
    <cellStyle name="20% - Accent1 4 3 3 2 2 2 2 2 2 2" xfId="15483"/>
    <cellStyle name="20% - Accent1 4 3 3 2 2 2 2 2 3" xfId="15484"/>
    <cellStyle name="20% - Accent1 4 3 3 2 2 2 2 3" xfId="12267"/>
    <cellStyle name="20% - Accent1 4 3 3 2 2 2 2 3 2" xfId="15485"/>
    <cellStyle name="20% - Accent1 4 3 3 2 2 2 2 4" xfId="15486"/>
    <cellStyle name="20% - Accent1 4 3 3 2 2 2 3" xfId="4805"/>
    <cellStyle name="20% - Accent1 4 3 3 2 2 2 3 2" xfId="12269"/>
    <cellStyle name="20% - Accent1 4 3 3 2 2 2 3 2 2" xfId="15487"/>
    <cellStyle name="20% - Accent1 4 3 3 2 2 2 3 3" xfId="15488"/>
    <cellStyle name="20% - Accent1 4 3 3 2 2 2 4" xfId="7744"/>
    <cellStyle name="20% - Accent1 4 3 3 2 2 2 4 2" xfId="15489"/>
    <cellStyle name="20% - Accent1 4 3 3 2 2 2 5" xfId="15490"/>
    <cellStyle name="20% - Accent1 4 3 3 2 2 3" xfId="3275"/>
    <cellStyle name="20% - Accent1 4 3 3 2 2 3 2" xfId="5309"/>
    <cellStyle name="20% - Accent1 4 3 3 2 2 3 2 2" xfId="12271"/>
    <cellStyle name="20% - Accent1 4 3 3 2 2 3 2 2 2" xfId="15491"/>
    <cellStyle name="20% - Accent1 4 3 3 2 2 3 2 3" xfId="15492"/>
    <cellStyle name="20% - Accent1 4 3 3 2 2 3 3" xfId="12270"/>
    <cellStyle name="20% - Accent1 4 3 3 2 2 3 3 2" xfId="15493"/>
    <cellStyle name="20% - Accent1 4 3 3 2 2 3 4" xfId="15494"/>
    <cellStyle name="20% - Accent1 4 3 3 2 2 4" xfId="4292"/>
    <cellStyle name="20% - Accent1 4 3 3 2 2 4 2" xfId="12272"/>
    <cellStyle name="20% - Accent1 4 3 3 2 2 4 2 2" xfId="15495"/>
    <cellStyle name="20% - Accent1 4 3 3 2 2 4 3" xfId="15496"/>
    <cellStyle name="20% - Accent1 4 3 3 2 2 5" xfId="7743"/>
    <cellStyle name="20% - Accent1 4 3 3 2 2 5 2" xfId="15497"/>
    <cellStyle name="20% - Accent1 4 3 3 2 2 6" xfId="15498"/>
    <cellStyle name="20% - Accent1 4 3 3 2 3" xfId="2519"/>
    <cellStyle name="20% - Accent1 4 3 3 2 3 2" xfId="3536"/>
    <cellStyle name="20% - Accent1 4 3 3 2 3 2 2" xfId="5570"/>
    <cellStyle name="20% - Accent1 4 3 3 2 3 2 2 2" xfId="12274"/>
    <cellStyle name="20% - Accent1 4 3 3 2 3 2 2 2 2" xfId="15499"/>
    <cellStyle name="20% - Accent1 4 3 3 2 3 2 2 3" xfId="15500"/>
    <cellStyle name="20% - Accent1 4 3 3 2 3 2 3" xfId="12273"/>
    <cellStyle name="20% - Accent1 4 3 3 2 3 2 3 2" xfId="15501"/>
    <cellStyle name="20% - Accent1 4 3 3 2 3 2 4" xfId="15502"/>
    <cellStyle name="20% - Accent1 4 3 3 2 3 3" xfId="4553"/>
    <cellStyle name="20% - Accent1 4 3 3 2 3 3 2" xfId="12275"/>
    <cellStyle name="20% - Accent1 4 3 3 2 3 3 2 2" xfId="15503"/>
    <cellStyle name="20% - Accent1 4 3 3 2 3 3 3" xfId="15504"/>
    <cellStyle name="20% - Accent1 4 3 3 2 3 4" xfId="7745"/>
    <cellStyle name="20% - Accent1 4 3 3 2 3 4 2" xfId="15505"/>
    <cellStyle name="20% - Accent1 4 3 3 2 3 5" xfId="15506"/>
    <cellStyle name="20% - Accent1 4 3 3 2 4" xfId="3023"/>
    <cellStyle name="20% - Accent1 4 3 3 2 4 2" xfId="5057"/>
    <cellStyle name="20% - Accent1 4 3 3 2 4 2 2" xfId="12277"/>
    <cellStyle name="20% - Accent1 4 3 3 2 4 2 2 2" xfId="15507"/>
    <cellStyle name="20% - Accent1 4 3 3 2 4 2 3" xfId="15508"/>
    <cellStyle name="20% - Accent1 4 3 3 2 4 3" xfId="12276"/>
    <cellStyle name="20% - Accent1 4 3 3 2 4 3 2" xfId="15509"/>
    <cellStyle name="20% - Accent1 4 3 3 2 4 4" xfId="15510"/>
    <cellStyle name="20% - Accent1 4 3 3 2 5" xfId="4040"/>
    <cellStyle name="20% - Accent1 4 3 3 2 5 2" xfId="12278"/>
    <cellStyle name="20% - Accent1 4 3 3 2 5 2 2" xfId="15511"/>
    <cellStyle name="20% - Accent1 4 3 3 2 5 3" xfId="15512"/>
    <cellStyle name="20% - Accent1 4 3 3 2 6" xfId="7742"/>
    <cellStyle name="20% - Accent1 4 3 3 2 6 2" xfId="15513"/>
    <cellStyle name="20% - Accent1 4 3 3 2 7" xfId="15514"/>
    <cellStyle name="20% - Accent1 4 3 3 3" xfId="2101"/>
    <cellStyle name="20% - Accent1 4 3 3 3 2" xfId="2645"/>
    <cellStyle name="20% - Accent1 4 3 3 3 2 2" xfId="3662"/>
    <cellStyle name="20% - Accent1 4 3 3 3 2 2 2" xfId="5696"/>
    <cellStyle name="20% - Accent1 4 3 3 3 2 2 2 2" xfId="12280"/>
    <cellStyle name="20% - Accent1 4 3 3 3 2 2 2 2 2" xfId="15515"/>
    <cellStyle name="20% - Accent1 4 3 3 3 2 2 2 3" xfId="15516"/>
    <cellStyle name="20% - Accent1 4 3 3 3 2 2 3" xfId="12279"/>
    <cellStyle name="20% - Accent1 4 3 3 3 2 2 3 2" xfId="15517"/>
    <cellStyle name="20% - Accent1 4 3 3 3 2 2 4" xfId="15518"/>
    <cellStyle name="20% - Accent1 4 3 3 3 2 3" xfId="4679"/>
    <cellStyle name="20% - Accent1 4 3 3 3 2 3 2" xfId="12281"/>
    <cellStyle name="20% - Accent1 4 3 3 3 2 3 2 2" xfId="15519"/>
    <cellStyle name="20% - Accent1 4 3 3 3 2 3 3" xfId="15520"/>
    <cellStyle name="20% - Accent1 4 3 3 3 2 4" xfId="7747"/>
    <cellStyle name="20% - Accent1 4 3 3 3 2 4 2" xfId="15521"/>
    <cellStyle name="20% - Accent1 4 3 3 3 2 5" xfId="15522"/>
    <cellStyle name="20% - Accent1 4 3 3 3 3" xfId="3149"/>
    <cellStyle name="20% - Accent1 4 3 3 3 3 2" xfId="5183"/>
    <cellStyle name="20% - Accent1 4 3 3 3 3 2 2" xfId="12283"/>
    <cellStyle name="20% - Accent1 4 3 3 3 3 2 2 2" xfId="15523"/>
    <cellStyle name="20% - Accent1 4 3 3 3 3 2 3" xfId="15524"/>
    <cellStyle name="20% - Accent1 4 3 3 3 3 3" xfId="12282"/>
    <cellStyle name="20% - Accent1 4 3 3 3 3 3 2" xfId="15525"/>
    <cellStyle name="20% - Accent1 4 3 3 3 3 4" xfId="15526"/>
    <cellStyle name="20% - Accent1 4 3 3 3 4" xfId="4166"/>
    <cellStyle name="20% - Accent1 4 3 3 3 4 2" xfId="12284"/>
    <cellStyle name="20% - Accent1 4 3 3 3 4 2 2" xfId="15527"/>
    <cellStyle name="20% - Accent1 4 3 3 3 4 3" xfId="15528"/>
    <cellStyle name="20% - Accent1 4 3 3 3 5" xfId="7746"/>
    <cellStyle name="20% - Accent1 4 3 3 3 5 2" xfId="15529"/>
    <cellStyle name="20% - Accent1 4 3 3 3 6" xfId="15530"/>
    <cellStyle name="20% - Accent1 4 3 3 4" xfId="2393"/>
    <cellStyle name="20% - Accent1 4 3 3 4 2" xfId="3410"/>
    <cellStyle name="20% - Accent1 4 3 3 4 2 2" xfId="5444"/>
    <cellStyle name="20% - Accent1 4 3 3 4 2 2 2" xfId="12286"/>
    <cellStyle name="20% - Accent1 4 3 3 4 2 2 2 2" xfId="15531"/>
    <cellStyle name="20% - Accent1 4 3 3 4 2 2 3" xfId="15532"/>
    <cellStyle name="20% - Accent1 4 3 3 4 2 3" xfId="12285"/>
    <cellStyle name="20% - Accent1 4 3 3 4 2 3 2" xfId="15533"/>
    <cellStyle name="20% - Accent1 4 3 3 4 2 4" xfId="15534"/>
    <cellStyle name="20% - Accent1 4 3 3 4 3" xfId="4427"/>
    <cellStyle name="20% - Accent1 4 3 3 4 3 2" xfId="12287"/>
    <cellStyle name="20% - Accent1 4 3 3 4 3 2 2" xfId="15535"/>
    <cellStyle name="20% - Accent1 4 3 3 4 3 3" xfId="15536"/>
    <cellStyle name="20% - Accent1 4 3 3 4 4" xfId="7748"/>
    <cellStyle name="20% - Accent1 4 3 3 4 4 2" xfId="15537"/>
    <cellStyle name="20% - Accent1 4 3 3 4 5" xfId="15538"/>
    <cellStyle name="20% - Accent1 4 3 3 5" xfId="2897"/>
    <cellStyle name="20% - Accent1 4 3 3 5 2" xfId="4931"/>
    <cellStyle name="20% - Accent1 4 3 3 5 2 2" xfId="12289"/>
    <cellStyle name="20% - Accent1 4 3 3 5 2 2 2" xfId="15539"/>
    <cellStyle name="20% - Accent1 4 3 3 5 2 3" xfId="15540"/>
    <cellStyle name="20% - Accent1 4 3 3 5 3" xfId="12288"/>
    <cellStyle name="20% - Accent1 4 3 3 5 3 2" xfId="15541"/>
    <cellStyle name="20% - Accent1 4 3 3 5 4" xfId="15542"/>
    <cellStyle name="20% - Accent1 4 3 3 6" xfId="3914"/>
    <cellStyle name="20% - Accent1 4 3 3 6 2" xfId="12290"/>
    <cellStyle name="20% - Accent1 4 3 3 6 2 2" xfId="15543"/>
    <cellStyle name="20% - Accent1 4 3 3 6 3" xfId="15544"/>
    <cellStyle name="20% - Accent1 4 3 3 7" xfId="7741"/>
    <cellStyle name="20% - Accent1 4 3 3 7 2" xfId="15545"/>
    <cellStyle name="20% - Accent1 4 3 3 8" xfId="15546"/>
    <cellStyle name="20% - Accent1 4 3 4" xfId="1891"/>
    <cellStyle name="20% - Accent1 4 3 4 2" xfId="2143"/>
    <cellStyle name="20% - Accent1 4 3 4 2 2" xfId="2687"/>
    <cellStyle name="20% - Accent1 4 3 4 2 2 2" xfId="3704"/>
    <cellStyle name="20% - Accent1 4 3 4 2 2 2 2" xfId="5738"/>
    <cellStyle name="20% - Accent1 4 3 4 2 2 2 2 2" xfId="12292"/>
    <cellStyle name="20% - Accent1 4 3 4 2 2 2 2 2 2" xfId="15547"/>
    <cellStyle name="20% - Accent1 4 3 4 2 2 2 2 3" xfId="15548"/>
    <cellStyle name="20% - Accent1 4 3 4 2 2 2 3" xfId="12291"/>
    <cellStyle name="20% - Accent1 4 3 4 2 2 2 3 2" xfId="15549"/>
    <cellStyle name="20% - Accent1 4 3 4 2 2 2 4" xfId="15550"/>
    <cellStyle name="20% - Accent1 4 3 4 2 2 3" xfId="4721"/>
    <cellStyle name="20% - Accent1 4 3 4 2 2 3 2" xfId="12293"/>
    <cellStyle name="20% - Accent1 4 3 4 2 2 3 2 2" xfId="15551"/>
    <cellStyle name="20% - Accent1 4 3 4 2 2 3 3" xfId="15552"/>
    <cellStyle name="20% - Accent1 4 3 4 2 2 4" xfId="7751"/>
    <cellStyle name="20% - Accent1 4 3 4 2 2 4 2" xfId="15553"/>
    <cellStyle name="20% - Accent1 4 3 4 2 2 5" xfId="15554"/>
    <cellStyle name="20% - Accent1 4 3 4 2 3" xfId="3191"/>
    <cellStyle name="20% - Accent1 4 3 4 2 3 2" xfId="5225"/>
    <cellStyle name="20% - Accent1 4 3 4 2 3 2 2" xfId="12295"/>
    <cellStyle name="20% - Accent1 4 3 4 2 3 2 2 2" xfId="15555"/>
    <cellStyle name="20% - Accent1 4 3 4 2 3 2 3" xfId="15556"/>
    <cellStyle name="20% - Accent1 4 3 4 2 3 3" xfId="12294"/>
    <cellStyle name="20% - Accent1 4 3 4 2 3 3 2" xfId="15557"/>
    <cellStyle name="20% - Accent1 4 3 4 2 3 4" xfId="15558"/>
    <cellStyle name="20% - Accent1 4 3 4 2 4" xfId="4208"/>
    <cellStyle name="20% - Accent1 4 3 4 2 4 2" xfId="12296"/>
    <cellStyle name="20% - Accent1 4 3 4 2 4 2 2" xfId="15559"/>
    <cellStyle name="20% - Accent1 4 3 4 2 4 3" xfId="15560"/>
    <cellStyle name="20% - Accent1 4 3 4 2 5" xfId="7750"/>
    <cellStyle name="20% - Accent1 4 3 4 2 5 2" xfId="15561"/>
    <cellStyle name="20% - Accent1 4 3 4 2 6" xfId="15562"/>
    <cellStyle name="20% - Accent1 4 3 4 3" xfId="2435"/>
    <cellStyle name="20% - Accent1 4 3 4 3 2" xfId="3452"/>
    <cellStyle name="20% - Accent1 4 3 4 3 2 2" xfId="5486"/>
    <cellStyle name="20% - Accent1 4 3 4 3 2 2 2" xfId="12298"/>
    <cellStyle name="20% - Accent1 4 3 4 3 2 2 2 2" xfId="15563"/>
    <cellStyle name="20% - Accent1 4 3 4 3 2 2 3" xfId="15564"/>
    <cellStyle name="20% - Accent1 4 3 4 3 2 3" xfId="12297"/>
    <cellStyle name="20% - Accent1 4 3 4 3 2 3 2" xfId="15565"/>
    <cellStyle name="20% - Accent1 4 3 4 3 2 4" xfId="15566"/>
    <cellStyle name="20% - Accent1 4 3 4 3 3" xfId="4469"/>
    <cellStyle name="20% - Accent1 4 3 4 3 3 2" xfId="12299"/>
    <cellStyle name="20% - Accent1 4 3 4 3 3 2 2" xfId="15567"/>
    <cellStyle name="20% - Accent1 4 3 4 3 3 3" xfId="15568"/>
    <cellStyle name="20% - Accent1 4 3 4 3 4" xfId="7752"/>
    <cellStyle name="20% - Accent1 4 3 4 3 4 2" xfId="15569"/>
    <cellStyle name="20% - Accent1 4 3 4 3 5" xfId="15570"/>
    <cellStyle name="20% - Accent1 4 3 4 4" xfId="2939"/>
    <cellStyle name="20% - Accent1 4 3 4 4 2" xfId="4973"/>
    <cellStyle name="20% - Accent1 4 3 4 4 2 2" xfId="12301"/>
    <cellStyle name="20% - Accent1 4 3 4 4 2 2 2" xfId="15571"/>
    <cellStyle name="20% - Accent1 4 3 4 4 2 3" xfId="15572"/>
    <cellStyle name="20% - Accent1 4 3 4 4 3" xfId="12300"/>
    <cellStyle name="20% - Accent1 4 3 4 4 3 2" xfId="15573"/>
    <cellStyle name="20% - Accent1 4 3 4 4 4" xfId="15574"/>
    <cellStyle name="20% - Accent1 4 3 4 5" xfId="3956"/>
    <cellStyle name="20% - Accent1 4 3 4 5 2" xfId="12302"/>
    <cellStyle name="20% - Accent1 4 3 4 5 2 2" xfId="15575"/>
    <cellStyle name="20% - Accent1 4 3 4 5 3" xfId="15576"/>
    <cellStyle name="20% - Accent1 4 3 4 6" xfId="7749"/>
    <cellStyle name="20% - Accent1 4 3 4 6 2" xfId="15577"/>
    <cellStyle name="20% - Accent1 4 3 4 7" xfId="15578"/>
    <cellStyle name="20% - Accent1 4 3 5" xfId="2017"/>
    <cellStyle name="20% - Accent1 4 3 5 2" xfId="2561"/>
    <cellStyle name="20% - Accent1 4 3 5 2 2" xfId="3578"/>
    <cellStyle name="20% - Accent1 4 3 5 2 2 2" xfId="5612"/>
    <cellStyle name="20% - Accent1 4 3 5 2 2 2 2" xfId="12304"/>
    <cellStyle name="20% - Accent1 4 3 5 2 2 2 2 2" xfId="15579"/>
    <cellStyle name="20% - Accent1 4 3 5 2 2 2 3" xfId="15580"/>
    <cellStyle name="20% - Accent1 4 3 5 2 2 3" xfId="12303"/>
    <cellStyle name="20% - Accent1 4 3 5 2 2 3 2" xfId="15581"/>
    <cellStyle name="20% - Accent1 4 3 5 2 2 4" xfId="15582"/>
    <cellStyle name="20% - Accent1 4 3 5 2 3" xfId="4595"/>
    <cellStyle name="20% - Accent1 4 3 5 2 3 2" xfId="12305"/>
    <cellStyle name="20% - Accent1 4 3 5 2 3 2 2" xfId="15583"/>
    <cellStyle name="20% - Accent1 4 3 5 2 3 3" xfId="15584"/>
    <cellStyle name="20% - Accent1 4 3 5 2 4" xfId="7754"/>
    <cellStyle name="20% - Accent1 4 3 5 2 4 2" xfId="15585"/>
    <cellStyle name="20% - Accent1 4 3 5 2 5" xfId="15586"/>
    <cellStyle name="20% - Accent1 4 3 5 3" xfId="3065"/>
    <cellStyle name="20% - Accent1 4 3 5 3 2" xfId="5099"/>
    <cellStyle name="20% - Accent1 4 3 5 3 2 2" xfId="12307"/>
    <cellStyle name="20% - Accent1 4 3 5 3 2 2 2" xfId="15587"/>
    <cellStyle name="20% - Accent1 4 3 5 3 2 3" xfId="15588"/>
    <cellStyle name="20% - Accent1 4 3 5 3 3" xfId="12306"/>
    <cellStyle name="20% - Accent1 4 3 5 3 3 2" xfId="15589"/>
    <cellStyle name="20% - Accent1 4 3 5 3 4" xfId="15590"/>
    <cellStyle name="20% - Accent1 4 3 5 4" xfId="4082"/>
    <cellStyle name="20% - Accent1 4 3 5 4 2" xfId="12308"/>
    <cellStyle name="20% - Accent1 4 3 5 4 2 2" xfId="15591"/>
    <cellStyle name="20% - Accent1 4 3 5 4 3" xfId="15592"/>
    <cellStyle name="20% - Accent1 4 3 5 5" xfId="7753"/>
    <cellStyle name="20% - Accent1 4 3 5 5 2" xfId="15593"/>
    <cellStyle name="20% - Accent1 4 3 5 6" xfId="15594"/>
    <cellStyle name="20% - Accent1 4 3 6" xfId="2309"/>
    <cellStyle name="20% - Accent1 4 3 6 2" xfId="3326"/>
    <cellStyle name="20% - Accent1 4 3 6 2 2" xfId="5360"/>
    <cellStyle name="20% - Accent1 4 3 6 2 2 2" xfId="12310"/>
    <cellStyle name="20% - Accent1 4 3 6 2 2 2 2" xfId="15595"/>
    <cellStyle name="20% - Accent1 4 3 6 2 2 3" xfId="15596"/>
    <cellStyle name="20% - Accent1 4 3 6 2 3" xfId="12309"/>
    <cellStyle name="20% - Accent1 4 3 6 2 3 2" xfId="15597"/>
    <cellStyle name="20% - Accent1 4 3 6 2 4" xfId="15598"/>
    <cellStyle name="20% - Accent1 4 3 6 3" xfId="4343"/>
    <cellStyle name="20% - Accent1 4 3 6 3 2" xfId="12311"/>
    <cellStyle name="20% - Accent1 4 3 6 3 2 2" xfId="15599"/>
    <cellStyle name="20% - Accent1 4 3 6 3 3" xfId="15600"/>
    <cellStyle name="20% - Accent1 4 3 6 4" xfId="7755"/>
    <cellStyle name="20% - Accent1 4 3 6 4 2" xfId="15601"/>
    <cellStyle name="20% - Accent1 4 3 6 5" xfId="15602"/>
    <cellStyle name="20% - Accent1 4 3 7" xfId="2813"/>
    <cellStyle name="20% - Accent1 4 3 7 2" xfId="4847"/>
    <cellStyle name="20% - Accent1 4 3 7 2 2" xfId="12313"/>
    <cellStyle name="20% - Accent1 4 3 7 2 2 2" xfId="15603"/>
    <cellStyle name="20% - Accent1 4 3 7 2 3" xfId="15604"/>
    <cellStyle name="20% - Accent1 4 3 7 3" xfId="12312"/>
    <cellStyle name="20% - Accent1 4 3 7 3 2" xfId="15605"/>
    <cellStyle name="20% - Accent1 4 3 7 4" xfId="15606"/>
    <cellStyle name="20% - Accent1 4 3 8" xfId="3830"/>
    <cellStyle name="20% - Accent1 4 3 8 2" xfId="12314"/>
    <cellStyle name="20% - Accent1 4 3 8 2 2" xfId="15607"/>
    <cellStyle name="20% - Accent1 4 3 8 3" xfId="15608"/>
    <cellStyle name="20% - Accent1 4 3 9" xfId="7732"/>
    <cellStyle name="20% - Accent1 4 3 9 2" xfId="15609"/>
    <cellStyle name="20% - Accent1 4 4" xfId="1779"/>
    <cellStyle name="20% - Accent1 4 4 2" xfId="1905"/>
    <cellStyle name="20% - Accent1 4 4 2 2" xfId="2157"/>
    <cellStyle name="20% - Accent1 4 4 2 2 2" xfId="2701"/>
    <cellStyle name="20% - Accent1 4 4 2 2 2 2" xfId="3718"/>
    <cellStyle name="20% - Accent1 4 4 2 2 2 2 2" xfId="5752"/>
    <cellStyle name="20% - Accent1 4 4 2 2 2 2 2 2" xfId="12316"/>
    <cellStyle name="20% - Accent1 4 4 2 2 2 2 2 2 2" xfId="15610"/>
    <cellStyle name="20% - Accent1 4 4 2 2 2 2 2 3" xfId="15611"/>
    <cellStyle name="20% - Accent1 4 4 2 2 2 2 3" xfId="12315"/>
    <cellStyle name="20% - Accent1 4 4 2 2 2 2 3 2" xfId="15612"/>
    <cellStyle name="20% - Accent1 4 4 2 2 2 2 4" xfId="15613"/>
    <cellStyle name="20% - Accent1 4 4 2 2 2 3" xfId="4735"/>
    <cellStyle name="20% - Accent1 4 4 2 2 2 3 2" xfId="12317"/>
    <cellStyle name="20% - Accent1 4 4 2 2 2 3 2 2" xfId="15614"/>
    <cellStyle name="20% - Accent1 4 4 2 2 2 3 3" xfId="15615"/>
    <cellStyle name="20% - Accent1 4 4 2 2 2 4" xfId="7759"/>
    <cellStyle name="20% - Accent1 4 4 2 2 2 4 2" xfId="15616"/>
    <cellStyle name="20% - Accent1 4 4 2 2 2 5" xfId="15617"/>
    <cellStyle name="20% - Accent1 4 4 2 2 3" xfId="3205"/>
    <cellStyle name="20% - Accent1 4 4 2 2 3 2" xfId="5239"/>
    <cellStyle name="20% - Accent1 4 4 2 2 3 2 2" xfId="12319"/>
    <cellStyle name="20% - Accent1 4 4 2 2 3 2 2 2" xfId="15618"/>
    <cellStyle name="20% - Accent1 4 4 2 2 3 2 3" xfId="15619"/>
    <cellStyle name="20% - Accent1 4 4 2 2 3 3" xfId="12318"/>
    <cellStyle name="20% - Accent1 4 4 2 2 3 3 2" xfId="15620"/>
    <cellStyle name="20% - Accent1 4 4 2 2 3 4" xfId="15621"/>
    <cellStyle name="20% - Accent1 4 4 2 2 4" xfId="4222"/>
    <cellStyle name="20% - Accent1 4 4 2 2 4 2" xfId="12320"/>
    <cellStyle name="20% - Accent1 4 4 2 2 4 2 2" xfId="15622"/>
    <cellStyle name="20% - Accent1 4 4 2 2 4 3" xfId="15623"/>
    <cellStyle name="20% - Accent1 4 4 2 2 5" xfId="7758"/>
    <cellStyle name="20% - Accent1 4 4 2 2 5 2" xfId="15624"/>
    <cellStyle name="20% - Accent1 4 4 2 2 6" xfId="15625"/>
    <cellStyle name="20% - Accent1 4 4 2 3" xfId="2449"/>
    <cellStyle name="20% - Accent1 4 4 2 3 2" xfId="3466"/>
    <cellStyle name="20% - Accent1 4 4 2 3 2 2" xfId="5500"/>
    <cellStyle name="20% - Accent1 4 4 2 3 2 2 2" xfId="12322"/>
    <cellStyle name="20% - Accent1 4 4 2 3 2 2 2 2" xfId="15626"/>
    <cellStyle name="20% - Accent1 4 4 2 3 2 2 3" xfId="15627"/>
    <cellStyle name="20% - Accent1 4 4 2 3 2 3" xfId="12321"/>
    <cellStyle name="20% - Accent1 4 4 2 3 2 3 2" xfId="15628"/>
    <cellStyle name="20% - Accent1 4 4 2 3 2 4" xfId="15629"/>
    <cellStyle name="20% - Accent1 4 4 2 3 3" xfId="4483"/>
    <cellStyle name="20% - Accent1 4 4 2 3 3 2" xfId="12323"/>
    <cellStyle name="20% - Accent1 4 4 2 3 3 2 2" xfId="15630"/>
    <cellStyle name="20% - Accent1 4 4 2 3 3 3" xfId="15631"/>
    <cellStyle name="20% - Accent1 4 4 2 3 4" xfId="7760"/>
    <cellStyle name="20% - Accent1 4 4 2 3 4 2" xfId="15632"/>
    <cellStyle name="20% - Accent1 4 4 2 3 5" xfId="15633"/>
    <cellStyle name="20% - Accent1 4 4 2 4" xfId="2953"/>
    <cellStyle name="20% - Accent1 4 4 2 4 2" xfId="4987"/>
    <cellStyle name="20% - Accent1 4 4 2 4 2 2" xfId="12325"/>
    <cellStyle name="20% - Accent1 4 4 2 4 2 2 2" xfId="15634"/>
    <cellStyle name="20% - Accent1 4 4 2 4 2 3" xfId="15635"/>
    <cellStyle name="20% - Accent1 4 4 2 4 3" xfId="12324"/>
    <cellStyle name="20% - Accent1 4 4 2 4 3 2" xfId="15636"/>
    <cellStyle name="20% - Accent1 4 4 2 4 4" xfId="15637"/>
    <cellStyle name="20% - Accent1 4 4 2 5" xfId="3970"/>
    <cellStyle name="20% - Accent1 4 4 2 5 2" xfId="12326"/>
    <cellStyle name="20% - Accent1 4 4 2 5 2 2" xfId="15638"/>
    <cellStyle name="20% - Accent1 4 4 2 5 3" xfId="15639"/>
    <cellStyle name="20% - Accent1 4 4 2 6" xfId="7757"/>
    <cellStyle name="20% - Accent1 4 4 2 6 2" xfId="15640"/>
    <cellStyle name="20% - Accent1 4 4 2 7" xfId="15641"/>
    <cellStyle name="20% - Accent1 4 4 3" xfId="2031"/>
    <cellStyle name="20% - Accent1 4 4 3 2" xfId="2575"/>
    <cellStyle name="20% - Accent1 4 4 3 2 2" xfId="3592"/>
    <cellStyle name="20% - Accent1 4 4 3 2 2 2" xfId="5626"/>
    <cellStyle name="20% - Accent1 4 4 3 2 2 2 2" xfId="12328"/>
    <cellStyle name="20% - Accent1 4 4 3 2 2 2 2 2" xfId="15642"/>
    <cellStyle name="20% - Accent1 4 4 3 2 2 2 3" xfId="15643"/>
    <cellStyle name="20% - Accent1 4 4 3 2 2 3" xfId="12327"/>
    <cellStyle name="20% - Accent1 4 4 3 2 2 3 2" xfId="15644"/>
    <cellStyle name="20% - Accent1 4 4 3 2 2 4" xfId="15645"/>
    <cellStyle name="20% - Accent1 4 4 3 2 3" xfId="4609"/>
    <cellStyle name="20% - Accent1 4 4 3 2 3 2" xfId="12329"/>
    <cellStyle name="20% - Accent1 4 4 3 2 3 2 2" xfId="15646"/>
    <cellStyle name="20% - Accent1 4 4 3 2 3 3" xfId="15647"/>
    <cellStyle name="20% - Accent1 4 4 3 2 4" xfId="7762"/>
    <cellStyle name="20% - Accent1 4 4 3 2 4 2" xfId="15648"/>
    <cellStyle name="20% - Accent1 4 4 3 2 5" xfId="15649"/>
    <cellStyle name="20% - Accent1 4 4 3 3" xfId="3079"/>
    <cellStyle name="20% - Accent1 4 4 3 3 2" xfId="5113"/>
    <cellStyle name="20% - Accent1 4 4 3 3 2 2" xfId="12331"/>
    <cellStyle name="20% - Accent1 4 4 3 3 2 2 2" xfId="15650"/>
    <cellStyle name="20% - Accent1 4 4 3 3 2 3" xfId="15651"/>
    <cellStyle name="20% - Accent1 4 4 3 3 3" xfId="12330"/>
    <cellStyle name="20% - Accent1 4 4 3 3 3 2" xfId="15652"/>
    <cellStyle name="20% - Accent1 4 4 3 3 4" xfId="15653"/>
    <cellStyle name="20% - Accent1 4 4 3 4" xfId="4096"/>
    <cellStyle name="20% - Accent1 4 4 3 4 2" xfId="12332"/>
    <cellStyle name="20% - Accent1 4 4 3 4 2 2" xfId="15654"/>
    <cellStyle name="20% - Accent1 4 4 3 4 3" xfId="15655"/>
    <cellStyle name="20% - Accent1 4 4 3 5" xfId="7761"/>
    <cellStyle name="20% - Accent1 4 4 3 5 2" xfId="15656"/>
    <cellStyle name="20% - Accent1 4 4 3 6" xfId="15657"/>
    <cellStyle name="20% - Accent1 4 4 4" xfId="2323"/>
    <cellStyle name="20% - Accent1 4 4 4 2" xfId="3340"/>
    <cellStyle name="20% - Accent1 4 4 4 2 2" xfId="5374"/>
    <cellStyle name="20% - Accent1 4 4 4 2 2 2" xfId="12334"/>
    <cellStyle name="20% - Accent1 4 4 4 2 2 2 2" xfId="15658"/>
    <cellStyle name="20% - Accent1 4 4 4 2 2 3" xfId="15659"/>
    <cellStyle name="20% - Accent1 4 4 4 2 3" xfId="12333"/>
    <cellStyle name="20% - Accent1 4 4 4 2 3 2" xfId="15660"/>
    <cellStyle name="20% - Accent1 4 4 4 2 4" xfId="15661"/>
    <cellStyle name="20% - Accent1 4 4 4 3" xfId="4357"/>
    <cellStyle name="20% - Accent1 4 4 4 3 2" xfId="12335"/>
    <cellStyle name="20% - Accent1 4 4 4 3 2 2" xfId="15662"/>
    <cellStyle name="20% - Accent1 4 4 4 3 3" xfId="15663"/>
    <cellStyle name="20% - Accent1 4 4 4 4" xfId="7763"/>
    <cellStyle name="20% - Accent1 4 4 4 4 2" xfId="15664"/>
    <cellStyle name="20% - Accent1 4 4 4 5" xfId="15665"/>
    <cellStyle name="20% - Accent1 4 4 5" xfId="2827"/>
    <cellStyle name="20% - Accent1 4 4 5 2" xfId="4861"/>
    <cellStyle name="20% - Accent1 4 4 5 2 2" xfId="12337"/>
    <cellStyle name="20% - Accent1 4 4 5 2 2 2" xfId="15666"/>
    <cellStyle name="20% - Accent1 4 4 5 2 3" xfId="15667"/>
    <cellStyle name="20% - Accent1 4 4 5 3" xfId="12336"/>
    <cellStyle name="20% - Accent1 4 4 5 3 2" xfId="15668"/>
    <cellStyle name="20% - Accent1 4 4 5 4" xfId="15669"/>
    <cellStyle name="20% - Accent1 4 4 6" xfId="3844"/>
    <cellStyle name="20% - Accent1 4 4 6 2" xfId="12338"/>
    <cellStyle name="20% - Accent1 4 4 6 2 2" xfId="15670"/>
    <cellStyle name="20% - Accent1 4 4 6 3" xfId="15671"/>
    <cellStyle name="20% - Accent1 4 4 7" xfId="7756"/>
    <cellStyle name="20% - Accent1 4 4 7 2" xfId="15672"/>
    <cellStyle name="20% - Accent1 4 4 8" xfId="15673"/>
    <cellStyle name="20% - Accent1 4 5" xfId="1821"/>
    <cellStyle name="20% - Accent1 4 5 2" xfId="1947"/>
    <cellStyle name="20% - Accent1 4 5 2 2" xfId="2199"/>
    <cellStyle name="20% - Accent1 4 5 2 2 2" xfId="2743"/>
    <cellStyle name="20% - Accent1 4 5 2 2 2 2" xfId="3760"/>
    <cellStyle name="20% - Accent1 4 5 2 2 2 2 2" xfId="5794"/>
    <cellStyle name="20% - Accent1 4 5 2 2 2 2 2 2" xfId="12340"/>
    <cellStyle name="20% - Accent1 4 5 2 2 2 2 2 2 2" xfId="15674"/>
    <cellStyle name="20% - Accent1 4 5 2 2 2 2 2 3" xfId="15675"/>
    <cellStyle name="20% - Accent1 4 5 2 2 2 2 3" xfId="12339"/>
    <cellStyle name="20% - Accent1 4 5 2 2 2 2 3 2" xfId="15676"/>
    <cellStyle name="20% - Accent1 4 5 2 2 2 2 4" xfId="15677"/>
    <cellStyle name="20% - Accent1 4 5 2 2 2 3" xfId="4777"/>
    <cellStyle name="20% - Accent1 4 5 2 2 2 3 2" xfId="12341"/>
    <cellStyle name="20% - Accent1 4 5 2 2 2 3 2 2" xfId="15678"/>
    <cellStyle name="20% - Accent1 4 5 2 2 2 3 3" xfId="15679"/>
    <cellStyle name="20% - Accent1 4 5 2 2 2 4" xfId="7767"/>
    <cellStyle name="20% - Accent1 4 5 2 2 2 4 2" xfId="15680"/>
    <cellStyle name="20% - Accent1 4 5 2 2 2 5" xfId="15681"/>
    <cellStyle name="20% - Accent1 4 5 2 2 3" xfId="3247"/>
    <cellStyle name="20% - Accent1 4 5 2 2 3 2" xfId="5281"/>
    <cellStyle name="20% - Accent1 4 5 2 2 3 2 2" xfId="12343"/>
    <cellStyle name="20% - Accent1 4 5 2 2 3 2 2 2" xfId="15682"/>
    <cellStyle name="20% - Accent1 4 5 2 2 3 2 3" xfId="15683"/>
    <cellStyle name="20% - Accent1 4 5 2 2 3 3" xfId="12342"/>
    <cellStyle name="20% - Accent1 4 5 2 2 3 3 2" xfId="15684"/>
    <cellStyle name="20% - Accent1 4 5 2 2 3 4" xfId="15685"/>
    <cellStyle name="20% - Accent1 4 5 2 2 4" xfId="4264"/>
    <cellStyle name="20% - Accent1 4 5 2 2 4 2" xfId="12344"/>
    <cellStyle name="20% - Accent1 4 5 2 2 4 2 2" xfId="15686"/>
    <cellStyle name="20% - Accent1 4 5 2 2 4 3" xfId="15687"/>
    <cellStyle name="20% - Accent1 4 5 2 2 5" xfId="7766"/>
    <cellStyle name="20% - Accent1 4 5 2 2 5 2" xfId="15688"/>
    <cellStyle name="20% - Accent1 4 5 2 2 6" xfId="15689"/>
    <cellStyle name="20% - Accent1 4 5 2 3" xfId="2491"/>
    <cellStyle name="20% - Accent1 4 5 2 3 2" xfId="3508"/>
    <cellStyle name="20% - Accent1 4 5 2 3 2 2" xfId="5542"/>
    <cellStyle name="20% - Accent1 4 5 2 3 2 2 2" xfId="12346"/>
    <cellStyle name="20% - Accent1 4 5 2 3 2 2 2 2" xfId="15690"/>
    <cellStyle name="20% - Accent1 4 5 2 3 2 2 3" xfId="15691"/>
    <cellStyle name="20% - Accent1 4 5 2 3 2 3" xfId="12345"/>
    <cellStyle name="20% - Accent1 4 5 2 3 2 3 2" xfId="15692"/>
    <cellStyle name="20% - Accent1 4 5 2 3 2 4" xfId="15693"/>
    <cellStyle name="20% - Accent1 4 5 2 3 3" xfId="4525"/>
    <cellStyle name="20% - Accent1 4 5 2 3 3 2" xfId="12347"/>
    <cellStyle name="20% - Accent1 4 5 2 3 3 2 2" xfId="15694"/>
    <cellStyle name="20% - Accent1 4 5 2 3 3 3" xfId="15695"/>
    <cellStyle name="20% - Accent1 4 5 2 3 4" xfId="7768"/>
    <cellStyle name="20% - Accent1 4 5 2 3 4 2" xfId="15696"/>
    <cellStyle name="20% - Accent1 4 5 2 3 5" xfId="15697"/>
    <cellStyle name="20% - Accent1 4 5 2 4" xfId="2995"/>
    <cellStyle name="20% - Accent1 4 5 2 4 2" xfId="5029"/>
    <cellStyle name="20% - Accent1 4 5 2 4 2 2" xfId="12349"/>
    <cellStyle name="20% - Accent1 4 5 2 4 2 2 2" xfId="15698"/>
    <cellStyle name="20% - Accent1 4 5 2 4 2 3" xfId="15699"/>
    <cellStyle name="20% - Accent1 4 5 2 4 3" xfId="12348"/>
    <cellStyle name="20% - Accent1 4 5 2 4 3 2" xfId="15700"/>
    <cellStyle name="20% - Accent1 4 5 2 4 4" xfId="15701"/>
    <cellStyle name="20% - Accent1 4 5 2 5" xfId="4012"/>
    <cellStyle name="20% - Accent1 4 5 2 5 2" xfId="12350"/>
    <cellStyle name="20% - Accent1 4 5 2 5 2 2" xfId="15702"/>
    <cellStyle name="20% - Accent1 4 5 2 5 3" xfId="15703"/>
    <cellStyle name="20% - Accent1 4 5 2 6" xfId="7765"/>
    <cellStyle name="20% - Accent1 4 5 2 6 2" xfId="15704"/>
    <cellStyle name="20% - Accent1 4 5 2 7" xfId="15705"/>
    <cellStyle name="20% - Accent1 4 5 3" xfId="2073"/>
    <cellStyle name="20% - Accent1 4 5 3 2" xfId="2617"/>
    <cellStyle name="20% - Accent1 4 5 3 2 2" xfId="3634"/>
    <cellStyle name="20% - Accent1 4 5 3 2 2 2" xfId="5668"/>
    <cellStyle name="20% - Accent1 4 5 3 2 2 2 2" xfId="12352"/>
    <cellStyle name="20% - Accent1 4 5 3 2 2 2 2 2" xfId="15706"/>
    <cellStyle name="20% - Accent1 4 5 3 2 2 2 3" xfId="15707"/>
    <cellStyle name="20% - Accent1 4 5 3 2 2 3" xfId="12351"/>
    <cellStyle name="20% - Accent1 4 5 3 2 2 3 2" xfId="15708"/>
    <cellStyle name="20% - Accent1 4 5 3 2 2 4" xfId="15709"/>
    <cellStyle name="20% - Accent1 4 5 3 2 3" xfId="4651"/>
    <cellStyle name="20% - Accent1 4 5 3 2 3 2" xfId="12353"/>
    <cellStyle name="20% - Accent1 4 5 3 2 3 2 2" xfId="15710"/>
    <cellStyle name="20% - Accent1 4 5 3 2 3 3" xfId="15711"/>
    <cellStyle name="20% - Accent1 4 5 3 2 4" xfId="7770"/>
    <cellStyle name="20% - Accent1 4 5 3 2 4 2" xfId="15712"/>
    <cellStyle name="20% - Accent1 4 5 3 2 5" xfId="15713"/>
    <cellStyle name="20% - Accent1 4 5 3 3" xfId="3121"/>
    <cellStyle name="20% - Accent1 4 5 3 3 2" xfId="5155"/>
    <cellStyle name="20% - Accent1 4 5 3 3 2 2" xfId="12355"/>
    <cellStyle name="20% - Accent1 4 5 3 3 2 2 2" xfId="15714"/>
    <cellStyle name="20% - Accent1 4 5 3 3 2 3" xfId="15715"/>
    <cellStyle name="20% - Accent1 4 5 3 3 3" xfId="12354"/>
    <cellStyle name="20% - Accent1 4 5 3 3 3 2" xfId="15716"/>
    <cellStyle name="20% - Accent1 4 5 3 3 4" xfId="15717"/>
    <cellStyle name="20% - Accent1 4 5 3 4" xfId="4138"/>
    <cellStyle name="20% - Accent1 4 5 3 4 2" xfId="12356"/>
    <cellStyle name="20% - Accent1 4 5 3 4 2 2" xfId="15718"/>
    <cellStyle name="20% - Accent1 4 5 3 4 3" xfId="15719"/>
    <cellStyle name="20% - Accent1 4 5 3 5" xfId="7769"/>
    <cellStyle name="20% - Accent1 4 5 3 5 2" xfId="15720"/>
    <cellStyle name="20% - Accent1 4 5 3 6" xfId="15721"/>
    <cellStyle name="20% - Accent1 4 5 4" xfId="2365"/>
    <cellStyle name="20% - Accent1 4 5 4 2" xfId="3382"/>
    <cellStyle name="20% - Accent1 4 5 4 2 2" xfId="5416"/>
    <cellStyle name="20% - Accent1 4 5 4 2 2 2" xfId="12358"/>
    <cellStyle name="20% - Accent1 4 5 4 2 2 2 2" xfId="15722"/>
    <cellStyle name="20% - Accent1 4 5 4 2 2 3" xfId="15723"/>
    <cellStyle name="20% - Accent1 4 5 4 2 3" xfId="12357"/>
    <cellStyle name="20% - Accent1 4 5 4 2 3 2" xfId="15724"/>
    <cellStyle name="20% - Accent1 4 5 4 2 4" xfId="15725"/>
    <cellStyle name="20% - Accent1 4 5 4 3" xfId="4399"/>
    <cellStyle name="20% - Accent1 4 5 4 3 2" xfId="12359"/>
    <cellStyle name="20% - Accent1 4 5 4 3 2 2" xfId="15726"/>
    <cellStyle name="20% - Accent1 4 5 4 3 3" xfId="15727"/>
    <cellStyle name="20% - Accent1 4 5 4 4" xfId="7771"/>
    <cellStyle name="20% - Accent1 4 5 4 4 2" xfId="15728"/>
    <cellStyle name="20% - Accent1 4 5 4 5" xfId="15729"/>
    <cellStyle name="20% - Accent1 4 5 5" xfId="2869"/>
    <cellStyle name="20% - Accent1 4 5 5 2" xfId="4903"/>
    <cellStyle name="20% - Accent1 4 5 5 2 2" xfId="12361"/>
    <cellStyle name="20% - Accent1 4 5 5 2 2 2" xfId="15730"/>
    <cellStyle name="20% - Accent1 4 5 5 2 3" xfId="15731"/>
    <cellStyle name="20% - Accent1 4 5 5 3" xfId="12360"/>
    <cellStyle name="20% - Accent1 4 5 5 3 2" xfId="15732"/>
    <cellStyle name="20% - Accent1 4 5 5 4" xfId="15733"/>
    <cellStyle name="20% - Accent1 4 5 6" xfId="3886"/>
    <cellStyle name="20% - Accent1 4 5 6 2" xfId="12362"/>
    <cellStyle name="20% - Accent1 4 5 6 2 2" xfId="15734"/>
    <cellStyle name="20% - Accent1 4 5 6 3" xfId="15735"/>
    <cellStyle name="20% - Accent1 4 5 7" xfId="7764"/>
    <cellStyle name="20% - Accent1 4 5 7 2" xfId="15736"/>
    <cellStyle name="20% - Accent1 4 5 8" xfId="15737"/>
    <cellStyle name="20% - Accent1 4 6" xfId="1863"/>
    <cellStyle name="20% - Accent1 4 6 2" xfId="2115"/>
    <cellStyle name="20% - Accent1 4 6 2 2" xfId="2659"/>
    <cellStyle name="20% - Accent1 4 6 2 2 2" xfId="3676"/>
    <cellStyle name="20% - Accent1 4 6 2 2 2 2" xfId="5710"/>
    <cellStyle name="20% - Accent1 4 6 2 2 2 2 2" xfId="12364"/>
    <cellStyle name="20% - Accent1 4 6 2 2 2 2 2 2" xfId="15738"/>
    <cellStyle name="20% - Accent1 4 6 2 2 2 2 3" xfId="15739"/>
    <cellStyle name="20% - Accent1 4 6 2 2 2 3" xfId="12363"/>
    <cellStyle name="20% - Accent1 4 6 2 2 2 3 2" xfId="15740"/>
    <cellStyle name="20% - Accent1 4 6 2 2 2 4" xfId="15741"/>
    <cellStyle name="20% - Accent1 4 6 2 2 3" xfId="4693"/>
    <cellStyle name="20% - Accent1 4 6 2 2 3 2" xfId="12365"/>
    <cellStyle name="20% - Accent1 4 6 2 2 3 2 2" xfId="15742"/>
    <cellStyle name="20% - Accent1 4 6 2 2 3 3" xfId="15743"/>
    <cellStyle name="20% - Accent1 4 6 2 2 4" xfId="7774"/>
    <cellStyle name="20% - Accent1 4 6 2 2 4 2" xfId="15744"/>
    <cellStyle name="20% - Accent1 4 6 2 2 5" xfId="15745"/>
    <cellStyle name="20% - Accent1 4 6 2 3" xfId="3163"/>
    <cellStyle name="20% - Accent1 4 6 2 3 2" xfId="5197"/>
    <cellStyle name="20% - Accent1 4 6 2 3 2 2" xfId="12367"/>
    <cellStyle name="20% - Accent1 4 6 2 3 2 2 2" xfId="15746"/>
    <cellStyle name="20% - Accent1 4 6 2 3 2 3" xfId="15747"/>
    <cellStyle name="20% - Accent1 4 6 2 3 3" xfId="12366"/>
    <cellStyle name="20% - Accent1 4 6 2 3 3 2" xfId="15748"/>
    <cellStyle name="20% - Accent1 4 6 2 3 4" xfId="15749"/>
    <cellStyle name="20% - Accent1 4 6 2 4" xfId="4180"/>
    <cellStyle name="20% - Accent1 4 6 2 4 2" xfId="12368"/>
    <cellStyle name="20% - Accent1 4 6 2 4 2 2" xfId="15750"/>
    <cellStyle name="20% - Accent1 4 6 2 4 3" xfId="15751"/>
    <cellStyle name="20% - Accent1 4 6 2 5" xfId="7773"/>
    <cellStyle name="20% - Accent1 4 6 2 5 2" xfId="15752"/>
    <cellStyle name="20% - Accent1 4 6 2 6" xfId="15753"/>
    <cellStyle name="20% - Accent1 4 6 3" xfId="2407"/>
    <cellStyle name="20% - Accent1 4 6 3 2" xfId="3424"/>
    <cellStyle name="20% - Accent1 4 6 3 2 2" xfId="5458"/>
    <cellStyle name="20% - Accent1 4 6 3 2 2 2" xfId="12370"/>
    <cellStyle name="20% - Accent1 4 6 3 2 2 2 2" xfId="15754"/>
    <cellStyle name="20% - Accent1 4 6 3 2 2 3" xfId="15755"/>
    <cellStyle name="20% - Accent1 4 6 3 2 3" xfId="12369"/>
    <cellStyle name="20% - Accent1 4 6 3 2 3 2" xfId="15756"/>
    <cellStyle name="20% - Accent1 4 6 3 2 4" xfId="15757"/>
    <cellStyle name="20% - Accent1 4 6 3 3" xfId="4441"/>
    <cellStyle name="20% - Accent1 4 6 3 3 2" xfId="12371"/>
    <cellStyle name="20% - Accent1 4 6 3 3 2 2" xfId="15758"/>
    <cellStyle name="20% - Accent1 4 6 3 3 3" xfId="15759"/>
    <cellStyle name="20% - Accent1 4 6 3 4" xfId="7775"/>
    <cellStyle name="20% - Accent1 4 6 3 4 2" xfId="15760"/>
    <cellStyle name="20% - Accent1 4 6 3 5" xfId="15761"/>
    <cellStyle name="20% - Accent1 4 6 4" xfId="2911"/>
    <cellStyle name="20% - Accent1 4 6 4 2" xfId="4945"/>
    <cellStyle name="20% - Accent1 4 6 4 2 2" xfId="12373"/>
    <cellStyle name="20% - Accent1 4 6 4 2 2 2" xfId="15762"/>
    <cellStyle name="20% - Accent1 4 6 4 2 3" xfId="15763"/>
    <cellStyle name="20% - Accent1 4 6 4 3" xfId="12372"/>
    <cellStyle name="20% - Accent1 4 6 4 3 2" xfId="15764"/>
    <cellStyle name="20% - Accent1 4 6 4 4" xfId="15765"/>
    <cellStyle name="20% - Accent1 4 6 5" xfId="3928"/>
    <cellStyle name="20% - Accent1 4 6 5 2" xfId="12374"/>
    <cellStyle name="20% - Accent1 4 6 5 2 2" xfId="15766"/>
    <cellStyle name="20% - Accent1 4 6 5 3" xfId="15767"/>
    <cellStyle name="20% - Accent1 4 6 6" xfId="7772"/>
    <cellStyle name="20% - Accent1 4 6 6 2" xfId="15768"/>
    <cellStyle name="20% - Accent1 4 6 7" xfId="15769"/>
    <cellStyle name="20% - Accent1 4 7" xfId="1989"/>
    <cellStyle name="20% - Accent1 4 7 2" xfId="2533"/>
    <cellStyle name="20% - Accent1 4 7 2 2" xfId="3550"/>
    <cellStyle name="20% - Accent1 4 7 2 2 2" xfId="5584"/>
    <cellStyle name="20% - Accent1 4 7 2 2 2 2" xfId="12376"/>
    <cellStyle name="20% - Accent1 4 7 2 2 2 2 2" xfId="15770"/>
    <cellStyle name="20% - Accent1 4 7 2 2 2 3" xfId="15771"/>
    <cellStyle name="20% - Accent1 4 7 2 2 3" xfId="12375"/>
    <cellStyle name="20% - Accent1 4 7 2 2 3 2" xfId="15772"/>
    <cellStyle name="20% - Accent1 4 7 2 2 4" xfId="15773"/>
    <cellStyle name="20% - Accent1 4 7 2 3" xfId="4567"/>
    <cellStyle name="20% - Accent1 4 7 2 3 2" xfId="12377"/>
    <cellStyle name="20% - Accent1 4 7 2 3 2 2" xfId="15774"/>
    <cellStyle name="20% - Accent1 4 7 2 3 3" xfId="15775"/>
    <cellStyle name="20% - Accent1 4 7 2 4" xfId="7777"/>
    <cellStyle name="20% - Accent1 4 7 2 4 2" xfId="15776"/>
    <cellStyle name="20% - Accent1 4 7 2 5" xfId="15777"/>
    <cellStyle name="20% - Accent1 4 7 3" xfId="3037"/>
    <cellStyle name="20% - Accent1 4 7 3 2" xfId="5071"/>
    <cellStyle name="20% - Accent1 4 7 3 2 2" xfId="12379"/>
    <cellStyle name="20% - Accent1 4 7 3 2 2 2" xfId="15778"/>
    <cellStyle name="20% - Accent1 4 7 3 2 3" xfId="15779"/>
    <cellStyle name="20% - Accent1 4 7 3 3" xfId="12378"/>
    <cellStyle name="20% - Accent1 4 7 3 3 2" xfId="15780"/>
    <cellStyle name="20% - Accent1 4 7 3 4" xfId="15781"/>
    <cellStyle name="20% - Accent1 4 7 4" xfId="4054"/>
    <cellStyle name="20% - Accent1 4 7 4 2" xfId="12380"/>
    <cellStyle name="20% - Accent1 4 7 4 2 2" xfId="15782"/>
    <cellStyle name="20% - Accent1 4 7 4 3" xfId="15783"/>
    <cellStyle name="20% - Accent1 4 7 5" xfId="7776"/>
    <cellStyle name="20% - Accent1 4 7 5 2" xfId="15784"/>
    <cellStyle name="20% - Accent1 4 7 6" xfId="15785"/>
    <cellStyle name="20% - Accent1 4 8" xfId="2282"/>
    <cellStyle name="20% - Accent1 4 8 2" xfId="3299"/>
    <cellStyle name="20% - Accent1 4 8 2 2" xfId="5333"/>
    <cellStyle name="20% - Accent1 4 8 2 2 2" xfId="12382"/>
    <cellStyle name="20% - Accent1 4 8 2 2 2 2" xfId="15786"/>
    <cellStyle name="20% - Accent1 4 8 2 2 3" xfId="15787"/>
    <cellStyle name="20% - Accent1 4 8 2 3" xfId="12381"/>
    <cellStyle name="20% - Accent1 4 8 2 3 2" xfId="15788"/>
    <cellStyle name="20% - Accent1 4 8 2 4" xfId="15789"/>
    <cellStyle name="20% - Accent1 4 8 3" xfId="4316"/>
    <cellStyle name="20% - Accent1 4 8 3 2" xfId="12383"/>
    <cellStyle name="20% - Accent1 4 8 3 2 2" xfId="15790"/>
    <cellStyle name="20% - Accent1 4 8 3 3" xfId="15791"/>
    <cellStyle name="20% - Accent1 4 8 4" xfId="7778"/>
    <cellStyle name="20% - Accent1 4 8 4 2" xfId="15792"/>
    <cellStyle name="20% - Accent1 4 8 5" xfId="15793"/>
    <cellStyle name="20% - Accent1 4 9" xfId="2785"/>
    <cellStyle name="20% - Accent1 4 9 2" xfId="4819"/>
    <cellStyle name="20% - Accent1 4 9 2 2" xfId="12385"/>
    <cellStyle name="20% - Accent1 4 9 2 2 2" xfId="15794"/>
    <cellStyle name="20% - Accent1 4 9 2 3" xfId="15795"/>
    <cellStyle name="20% - Accent1 4 9 3" xfId="12384"/>
    <cellStyle name="20% - Accent1 4 9 3 2" xfId="15796"/>
    <cellStyle name="20% - Accent1 4 9 4" xfId="15797"/>
    <cellStyle name="20% - Accent2 2" xfId="4"/>
    <cellStyle name="20% - Accent2 3" xfId="5"/>
    <cellStyle name="20% - Accent3 2" xfId="6"/>
    <cellStyle name="20% - Accent3 3" xfId="7"/>
    <cellStyle name="20% - Accent4 2" xfId="8"/>
    <cellStyle name="20% - Accent4 3" xfId="9"/>
    <cellStyle name="20% - Accent5 2" xfId="10"/>
    <cellStyle name="20% - Accent5 3" xfId="11"/>
    <cellStyle name="20% - Accent6 2" xfId="12"/>
    <cellStyle name="20% - Accent6 3" xfId="13"/>
    <cellStyle name="40% - Accent1 2" xfId="14"/>
    <cellStyle name="40% - Accent1 3" xfId="15"/>
    <cellStyle name="40% - Accent2 2" xfId="16"/>
    <cellStyle name="40% - Accent2 3" xfId="17"/>
    <cellStyle name="40% - Accent3 2" xfId="18"/>
    <cellStyle name="40% - Accent3 3" xfId="19"/>
    <cellStyle name="40% - Accent3 4" xfId="20"/>
    <cellStyle name="40% - Accent3 4 10" xfId="3803"/>
    <cellStyle name="40% - Accent3 4 10 2" xfId="12386"/>
    <cellStyle name="40% - Accent3 4 10 2 2" xfId="15798"/>
    <cellStyle name="40% - Accent3 4 10 3" xfId="15799"/>
    <cellStyle name="40% - Accent3 4 11" xfId="7779"/>
    <cellStyle name="40% - Accent3 4 11 2" xfId="15800"/>
    <cellStyle name="40% - Accent3 4 12" xfId="15801"/>
    <cellStyle name="40% - Accent3 4 2" xfId="1745"/>
    <cellStyle name="40% - Accent3 4 2 10" xfId="15802"/>
    <cellStyle name="40% - Accent3 4 2 2" xfId="1794"/>
    <cellStyle name="40% - Accent3 4 2 2 2" xfId="1920"/>
    <cellStyle name="40% - Accent3 4 2 2 2 2" xfId="2172"/>
    <cellStyle name="40% - Accent3 4 2 2 2 2 2" xfId="2716"/>
    <cellStyle name="40% - Accent3 4 2 2 2 2 2 2" xfId="3733"/>
    <cellStyle name="40% - Accent3 4 2 2 2 2 2 2 2" xfId="5767"/>
    <cellStyle name="40% - Accent3 4 2 2 2 2 2 2 2 2" xfId="12388"/>
    <cellStyle name="40% - Accent3 4 2 2 2 2 2 2 2 2 2" xfId="15803"/>
    <cellStyle name="40% - Accent3 4 2 2 2 2 2 2 2 3" xfId="15804"/>
    <cellStyle name="40% - Accent3 4 2 2 2 2 2 2 3" xfId="12387"/>
    <cellStyle name="40% - Accent3 4 2 2 2 2 2 2 3 2" xfId="15805"/>
    <cellStyle name="40% - Accent3 4 2 2 2 2 2 2 4" xfId="15806"/>
    <cellStyle name="40% - Accent3 4 2 2 2 2 2 3" xfId="4750"/>
    <cellStyle name="40% - Accent3 4 2 2 2 2 2 3 2" xfId="12389"/>
    <cellStyle name="40% - Accent3 4 2 2 2 2 2 3 2 2" xfId="15807"/>
    <cellStyle name="40% - Accent3 4 2 2 2 2 2 3 3" xfId="15808"/>
    <cellStyle name="40% - Accent3 4 2 2 2 2 2 4" xfId="7784"/>
    <cellStyle name="40% - Accent3 4 2 2 2 2 2 4 2" xfId="15809"/>
    <cellStyle name="40% - Accent3 4 2 2 2 2 2 5" xfId="15810"/>
    <cellStyle name="40% - Accent3 4 2 2 2 2 3" xfId="3220"/>
    <cellStyle name="40% - Accent3 4 2 2 2 2 3 2" xfId="5254"/>
    <cellStyle name="40% - Accent3 4 2 2 2 2 3 2 2" xfId="12391"/>
    <cellStyle name="40% - Accent3 4 2 2 2 2 3 2 2 2" xfId="15811"/>
    <cellStyle name="40% - Accent3 4 2 2 2 2 3 2 3" xfId="15812"/>
    <cellStyle name="40% - Accent3 4 2 2 2 2 3 3" xfId="12390"/>
    <cellStyle name="40% - Accent3 4 2 2 2 2 3 3 2" xfId="15813"/>
    <cellStyle name="40% - Accent3 4 2 2 2 2 3 4" xfId="15814"/>
    <cellStyle name="40% - Accent3 4 2 2 2 2 4" xfId="4237"/>
    <cellStyle name="40% - Accent3 4 2 2 2 2 4 2" xfId="12392"/>
    <cellStyle name="40% - Accent3 4 2 2 2 2 4 2 2" xfId="15815"/>
    <cellStyle name="40% - Accent3 4 2 2 2 2 4 3" xfId="15816"/>
    <cellStyle name="40% - Accent3 4 2 2 2 2 5" xfId="7783"/>
    <cellStyle name="40% - Accent3 4 2 2 2 2 5 2" xfId="15817"/>
    <cellStyle name="40% - Accent3 4 2 2 2 2 6" xfId="15818"/>
    <cellStyle name="40% - Accent3 4 2 2 2 3" xfId="2464"/>
    <cellStyle name="40% - Accent3 4 2 2 2 3 2" xfId="3481"/>
    <cellStyle name="40% - Accent3 4 2 2 2 3 2 2" xfId="5515"/>
    <cellStyle name="40% - Accent3 4 2 2 2 3 2 2 2" xfId="12394"/>
    <cellStyle name="40% - Accent3 4 2 2 2 3 2 2 2 2" xfId="15819"/>
    <cellStyle name="40% - Accent3 4 2 2 2 3 2 2 3" xfId="15820"/>
    <cellStyle name="40% - Accent3 4 2 2 2 3 2 3" xfId="12393"/>
    <cellStyle name="40% - Accent3 4 2 2 2 3 2 3 2" xfId="15821"/>
    <cellStyle name="40% - Accent3 4 2 2 2 3 2 4" xfId="15822"/>
    <cellStyle name="40% - Accent3 4 2 2 2 3 3" xfId="4498"/>
    <cellStyle name="40% - Accent3 4 2 2 2 3 3 2" xfId="12395"/>
    <cellStyle name="40% - Accent3 4 2 2 2 3 3 2 2" xfId="15823"/>
    <cellStyle name="40% - Accent3 4 2 2 2 3 3 3" xfId="15824"/>
    <cellStyle name="40% - Accent3 4 2 2 2 3 4" xfId="7785"/>
    <cellStyle name="40% - Accent3 4 2 2 2 3 4 2" xfId="15825"/>
    <cellStyle name="40% - Accent3 4 2 2 2 3 5" xfId="15826"/>
    <cellStyle name="40% - Accent3 4 2 2 2 4" xfId="2968"/>
    <cellStyle name="40% - Accent3 4 2 2 2 4 2" xfId="5002"/>
    <cellStyle name="40% - Accent3 4 2 2 2 4 2 2" xfId="12397"/>
    <cellStyle name="40% - Accent3 4 2 2 2 4 2 2 2" xfId="15827"/>
    <cellStyle name="40% - Accent3 4 2 2 2 4 2 3" xfId="15828"/>
    <cellStyle name="40% - Accent3 4 2 2 2 4 3" xfId="12396"/>
    <cellStyle name="40% - Accent3 4 2 2 2 4 3 2" xfId="15829"/>
    <cellStyle name="40% - Accent3 4 2 2 2 4 4" xfId="15830"/>
    <cellStyle name="40% - Accent3 4 2 2 2 5" xfId="3985"/>
    <cellStyle name="40% - Accent3 4 2 2 2 5 2" xfId="12398"/>
    <cellStyle name="40% - Accent3 4 2 2 2 5 2 2" xfId="15831"/>
    <cellStyle name="40% - Accent3 4 2 2 2 5 3" xfId="15832"/>
    <cellStyle name="40% - Accent3 4 2 2 2 6" xfId="7782"/>
    <cellStyle name="40% - Accent3 4 2 2 2 6 2" xfId="15833"/>
    <cellStyle name="40% - Accent3 4 2 2 2 7" xfId="15834"/>
    <cellStyle name="40% - Accent3 4 2 2 3" xfId="2046"/>
    <cellStyle name="40% - Accent3 4 2 2 3 2" xfId="2590"/>
    <cellStyle name="40% - Accent3 4 2 2 3 2 2" xfId="3607"/>
    <cellStyle name="40% - Accent3 4 2 2 3 2 2 2" xfId="5641"/>
    <cellStyle name="40% - Accent3 4 2 2 3 2 2 2 2" xfId="12400"/>
    <cellStyle name="40% - Accent3 4 2 2 3 2 2 2 2 2" xfId="15835"/>
    <cellStyle name="40% - Accent3 4 2 2 3 2 2 2 3" xfId="15836"/>
    <cellStyle name="40% - Accent3 4 2 2 3 2 2 3" xfId="12399"/>
    <cellStyle name="40% - Accent3 4 2 2 3 2 2 3 2" xfId="15837"/>
    <cellStyle name="40% - Accent3 4 2 2 3 2 2 4" xfId="15838"/>
    <cellStyle name="40% - Accent3 4 2 2 3 2 3" xfId="4624"/>
    <cellStyle name="40% - Accent3 4 2 2 3 2 3 2" xfId="12401"/>
    <cellStyle name="40% - Accent3 4 2 2 3 2 3 2 2" xfId="15839"/>
    <cellStyle name="40% - Accent3 4 2 2 3 2 3 3" xfId="15840"/>
    <cellStyle name="40% - Accent3 4 2 2 3 2 4" xfId="7787"/>
    <cellStyle name="40% - Accent3 4 2 2 3 2 4 2" xfId="15841"/>
    <cellStyle name="40% - Accent3 4 2 2 3 2 5" xfId="15842"/>
    <cellStyle name="40% - Accent3 4 2 2 3 3" xfId="3094"/>
    <cellStyle name="40% - Accent3 4 2 2 3 3 2" xfId="5128"/>
    <cellStyle name="40% - Accent3 4 2 2 3 3 2 2" xfId="12403"/>
    <cellStyle name="40% - Accent3 4 2 2 3 3 2 2 2" xfId="15843"/>
    <cellStyle name="40% - Accent3 4 2 2 3 3 2 3" xfId="15844"/>
    <cellStyle name="40% - Accent3 4 2 2 3 3 3" xfId="12402"/>
    <cellStyle name="40% - Accent3 4 2 2 3 3 3 2" xfId="15845"/>
    <cellStyle name="40% - Accent3 4 2 2 3 3 4" xfId="15846"/>
    <cellStyle name="40% - Accent3 4 2 2 3 4" xfId="4111"/>
    <cellStyle name="40% - Accent3 4 2 2 3 4 2" xfId="12404"/>
    <cellStyle name="40% - Accent3 4 2 2 3 4 2 2" xfId="15847"/>
    <cellStyle name="40% - Accent3 4 2 2 3 4 3" xfId="15848"/>
    <cellStyle name="40% - Accent3 4 2 2 3 5" xfId="7786"/>
    <cellStyle name="40% - Accent3 4 2 2 3 5 2" xfId="15849"/>
    <cellStyle name="40% - Accent3 4 2 2 3 6" xfId="15850"/>
    <cellStyle name="40% - Accent3 4 2 2 4" xfId="2338"/>
    <cellStyle name="40% - Accent3 4 2 2 4 2" xfId="3355"/>
    <cellStyle name="40% - Accent3 4 2 2 4 2 2" xfId="5389"/>
    <cellStyle name="40% - Accent3 4 2 2 4 2 2 2" xfId="12406"/>
    <cellStyle name="40% - Accent3 4 2 2 4 2 2 2 2" xfId="15851"/>
    <cellStyle name="40% - Accent3 4 2 2 4 2 2 3" xfId="15852"/>
    <cellStyle name="40% - Accent3 4 2 2 4 2 3" xfId="12405"/>
    <cellStyle name="40% - Accent3 4 2 2 4 2 3 2" xfId="15853"/>
    <cellStyle name="40% - Accent3 4 2 2 4 2 4" xfId="15854"/>
    <cellStyle name="40% - Accent3 4 2 2 4 3" xfId="4372"/>
    <cellStyle name="40% - Accent3 4 2 2 4 3 2" xfId="12407"/>
    <cellStyle name="40% - Accent3 4 2 2 4 3 2 2" xfId="15855"/>
    <cellStyle name="40% - Accent3 4 2 2 4 3 3" xfId="15856"/>
    <cellStyle name="40% - Accent3 4 2 2 4 4" xfId="7788"/>
    <cellStyle name="40% - Accent3 4 2 2 4 4 2" xfId="15857"/>
    <cellStyle name="40% - Accent3 4 2 2 4 5" xfId="15858"/>
    <cellStyle name="40% - Accent3 4 2 2 5" xfId="2842"/>
    <cellStyle name="40% - Accent3 4 2 2 5 2" xfId="4876"/>
    <cellStyle name="40% - Accent3 4 2 2 5 2 2" xfId="12409"/>
    <cellStyle name="40% - Accent3 4 2 2 5 2 2 2" xfId="15859"/>
    <cellStyle name="40% - Accent3 4 2 2 5 2 3" xfId="15860"/>
    <cellStyle name="40% - Accent3 4 2 2 5 3" xfId="12408"/>
    <cellStyle name="40% - Accent3 4 2 2 5 3 2" xfId="15861"/>
    <cellStyle name="40% - Accent3 4 2 2 5 4" xfId="15862"/>
    <cellStyle name="40% - Accent3 4 2 2 6" xfId="3859"/>
    <cellStyle name="40% - Accent3 4 2 2 6 2" xfId="12410"/>
    <cellStyle name="40% - Accent3 4 2 2 6 2 2" xfId="15863"/>
    <cellStyle name="40% - Accent3 4 2 2 6 3" xfId="15864"/>
    <cellStyle name="40% - Accent3 4 2 2 7" xfId="7781"/>
    <cellStyle name="40% - Accent3 4 2 2 7 2" xfId="15865"/>
    <cellStyle name="40% - Accent3 4 2 2 8" xfId="15866"/>
    <cellStyle name="40% - Accent3 4 2 3" xfId="1836"/>
    <cellStyle name="40% - Accent3 4 2 3 2" xfId="1962"/>
    <cellStyle name="40% - Accent3 4 2 3 2 2" xfId="2214"/>
    <cellStyle name="40% - Accent3 4 2 3 2 2 2" xfId="2758"/>
    <cellStyle name="40% - Accent3 4 2 3 2 2 2 2" xfId="3775"/>
    <cellStyle name="40% - Accent3 4 2 3 2 2 2 2 2" xfId="5809"/>
    <cellStyle name="40% - Accent3 4 2 3 2 2 2 2 2 2" xfId="12412"/>
    <cellStyle name="40% - Accent3 4 2 3 2 2 2 2 2 2 2" xfId="15867"/>
    <cellStyle name="40% - Accent3 4 2 3 2 2 2 2 2 3" xfId="15868"/>
    <cellStyle name="40% - Accent3 4 2 3 2 2 2 2 3" xfId="12411"/>
    <cellStyle name="40% - Accent3 4 2 3 2 2 2 2 3 2" xfId="15869"/>
    <cellStyle name="40% - Accent3 4 2 3 2 2 2 2 4" xfId="15870"/>
    <cellStyle name="40% - Accent3 4 2 3 2 2 2 3" xfId="4792"/>
    <cellStyle name="40% - Accent3 4 2 3 2 2 2 3 2" xfId="12413"/>
    <cellStyle name="40% - Accent3 4 2 3 2 2 2 3 2 2" xfId="15871"/>
    <cellStyle name="40% - Accent3 4 2 3 2 2 2 3 3" xfId="15872"/>
    <cellStyle name="40% - Accent3 4 2 3 2 2 2 4" xfId="7792"/>
    <cellStyle name="40% - Accent3 4 2 3 2 2 2 4 2" xfId="15873"/>
    <cellStyle name="40% - Accent3 4 2 3 2 2 2 5" xfId="15874"/>
    <cellStyle name="40% - Accent3 4 2 3 2 2 3" xfId="3262"/>
    <cellStyle name="40% - Accent3 4 2 3 2 2 3 2" xfId="5296"/>
    <cellStyle name="40% - Accent3 4 2 3 2 2 3 2 2" xfId="12415"/>
    <cellStyle name="40% - Accent3 4 2 3 2 2 3 2 2 2" xfId="15875"/>
    <cellStyle name="40% - Accent3 4 2 3 2 2 3 2 3" xfId="15876"/>
    <cellStyle name="40% - Accent3 4 2 3 2 2 3 3" xfId="12414"/>
    <cellStyle name="40% - Accent3 4 2 3 2 2 3 3 2" xfId="15877"/>
    <cellStyle name="40% - Accent3 4 2 3 2 2 3 4" xfId="15878"/>
    <cellStyle name="40% - Accent3 4 2 3 2 2 4" xfId="4279"/>
    <cellStyle name="40% - Accent3 4 2 3 2 2 4 2" xfId="12416"/>
    <cellStyle name="40% - Accent3 4 2 3 2 2 4 2 2" xfId="15879"/>
    <cellStyle name="40% - Accent3 4 2 3 2 2 4 3" xfId="15880"/>
    <cellStyle name="40% - Accent3 4 2 3 2 2 5" xfId="7791"/>
    <cellStyle name="40% - Accent3 4 2 3 2 2 5 2" xfId="15881"/>
    <cellStyle name="40% - Accent3 4 2 3 2 2 6" xfId="15882"/>
    <cellStyle name="40% - Accent3 4 2 3 2 3" xfId="2506"/>
    <cellStyle name="40% - Accent3 4 2 3 2 3 2" xfId="3523"/>
    <cellStyle name="40% - Accent3 4 2 3 2 3 2 2" xfId="5557"/>
    <cellStyle name="40% - Accent3 4 2 3 2 3 2 2 2" xfId="12418"/>
    <cellStyle name="40% - Accent3 4 2 3 2 3 2 2 2 2" xfId="15883"/>
    <cellStyle name="40% - Accent3 4 2 3 2 3 2 2 3" xfId="15884"/>
    <cellStyle name="40% - Accent3 4 2 3 2 3 2 3" xfId="12417"/>
    <cellStyle name="40% - Accent3 4 2 3 2 3 2 3 2" xfId="15885"/>
    <cellStyle name="40% - Accent3 4 2 3 2 3 2 4" xfId="15886"/>
    <cellStyle name="40% - Accent3 4 2 3 2 3 3" xfId="4540"/>
    <cellStyle name="40% - Accent3 4 2 3 2 3 3 2" xfId="12419"/>
    <cellStyle name="40% - Accent3 4 2 3 2 3 3 2 2" xfId="15887"/>
    <cellStyle name="40% - Accent3 4 2 3 2 3 3 3" xfId="15888"/>
    <cellStyle name="40% - Accent3 4 2 3 2 3 4" xfId="7793"/>
    <cellStyle name="40% - Accent3 4 2 3 2 3 4 2" xfId="15889"/>
    <cellStyle name="40% - Accent3 4 2 3 2 3 5" xfId="15890"/>
    <cellStyle name="40% - Accent3 4 2 3 2 4" xfId="3010"/>
    <cellStyle name="40% - Accent3 4 2 3 2 4 2" xfId="5044"/>
    <cellStyle name="40% - Accent3 4 2 3 2 4 2 2" xfId="12421"/>
    <cellStyle name="40% - Accent3 4 2 3 2 4 2 2 2" xfId="15891"/>
    <cellStyle name="40% - Accent3 4 2 3 2 4 2 3" xfId="15892"/>
    <cellStyle name="40% - Accent3 4 2 3 2 4 3" xfId="12420"/>
    <cellStyle name="40% - Accent3 4 2 3 2 4 3 2" xfId="15893"/>
    <cellStyle name="40% - Accent3 4 2 3 2 4 4" xfId="15894"/>
    <cellStyle name="40% - Accent3 4 2 3 2 5" xfId="4027"/>
    <cellStyle name="40% - Accent3 4 2 3 2 5 2" xfId="12422"/>
    <cellStyle name="40% - Accent3 4 2 3 2 5 2 2" xfId="15895"/>
    <cellStyle name="40% - Accent3 4 2 3 2 5 3" xfId="15896"/>
    <cellStyle name="40% - Accent3 4 2 3 2 6" xfId="7790"/>
    <cellStyle name="40% - Accent3 4 2 3 2 6 2" xfId="15897"/>
    <cellStyle name="40% - Accent3 4 2 3 2 7" xfId="15898"/>
    <cellStyle name="40% - Accent3 4 2 3 3" xfId="2088"/>
    <cellStyle name="40% - Accent3 4 2 3 3 2" xfId="2632"/>
    <cellStyle name="40% - Accent3 4 2 3 3 2 2" xfId="3649"/>
    <cellStyle name="40% - Accent3 4 2 3 3 2 2 2" xfId="5683"/>
    <cellStyle name="40% - Accent3 4 2 3 3 2 2 2 2" xfId="12424"/>
    <cellStyle name="40% - Accent3 4 2 3 3 2 2 2 2 2" xfId="15899"/>
    <cellStyle name="40% - Accent3 4 2 3 3 2 2 2 3" xfId="15900"/>
    <cellStyle name="40% - Accent3 4 2 3 3 2 2 3" xfId="12423"/>
    <cellStyle name="40% - Accent3 4 2 3 3 2 2 3 2" xfId="15901"/>
    <cellStyle name="40% - Accent3 4 2 3 3 2 2 4" xfId="15902"/>
    <cellStyle name="40% - Accent3 4 2 3 3 2 3" xfId="4666"/>
    <cellStyle name="40% - Accent3 4 2 3 3 2 3 2" xfId="12425"/>
    <cellStyle name="40% - Accent3 4 2 3 3 2 3 2 2" xfId="15903"/>
    <cellStyle name="40% - Accent3 4 2 3 3 2 3 3" xfId="15904"/>
    <cellStyle name="40% - Accent3 4 2 3 3 2 4" xfId="7795"/>
    <cellStyle name="40% - Accent3 4 2 3 3 2 4 2" xfId="15905"/>
    <cellStyle name="40% - Accent3 4 2 3 3 2 5" xfId="15906"/>
    <cellStyle name="40% - Accent3 4 2 3 3 3" xfId="3136"/>
    <cellStyle name="40% - Accent3 4 2 3 3 3 2" xfId="5170"/>
    <cellStyle name="40% - Accent3 4 2 3 3 3 2 2" xfId="12427"/>
    <cellStyle name="40% - Accent3 4 2 3 3 3 2 2 2" xfId="15907"/>
    <cellStyle name="40% - Accent3 4 2 3 3 3 2 3" xfId="15908"/>
    <cellStyle name="40% - Accent3 4 2 3 3 3 3" xfId="12426"/>
    <cellStyle name="40% - Accent3 4 2 3 3 3 3 2" xfId="15909"/>
    <cellStyle name="40% - Accent3 4 2 3 3 3 4" xfId="15910"/>
    <cellStyle name="40% - Accent3 4 2 3 3 4" xfId="4153"/>
    <cellStyle name="40% - Accent3 4 2 3 3 4 2" xfId="12428"/>
    <cellStyle name="40% - Accent3 4 2 3 3 4 2 2" xfId="15911"/>
    <cellStyle name="40% - Accent3 4 2 3 3 4 3" xfId="15912"/>
    <cellStyle name="40% - Accent3 4 2 3 3 5" xfId="7794"/>
    <cellStyle name="40% - Accent3 4 2 3 3 5 2" xfId="15913"/>
    <cellStyle name="40% - Accent3 4 2 3 3 6" xfId="15914"/>
    <cellStyle name="40% - Accent3 4 2 3 4" xfId="2380"/>
    <cellStyle name="40% - Accent3 4 2 3 4 2" xfId="3397"/>
    <cellStyle name="40% - Accent3 4 2 3 4 2 2" xfId="5431"/>
    <cellStyle name="40% - Accent3 4 2 3 4 2 2 2" xfId="12430"/>
    <cellStyle name="40% - Accent3 4 2 3 4 2 2 2 2" xfId="15915"/>
    <cellStyle name="40% - Accent3 4 2 3 4 2 2 3" xfId="15916"/>
    <cellStyle name="40% - Accent3 4 2 3 4 2 3" xfId="12429"/>
    <cellStyle name="40% - Accent3 4 2 3 4 2 3 2" xfId="15917"/>
    <cellStyle name="40% - Accent3 4 2 3 4 2 4" xfId="15918"/>
    <cellStyle name="40% - Accent3 4 2 3 4 3" xfId="4414"/>
    <cellStyle name="40% - Accent3 4 2 3 4 3 2" xfId="12431"/>
    <cellStyle name="40% - Accent3 4 2 3 4 3 2 2" xfId="15919"/>
    <cellStyle name="40% - Accent3 4 2 3 4 3 3" xfId="15920"/>
    <cellStyle name="40% - Accent3 4 2 3 4 4" xfId="7796"/>
    <cellStyle name="40% - Accent3 4 2 3 4 4 2" xfId="15921"/>
    <cellStyle name="40% - Accent3 4 2 3 4 5" xfId="15922"/>
    <cellStyle name="40% - Accent3 4 2 3 5" xfId="2884"/>
    <cellStyle name="40% - Accent3 4 2 3 5 2" xfId="4918"/>
    <cellStyle name="40% - Accent3 4 2 3 5 2 2" xfId="12433"/>
    <cellStyle name="40% - Accent3 4 2 3 5 2 2 2" xfId="15923"/>
    <cellStyle name="40% - Accent3 4 2 3 5 2 3" xfId="15924"/>
    <cellStyle name="40% - Accent3 4 2 3 5 3" xfId="12432"/>
    <cellStyle name="40% - Accent3 4 2 3 5 3 2" xfId="15925"/>
    <cellStyle name="40% - Accent3 4 2 3 5 4" xfId="15926"/>
    <cellStyle name="40% - Accent3 4 2 3 6" xfId="3901"/>
    <cellStyle name="40% - Accent3 4 2 3 6 2" xfId="12434"/>
    <cellStyle name="40% - Accent3 4 2 3 6 2 2" xfId="15927"/>
    <cellStyle name="40% - Accent3 4 2 3 6 3" xfId="15928"/>
    <cellStyle name="40% - Accent3 4 2 3 7" xfId="7789"/>
    <cellStyle name="40% - Accent3 4 2 3 7 2" xfId="15929"/>
    <cellStyle name="40% - Accent3 4 2 3 8" xfId="15930"/>
    <cellStyle name="40% - Accent3 4 2 4" xfId="1878"/>
    <cellStyle name="40% - Accent3 4 2 4 2" xfId="2130"/>
    <cellStyle name="40% - Accent3 4 2 4 2 2" xfId="2674"/>
    <cellStyle name="40% - Accent3 4 2 4 2 2 2" xfId="3691"/>
    <cellStyle name="40% - Accent3 4 2 4 2 2 2 2" xfId="5725"/>
    <cellStyle name="40% - Accent3 4 2 4 2 2 2 2 2" xfId="12436"/>
    <cellStyle name="40% - Accent3 4 2 4 2 2 2 2 2 2" xfId="15931"/>
    <cellStyle name="40% - Accent3 4 2 4 2 2 2 2 3" xfId="15932"/>
    <cellStyle name="40% - Accent3 4 2 4 2 2 2 3" xfId="12435"/>
    <cellStyle name="40% - Accent3 4 2 4 2 2 2 3 2" xfId="15933"/>
    <cellStyle name="40% - Accent3 4 2 4 2 2 2 4" xfId="15934"/>
    <cellStyle name="40% - Accent3 4 2 4 2 2 3" xfId="4708"/>
    <cellStyle name="40% - Accent3 4 2 4 2 2 3 2" xfId="12437"/>
    <cellStyle name="40% - Accent3 4 2 4 2 2 3 2 2" xfId="15935"/>
    <cellStyle name="40% - Accent3 4 2 4 2 2 3 3" xfId="15936"/>
    <cellStyle name="40% - Accent3 4 2 4 2 2 4" xfId="7799"/>
    <cellStyle name="40% - Accent3 4 2 4 2 2 4 2" xfId="15937"/>
    <cellStyle name="40% - Accent3 4 2 4 2 2 5" xfId="15938"/>
    <cellStyle name="40% - Accent3 4 2 4 2 3" xfId="3178"/>
    <cellStyle name="40% - Accent3 4 2 4 2 3 2" xfId="5212"/>
    <cellStyle name="40% - Accent3 4 2 4 2 3 2 2" xfId="12439"/>
    <cellStyle name="40% - Accent3 4 2 4 2 3 2 2 2" xfId="15939"/>
    <cellStyle name="40% - Accent3 4 2 4 2 3 2 3" xfId="15940"/>
    <cellStyle name="40% - Accent3 4 2 4 2 3 3" xfId="12438"/>
    <cellStyle name="40% - Accent3 4 2 4 2 3 3 2" xfId="15941"/>
    <cellStyle name="40% - Accent3 4 2 4 2 3 4" xfId="15942"/>
    <cellStyle name="40% - Accent3 4 2 4 2 4" xfId="4195"/>
    <cellStyle name="40% - Accent3 4 2 4 2 4 2" xfId="12440"/>
    <cellStyle name="40% - Accent3 4 2 4 2 4 2 2" xfId="15943"/>
    <cellStyle name="40% - Accent3 4 2 4 2 4 3" xfId="15944"/>
    <cellStyle name="40% - Accent3 4 2 4 2 5" xfId="7798"/>
    <cellStyle name="40% - Accent3 4 2 4 2 5 2" xfId="15945"/>
    <cellStyle name="40% - Accent3 4 2 4 2 6" xfId="15946"/>
    <cellStyle name="40% - Accent3 4 2 4 3" xfId="2422"/>
    <cellStyle name="40% - Accent3 4 2 4 3 2" xfId="3439"/>
    <cellStyle name="40% - Accent3 4 2 4 3 2 2" xfId="5473"/>
    <cellStyle name="40% - Accent3 4 2 4 3 2 2 2" xfId="12442"/>
    <cellStyle name="40% - Accent3 4 2 4 3 2 2 2 2" xfId="15947"/>
    <cellStyle name="40% - Accent3 4 2 4 3 2 2 3" xfId="15948"/>
    <cellStyle name="40% - Accent3 4 2 4 3 2 3" xfId="12441"/>
    <cellStyle name="40% - Accent3 4 2 4 3 2 3 2" xfId="15949"/>
    <cellStyle name="40% - Accent3 4 2 4 3 2 4" xfId="15950"/>
    <cellStyle name="40% - Accent3 4 2 4 3 3" xfId="4456"/>
    <cellStyle name="40% - Accent3 4 2 4 3 3 2" xfId="12443"/>
    <cellStyle name="40% - Accent3 4 2 4 3 3 2 2" xfId="15951"/>
    <cellStyle name="40% - Accent3 4 2 4 3 3 3" xfId="15952"/>
    <cellStyle name="40% - Accent3 4 2 4 3 4" xfId="7800"/>
    <cellStyle name="40% - Accent3 4 2 4 3 4 2" xfId="15953"/>
    <cellStyle name="40% - Accent3 4 2 4 3 5" xfId="15954"/>
    <cellStyle name="40% - Accent3 4 2 4 4" xfId="2926"/>
    <cellStyle name="40% - Accent3 4 2 4 4 2" xfId="4960"/>
    <cellStyle name="40% - Accent3 4 2 4 4 2 2" xfId="12445"/>
    <cellStyle name="40% - Accent3 4 2 4 4 2 2 2" xfId="15955"/>
    <cellStyle name="40% - Accent3 4 2 4 4 2 3" xfId="15956"/>
    <cellStyle name="40% - Accent3 4 2 4 4 3" xfId="12444"/>
    <cellStyle name="40% - Accent3 4 2 4 4 3 2" xfId="15957"/>
    <cellStyle name="40% - Accent3 4 2 4 4 4" xfId="15958"/>
    <cellStyle name="40% - Accent3 4 2 4 5" xfId="3943"/>
    <cellStyle name="40% - Accent3 4 2 4 5 2" xfId="12446"/>
    <cellStyle name="40% - Accent3 4 2 4 5 2 2" xfId="15959"/>
    <cellStyle name="40% - Accent3 4 2 4 5 3" xfId="15960"/>
    <cellStyle name="40% - Accent3 4 2 4 6" xfId="7797"/>
    <cellStyle name="40% - Accent3 4 2 4 6 2" xfId="15961"/>
    <cellStyle name="40% - Accent3 4 2 4 7" xfId="15962"/>
    <cellStyle name="40% - Accent3 4 2 5" xfId="2004"/>
    <cellStyle name="40% - Accent3 4 2 5 2" xfId="2548"/>
    <cellStyle name="40% - Accent3 4 2 5 2 2" xfId="3565"/>
    <cellStyle name="40% - Accent3 4 2 5 2 2 2" xfId="5599"/>
    <cellStyle name="40% - Accent3 4 2 5 2 2 2 2" xfId="12448"/>
    <cellStyle name="40% - Accent3 4 2 5 2 2 2 2 2" xfId="15963"/>
    <cellStyle name="40% - Accent3 4 2 5 2 2 2 3" xfId="15964"/>
    <cellStyle name="40% - Accent3 4 2 5 2 2 3" xfId="12447"/>
    <cellStyle name="40% - Accent3 4 2 5 2 2 3 2" xfId="15965"/>
    <cellStyle name="40% - Accent3 4 2 5 2 2 4" xfId="15966"/>
    <cellStyle name="40% - Accent3 4 2 5 2 3" xfId="4582"/>
    <cellStyle name="40% - Accent3 4 2 5 2 3 2" xfId="12449"/>
    <cellStyle name="40% - Accent3 4 2 5 2 3 2 2" xfId="15967"/>
    <cellStyle name="40% - Accent3 4 2 5 2 3 3" xfId="15968"/>
    <cellStyle name="40% - Accent3 4 2 5 2 4" xfId="7802"/>
    <cellStyle name="40% - Accent3 4 2 5 2 4 2" xfId="15969"/>
    <cellStyle name="40% - Accent3 4 2 5 2 5" xfId="15970"/>
    <cellStyle name="40% - Accent3 4 2 5 3" xfId="3052"/>
    <cellStyle name="40% - Accent3 4 2 5 3 2" xfId="5086"/>
    <cellStyle name="40% - Accent3 4 2 5 3 2 2" xfId="12451"/>
    <cellStyle name="40% - Accent3 4 2 5 3 2 2 2" xfId="15971"/>
    <cellStyle name="40% - Accent3 4 2 5 3 2 3" xfId="15972"/>
    <cellStyle name="40% - Accent3 4 2 5 3 3" xfId="12450"/>
    <cellStyle name="40% - Accent3 4 2 5 3 3 2" xfId="15973"/>
    <cellStyle name="40% - Accent3 4 2 5 3 4" xfId="15974"/>
    <cellStyle name="40% - Accent3 4 2 5 4" xfId="4069"/>
    <cellStyle name="40% - Accent3 4 2 5 4 2" xfId="12452"/>
    <cellStyle name="40% - Accent3 4 2 5 4 2 2" xfId="15975"/>
    <cellStyle name="40% - Accent3 4 2 5 4 3" xfId="15976"/>
    <cellStyle name="40% - Accent3 4 2 5 5" xfId="7801"/>
    <cellStyle name="40% - Accent3 4 2 5 5 2" xfId="15977"/>
    <cellStyle name="40% - Accent3 4 2 5 6" xfId="15978"/>
    <cellStyle name="40% - Accent3 4 2 6" xfId="2296"/>
    <cellStyle name="40% - Accent3 4 2 6 2" xfId="3313"/>
    <cellStyle name="40% - Accent3 4 2 6 2 2" xfId="5347"/>
    <cellStyle name="40% - Accent3 4 2 6 2 2 2" xfId="12454"/>
    <cellStyle name="40% - Accent3 4 2 6 2 2 2 2" xfId="15979"/>
    <cellStyle name="40% - Accent3 4 2 6 2 2 3" xfId="15980"/>
    <cellStyle name="40% - Accent3 4 2 6 2 3" xfId="12453"/>
    <cellStyle name="40% - Accent3 4 2 6 2 3 2" xfId="15981"/>
    <cellStyle name="40% - Accent3 4 2 6 2 4" xfId="15982"/>
    <cellStyle name="40% - Accent3 4 2 6 3" xfId="4330"/>
    <cellStyle name="40% - Accent3 4 2 6 3 2" xfId="12455"/>
    <cellStyle name="40% - Accent3 4 2 6 3 2 2" xfId="15983"/>
    <cellStyle name="40% - Accent3 4 2 6 3 3" xfId="15984"/>
    <cellStyle name="40% - Accent3 4 2 6 4" xfId="7803"/>
    <cellStyle name="40% - Accent3 4 2 6 4 2" xfId="15985"/>
    <cellStyle name="40% - Accent3 4 2 6 5" xfId="15986"/>
    <cellStyle name="40% - Accent3 4 2 7" xfId="2800"/>
    <cellStyle name="40% - Accent3 4 2 7 2" xfId="4834"/>
    <cellStyle name="40% - Accent3 4 2 7 2 2" xfId="12457"/>
    <cellStyle name="40% - Accent3 4 2 7 2 2 2" xfId="15987"/>
    <cellStyle name="40% - Accent3 4 2 7 2 3" xfId="15988"/>
    <cellStyle name="40% - Accent3 4 2 7 3" xfId="12456"/>
    <cellStyle name="40% - Accent3 4 2 7 3 2" xfId="15989"/>
    <cellStyle name="40% - Accent3 4 2 7 4" xfId="15990"/>
    <cellStyle name="40% - Accent3 4 2 8" xfId="3817"/>
    <cellStyle name="40% - Accent3 4 2 8 2" xfId="12458"/>
    <cellStyle name="40% - Accent3 4 2 8 2 2" xfId="15991"/>
    <cellStyle name="40% - Accent3 4 2 8 3" xfId="15992"/>
    <cellStyle name="40% - Accent3 4 2 9" xfId="7780"/>
    <cellStyle name="40% - Accent3 4 2 9 2" xfId="15993"/>
    <cellStyle name="40% - Accent3 4 3" xfId="1766"/>
    <cellStyle name="40% - Accent3 4 3 10" xfId="15994"/>
    <cellStyle name="40% - Accent3 4 3 2" xfId="1808"/>
    <cellStyle name="40% - Accent3 4 3 2 2" xfId="1934"/>
    <cellStyle name="40% - Accent3 4 3 2 2 2" xfId="2186"/>
    <cellStyle name="40% - Accent3 4 3 2 2 2 2" xfId="2730"/>
    <cellStyle name="40% - Accent3 4 3 2 2 2 2 2" xfId="3747"/>
    <cellStyle name="40% - Accent3 4 3 2 2 2 2 2 2" xfId="5781"/>
    <cellStyle name="40% - Accent3 4 3 2 2 2 2 2 2 2" xfId="12460"/>
    <cellStyle name="40% - Accent3 4 3 2 2 2 2 2 2 2 2" xfId="15995"/>
    <cellStyle name="40% - Accent3 4 3 2 2 2 2 2 2 3" xfId="15996"/>
    <cellStyle name="40% - Accent3 4 3 2 2 2 2 2 3" xfId="12459"/>
    <cellStyle name="40% - Accent3 4 3 2 2 2 2 2 3 2" xfId="15997"/>
    <cellStyle name="40% - Accent3 4 3 2 2 2 2 2 4" xfId="15998"/>
    <cellStyle name="40% - Accent3 4 3 2 2 2 2 3" xfId="4764"/>
    <cellStyle name="40% - Accent3 4 3 2 2 2 2 3 2" xfId="12461"/>
    <cellStyle name="40% - Accent3 4 3 2 2 2 2 3 2 2" xfId="15999"/>
    <cellStyle name="40% - Accent3 4 3 2 2 2 2 3 3" xfId="16000"/>
    <cellStyle name="40% - Accent3 4 3 2 2 2 2 4" xfId="7808"/>
    <cellStyle name="40% - Accent3 4 3 2 2 2 2 4 2" xfId="16001"/>
    <cellStyle name="40% - Accent3 4 3 2 2 2 2 5" xfId="16002"/>
    <cellStyle name="40% - Accent3 4 3 2 2 2 3" xfId="3234"/>
    <cellStyle name="40% - Accent3 4 3 2 2 2 3 2" xfId="5268"/>
    <cellStyle name="40% - Accent3 4 3 2 2 2 3 2 2" xfId="12463"/>
    <cellStyle name="40% - Accent3 4 3 2 2 2 3 2 2 2" xfId="16003"/>
    <cellStyle name="40% - Accent3 4 3 2 2 2 3 2 3" xfId="16004"/>
    <cellStyle name="40% - Accent3 4 3 2 2 2 3 3" xfId="12462"/>
    <cellStyle name="40% - Accent3 4 3 2 2 2 3 3 2" xfId="16005"/>
    <cellStyle name="40% - Accent3 4 3 2 2 2 3 4" xfId="16006"/>
    <cellStyle name="40% - Accent3 4 3 2 2 2 4" xfId="4251"/>
    <cellStyle name="40% - Accent3 4 3 2 2 2 4 2" xfId="12464"/>
    <cellStyle name="40% - Accent3 4 3 2 2 2 4 2 2" xfId="16007"/>
    <cellStyle name="40% - Accent3 4 3 2 2 2 4 3" xfId="16008"/>
    <cellStyle name="40% - Accent3 4 3 2 2 2 5" xfId="7807"/>
    <cellStyle name="40% - Accent3 4 3 2 2 2 5 2" xfId="16009"/>
    <cellStyle name="40% - Accent3 4 3 2 2 2 6" xfId="16010"/>
    <cellStyle name="40% - Accent3 4 3 2 2 3" xfId="2478"/>
    <cellStyle name="40% - Accent3 4 3 2 2 3 2" xfId="3495"/>
    <cellStyle name="40% - Accent3 4 3 2 2 3 2 2" xfId="5529"/>
    <cellStyle name="40% - Accent3 4 3 2 2 3 2 2 2" xfId="12466"/>
    <cellStyle name="40% - Accent3 4 3 2 2 3 2 2 2 2" xfId="16011"/>
    <cellStyle name="40% - Accent3 4 3 2 2 3 2 2 3" xfId="16012"/>
    <cellStyle name="40% - Accent3 4 3 2 2 3 2 3" xfId="12465"/>
    <cellStyle name="40% - Accent3 4 3 2 2 3 2 3 2" xfId="16013"/>
    <cellStyle name="40% - Accent3 4 3 2 2 3 2 4" xfId="16014"/>
    <cellStyle name="40% - Accent3 4 3 2 2 3 3" xfId="4512"/>
    <cellStyle name="40% - Accent3 4 3 2 2 3 3 2" xfId="12467"/>
    <cellStyle name="40% - Accent3 4 3 2 2 3 3 2 2" xfId="16015"/>
    <cellStyle name="40% - Accent3 4 3 2 2 3 3 3" xfId="16016"/>
    <cellStyle name="40% - Accent3 4 3 2 2 3 4" xfId="7809"/>
    <cellStyle name="40% - Accent3 4 3 2 2 3 4 2" xfId="16017"/>
    <cellStyle name="40% - Accent3 4 3 2 2 3 5" xfId="16018"/>
    <cellStyle name="40% - Accent3 4 3 2 2 4" xfId="2982"/>
    <cellStyle name="40% - Accent3 4 3 2 2 4 2" xfId="5016"/>
    <cellStyle name="40% - Accent3 4 3 2 2 4 2 2" xfId="12469"/>
    <cellStyle name="40% - Accent3 4 3 2 2 4 2 2 2" xfId="16019"/>
    <cellStyle name="40% - Accent3 4 3 2 2 4 2 3" xfId="16020"/>
    <cellStyle name="40% - Accent3 4 3 2 2 4 3" xfId="12468"/>
    <cellStyle name="40% - Accent3 4 3 2 2 4 3 2" xfId="16021"/>
    <cellStyle name="40% - Accent3 4 3 2 2 4 4" xfId="16022"/>
    <cellStyle name="40% - Accent3 4 3 2 2 5" xfId="3999"/>
    <cellStyle name="40% - Accent3 4 3 2 2 5 2" xfId="12470"/>
    <cellStyle name="40% - Accent3 4 3 2 2 5 2 2" xfId="16023"/>
    <cellStyle name="40% - Accent3 4 3 2 2 5 3" xfId="16024"/>
    <cellStyle name="40% - Accent3 4 3 2 2 6" xfId="7806"/>
    <cellStyle name="40% - Accent3 4 3 2 2 6 2" xfId="16025"/>
    <cellStyle name="40% - Accent3 4 3 2 2 7" xfId="16026"/>
    <cellStyle name="40% - Accent3 4 3 2 3" xfId="2060"/>
    <cellStyle name="40% - Accent3 4 3 2 3 2" xfId="2604"/>
    <cellStyle name="40% - Accent3 4 3 2 3 2 2" xfId="3621"/>
    <cellStyle name="40% - Accent3 4 3 2 3 2 2 2" xfId="5655"/>
    <cellStyle name="40% - Accent3 4 3 2 3 2 2 2 2" xfId="12472"/>
    <cellStyle name="40% - Accent3 4 3 2 3 2 2 2 2 2" xfId="16027"/>
    <cellStyle name="40% - Accent3 4 3 2 3 2 2 2 3" xfId="16028"/>
    <cellStyle name="40% - Accent3 4 3 2 3 2 2 3" xfId="12471"/>
    <cellStyle name="40% - Accent3 4 3 2 3 2 2 3 2" xfId="16029"/>
    <cellStyle name="40% - Accent3 4 3 2 3 2 2 4" xfId="16030"/>
    <cellStyle name="40% - Accent3 4 3 2 3 2 3" xfId="4638"/>
    <cellStyle name="40% - Accent3 4 3 2 3 2 3 2" xfId="12473"/>
    <cellStyle name="40% - Accent3 4 3 2 3 2 3 2 2" xfId="16031"/>
    <cellStyle name="40% - Accent3 4 3 2 3 2 3 3" xfId="16032"/>
    <cellStyle name="40% - Accent3 4 3 2 3 2 4" xfId="7811"/>
    <cellStyle name="40% - Accent3 4 3 2 3 2 4 2" xfId="16033"/>
    <cellStyle name="40% - Accent3 4 3 2 3 2 5" xfId="16034"/>
    <cellStyle name="40% - Accent3 4 3 2 3 3" xfId="3108"/>
    <cellStyle name="40% - Accent3 4 3 2 3 3 2" xfId="5142"/>
    <cellStyle name="40% - Accent3 4 3 2 3 3 2 2" xfId="12475"/>
    <cellStyle name="40% - Accent3 4 3 2 3 3 2 2 2" xfId="16035"/>
    <cellStyle name="40% - Accent3 4 3 2 3 3 2 3" xfId="16036"/>
    <cellStyle name="40% - Accent3 4 3 2 3 3 3" xfId="12474"/>
    <cellStyle name="40% - Accent3 4 3 2 3 3 3 2" xfId="16037"/>
    <cellStyle name="40% - Accent3 4 3 2 3 3 4" xfId="16038"/>
    <cellStyle name="40% - Accent3 4 3 2 3 4" xfId="4125"/>
    <cellStyle name="40% - Accent3 4 3 2 3 4 2" xfId="12476"/>
    <cellStyle name="40% - Accent3 4 3 2 3 4 2 2" xfId="16039"/>
    <cellStyle name="40% - Accent3 4 3 2 3 4 3" xfId="16040"/>
    <cellStyle name="40% - Accent3 4 3 2 3 5" xfId="7810"/>
    <cellStyle name="40% - Accent3 4 3 2 3 5 2" xfId="16041"/>
    <cellStyle name="40% - Accent3 4 3 2 3 6" xfId="16042"/>
    <cellStyle name="40% - Accent3 4 3 2 4" xfId="2352"/>
    <cellStyle name="40% - Accent3 4 3 2 4 2" xfId="3369"/>
    <cellStyle name="40% - Accent3 4 3 2 4 2 2" xfId="5403"/>
    <cellStyle name="40% - Accent3 4 3 2 4 2 2 2" xfId="12478"/>
    <cellStyle name="40% - Accent3 4 3 2 4 2 2 2 2" xfId="16043"/>
    <cellStyle name="40% - Accent3 4 3 2 4 2 2 3" xfId="16044"/>
    <cellStyle name="40% - Accent3 4 3 2 4 2 3" xfId="12477"/>
    <cellStyle name="40% - Accent3 4 3 2 4 2 3 2" xfId="16045"/>
    <cellStyle name="40% - Accent3 4 3 2 4 2 4" xfId="16046"/>
    <cellStyle name="40% - Accent3 4 3 2 4 3" xfId="4386"/>
    <cellStyle name="40% - Accent3 4 3 2 4 3 2" xfId="12479"/>
    <cellStyle name="40% - Accent3 4 3 2 4 3 2 2" xfId="16047"/>
    <cellStyle name="40% - Accent3 4 3 2 4 3 3" xfId="16048"/>
    <cellStyle name="40% - Accent3 4 3 2 4 4" xfId="7812"/>
    <cellStyle name="40% - Accent3 4 3 2 4 4 2" xfId="16049"/>
    <cellStyle name="40% - Accent3 4 3 2 4 5" xfId="16050"/>
    <cellStyle name="40% - Accent3 4 3 2 5" xfId="2856"/>
    <cellStyle name="40% - Accent3 4 3 2 5 2" xfId="4890"/>
    <cellStyle name="40% - Accent3 4 3 2 5 2 2" xfId="12481"/>
    <cellStyle name="40% - Accent3 4 3 2 5 2 2 2" xfId="16051"/>
    <cellStyle name="40% - Accent3 4 3 2 5 2 3" xfId="16052"/>
    <cellStyle name="40% - Accent3 4 3 2 5 3" xfId="12480"/>
    <cellStyle name="40% - Accent3 4 3 2 5 3 2" xfId="16053"/>
    <cellStyle name="40% - Accent3 4 3 2 5 4" xfId="16054"/>
    <cellStyle name="40% - Accent3 4 3 2 6" xfId="3873"/>
    <cellStyle name="40% - Accent3 4 3 2 6 2" xfId="12482"/>
    <cellStyle name="40% - Accent3 4 3 2 6 2 2" xfId="16055"/>
    <cellStyle name="40% - Accent3 4 3 2 6 3" xfId="16056"/>
    <cellStyle name="40% - Accent3 4 3 2 7" xfId="7805"/>
    <cellStyle name="40% - Accent3 4 3 2 7 2" xfId="16057"/>
    <cellStyle name="40% - Accent3 4 3 2 8" xfId="16058"/>
    <cellStyle name="40% - Accent3 4 3 3" xfId="1850"/>
    <cellStyle name="40% - Accent3 4 3 3 2" xfId="1976"/>
    <cellStyle name="40% - Accent3 4 3 3 2 2" xfId="2228"/>
    <cellStyle name="40% - Accent3 4 3 3 2 2 2" xfId="2772"/>
    <cellStyle name="40% - Accent3 4 3 3 2 2 2 2" xfId="3789"/>
    <cellStyle name="40% - Accent3 4 3 3 2 2 2 2 2" xfId="5823"/>
    <cellStyle name="40% - Accent3 4 3 3 2 2 2 2 2 2" xfId="12484"/>
    <cellStyle name="40% - Accent3 4 3 3 2 2 2 2 2 2 2" xfId="16059"/>
    <cellStyle name="40% - Accent3 4 3 3 2 2 2 2 2 3" xfId="16060"/>
    <cellStyle name="40% - Accent3 4 3 3 2 2 2 2 3" xfId="12483"/>
    <cellStyle name="40% - Accent3 4 3 3 2 2 2 2 3 2" xfId="16061"/>
    <cellStyle name="40% - Accent3 4 3 3 2 2 2 2 4" xfId="16062"/>
    <cellStyle name="40% - Accent3 4 3 3 2 2 2 3" xfId="4806"/>
    <cellStyle name="40% - Accent3 4 3 3 2 2 2 3 2" xfId="12485"/>
    <cellStyle name="40% - Accent3 4 3 3 2 2 2 3 2 2" xfId="16063"/>
    <cellStyle name="40% - Accent3 4 3 3 2 2 2 3 3" xfId="16064"/>
    <cellStyle name="40% - Accent3 4 3 3 2 2 2 4" xfId="7816"/>
    <cellStyle name="40% - Accent3 4 3 3 2 2 2 4 2" xfId="16065"/>
    <cellStyle name="40% - Accent3 4 3 3 2 2 2 5" xfId="16066"/>
    <cellStyle name="40% - Accent3 4 3 3 2 2 3" xfId="3276"/>
    <cellStyle name="40% - Accent3 4 3 3 2 2 3 2" xfId="5310"/>
    <cellStyle name="40% - Accent3 4 3 3 2 2 3 2 2" xfId="12487"/>
    <cellStyle name="40% - Accent3 4 3 3 2 2 3 2 2 2" xfId="16067"/>
    <cellStyle name="40% - Accent3 4 3 3 2 2 3 2 3" xfId="16068"/>
    <cellStyle name="40% - Accent3 4 3 3 2 2 3 3" xfId="12486"/>
    <cellStyle name="40% - Accent3 4 3 3 2 2 3 3 2" xfId="16069"/>
    <cellStyle name="40% - Accent3 4 3 3 2 2 3 4" xfId="16070"/>
    <cellStyle name="40% - Accent3 4 3 3 2 2 4" xfId="4293"/>
    <cellStyle name="40% - Accent3 4 3 3 2 2 4 2" xfId="12488"/>
    <cellStyle name="40% - Accent3 4 3 3 2 2 4 2 2" xfId="16071"/>
    <cellStyle name="40% - Accent3 4 3 3 2 2 4 3" xfId="16072"/>
    <cellStyle name="40% - Accent3 4 3 3 2 2 5" xfId="7815"/>
    <cellStyle name="40% - Accent3 4 3 3 2 2 5 2" xfId="16073"/>
    <cellStyle name="40% - Accent3 4 3 3 2 2 6" xfId="16074"/>
    <cellStyle name="40% - Accent3 4 3 3 2 3" xfId="2520"/>
    <cellStyle name="40% - Accent3 4 3 3 2 3 2" xfId="3537"/>
    <cellStyle name="40% - Accent3 4 3 3 2 3 2 2" xfId="5571"/>
    <cellStyle name="40% - Accent3 4 3 3 2 3 2 2 2" xfId="12490"/>
    <cellStyle name="40% - Accent3 4 3 3 2 3 2 2 2 2" xfId="16075"/>
    <cellStyle name="40% - Accent3 4 3 3 2 3 2 2 3" xfId="16076"/>
    <cellStyle name="40% - Accent3 4 3 3 2 3 2 3" xfId="12489"/>
    <cellStyle name="40% - Accent3 4 3 3 2 3 2 3 2" xfId="16077"/>
    <cellStyle name="40% - Accent3 4 3 3 2 3 2 4" xfId="16078"/>
    <cellStyle name="40% - Accent3 4 3 3 2 3 3" xfId="4554"/>
    <cellStyle name="40% - Accent3 4 3 3 2 3 3 2" xfId="12491"/>
    <cellStyle name="40% - Accent3 4 3 3 2 3 3 2 2" xfId="16079"/>
    <cellStyle name="40% - Accent3 4 3 3 2 3 3 3" xfId="16080"/>
    <cellStyle name="40% - Accent3 4 3 3 2 3 4" xfId="7817"/>
    <cellStyle name="40% - Accent3 4 3 3 2 3 4 2" xfId="16081"/>
    <cellStyle name="40% - Accent3 4 3 3 2 3 5" xfId="16082"/>
    <cellStyle name="40% - Accent3 4 3 3 2 4" xfId="3024"/>
    <cellStyle name="40% - Accent3 4 3 3 2 4 2" xfId="5058"/>
    <cellStyle name="40% - Accent3 4 3 3 2 4 2 2" xfId="12493"/>
    <cellStyle name="40% - Accent3 4 3 3 2 4 2 2 2" xfId="16083"/>
    <cellStyle name="40% - Accent3 4 3 3 2 4 2 3" xfId="16084"/>
    <cellStyle name="40% - Accent3 4 3 3 2 4 3" xfId="12492"/>
    <cellStyle name="40% - Accent3 4 3 3 2 4 3 2" xfId="16085"/>
    <cellStyle name="40% - Accent3 4 3 3 2 4 4" xfId="16086"/>
    <cellStyle name="40% - Accent3 4 3 3 2 5" xfId="4041"/>
    <cellStyle name="40% - Accent3 4 3 3 2 5 2" xfId="12494"/>
    <cellStyle name="40% - Accent3 4 3 3 2 5 2 2" xfId="16087"/>
    <cellStyle name="40% - Accent3 4 3 3 2 5 3" xfId="16088"/>
    <cellStyle name="40% - Accent3 4 3 3 2 6" xfId="7814"/>
    <cellStyle name="40% - Accent3 4 3 3 2 6 2" xfId="16089"/>
    <cellStyle name="40% - Accent3 4 3 3 2 7" xfId="16090"/>
    <cellStyle name="40% - Accent3 4 3 3 3" xfId="2102"/>
    <cellStyle name="40% - Accent3 4 3 3 3 2" xfId="2646"/>
    <cellStyle name="40% - Accent3 4 3 3 3 2 2" xfId="3663"/>
    <cellStyle name="40% - Accent3 4 3 3 3 2 2 2" xfId="5697"/>
    <cellStyle name="40% - Accent3 4 3 3 3 2 2 2 2" xfId="12496"/>
    <cellStyle name="40% - Accent3 4 3 3 3 2 2 2 2 2" xfId="16091"/>
    <cellStyle name="40% - Accent3 4 3 3 3 2 2 2 3" xfId="16092"/>
    <cellStyle name="40% - Accent3 4 3 3 3 2 2 3" xfId="12495"/>
    <cellStyle name="40% - Accent3 4 3 3 3 2 2 3 2" xfId="16093"/>
    <cellStyle name="40% - Accent3 4 3 3 3 2 2 4" xfId="16094"/>
    <cellStyle name="40% - Accent3 4 3 3 3 2 3" xfId="4680"/>
    <cellStyle name="40% - Accent3 4 3 3 3 2 3 2" xfId="12497"/>
    <cellStyle name="40% - Accent3 4 3 3 3 2 3 2 2" xfId="16095"/>
    <cellStyle name="40% - Accent3 4 3 3 3 2 3 3" xfId="16096"/>
    <cellStyle name="40% - Accent3 4 3 3 3 2 4" xfId="7819"/>
    <cellStyle name="40% - Accent3 4 3 3 3 2 4 2" xfId="16097"/>
    <cellStyle name="40% - Accent3 4 3 3 3 2 5" xfId="16098"/>
    <cellStyle name="40% - Accent3 4 3 3 3 3" xfId="3150"/>
    <cellStyle name="40% - Accent3 4 3 3 3 3 2" xfId="5184"/>
    <cellStyle name="40% - Accent3 4 3 3 3 3 2 2" xfId="12499"/>
    <cellStyle name="40% - Accent3 4 3 3 3 3 2 2 2" xfId="16099"/>
    <cellStyle name="40% - Accent3 4 3 3 3 3 2 3" xfId="16100"/>
    <cellStyle name="40% - Accent3 4 3 3 3 3 3" xfId="12498"/>
    <cellStyle name="40% - Accent3 4 3 3 3 3 3 2" xfId="16101"/>
    <cellStyle name="40% - Accent3 4 3 3 3 3 4" xfId="16102"/>
    <cellStyle name="40% - Accent3 4 3 3 3 4" xfId="4167"/>
    <cellStyle name="40% - Accent3 4 3 3 3 4 2" xfId="12500"/>
    <cellStyle name="40% - Accent3 4 3 3 3 4 2 2" xfId="16103"/>
    <cellStyle name="40% - Accent3 4 3 3 3 4 3" xfId="16104"/>
    <cellStyle name="40% - Accent3 4 3 3 3 5" xfId="7818"/>
    <cellStyle name="40% - Accent3 4 3 3 3 5 2" xfId="16105"/>
    <cellStyle name="40% - Accent3 4 3 3 3 6" xfId="16106"/>
    <cellStyle name="40% - Accent3 4 3 3 4" xfId="2394"/>
    <cellStyle name="40% - Accent3 4 3 3 4 2" xfId="3411"/>
    <cellStyle name="40% - Accent3 4 3 3 4 2 2" xfId="5445"/>
    <cellStyle name="40% - Accent3 4 3 3 4 2 2 2" xfId="12502"/>
    <cellStyle name="40% - Accent3 4 3 3 4 2 2 2 2" xfId="16107"/>
    <cellStyle name="40% - Accent3 4 3 3 4 2 2 3" xfId="16108"/>
    <cellStyle name="40% - Accent3 4 3 3 4 2 3" xfId="12501"/>
    <cellStyle name="40% - Accent3 4 3 3 4 2 3 2" xfId="16109"/>
    <cellStyle name="40% - Accent3 4 3 3 4 2 4" xfId="16110"/>
    <cellStyle name="40% - Accent3 4 3 3 4 3" xfId="4428"/>
    <cellStyle name="40% - Accent3 4 3 3 4 3 2" xfId="12503"/>
    <cellStyle name="40% - Accent3 4 3 3 4 3 2 2" xfId="16111"/>
    <cellStyle name="40% - Accent3 4 3 3 4 3 3" xfId="16112"/>
    <cellStyle name="40% - Accent3 4 3 3 4 4" xfId="7820"/>
    <cellStyle name="40% - Accent3 4 3 3 4 4 2" xfId="16113"/>
    <cellStyle name="40% - Accent3 4 3 3 4 5" xfId="16114"/>
    <cellStyle name="40% - Accent3 4 3 3 5" xfId="2898"/>
    <cellStyle name="40% - Accent3 4 3 3 5 2" xfId="4932"/>
    <cellStyle name="40% - Accent3 4 3 3 5 2 2" xfId="12505"/>
    <cellStyle name="40% - Accent3 4 3 3 5 2 2 2" xfId="16115"/>
    <cellStyle name="40% - Accent3 4 3 3 5 2 3" xfId="16116"/>
    <cellStyle name="40% - Accent3 4 3 3 5 3" xfId="12504"/>
    <cellStyle name="40% - Accent3 4 3 3 5 3 2" xfId="16117"/>
    <cellStyle name="40% - Accent3 4 3 3 5 4" xfId="16118"/>
    <cellStyle name="40% - Accent3 4 3 3 6" xfId="3915"/>
    <cellStyle name="40% - Accent3 4 3 3 6 2" xfId="12506"/>
    <cellStyle name="40% - Accent3 4 3 3 6 2 2" xfId="16119"/>
    <cellStyle name="40% - Accent3 4 3 3 6 3" xfId="16120"/>
    <cellStyle name="40% - Accent3 4 3 3 7" xfId="7813"/>
    <cellStyle name="40% - Accent3 4 3 3 7 2" xfId="16121"/>
    <cellStyle name="40% - Accent3 4 3 3 8" xfId="16122"/>
    <cellStyle name="40% - Accent3 4 3 4" xfId="1892"/>
    <cellStyle name="40% - Accent3 4 3 4 2" xfId="2144"/>
    <cellStyle name="40% - Accent3 4 3 4 2 2" xfId="2688"/>
    <cellStyle name="40% - Accent3 4 3 4 2 2 2" xfId="3705"/>
    <cellStyle name="40% - Accent3 4 3 4 2 2 2 2" xfId="5739"/>
    <cellStyle name="40% - Accent3 4 3 4 2 2 2 2 2" xfId="12508"/>
    <cellStyle name="40% - Accent3 4 3 4 2 2 2 2 2 2" xfId="16123"/>
    <cellStyle name="40% - Accent3 4 3 4 2 2 2 2 3" xfId="16124"/>
    <cellStyle name="40% - Accent3 4 3 4 2 2 2 3" xfId="12507"/>
    <cellStyle name="40% - Accent3 4 3 4 2 2 2 3 2" xfId="16125"/>
    <cellStyle name="40% - Accent3 4 3 4 2 2 2 4" xfId="16126"/>
    <cellStyle name="40% - Accent3 4 3 4 2 2 3" xfId="4722"/>
    <cellStyle name="40% - Accent3 4 3 4 2 2 3 2" xfId="12509"/>
    <cellStyle name="40% - Accent3 4 3 4 2 2 3 2 2" xfId="16127"/>
    <cellStyle name="40% - Accent3 4 3 4 2 2 3 3" xfId="16128"/>
    <cellStyle name="40% - Accent3 4 3 4 2 2 4" xfId="7823"/>
    <cellStyle name="40% - Accent3 4 3 4 2 2 4 2" xfId="16129"/>
    <cellStyle name="40% - Accent3 4 3 4 2 2 5" xfId="16130"/>
    <cellStyle name="40% - Accent3 4 3 4 2 3" xfId="3192"/>
    <cellStyle name="40% - Accent3 4 3 4 2 3 2" xfId="5226"/>
    <cellStyle name="40% - Accent3 4 3 4 2 3 2 2" xfId="12511"/>
    <cellStyle name="40% - Accent3 4 3 4 2 3 2 2 2" xfId="16131"/>
    <cellStyle name="40% - Accent3 4 3 4 2 3 2 3" xfId="16132"/>
    <cellStyle name="40% - Accent3 4 3 4 2 3 3" xfId="12510"/>
    <cellStyle name="40% - Accent3 4 3 4 2 3 3 2" xfId="16133"/>
    <cellStyle name="40% - Accent3 4 3 4 2 3 4" xfId="16134"/>
    <cellStyle name="40% - Accent3 4 3 4 2 4" xfId="4209"/>
    <cellStyle name="40% - Accent3 4 3 4 2 4 2" xfId="12512"/>
    <cellStyle name="40% - Accent3 4 3 4 2 4 2 2" xfId="16135"/>
    <cellStyle name="40% - Accent3 4 3 4 2 4 3" xfId="16136"/>
    <cellStyle name="40% - Accent3 4 3 4 2 5" xfId="7822"/>
    <cellStyle name="40% - Accent3 4 3 4 2 5 2" xfId="16137"/>
    <cellStyle name="40% - Accent3 4 3 4 2 6" xfId="16138"/>
    <cellStyle name="40% - Accent3 4 3 4 3" xfId="2436"/>
    <cellStyle name="40% - Accent3 4 3 4 3 2" xfId="3453"/>
    <cellStyle name="40% - Accent3 4 3 4 3 2 2" xfId="5487"/>
    <cellStyle name="40% - Accent3 4 3 4 3 2 2 2" xfId="12514"/>
    <cellStyle name="40% - Accent3 4 3 4 3 2 2 2 2" xfId="16139"/>
    <cellStyle name="40% - Accent3 4 3 4 3 2 2 3" xfId="16140"/>
    <cellStyle name="40% - Accent3 4 3 4 3 2 3" xfId="12513"/>
    <cellStyle name="40% - Accent3 4 3 4 3 2 3 2" xfId="16141"/>
    <cellStyle name="40% - Accent3 4 3 4 3 2 4" xfId="16142"/>
    <cellStyle name="40% - Accent3 4 3 4 3 3" xfId="4470"/>
    <cellStyle name="40% - Accent3 4 3 4 3 3 2" xfId="12515"/>
    <cellStyle name="40% - Accent3 4 3 4 3 3 2 2" xfId="16143"/>
    <cellStyle name="40% - Accent3 4 3 4 3 3 3" xfId="16144"/>
    <cellStyle name="40% - Accent3 4 3 4 3 4" xfId="7824"/>
    <cellStyle name="40% - Accent3 4 3 4 3 4 2" xfId="16145"/>
    <cellStyle name="40% - Accent3 4 3 4 3 5" xfId="16146"/>
    <cellStyle name="40% - Accent3 4 3 4 4" xfId="2940"/>
    <cellStyle name="40% - Accent3 4 3 4 4 2" xfId="4974"/>
    <cellStyle name="40% - Accent3 4 3 4 4 2 2" xfId="12517"/>
    <cellStyle name="40% - Accent3 4 3 4 4 2 2 2" xfId="16147"/>
    <cellStyle name="40% - Accent3 4 3 4 4 2 3" xfId="16148"/>
    <cellStyle name="40% - Accent3 4 3 4 4 3" xfId="12516"/>
    <cellStyle name="40% - Accent3 4 3 4 4 3 2" xfId="16149"/>
    <cellStyle name="40% - Accent3 4 3 4 4 4" xfId="16150"/>
    <cellStyle name="40% - Accent3 4 3 4 5" xfId="3957"/>
    <cellStyle name="40% - Accent3 4 3 4 5 2" xfId="12518"/>
    <cellStyle name="40% - Accent3 4 3 4 5 2 2" xfId="16151"/>
    <cellStyle name="40% - Accent3 4 3 4 5 3" xfId="16152"/>
    <cellStyle name="40% - Accent3 4 3 4 6" xfId="7821"/>
    <cellStyle name="40% - Accent3 4 3 4 6 2" xfId="16153"/>
    <cellStyle name="40% - Accent3 4 3 4 7" xfId="16154"/>
    <cellStyle name="40% - Accent3 4 3 5" xfId="2018"/>
    <cellStyle name="40% - Accent3 4 3 5 2" xfId="2562"/>
    <cellStyle name="40% - Accent3 4 3 5 2 2" xfId="3579"/>
    <cellStyle name="40% - Accent3 4 3 5 2 2 2" xfId="5613"/>
    <cellStyle name="40% - Accent3 4 3 5 2 2 2 2" xfId="12520"/>
    <cellStyle name="40% - Accent3 4 3 5 2 2 2 2 2" xfId="16155"/>
    <cellStyle name="40% - Accent3 4 3 5 2 2 2 3" xfId="16156"/>
    <cellStyle name="40% - Accent3 4 3 5 2 2 3" xfId="12519"/>
    <cellStyle name="40% - Accent3 4 3 5 2 2 3 2" xfId="16157"/>
    <cellStyle name="40% - Accent3 4 3 5 2 2 4" xfId="16158"/>
    <cellStyle name="40% - Accent3 4 3 5 2 3" xfId="4596"/>
    <cellStyle name="40% - Accent3 4 3 5 2 3 2" xfId="12521"/>
    <cellStyle name="40% - Accent3 4 3 5 2 3 2 2" xfId="16159"/>
    <cellStyle name="40% - Accent3 4 3 5 2 3 3" xfId="16160"/>
    <cellStyle name="40% - Accent3 4 3 5 2 4" xfId="7826"/>
    <cellStyle name="40% - Accent3 4 3 5 2 4 2" xfId="16161"/>
    <cellStyle name="40% - Accent3 4 3 5 2 5" xfId="16162"/>
    <cellStyle name="40% - Accent3 4 3 5 3" xfId="3066"/>
    <cellStyle name="40% - Accent3 4 3 5 3 2" xfId="5100"/>
    <cellStyle name="40% - Accent3 4 3 5 3 2 2" xfId="12523"/>
    <cellStyle name="40% - Accent3 4 3 5 3 2 2 2" xfId="16163"/>
    <cellStyle name="40% - Accent3 4 3 5 3 2 3" xfId="16164"/>
    <cellStyle name="40% - Accent3 4 3 5 3 3" xfId="12522"/>
    <cellStyle name="40% - Accent3 4 3 5 3 3 2" xfId="16165"/>
    <cellStyle name="40% - Accent3 4 3 5 3 4" xfId="16166"/>
    <cellStyle name="40% - Accent3 4 3 5 4" xfId="4083"/>
    <cellStyle name="40% - Accent3 4 3 5 4 2" xfId="12524"/>
    <cellStyle name="40% - Accent3 4 3 5 4 2 2" xfId="16167"/>
    <cellStyle name="40% - Accent3 4 3 5 4 3" xfId="16168"/>
    <cellStyle name="40% - Accent3 4 3 5 5" xfId="7825"/>
    <cellStyle name="40% - Accent3 4 3 5 5 2" xfId="16169"/>
    <cellStyle name="40% - Accent3 4 3 5 6" xfId="16170"/>
    <cellStyle name="40% - Accent3 4 3 6" xfId="2310"/>
    <cellStyle name="40% - Accent3 4 3 6 2" xfId="3327"/>
    <cellStyle name="40% - Accent3 4 3 6 2 2" xfId="5361"/>
    <cellStyle name="40% - Accent3 4 3 6 2 2 2" xfId="12526"/>
    <cellStyle name="40% - Accent3 4 3 6 2 2 2 2" xfId="16171"/>
    <cellStyle name="40% - Accent3 4 3 6 2 2 3" xfId="16172"/>
    <cellStyle name="40% - Accent3 4 3 6 2 3" xfId="12525"/>
    <cellStyle name="40% - Accent3 4 3 6 2 3 2" xfId="16173"/>
    <cellStyle name="40% - Accent3 4 3 6 2 4" xfId="16174"/>
    <cellStyle name="40% - Accent3 4 3 6 3" xfId="4344"/>
    <cellStyle name="40% - Accent3 4 3 6 3 2" xfId="12527"/>
    <cellStyle name="40% - Accent3 4 3 6 3 2 2" xfId="16175"/>
    <cellStyle name="40% - Accent3 4 3 6 3 3" xfId="16176"/>
    <cellStyle name="40% - Accent3 4 3 6 4" xfId="7827"/>
    <cellStyle name="40% - Accent3 4 3 6 4 2" xfId="16177"/>
    <cellStyle name="40% - Accent3 4 3 6 5" xfId="16178"/>
    <cellStyle name="40% - Accent3 4 3 7" xfId="2814"/>
    <cellStyle name="40% - Accent3 4 3 7 2" xfId="4848"/>
    <cellStyle name="40% - Accent3 4 3 7 2 2" xfId="12529"/>
    <cellStyle name="40% - Accent3 4 3 7 2 2 2" xfId="16179"/>
    <cellStyle name="40% - Accent3 4 3 7 2 3" xfId="16180"/>
    <cellStyle name="40% - Accent3 4 3 7 3" xfId="12528"/>
    <cellStyle name="40% - Accent3 4 3 7 3 2" xfId="16181"/>
    <cellStyle name="40% - Accent3 4 3 7 4" xfId="16182"/>
    <cellStyle name="40% - Accent3 4 3 8" xfId="3831"/>
    <cellStyle name="40% - Accent3 4 3 8 2" xfId="12530"/>
    <cellStyle name="40% - Accent3 4 3 8 2 2" xfId="16183"/>
    <cellStyle name="40% - Accent3 4 3 8 3" xfId="16184"/>
    <cellStyle name="40% - Accent3 4 3 9" xfId="7804"/>
    <cellStyle name="40% - Accent3 4 3 9 2" xfId="16185"/>
    <cellStyle name="40% - Accent3 4 4" xfId="1780"/>
    <cellStyle name="40% - Accent3 4 4 2" xfId="1906"/>
    <cellStyle name="40% - Accent3 4 4 2 2" xfId="2158"/>
    <cellStyle name="40% - Accent3 4 4 2 2 2" xfId="2702"/>
    <cellStyle name="40% - Accent3 4 4 2 2 2 2" xfId="3719"/>
    <cellStyle name="40% - Accent3 4 4 2 2 2 2 2" xfId="5753"/>
    <cellStyle name="40% - Accent3 4 4 2 2 2 2 2 2" xfId="12532"/>
    <cellStyle name="40% - Accent3 4 4 2 2 2 2 2 2 2" xfId="16186"/>
    <cellStyle name="40% - Accent3 4 4 2 2 2 2 2 3" xfId="16187"/>
    <cellStyle name="40% - Accent3 4 4 2 2 2 2 3" xfId="12531"/>
    <cellStyle name="40% - Accent3 4 4 2 2 2 2 3 2" xfId="16188"/>
    <cellStyle name="40% - Accent3 4 4 2 2 2 2 4" xfId="16189"/>
    <cellStyle name="40% - Accent3 4 4 2 2 2 3" xfId="4736"/>
    <cellStyle name="40% - Accent3 4 4 2 2 2 3 2" xfId="12533"/>
    <cellStyle name="40% - Accent3 4 4 2 2 2 3 2 2" xfId="16190"/>
    <cellStyle name="40% - Accent3 4 4 2 2 2 3 3" xfId="16191"/>
    <cellStyle name="40% - Accent3 4 4 2 2 2 4" xfId="7831"/>
    <cellStyle name="40% - Accent3 4 4 2 2 2 4 2" xfId="16192"/>
    <cellStyle name="40% - Accent3 4 4 2 2 2 5" xfId="16193"/>
    <cellStyle name="40% - Accent3 4 4 2 2 3" xfId="3206"/>
    <cellStyle name="40% - Accent3 4 4 2 2 3 2" xfId="5240"/>
    <cellStyle name="40% - Accent3 4 4 2 2 3 2 2" xfId="12535"/>
    <cellStyle name="40% - Accent3 4 4 2 2 3 2 2 2" xfId="16194"/>
    <cellStyle name="40% - Accent3 4 4 2 2 3 2 3" xfId="16195"/>
    <cellStyle name="40% - Accent3 4 4 2 2 3 3" xfId="12534"/>
    <cellStyle name="40% - Accent3 4 4 2 2 3 3 2" xfId="16196"/>
    <cellStyle name="40% - Accent3 4 4 2 2 3 4" xfId="16197"/>
    <cellStyle name="40% - Accent3 4 4 2 2 4" xfId="4223"/>
    <cellStyle name="40% - Accent3 4 4 2 2 4 2" xfId="12536"/>
    <cellStyle name="40% - Accent3 4 4 2 2 4 2 2" xfId="16198"/>
    <cellStyle name="40% - Accent3 4 4 2 2 4 3" xfId="16199"/>
    <cellStyle name="40% - Accent3 4 4 2 2 5" xfId="7830"/>
    <cellStyle name="40% - Accent3 4 4 2 2 5 2" xfId="16200"/>
    <cellStyle name="40% - Accent3 4 4 2 2 6" xfId="16201"/>
    <cellStyle name="40% - Accent3 4 4 2 3" xfId="2450"/>
    <cellStyle name="40% - Accent3 4 4 2 3 2" xfId="3467"/>
    <cellStyle name="40% - Accent3 4 4 2 3 2 2" xfId="5501"/>
    <cellStyle name="40% - Accent3 4 4 2 3 2 2 2" xfId="12538"/>
    <cellStyle name="40% - Accent3 4 4 2 3 2 2 2 2" xfId="16202"/>
    <cellStyle name="40% - Accent3 4 4 2 3 2 2 3" xfId="16203"/>
    <cellStyle name="40% - Accent3 4 4 2 3 2 3" xfId="12537"/>
    <cellStyle name="40% - Accent3 4 4 2 3 2 3 2" xfId="16204"/>
    <cellStyle name="40% - Accent3 4 4 2 3 2 4" xfId="16205"/>
    <cellStyle name="40% - Accent3 4 4 2 3 3" xfId="4484"/>
    <cellStyle name="40% - Accent3 4 4 2 3 3 2" xfId="12539"/>
    <cellStyle name="40% - Accent3 4 4 2 3 3 2 2" xfId="16206"/>
    <cellStyle name="40% - Accent3 4 4 2 3 3 3" xfId="16207"/>
    <cellStyle name="40% - Accent3 4 4 2 3 4" xfId="7832"/>
    <cellStyle name="40% - Accent3 4 4 2 3 4 2" xfId="16208"/>
    <cellStyle name="40% - Accent3 4 4 2 3 5" xfId="16209"/>
    <cellStyle name="40% - Accent3 4 4 2 4" xfId="2954"/>
    <cellStyle name="40% - Accent3 4 4 2 4 2" xfId="4988"/>
    <cellStyle name="40% - Accent3 4 4 2 4 2 2" xfId="12541"/>
    <cellStyle name="40% - Accent3 4 4 2 4 2 2 2" xfId="16210"/>
    <cellStyle name="40% - Accent3 4 4 2 4 2 3" xfId="16211"/>
    <cellStyle name="40% - Accent3 4 4 2 4 3" xfId="12540"/>
    <cellStyle name="40% - Accent3 4 4 2 4 3 2" xfId="16212"/>
    <cellStyle name="40% - Accent3 4 4 2 4 4" xfId="16213"/>
    <cellStyle name="40% - Accent3 4 4 2 5" xfId="3971"/>
    <cellStyle name="40% - Accent3 4 4 2 5 2" xfId="12542"/>
    <cellStyle name="40% - Accent3 4 4 2 5 2 2" xfId="16214"/>
    <cellStyle name="40% - Accent3 4 4 2 5 3" xfId="16215"/>
    <cellStyle name="40% - Accent3 4 4 2 6" xfId="7829"/>
    <cellStyle name="40% - Accent3 4 4 2 6 2" xfId="16216"/>
    <cellStyle name="40% - Accent3 4 4 2 7" xfId="16217"/>
    <cellStyle name="40% - Accent3 4 4 3" xfId="2032"/>
    <cellStyle name="40% - Accent3 4 4 3 2" xfId="2576"/>
    <cellStyle name="40% - Accent3 4 4 3 2 2" xfId="3593"/>
    <cellStyle name="40% - Accent3 4 4 3 2 2 2" xfId="5627"/>
    <cellStyle name="40% - Accent3 4 4 3 2 2 2 2" xfId="12544"/>
    <cellStyle name="40% - Accent3 4 4 3 2 2 2 2 2" xfId="16218"/>
    <cellStyle name="40% - Accent3 4 4 3 2 2 2 3" xfId="16219"/>
    <cellStyle name="40% - Accent3 4 4 3 2 2 3" xfId="12543"/>
    <cellStyle name="40% - Accent3 4 4 3 2 2 3 2" xfId="16220"/>
    <cellStyle name="40% - Accent3 4 4 3 2 2 4" xfId="16221"/>
    <cellStyle name="40% - Accent3 4 4 3 2 3" xfId="4610"/>
    <cellStyle name="40% - Accent3 4 4 3 2 3 2" xfId="12545"/>
    <cellStyle name="40% - Accent3 4 4 3 2 3 2 2" xfId="16222"/>
    <cellStyle name="40% - Accent3 4 4 3 2 3 3" xfId="16223"/>
    <cellStyle name="40% - Accent3 4 4 3 2 4" xfId="7834"/>
    <cellStyle name="40% - Accent3 4 4 3 2 4 2" xfId="16224"/>
    <cellStyle name="40% - Accent3 4 4 3 2 5" xfId="16225"/>
    <cellStyle name="40% - Accent3 4 4 3 3" xfId="3080"/>
    <cellStyle name="40% - Accent3 4 4 3 3 2" xfId="5114"/>
    <cellStyle name="40% - Accent3 4 4 3 3 2 2" xfId="12547"/>
    <cellStyle name="40% - Accent3 4 4 3 3 2 2 2" xfId="16226"/>
    <cellStyle name="40% - Accent3 4 4 3 3 2 3" xfId="16227"/>
    <cellStyle name="40% - Accent3 4 4 3 3 3" xfId="12546"/>
    <cellStyle name="40% - Accent3 4 4 3 3 3 2" xfId="16228"/>
    <cellStyle name="40% - Accent3 4 4 3 3 4" xfId="16229"/>
    <cellStyle name="40% - Accent3 4 4 3 4" xfId="4097"/>
    <cellStyle name="40% - Accent3 4 4 3 4 2" xfId="12548"/>
    <cellStyle name="40% - Accent3 4 4 3 4 2 2" xfId="16230"/>
    <cellStyle name="40% - Accent3 4 4 3 4 3" xfId="16231"/>
    <cellStyle name="40% - Accent3 4 4 3 5" xfId="7833"/>
    <cellStyle name="40% - Accent3 4 4 3 5 2" xfId="16232"/>
    <cellStyle name="40% - Accent3 4 4 3 6" xfId="16233"/>
    <cellStyle name="40% - Accent3 4 4 4" xfId="2324"/>
    <cellStyle name="40% - Accent3 4 4 4 2" xfId="3341"/>
    <cellStyle name="40% - Accent3 4 4 4 2 2" xfId="5375"/>
    <cellStyle name="40% - Accent3 4 4 4 2 2 2" xfId="12550"/>
    <cellStyle name="40% - Accent3 4 4 4 2 2 2 2" xfId="16234"/>
    <cellStyle name="40% - Accent3 4 4 4 2 2 3" xfId="16235"/>
    <cellStyle name="40% - Accent3 4 4 4 2 3" xfId="12549"/>
    <cellStyle name="40% - Accent3 4 4 4 2 3 2" xfId="16236"/>
    <cellStyle name="40% - Accent3 4 4 4 2 4" xfId="16237"/>
    <cellStyle name="40% - Accent3 4 4 4 3" xfId="4358"/>
    <cellStyle name="40% - Accent3 4 4 4 3 2" xfId="12551"/>
    <cellStyle name="40% - Accent3 4 4 4 3 2 2" xfId="16238"/>
    <cellStyle name="40% - Accent3 4 4 4 3 3" xfId="16239"/>
    <cellStyle name="40% - Accent3 4 4 4 4" xfId="7835"/>
    <cellStyle name="40% - Accent3 4 4 4 4 2" xfId="16240"/>
    <cellStyle name="40% - Accent3 4 4 4 5" xfId="16241"/>
    <cellStyle name="40% - Accent3 4 4 5" xfId="2828"/>
    <cellStyle name="40% - Accent3 4 4 5 2" xfId="4862"/>
    <cellStyle name="40% - Accent3 4 4 5 2 2" xfId="12553"/>
    <cellStyle name="40% - Accent3 4 4 5 2 2 2" xfId="16242"/>
    <cellStyle name="40% - Accent3 4 4 5 2 3" xfId="16243"/>
    <cellStyle name="40% - Accent3 4 4 5 3" xfId="12552"/>
    <cellStyle name="40% - Accent3 4 4 5 3 2" xfId="16244"/>
    <cellStyle name="40% - Accent3 4 4 5 4" xfId="16245"/>
    <cellStyle name="40% - Accent3 4 4 6" xfId="3845"/>
    <cellStyle name="40% - Accent3 4 4 6 2" xfId="12554"/>
    <cellStyle name="40% - Accent3 4 4 6 2 2" xfId="16246"/>
    <cellStyle name="40% - Accent3 4 4 6 3" xfId="16247"/>
    <cellStyle name="40% - Accent3 4 4 7" xfId="7828"/>
    <cellStyle name="40% - Accent3 4 4 7 2" xfId="16248"/>
    <cellStyle name="40% - Accent3 4 4 8" xfId="16249"/>
    <cellStyle name="40% - Accent3 4 5" xfId="1822"/>
    <cellStyle name="40% - Accent3 4 5 2" xfId="1948"/>
    <cellStyle name="40% - Accent3 4 5 2 2" xfId="2200"/>
    <cellStyle name="40% - Accent3 4 5 2 2 2" xfId="2744"/>
    <cellStyle name="40% - Accent3 4 5 2 2 2 2" xfId="3761"/>
    <cellStyle name="40% - Accent3 4 5 2 2 2 2 2" xfId="5795"/>
    <cellStyle name="40% - Accent3 4 5 2 2 2 2 2 2" xfId="12556"/>
    <cellStyle name="40% - Accent3 4 5 2 2 2 2 2 2 2" xfId="16250"/>
    <cellStyle name="40% - Accent3 4 5 2 2 2 2 2 3" xfId="16251"/>
    <cellStyle name="40% - Accent3 4 5 2 2 2 2 3" xfId="12555"/>
    <cellStyle name="40% - Accent3 4 5 2 2 2 2 3 2" xfId="16252"/>
    <cellStyle name="40% - Accent3 4 5 2 2 2 2 4" xfId="16253"/>
    <cellStyle name="40% - Accent3 4 5 2 2 2 3" xfId="4778"/>
    <cellStyle name="40% - Accent3 4 5 2 2 2 3 2" xfId="12557"/>
    <cellStyle name="40% - Accent3 4 5 2 2 2 3 2 2" xfId="16254"/>
    <cellStyle name="40% - Accent3 4 5 2 2 2 3 3" xfId="16255"/>
    <cellStyle name="40% - Accent3 4 5 2 2 2 4" xfId="7839"/>
    <cellStyle name="40% - Accent3 4 5 2 2 2 4 2" xfId="16256"/>
    <cellStyle name="40% - Accent3 4 5 2 2 2 5" xfId="16257"/>
    <cellStyle name="40% - Accent3 4 5 2 2 3" xfId="3248"/>
    <cellStyle name="40% - Accent3 4 5 2 2 3 2" xfId="5282"/>
    <cellStyle name="40% - Accent3 4 5 2 2 3 2 2" xfId="12559"/>
    <cellStyle name="40% - Accent3 4 5 2 2 3 2 2 2" xfId="16258"/>
    <cellStyle name="40% - Accent3 4 5 2 2 3 2 3" xfId="16259"/>
    <cellStyle name="40% - Accent3 4 5 2 2 3 3" xfId="12558"/>
    <cellStyle name="40% - Accent3 4 5 2 2 3 3 2" xfId="16260"/>
    <cellStyle name="40% - Accent3 4 5 2 2 3 4" xfId="16261"/>
    <cellStyle name="40% - Accent3 4 5 2 2 4" xfId="4265"/>
    <cellStyle name="40% - Accent3 4 5 2 2 4 2" xfId="12560"/>
    <cellStyle name="40% - Accent3 4 5 2 2 4 2 2" xfId="16262"/>
    <cellStyle name="40% - Accent3 4 5 2 2 4 3" xfId="16263"/>
    <cellStyle name="40% - Accent3 4 5 2 2 5" xfId="7838"/>
    <cellStyle name="40% - Accent3 4 5 2 2 5 2" xfId="16264"/>
    <cellStyle name="40% - Accent3 4 5 2 2 6" xfId="16265"/>
    <cellStyle name="40% - Accent3 4 5 2 3" xfId="2492"/>
    <cellStyle name="40% - Accent3 4 5 2 3 2" xfId="3509"/>
    <cellStyle name="40% - Accent3 4 5 2 3 2 2" xfId="5543"/>
    <cellStyle name="40% - Accent3 4 5 2 3 2 2 2" xfId="12562"/>
    <cellStyle name="40% - Accent3 4 5 2 3 2 2 2 2" xfId="16266"/>
    <cellStyle name="40% - Accent3 4 5 2 3 2 2 3" xfId="16267"/>
    <cellStyle name="40% - Accent3 4 5 2 3 2 3" xfId="12561"/>
    <cellStyle name="40% - Accent3 4 5 2 3 2 3 2" xfId="16268"/>
    <cellStyle name="40% - Accent3 4 5 2 3 2 4" xfId="16269"/>
    <cellStyle name="40% - Accent3 4 5 2 3 3" xfId="4526"/>
    <cellStyle name="40% - Accent3 4 5 2 3 3 2" xfId="12563"/>
    <cellStyle name="40% - Accent3 4 5 2 3 3 2 2" xfId="16270"/>
    <cellStyle name="40% - Accent3 4 5 2 3 3 3" xfId="16271"/>
    <cellStyle name="40% - Accent3 4 5 2 3 4" xfId="7840"/>
    <cellStyle name="40% - Accent3 4 5 2 3 4 2" xfId="16272"/>
    <cellStyle name="40% - Accent3 4 5 2 3 5" xfId="16273"/>
    <cellStyle name="40% - Accent3 4 5 2 4" xfId="2996"/>
    <cellStyle name="40% - Accent3 4 5 2 4 2" xfId="5030"/>
    <cellStyle name="40% - Accent3 4 5 2 4 2 2" xfId="12565"/>
    <cellStyle name="40% - Accent3 4 5 2 4 2 2 2" xfId="16274"/>
    <cellStyle name="40% - Accent3 4 5 2 4 2 3" xfId="16275"/>
    <cellStyle name="40% - Accent3 4 5 2 4 3" xfId="12564"/>
    <cellStyle name="40% - Accent3 4 5 2 4 3 2" xfId="16276"/>
    <cellStyle name="40% - Accent3 4 5 2 4 4" xfId="16277"/>
    <cellStyle name="40% - Accent3 4 5 2 5" xfId="4013"/>
    <cellStyle name="40% - Accent3 4 5 2 5 2" xfId="12566"/>
    <cellStyle name="40% - Accent3 4 5 2 5 2 2" xfId="16278"/>
    <cellStyle name="40% - Accent3 4 5 2 5 3" xfId="16279"/>
    <cellStyle name="40% - Accent3 4 5 2 6" xfId="7837"/>
    <cellStyle name="40% - Accent3 4 5 2 6 2" xfId="16280"/>
    <cellStyle name="40% - Accent3 4 5 2 7" xfId="16281"/>
    <cellStyle name="40% - Accent3 4 5 3" xfId="2074"/>
    <cellStyle name="40% - Accent3 4 5 3 2" xfId="2618"/>
    <cellStyle name="40% - Accent3 4 5 3 2 2" xfId="3635"/>
    <cellStyle name="40% - Accent3 4 5 3 2 2 2" xfId="5669"/>
    <cellStyle name="40% - Accent3 4 5 3 2 2 2 2" xfId="12568"/>
    <cellStyle name="40% - Accent3 4 5 3 2 2 2 2 2" xfId="16282"/>
    <cellStyle name="40% - Accent3 4 5 3 2 2 2 3" xfId="16283"/>
    <cellStyle name="40% - Accent3 4 5 3 2 2 3" xfId="12567"/>
    <cellStyle name="40% - Accent3 4 5 3 2 2 3 2" xfId="16284"/>
    <cellStyle name="40% - Accent3 4 5 3 2 2 4" xfId="16285"/>
    <cellStyle name="40% - Accent3 4 5 3 2 3" xfId="4652"/>
    <cellStyle name="40% - Accent3 4 5 3 2 3 2" xfId="12569"/>
    <cellStyle name="40% - Accent3 4 5 3 2 3 2 2" xfId="16286"/>
    <cellStyle name="40% - Accent3 4 5 3 2 3 3" xfId="16287"/>
    <cellStyle name="40% - Accent3 4 5 3 2 4" xfId="7842"/>
    <cellStyle name="40% - Accent3 4 5 3 2 4 2" xfId="16288"/>
    <cellStyle name="40% - Accent3 4 5 3 2 5" xfId="16289"/>
    <cellStyle name="40% - Accent3 4 5 3 3" xfId="3122"/>
    <cellStyle name="40% - Accent3 4 5 3 3 2" xfId="5156"/>
    <cellStyle name="40% - Accent3 4 5 3 3 2 2" xfId="12571"/>
    <cellStyle name="40% - Accent3 4 5 3 3 2 2 2" xfId="16290"/>
    <cellStyle name="40% - Accent3 4 5 3 3 2 3" xfId="16291"/>
    <cellStyle name="40% - Accent3 4 5 3 3 3" xfId="12570"/>
    <cellStyle name="40% - Accent3 4 5 3 3 3 2" xfId="16292"/>
    <cellStyle name="40% - Accent3 4 5 3 3 4" xfId="16293"/>
    <cellStyle name="40% - Accent3 4 5 3 4" xfId="4139"/>
    <cellStyle name="40% - Accent3 4 5 3 4 2" xfId="12572"/>
    <cellStyle name="40% - Accent3 4 5 3 4 2 2" xfId="16294"/>
    <cellStyle name="40% - Accent3 4 5 3 4 3" xfId="16295"/>
    <cellStyle name="40% - Accent3 4 5 3 5" xfId="7841"/>
    <cellStyle name="40% - Accent3 4 5 3 5 2" xfId="16296"/>
    <cellStyle name="40% - Accent3 4 5 3 6" xfId="16297"/>
    <cellStyle name="40% - Accent3 4 5 4" xfId="2366"/>
    <cellStyle name="40% - Accent3 4 5 4 2" xfId="3383"/>
    <cellStyle name="40% - Accent3 4 5 4 2 2" xfId="5417"/>
    <cellStyle name="40% - Accent3 4 5 4 2 2 2" xfId="12574"/>
    <cellStyle name="40% - Accent3 4 5 4 2 2 2 2" xfId="16298"/>
    <cellStyle name="40% - Accent3 4 5 4 2 2 3" xfId="16299"/>
    <cellStyle name="40% - Accent3 4 5 4 2 3" xfId="12573"/>
    <cellStyle name="40% - Accent3 4 5 4 2 3 2" xfId="16300"/>
    <cellStyle name="40% - Accent3 4 5 4 2 4" xfId="16301"/>
    <cellStyle name="40% - Accent3 4 5 4 3" xfId="4400"/>
    <cellStyle name="40% - Accent3 4 5 4 3 2" xfId="12575"/>
    <cellStyle name="40% - Accent3 4 5 4 3 2 2" xfId="16302"/>
    <cellStyle name="40% - Accent3 4 5 4 3 3" xfId="16303"/>
    <cellStyle name="40% - Accent3 4 5 4 4" xfId="7843"/>
    <cellStyle name="40% - Accent3 4 5 4 4 2" xfId="16304"/>
    <cellStyle name="40% - Accent3 4 5 4 5" xfId="16305"/>
    <cellStyle name="40% - Accent3 4 5 5" xfId="2870"/>
    <cellStyle name="40% - Accent3 4 5 5 2" xfId="4904"/>
    <cellStyle name="40% - Accent3 4 5 5 2 2" xfId="12577"/>
    <cellStyle name="40% - Accent3 4 5 5 2 2 2" xfId="16306"/>
    <cellStyle name="40% - Accent3 4 5 5 2 3" xfId="16307"/>
    <cellStyle name="40% - Accent3 4 5 5 3" xfId="12576"/>
    <cellStyle name="40% - Accent3 4 5 5 3 2" xfId="16308"/>
    <cellStyle name="40% - Accent3 4 5 5 4" xfId="16309"/>
    <cellStyle name="40% - Accent3 4 5 6" xfId="3887"/>
    <cellStyle name="40% - Accent3 4 5 6 2" xfId="12578"/>
    <cellStyle name="40% - Accent3 4 5 6 2 2" xfId="16310"/>
    <cellStyle name="40% - Accent3 4 5 6 3" xfId="16311"/>
    <cellStyle name="40% - Accent3 4 5 7" xfId="7836"/>
    <cellStyle name="40% - Accent3 4 5 7 2" xfId="16312"/>
    <cellStyle name="40% - Accent3 4 5 8" xfId="16313"/>
    <cellStyle name="40% - Accent3 4 6" xfId="1864"/>
    <cellStyle name="40% - Accent3 4 6 2" xfId="2116"/>
    <cellStyle name="40% - Accent3 4 6 2 2" xfId="2660"/>
    <cellStyle name="40% - Accent3 4 6 2 2 2" xfId="3677"/>
    <cellStyle name="40% - Accent3 4 6 2 2 2 2" xfId="5711"/>
    <cellStyle name="40% - Accent3 4 6 2 2 2 2 2" xfId="12580"/>
    <cellStyle name="40% - Accent3 4 6 2 2 2 2 2 2" xfId="16314"/>
    <cellStyle name="40% - Accent3 4 6 2 2 2 2 3" xfId="16315"/>
    <cellStyle name="40% - Accent3 4 6 2 2 2 3" xfId="12579"/>
    <cellStyle name="40% - Accent3 4 6 2 2 2 3 2" xfId="16316"/>
    <cellStyle name="40% - Accent3 4 6 2 2 2 4" xfId="16317"/>
    <cellStyle name="40% - Accent3 4 6 2 2 3" xfId="4694"/>
    <cellStyle name="40% - Accent3 4 6 2 2 3 2" xfId="12581"/>
    <cellStyle name="40% - Accent3 4 6 2 2 3 2 2" xfId="16318"/>
    <cellStyle name="40% - Accent3 4 6 2 2 3 3" xfId="16319"/>
    <cellStyle name="40% - Accent3 4 6 2 2 4" xfId="7846"/>
    <cellStyle name="40% - Accent3 4 6 2 2 4 2" xfId="16320"/>
    <cellStyle name="40% - Accent3 4 6 2 2 5" xfId="16321"/>
    <cellStyle name="40% - Accent3 4 6 2 3" xfId="3164"/>
    <cellStyle name="40% - Accent3 4 6 2 3 2" xfId="5198"/>
    <cellStyle name="40% - Accent3 4 6 2 3 2 2" xfId="12583"/>
    <cellStyle name="40% - Accent3 4 6 2 3 2 2 2" xfId="16322"/>
    <cellStyle name="40% - Accent3 4 6 2 3 2 3" xfId="16323"/>
    <cellStyle name="40% - Accent3 4 6 2 3 3" xfId="12582"/>
    <cellStyle name="40% - Accent3 4 6 2 3 3 2" xfId="16324"/>
    <cellStyle name="40% - Accent3 4 6 2 3 4" xfId="16325"/>
    <cellStyle name="40% - Accent3 4 6 2 4" xfId="4181"/>
    <cellStyle name="40% - Accent3 4 6 2 4 2" xfId="12584"/>
    <cellStyle name="40% - Accent3 4 6 2 4 2 2" xfId="16326"/>
    <cellStyle name="40% - Accent3 4 6 2 4 3" xfId="16327"/>
    <cellStyle name="40% - Accent3 4 6 2 5" xfId="7845"/>
    <cellStyle name="40% - Accent3 4 6 2 5 2" xfId="16328"/>
    <cellStyle name="40% - Accent3 4 6 2 6" xfId="16329"/>
    <cellStyle name="40% - Accent3 4 6 3" xfId="2408"/>
    <cellStyle name="40% - Accent3 4 6 3 2" xfId="3425"/>
    <cellStyle name="40% - Accent3 4 6 3 2 2" xfId="5459"/>
    <cellStyle name="40% - Accent3 4 6 3 2 2 2" xfId="12586"/>
    <cellStyle name="40% - Accent3 4 6 3 2 2 2 2" xfId="16330"/>
    <cellStyle name="40% - Accent3 4 6 3 2 2 3" xfId="16331"/>
    <cellStyle name="40% - Accent3 4 6 3 2 3" xfId="12585"/>
    <cellStyle name="40% - Accent3 4 6 3 2 3 2" xfId="16332"/>
    <cellStyle name="40% - Accent3 4 6 3 2 4" xfId="16333"/>
    <cellStyle name="40% - Accent3 4 6 3 3" xfId="4442"/>
    <cellStyle name="40% - Accent3 4 6 3 3 2" xfId="12587"/>
    <cellStyle name="40% - Accent3 4 6 3 3 2 2" xfId="16334"/>
    <cellStyle name="40% - Accent3 4 6 3 3 3" xfId="16335"/>
    <cellStyle name="40% - Accent3 4 6 3 4" xfId="7847"/>
    <cellStyle name="40% - Accent3 4 6 3 4 2" xfId="16336"/>
    <cellStyle name="40% - Accent3 4 6 3 5" xfId="16337"/>
    <cellStyle name="40% - Accent3 4 6 4" xfId="2912"/>
    <cellStyle name="40% - Accent3 4 6 4 2" xfId="4946"/>
    <cellStyle name="40% - Accent3 4 6 4 2 2" xfId="12589"/>
    <cellStyle name="40% - Accent3 4 6 4 2 2 2" xfId="16338"/>
    <cellStyle name="40% - Accent3 4 6 4 2 3" xfId="16339"/>
    <cellStyle name="40% - Accent3 4 6 4 3" xfId="12588"/>
    <cellStyle name="40% - Accent3 4 6 4 3 2" xfId="16340"/>
    <cellStyle name="40% - Accent3 4 6 4 4" xfId="16341"/>
    <cellStyle name="40% - Accent3 4 6 5" xfId="3929"/>
    <cellStyle name="40% - Accent3 4 6 5 2" xfId="12590"/>
    <cellStyle name="40% - Accent3 4 6 5 2 2" xfId="16342"/>
    <cellStyle name="40% - Accent3 4 6 5 3" xfId="16343"/>
    <cellStyle name="40% - Accent3 4 6 6" xfId="7844"/>
    <cellStyle name="40% - Accent3 4 6 6 2" xfId="16344"/>
    <cellStyle name="40% - Accent3 4 6 7" xfId="16345"/>
    <cellStyle name="40% - Accent3 4 7" xfId="1990"/>
    <cellStyle name="40% - Accent3 4 7 2" xfId="2534"/>
    <cellStyle name="40% - Accent3 4 7 2 2" xfId="3551"/>
    <cellStyle name="40% - Accent3 4 7 2 2 2" xfId="5585"/>
    <cellStyle name="40% - Accent3 4 7 2 2 2 2" xfId="12592"/>
    <cellStyle name="40% - Accent3 4 7 2 2 2 2 2" xfId="16346"/>
    <cellStyle name="40% - Accent3 4 7 2 2 2 3" xfId="16347"/>
    <cellStyle name="40% - Accent3 4 7 2 2 3" xfId="12591"/>
    <cellStyle name="40% - Accent3 4 7 2 2 3 2" xfId="16348"/>
    <cellStyle name="40% - Accent3 4 7 2 2 4" xfId="16349"/>
    <cellStyle name="40% - Accent3 4 7 2 3" xfId="4568"/>
    <cellStyle name="40% - Accent3 4 7 2 3 2" xfId="12593"/>
    <cellStyle name="40% - Accent3 4 7 2 3 2 2" xfId="16350"/>
    <cellStyle name="40% - Accent3 4 7 2 3 3" xfId="16351"/>
    <cellStyle name="40% - Accent3 4 7 2 4" xfId="7849"/>
    <cellStyle name="40% - Accent3 4 7 2 4 2" xfId="16352"/>
    <cellStyle name="40% - Accent3 4 7 2 5" xfId="16353"/>
    <cellStyle name="40% - Accent3 4 7 3" xfId="3038"/>
    <cellStyle name="40% - Accent3 4 7 3 2" xfId="5072"/>
    <cellStyle name="40% - Accent3 4 7 3 2 2" xfId="12595"/>
    <cellStyle name="40% - Accent3 4 7 3 2 2 2" xfId="16354"/>
    <cellStyle name="40% - Accent3 4 7 3 2 3" xfId="16355"/>
    <cellStyle name="40% - Accent3 4 7 3 3" xfId="12594"/>
    <cellStyle name="40% - Accent3 4 7 3 3 2" xfId="16356"/>
    <cellStyle name="40% - Accent3 4 7 3 4" xfId="16357"/>
    <cellStyle name="40% - Accent3 4 7 4" xfId="4055"/>
    <cellStyle name="40% - Accent3 4 7 4 2" xfId="12596"/>
    <cellStyle name="40% - Accent3 4 7 4 2 2" xfId="16358"/>
    <cellStyle name="40% - Accent3 4 7 4 3" xfId="16359"/>
    <cellStyle name="40% - Accent3 4 7 5" xfId="7848"/>
    <cellStyle name="40% - Accent3 4 7 5 2" xfId="16360"/>
    <cellStyle name="40% - Accent3 4 7 6" xfId="16361"/>
    <cellStyle name="40% - Accent3 4 8" xfId="2283"/>
    <cellStyle name="40% - Accent3 4 8 2" xfId="3300"/>
    <cellStyle name="40% - Accent3 4 8 2 2" xfId="5334"/>
    <cellStyle name="40% - Accent3 4 8 2 2 2" xfId="12598"/>
    <cellStyle name="40% - Accent3 4 8 2 2 2 2" xfId="16362"/>
    <cellStyle name="40% - Accent3 4 8 2 2 3" xfId="16363"/>
    <cellStyle name="40% - Accent3 4 8 2 3" xfId="12597"/>
    <cellStyle name="40% - Accent3 4 8 2 3 2" xfId="16364"/>
    <cellStyle name="40% - Accent3 4 8 2 4" xfId="16365"/>
    <cellStyle name="40% - Accent3 4 8 3" xfId="4317"/>
    <cellStyle name="40% - Accent3 4 8 3 2" xfId="12599"/>
    <cellStyle name="40% - Accent3 4 8 3 2 2" xfId="16366"/>
    <cellStyle name="40% - Accent3 4 8 3 3" xfId="16367"/>
    <cellStyle name="40% - Accent3 4 8 4" xfId="7850"/>
    <cellStyle name="40% - Accent3 4 8 4 2" xfId="16368"/>
    <cellStyle name="40% - Accent3 4 8 5" xfId="16369"/>
    <cellStyle name="40% - Accent3 4 9" xfId="2786"/>
    <cellStyle name="40% - Accent3 4 9 2" xfId="4820"/>
    <cellStyle name="40% - Accent3 4 9 2 2" xfId="12601"/>
    <cellStyle name="40% - Accent3 4 9 2 2 2" xfId="16370"/>
    <cellStyle name="40% - Accent3 4 9 2 3" xfId="16371"/>
    <cellStyle name="40% - Accent3 4 9 3" xfId="12600"/>
    <cellStyle name="40% - Accent3 4 9 3 2" xfId="16372"/>
    <cellStyle name="40% - Accent3 4 9 4" xfId="16373"/>
    <cellStyle name="40% - Accent4 2" xfId="21"/>
    <cellStyle name="40% - Accent4 3" xfId="22"/>
    <cellStyle name="40% - Accent5 2" xfId="23"/>
    <cellStyle name="40% - Accent5 3" xfId="24"/>
    <cellStyle name="40% - Accent6 2" xfId="25"/>
    <cellStyle name="40% - Accent6 3" xfId="26"/>
    <cellStyle name="60% - Accent1 2" xfId="27"/>
    <cellStyle name="60% - Accent1 3" xfId="28"/>
    <cellStyle name="60% - Accent2 2" xfId="29"/>
    <cellStyle name="60% - Accent2 3" xfId="30"/>
    <cellStyle name="60% - Accent3 2" xfId="31"/>
    <cellStyle name="60% - Accent3 3" xfId="32"/>
    <cellStyle name="60% - Accent4 2" xfId="33"/>
    <cellStyle name="60% - Accent4 3" xfId="34"/>
    <cellStyle name="60% - Accent5 2" xfId="35"/>
    <cellStyle name="60% - Accent5 3" xfId="36"/>
    <cellStyle name="60% - Accent6 2" xfId="37"/>
    <cellStyle name="60% - Accent6 3" xfId="38"/>
    <cellStyle name="Accent1 2" xfId="39"/>
    <cellStyle name="Accent1 3" xfId="40"/>
    <cellStyle name="Accent2 2" xfId="41"/>
    <cellStyle name="Accent2 3" xfId="42"/>
    <cellStyle name="Accent3 2" xfId="43"/>
    <cellStyle name="Accent3 3" xfId="44"/>
    <cellStyle name="Accent4 2" xfId="45"/>
    <cellStyle name="Accent4 3" xfId="46"/>
    <cellStyle name="Accent5 2" xfId="47"/>
    <cellStyle name="Accent5 3" xfId="48"/>
    <cellStyle name="Accent6 2" xfId="49"/>
    <cellStyle name="Accent6 3" xfId="50"/>
    <cellStyle name="Bad" xfId="51"/>
    <cellStyle name="Berekening 2" xfId="52"/>
    <cellStyle name="Berekening 2 10" xfId="53"/>
    <cellStyle name="Berekening 2 10 2" xfId="5844"/>
    <cellStyle name="Berekening 2 10 2 2" xfId="10339"/>
    <cellStyle name="Berekening 2 10 2 3" xfId="16374"/>
    <cellStyle name="Berekening 2 10 2 3 2" xfId="27052"/>
    <cellStyle name="Berekening 2 10 2 4" xfId="27053"/>
    <cellStyle name="Berekening 2 10 2 5" xfId="27054"/>
    <cellStyle name="Berekening 2 10 2 6" xfId="27055"/>
    <cellStyle name="Berekening 2 10 3" xfId="7852"/>
    <cellStyle name="Berekening 2 10 4" xfId="16375"/>
    <cellStyle name="Berekening 2 10 4 2" xfId="27056"/>
    <cellStyle name="Berekening 2 10 5" xfId="27057"/>
    <cellStyle name="Berekening 2 10 6" xfId="27058"/>
    <cellStyle name="Berekening 2 10 7" xfId="27059"/>
    <cellStyle name="Berekening 2 11" xfId="54"/>
    <cellStyle name="Berekening 2 11 2" xfId="5845"/>
    <cellStyle name="Berekening 2 11 2 2" xfId="10340"/>
    <cellStyle name="Berekening 2 11 2 3" xfId="16376"/>
    <cellStyle name="Berekening 2 11 2 3 2" xfId="27060"/>
    <cellStyle name="Berekening 2 11 2 4" xfId="27061"/>
    <cellStyle name="Berekening 2 11 2 5" xfId="27062"/>
    <cellStyle name="Berekening 2 11 2 6" xfId="27063"/>
    <cellStyle name="Berekening 2 11 3" xfId="7853"/>
    <cellStyle name="Berekening 2 11 4" xfId="16377"/>
    <cellStyle name="Berekening 2 11 4 2" xfId="27064"/>
    <cellStyle name="Berekening 2 11 5" xfId="27065"/>
    <cellStyle name="Berekening 2 11 6" xfId="27066"/>
    <cellStyle name="Berekening 2 11 7" xfId="27067"/>
    <cellStyle name="Berekening 2 12" xfId="55"/>
    <cellStyle name="Berekening 2 12 2" xfId="5846"/>
    <cellStyle name="Berekening 2 12 2 2" xfId="10341"/>
    <cellStyle name="Berekening 2 12 2 3" xfId="16378"/>
    <cellStyle name="Berekening 2 12 2 3 2" xfId="27068"/>
    <cellStyle name="Berekening 2 12 2 4" xfId="27069"/>
    <cellStyle name="Berekening 2 12 2 5" xfId="27070"/>
    <cellStyle name="Berekening 2 12 2 6" xfId="27071"/>
    <cellStyle name="Berekening 2 12 3" xfId="7854"/>
    <cellStyle name="Berekening 2 12 4" xfId="16379"/>
    <cellStyle name="Berekening 2 12 4 2" xfId="27072"/>
    <cellStyle name="Berekening 2 12 5" xfId="27073"/>
    <cellStyle name="Berekening 2 12 6" xfId="27074"/>
    <cellStyle name="Berekening 2 12 7" xfId="27075"/>
    <cellStyle name="Berekening 2 13" xfId="56"/>
    <cellStyle name="Berekening 2 13 2" xfId="5847"/>
    <cellStyle name="Berekening 2 13 2 2" xfId="10342"/>
    <cellStyle name="Berekening 2 13 2 3" xfId="16380"/>
    <cellStyle name="Berekening 2 13 2 3 2" xfId="27076"/>
    <cellStyle name="Berekening 2 13 2 4" xfId="27077"/>
    <cellStyle name="Berekening 2 13 2 5" xfId="27078"/>
    <cellStyle name="Berekening 2 13 2 6" xfId="27079"/>
    <cellStyle name="Berekening 2 13 3" xfId="7855"/>
    <cellStyle name="Berekening 2 13 4" xfId="16381"/>
    <cellStyle name="Berekening 2 13 4 2" xfId="27080"/>
    <cellStyle name="Berekening 2 13 5" xfId="27081"/>
    <cellStyle name="Berekening 2 13 6" xfId="27082"/>
    <cellStyle name="Berekening 2 13 7" xfId="27083"/>
    <cellStyle name="Berekening 2 14" xfId="57"/>
    <cellStyle name="Berekening 2 14 2" xfId="5848"/>
    <cellStyle name="Berekening 2 14 2 2" xfId="10343"/>
    <cellStyle name="Berekening 2 14 2 3" xfId="16382"/>
    <cellStyle name="Berekening 2 14 2 3 2" xfId="27084"/>
    <cellStyle name="Berekening 2 14 2 4" xfId="27085"/>
    <cellStyle name="Berekening 2 14 2 5" xfId="27086"/>
    <cellStyle name="Berekening 2 14 2 6" xfId="27087"/>
    <cellStyle name="Berekening 2 14 3" xfId="7856"/>
    <cellStyle name="Berekening 2 14 4" xfId="16383"/>
    <cellStyle name="Berekening 2 14 4 2" xfId="27088"/>
    <cellStyle name="Berekening 2 14 5" xfId="27089"/>
    <cellStyle name="Berekening 2 14 6" xfId="27090"/>
    <cellStyle name="Berekening 2 14 7" xfId="27091"/>
    <cellStyle name="Berekening 2 15" xfId="58"/>
    <cellStyle name="Berekening 2 15 2" xfId="5849"/>
    <cellStyle name="Berekening 2 15 2 2" xfId="10344"/>
    <cellStyle name="Berekening 2 15 2 3" xfId="16384"/>
    <cellStyle name="Berekening 2 15 2 3 2" xfId="27092"/>
    <cellStyle name="Berekening 2 15 2 4" xfId="27093"/>
    <cellStyle name="Berekening 2 15 2 5" xfId="27094"/>
    <cellStyle name="Berekening 2 15 2 6" xfId="27095"/>
    <cellStyle name="Berekening 2 15 3" xfId="7857"/>
    <cellStyle name="Berekening 2 15 4" xfId="16385"/>
    <cellStyle name="Berekening 2 15 4 2" xfId="27096"/>
    <cellStyle name="Berekening 2 15 5" xfId="27097"/>
    <cellStyle name="Berekening 2 15 6" xfId="27098"/>
    <cellStyle name="Berekening 2 15 7" xfId="27099"/>
    <cellStyle name="Berekening 2 16" xfId="59"/>
    <cellStyle name="Berekening 2 16 2" xfId="5850"/>
    <cellStyle name="Berekening 2 16 2 2" xfId="10345"/>
    <cellStyle name="Berekening 2 16 2 3" xfId="16386"/>
    <cellStyle name="Berekening 2 16 2 3 2" xfId="27100"/>
    <cellStyle name="Berekening 2 16 2 4" xfId="27101"/>
    <cellStyle name="Berekening 2 16 2 5" xfId="27102"/>
    <cellStyle name="Berekening 2 16 2 6" xfId="27103"/>
    <cellStyle name="Berekening 2 16 3" xfId="7858"/>
    <cellStyle name="Berekening 2 16 4" xfId="16387"/>
    <cellStyle name="Berekening 2 16 4 2" xfId="27104"/>
    <cellStyle name="Berekening 2 16 5" xfId="27105"/>
    <cellStyle name="Berekening 2 16 6" xfId="27106"/>
    <cellStyle name="Berekening 2 16 7" xfId="27107"/>
    <cellStyle name="Berekening 2 17" xfId="60"/>
    <cellStyle name="Berekening 2 17 2" xfId="5851"/>
    <cellStyle name="Berekening 2 17 2 2" xfId="10346"/>
    <cellStyle name="Berekening 2 17 2 3" xfId="16388"/>
    <cellStyle name="Berekening 2 17 2 3 2" xfId="27108"/>
    <cellStyle name="Berekening 2 17 2 4" xfId="27109"/>
    <cellStyle name="Berekening 2 17 2 5" xfId="27110"/>
    <cellStyle name="Berekening 2 17 2 6" xfId="27111"/>
    <cellStyle name="Berekening 2 17 3" xfId="7859"/>
    <cellStyle name="Berekening 2 17 4" xfId="16389"/>
    <cellStyle name="Berekening 2 17 4 2" xfId="27112"/>
    <cellStyle name="Berekening 2 17 5" xfId="27113"/>
    <cellStyle name="Berekening 2 17 6" xfId="27114"/>
    <cellStyle name="Berekening 2 17 7" xfId="27115"/>
    <cellStyle name="Berekening 2 18" xfId="5852"/>
    <cellStyle name="Berekening 2 18 2" xfId="10338"/>
    <cellStyle name="Berekening 2 18 3" xfId="16390"/>
    <cellStyle name="Berekening 2 18 3 2" xfId="27116"/>
    <cellStyle name="Berekening 2 18 4" xfId="27117"/>
    <cellStyle name="Berekening 2 18 5" xfId="27118"/>
    <cellStyle name="Berekening 2 18 6" xfId="27119"/>
    <cellStyle name="Berekening 2 19" xfId="7851"/>
    <cellStyle name="Berekening 2 2" xfId="61"/>
    <cellStyle name="Berekening 2 2 10" xfId="62"/>
    <cellStyle name="Berekening 2 2 10 2" xfId="5853"/>
    <cellStyle name="Berekening 2 2 10 2 2" xfId="10348"/>
    <cellStyle name="Berekening 2 2 10 2 3" xfId="16391"/>
    <cellStyle name="Berekening 2 2 10 2 3 2" xfId="27120"/>
    <cellStyle name="Berekening 2 2 10 2 4" xfId="27121"/>
    <cellStyle name="Berekening 2 2 10 2 5" xfId="27122"/>
    <cellStyle name="Berekening 2 2 10 2 6" xfId="27123"/>
    <cellStyle name="Berekening 2 2 10 3" xfId="7861"/>
    <cellStyle name="Berekening 2 2 10 4" xfId="16392"/>
    <cellStyle name="Berekening 2 2 10 4 2" xfId="27124"/>
    <cellStyle name="Berekening 2 2 10 5" xfId="27125"/>
    <cellStyle name="Berekening 2 2 10 6" xfId="27126"/>
    <cellStyle name="Berekening 2 2 10 7" xfId="27127"/>
    <cellStyle name="Berekening 2 2 11" xfId="63"/>
    <cellStyle name="Berekening 2 2 11 2" xfId="5854"/>
    <cellStyle name="Berekening 2 2 11 2 2" xfId="10349"/>
    <cellStyle name="Berekening 2 2 11 2 3" xfId="16393"/>
    <cellStyle name="Berekening 2 2 11 2 3 2" xfId="27128"/>
    <cellStyle name="Berekening 2 2 11 2 4" xfId="27129"/>
    <cellStyle name="Berekening 2 2 11 2 5" xfId="27130"/>
    <cellStyle name="Berekening 2 2 11 2 6" xfId="27131"/>
    <cellStyle name="Berekening 2 2 11 3" xfId="7862"/>
    <cellStyle name="Berekening 2 2 11 4" xfId="16394"/>
    <cellStyle name="Berekening 2 2 11 4 2" xfId="27132"/>
    <cellStyle name="Berekening 2 2 11 5" xfId="27133"/>
    <cellStyle name="Berekening 2 2 11 6" xfId="27134"/>
    <cellStyle name="Berekening 2 2 11 7" xfId="27135"/>
    <cellStyle name="Berekening 2 2 12" xfId="64"/>
    <cellStyle name="Berekening 2 2 12 2" xfId="5855"/>
    <cellStyle name="Berekening 2 2 12 2 2" xfId="10350"/>
    <cellStyle name="Berekening 2 2 12 2 3" xfId="16395"/>
    <cellStyle name="Berekening 2 2 12 2 3 2" xfId="27136"/>
    <cellStyle name="Berekening 2 2 12 2 4" xfId="27137"/>
    <cellStyle name="Berekening 2 2 12 2 5" xfId="27138"/>
    <cellStyle name="Berekening 2 2 12 2 6" xfId="27139"/>
    <cellStyle name="Berekening 2 2 12 3" xfId="7863"/>
    <cellStyle name="Berekening 2 2 12 4" xfId="16396"/>
    <cellStyle name="Berekening 2 2 12 4 2" xfId="27140"/>
    <cellStyle name="Berekening 2 2 12 5" xfId="27141"/>
    <cellStyle name="Berekening 2 2 12 6" xfId="27142"/>
    <cellStyle name="Berekening 2 2 12 7" xfId="27143"/>
    <cellStyle name="Berekening 2 2 13" xfId="65"/>
    <cellStyle name="Berekening 2 2 13 2" xfId="5856"/>
    <cellStyle name="Berekening 2 2 13 2 2" xfId="10351"/>
    <cellStyle name="Berekening 2 2 13 2 3" xfId="16397"/>
    <cellStyle name="Berekening 2 2 13 2 3 2" xfId="27144"/>
    <cellStyle name="Berekening 2 2 13 2 4" xfId="27145"/>
    <cellStyle name="Berekening 2 2 13 2 5" xfId="27146"/>
    <cellStyle name="Berekening 2 2 13 2 6" xfId="27147"/>
    <cellStyle name="Berekening 2 2 13 3" xfId="7864"/>
    <cellStyle name="Berekening 2 2 13 4" xfId="16398"/>
    <cellStyle name="Berekening 2 2 13 4 2" xfId="27148"/>
    <cellStyle name="Berekening 2 2 13 5" xfId="27149"/>
    <cellStyle name="Berekening 2 2 13 6" xfId="27150"/>
    <cellStyle name="Berekening 2 2 13 7" xfId="27151"/>
    <cellStyle name="Berekening 2 2 14" xfId="66"/>
    <cellStyle name="Berekening 2 2 14 2" xfId="5857"/>
    <cellStyle name="Berekening 2 2 14 2 2" xfId="10352"/>
    <cellStyle name="Berekening 2 2 14 2 3" xfId="16399"/>
    <cellStyle name="Berekening 2 2 14 2 3 2" xfId="27152"/>
    <cellStyle name="Berekening 2 2 14 2 4" xfId="27153"/>
    <cellStyle name="Berekening 2 2 14 2 5" xfId="27154"/>
    <cellStyle name="Berekening 2 2 14 2 6" xfId="27155"/>
    <cellStyle name="Berekening 2 2 14 3" xfId="7865"/>
    <cellStyle name="Berekening 2 2 14 4" xfId="16400"/>
    <cellStyle name="Berekening 2 2 14 4 2" xfId="27156"/>
    <cellStyle name="Berekening 2 2 14 5" xfId="27157"/>
    <cellStyle name="Berekening 2 2 14 6" xfId="27158"/>
    <cellStyle name="Berekening 2 2 14 7" xfId="27159"/>
    <cellStyle name="Berekening 2 2 15" xfId="67"/>
    <cellStyle name="Berekening 2 2 15 2" xfId="5858"/>
    <cellStyle name="Berekening 2 2 15 2 2" xfId="10353"/>
    <cellStyle name="Berekening 2 2 15 2 3" xfId="16401"/>
    <cellStyle name="Berekening 2 2 15 2 3 2" xfId="27160"/>
    <cellStyle name="Berekening 2 2 15 2 4" xfId="27161"/>
    <cellStyle name="Berekening 2 2 15 2 5" xfId="27162"/>
    <cellStyle name="Berekening 2 2 15 2 6" xfId="27163"/>
    <cellStyle name="Berekening 2 2 15 3" xfId="7866"/>
    <cellStyle name="Berekening 2 2 15 4" xfId="16402"/>
    <cellStyle name="Berekening 2 2 15 4 2" xfId="27164"/>
    <cellStyle name="Berekening 2 2 15 5" xfId="27165"/>
    <cellStyle name="Berekening 2 2 15 6" xfId="27166"/>
    <cellStyle name="Berekening 2 2 15 7" xfId="27167"/>
    <cellStyle name="Berekening 2 2 16" xfId="68"/>
    <cellStyle name="Berekening 2 2 16 2" xfId="5859"/>
    <cellStyle name="Berekening 2 2 16 2 2" xfId="10354"/>
    <cellStyle name="Berekening 2 2 16 2 3" xfId="16403"/>
    <cellStyle name="Berekening 2 2 16 2 3 2" xfId="27168"/>
    <cellStyle name="Berekening 2 2 16 2 4" xfId="27169"/>
    <cellStyle name="Berekening 2 2 16 2 5" xfId="27170"/>
    <cellStyle name="Berekening 2 2 16 2 6" xfId="27171"/>
    <cellStyle name="Berekening 2 2 16 3" xfId="7867"/>
    <cellStyle name="Berekening 2 2 16 4" xfId="16404"/>
    <cellStyle name="Berekening 2 2 16 4 2" xfId="27172"/>
    <cellStyle name="Berekening 2 2 16 5" xfId="27173"/>
    <cellStyle name="Berekening 2 2 16 6" xfId="27174"/>
    <cellStyle name="Berekening 2 2 16 7" xfId="27175"/>
    <cellStyle name="Berekening 2 2 17" xfId="69"/>
    <cellStyle name="Berekening 2 2 17 2" xfId="5860"/>
    <cellStyle name="Berekening 2 2 17 2 2" xfId="10355"/>
    <cellStyle name="Berekening 2 2 17 2 3" xfId="16405"/>
    <cellStyle name="Berekening 2 2 17 2 3 2" xfId="27176"/>
    <cellStyle name="Berekening 2 2 17 2 4" xfId="27177"/>
    <cellStyle name="Berekening 2 2 17 2 5" xfId="27178"/>
    <cellStyle name="Berekening 2 2 17 2 6" xfId="27179"/>
    <cellStyle name="Berekening 2 2 17 3" xfId="7868"/>
    <cellStyle name="Berekening 2 2 17 4" xfId="16406"/>
    <cellStyle name="Berekening 2 2 17 4 2" xfId="27180"/>
    <cellStyle name="Berekening 2 2 17 5" xfId="27181"/>
    <cellStyle name="Berekening 2 2 17 6" xfId="27182"/>
    <cellStyle name="Berekening 2 2 17 7" xfId="27183"/>
    <cellStyle name="Berekening 2 2 18" xfId="70"/>
    <cellStyle name="Berekening 2 2 18 2" xfId="5861"/>
    <cellStyle name="Berekening 2 2 18 2 2" xfId="10356"/>
    <cellStyle name="Berekening 2 2 18 2 3" xfId="16407"/>
    <cellStyle name="Berekening 2 2 18 2 3 2" xfId="27184"/>
    <cellStyle name="Berekening 2 2 18 2 4" xfId="27185"/>
    <cellStyle name="Berekening 2 2 18 2 5" xfId="27186"/>
    <cellStyle name="Berekening 2 2 18 2 6" xfId="27187"/>
    <cellStyle name="Berekening 2 2 18 3" xfId="7869"/>
    <cellStyle name="Berekening 2 2 18 4" xfId="16408"/>
    <cellStyle name="Berekening 2 2 18 4 2" xfId="27188"/>
    <cellStyle name="Berekening 2 2 18 5" xfId="27189"/>
    <cellStyle name="Berekening 2 2 18 6" xfId="27190"/>
    <cellStyle name="Berekening 2 2 18 7" xfId="27191"/>
    <cellStyle name="Berekening 2 2 19" xfId="71"/>
    <cellStyle name="Berekening 2 2 19 2" xfId="5862"/>
    <cellStyle name="Berekening 2 2 19 2 2" xfId="10357"/>
    <cellStyle name="Berekening 2 2 19 2 3" xfId="16409"/>
    <cellStyle name="Berekening 2 2 19 2 3 2" xfId="27192"/>
    <cellStyle name="Berekening 2 2 19 2 4" xfId="27193"/>
    <cellStyle name="Berekening 2 2 19 2 5" xfId="27194"/>
    <cellStyle name="Berekening 2 2 19 2 6" xfId="27195"/>
    <cellStyle name="Berekening 2 2 19 3" xfId="7870"/>
    <cellStyle name="Berekening 2 2 19 4" xfId="16410"/>
    <cellStyle name="Berekening 2 2 19 4 2" xfId="27196"/>
    <cellStyle name="Berekening 2 2 19 5" xfId="27197"/>
    <cellStyle name="Berekening 2 2 19 6" xfId="27198"/>
    <cellStyle name="Berekening 2 2 19 7" xfId="27199"/>
    <cellStyle name="Berekening 2 2 2" xfId="72"/>
    <cellStyle name="Berekening 2 2 2 2" xfId="5863"/>
    <cellStyle name="Berekening 2 2 2 2 2" xfId="10358"/>
    <cellStyle name="Berekening 2 2 2 2 3" xfId="16411"/>
    <cellStyle name="Berekening 2 2 2 2 3 2" xfId="27200"/>
    <cellStyle name="Berekening 2 2 2 2 4" xfId="27201"/>
    <cellStyle name="Berekening 2 2 2 2 5" xfId="27202"/>
    <cellStyle name="Berekening 2 2 2 2 6" xfId="27203"/>
    <cellStyle name="Berekening 2 2 2 3" xfId="7871"/>
    <cellStyle name="Berekening 2 2 2 4" xfId="16412"/>
    <cellStyle name="Berekening 2 2 2 4 2" xfId="27204"/>
    <cellStyle name="Berekening 2 2 2 5" xfId="27205"/>
    <cellStyle name="Berekening 2 2 2 6" xfId="27206"/>
    <cellStyle name="Berekening 2 2 2 7" xfId="27207"/>
    <cellStyle name="Berekening 2 2 20" xfId="73"/>
    <cellStyle name="Berekening 2 2 20 2" xfId="5864"/>
    <cellStyle name="Berekening 2 2 20 2 2" xfId="10359"/>
    <cellStyle name="Berekening 2 2 20 2 3" xfId="16413"/>
    <cellStyle name="Berekening 2 2 20 2 3 2" xfId="27208"/>
    <cellStyle name="Berekening 2 2 20 2 4" xfId="27209"/>
    <cellStyle name="Berekening 2 2 20 2 5" xfId="27210"/>
    <cellStyle name="Berekening 2 2 20 2 6" xfId="27211"/>
    <cellStyle name="Berekening 2 2 20 3" xfId="7872"/>
    <cellStyle name="Berekening 2 2 20 4" xfId="16414"/>
    <cellStyle name="Berekening 2 2 20 4 2" xfId="27212"/>
    <cellStyle name="Berekening 2 2 20 5" xfId="27213"/>
    <cellStyle name="Berekening 2 2 20 6" xfId="27214"/>
    <cellStyle name="Berekening 2 2 20 7" xfId="27215"/>
    <cellStyle name="Berekening 2 2 21" xfId="74"/>
    <cellStyle name="Berekening 2 2 21 2" xfId="5865"/>
    <cellStyle name="Berekening 2 2 21 2 2" xfId="10360"/>
    <cellStyle name="Berekening 2 2 21 2 3" xfId="16415"/>
    <cellStyle name="Berekening 2 2 21 2 3 2" xfId="27216"/>
    <cellStyle name="Berekening 2 2 21 2 4" xfId="27217"/>
    <cellStyle name="Berekening 2 2 21 2 5" xfId="27218"/>
    <cellStyle name="Berekening 2 2 21 2 6" xfId="27219"/>
    <cellStyle name="Berekening 2 2 21 3" xfId="7873"/>
    <cellStyle name="Berekening 2 2 21 4" xfId="16416"/>
    <cellStyle name="Berekening 2 2 21 4 2" xfId="27220"/>
    <cellStyle name="Berekening 2 2 21 5" xfId="27221"/>
    <cellStyle name="Berekening 2 2 21 6" xfId="27222"/>
    <cellStyle name="Berekening 2 2 21 7" xfId="27223"/>
    <cellStyle name="Berekening 2 2 22" xfId="75"/>
    <cellStyle name="Berekening 2 2 22 2" xfId="5866"/>
    <cellStyle name="Berekening 2 2 22 2 2" xfId="10361"/>
    <cellStyle name="Berekening 2 2 22 2 3" xfId="16417"/>
    <cellStyle name="Berekening 2 2 22 2 3 2" xfId="27224"/>
    <cellStyle name="Berekening 2 2 22 2 4" xfId="27225"/>
    <cellStyle name="Berekening 2 2 22 2 5" xfId="27226"/>
    <cellStyle name="Berekening 2 2 22 2 6" xfId="27227"/>
    <cellStyle name="Berekening 2 2 22 3" xfId="7874"/>
    <cellStyle name="Berekening 2 2 22 4" xfId="16418"/>
    <cellStyle name="Berekening 2 2 22 4 2" xfId="27228"/>
    <cellStyle name="Berekening 2 2 22 5" xfId="27229"/>
    <cellStyle name="Berekening 2 2 22 6" xfId="27230"/>
    <cellStyle name="Berekening 2 2 22 7" xfId="27231"/>
    <cellStyle name="Berekening 2 2 23" xfId="76"/>
    <cellStyle name="Berekening 2 2 23 2" xfId="5867"/>
    <cellStyle name="Berekening 2 2 23 2 2" xfId="10362"/>
    <cellStyle name="Berekening 2 2 23 2 3" xfId="16419"/>
    <cellStyle name="Berekening 2 2 23 2 3 2" xfId="27232"/>
    <cellStyle name="Berekening 2 2 23 2 4" xfId="27233"/>
    <cellStyle name="Berekening 2 2 23 2 5" xfId="27234"/>
    <cellStyle name="Berekening 2 2 23 2 6" xfId="27235"/>
    <cellStyle name="Berekening 2 2 23 3" xfId="7875"/>
    <cellStyle name="Berekening 2 2 23 4" xfId="16420"/>
    <cellStyle name="Berekening 2 2 23 4 2" xfId="27236"/>
    <cellStyle name="Berekening 2 2 23 5" xfId="27237"/>
    <cellStyle name="Berekening 2 2 23 6" xfId="27238"/>
    <cellStyle name="Berekening 2 2 23 7" xfId="27239"/>
    <cellStyle name="Berekening 2 2 24" xfId="77"/>
    <cellStyle name="Berekening 2 2 24 2" xfId="5868"/>
    <cellStyle name="Berekening 2 2 24 2 2" xfId="10363"/>
    <cellStyle name="Berekening 2 2 24 2 3" xfId="16421"/>
    <cellStyle name="Berekening 2 2 24 2 3 2" xfId="27240"/>
    <cellStyle name="Berekening 2 2 24 2 4" xfId="27241"/>
    <cellStyle name="Berekening 2 2 24 2 5" xfId="27242"/>
    <cellStyle name="Berekening 2 2 24 2 6" xfId="27243"/>
    <cellStyle name="Berekening 2 2 24 3" xfId="7876"/>
    <cellStyle name="Berekening 2 2 24 4" xfId="16422"/>
    <cellStyle name="Berekening 2 2 24 4 2" xfId="27244"/>
    <cellStyle name="Berekening 2 2 24 5" xfId="27245"/>
    <cellStyle name="Berekening 2 2 24 6" xfId="27246"/>
    <cellStyle name="Berekening 2 2 24 7" xfId="27247"/>
    <cellStyle name="Berekening 2 2 25" xfId="78"/>
    <cellStyle name="Berekening 2 2 25 2" xfId="5869"/>
    <cellStyle name="Berekening 2 2 25 2 2" xfId="10364"/>
    <cellStyle name="Berekening 2 2 25 2 3" xfId="16423"/>
    <cellStyle name="Berekening 2 2 25 2 3 2" xfId="27248"/>
    <cellStyle name="Berekening 2 2 25 2 4" xfId="27249"/>
    <cellStyle name="Berekening 2 2 25 2 5" xfId="27250"/>
    <cellStyle name="Berekening 2 2 25 2 6" xfId="27251"/>
    <cellStyle name="Berekening 2 2 25 3" xfId="7877"/>
    <cellStyle name="Berekening 2 2 25 4" xfId="16424"/>
    <cellStyle name="Berekening 2 2 25 4 2" xfId="27252"/>
    <cellStyle name="Berekening 2 2 25 5" xfId="27253"/>
    <cellStyle name="Berekening 2 2 25 6" xfId="27254"/>
    <cellStyle name="Berekening 2 2 25 7" xfId="27255"/>
    <cellStyle name="Berekening 2 2 26" xfId="79"/>
    <cellStyle name="Berekening 2 2 26 2" xfId="5870"/>
    <cellStyle name="Berekening 2 2 26 2 2" xfId="10365"/>
    <cellStyle name="Berekening 2 2 26 2 3" xfId="16425"/>
    <cellStyle name="Berekening 2 2 26 2 3 2" xfId="27256"/>
    <cellStyle name="Berekening 2 2 26 2 4" xfId="27257"/>
    <cellStyle name="Berekening 2 2 26 2 5" xfId="27258"/>
    <cellStyle name="Berekening 2 2 26 2 6" xfId="27259"/>
    <cellStyle name="Berekening 2 2 26 3" xfId="7878"/>
    <cellStyle name="Berekening 2 2 26 4" xfId="16426"/>
    <cellStyle name="Berekening 2 2 26 4 2" xfId="27260"/>
    <cellStyle name="Berekening 2 2 26 5" xfId="27261"/>
    <cellStyle name="Berekening 2 2 26 6" xfId="27262"/>
    <cellStyle name="Berekening 2 2 26 7" xfId="27263"/>
    <cellStyle name="Berekening 2 2 27" xfId="80"/>
    <cellStyle name="Berekening 2 2 27 2" xfId="5871"/>
    <cellStyle name="Berekening 2 2 27 2 2" xfId="10366"/>
    <cellStyle name="Berekening 2 2 27 2 3" xfId="16427"/>
    <cellStyle name="Berekening 2 2 27 2 3 2" xfId="27264"/>
    <cellStyle name="Berekening 2 2 27 2 4" xfId="27265"/>
    <cellStyle name="Berekening 2 2 27 2 5" xfId="27266"/>
    <cellStyle name="Berekening 2 2 27 2 6" xfId="27267"/>
    <cellStyle name="Berekening 2 2 27 3" xfId="7879"/>
    <cellStyle name="Berekening 2 2 27 4" xfId="16428"/>
    <cellStyle name="Berekening 2 2 27 4 2" xfId="27268"/>
    <cellStyle name="Berekening 2 2 27 5" xfId="27269"/>
    <cellStyle name="Berekening 2 2 27 6" xfId="27270"/>
    <cellStyle name="Berekening 2 2 27 7" xfId="27271"/>
    <cellStyle name="Berekening 2 2 28" xfId="81"/>
    <cellStyle name="Berekening 2 2 28 2" xfId="5872"/>
    <cellStyle name="Berekening 2 2 28 2 2" xfId="10367"/>
    <cellStyle name="Berekening 2 2 28 2 3" xfId="16429"/>
    <cellStyle name="Berekening 2 2 28 2 3 2" xfId="27272"/>
    <cellStyle name="Berekening 2 2 28 2 4" xfId="27273"/>
    <cellStyle name="Berekening 2 2 28 2 5" xfId="27274"/>
    <cellStyle name="Berekening 2 2 28 2 6" xfId="27275"/>
    <cellStyle name="Berekening 2 2 28 3" xfId="7880"/>
    <cellStyle name="Berekening 2 2 28 4" xfId="16430"/>
    <cellStyle name="Berekening 2 2 28 4 2" xfId="27276"/>
    <cellStyle name="Berekening 2 2 28 5" xfId="27277"/>
    <cellStyle name="Berekening 2 2 28 6" xfId="27278"/>
    <cellStyle name="Berekening 2 2 28 7" xfId="27279"/>
    <cellStyle name="Berekening 2 2 29" xfId="82"/>
    <cellStyle name="Berekening 2 2 29 2" xfId="5873"/>
    <cellStyle name="Berekening 2 2 29 2 2" xfId="10368"/>
    <cellStyle name="Berekening 2 2 29 2 3" xfId="16431"/>
    <cellStyle name="Berekening 2 2 29 2 3 2" xfId="27280"/>
    <cellStyle name="Berekening 2 2 29 2 4" xfId="27281"/>
    <cellStyle name="Berekening 2 2 29 2 5" xfId="27282"/>
    <cellStyle name="Berekening 2 2 29 2 6" xfId="27283"/>
    <cellStyle name="Berekening 2 2 29 3" xfId="7881"/>
    <cellStyle name="Berekening 2 2 29 4" xfId="16432"/>
    <cellStyle name="Berekening 2 2 29 4 2" xfId="27284"/>
    <cellStyle name="Berekening 2 2 29 5" xfId="27285"/>
    <cellStyle name="Berekening 2 2 29 6" xfId="27286"/>
    <cellStyle name="Berekening 2 2 29 7" xfId="27287"/>
    <cellStyle name="Berekening 2 2 3" xfId="83"/>
    <cellStyle name="Berekening 2 2 3 2" xfId="5874"/>
    <cellStyle name="Berekening 2 2 3 2 2" xfId="10369"/>
    <cellStyle name="Berekening 2 2 3 2 3" xfId="16433"/>
    <cellStyle name="Berekening 2 2 3 2 3 2" xfId="27288"/>
    <cellStyle name="Berekening 2 2 3 2 4" xfId="27289"/>
    <cellStyle name="Berekening 2 2 3 2 5" xfId="27290"/>
    <cellStyle name="Berekening 2 2 3 2 6" xfId="27291"/>
    <cellStyle name="Berekening 2 2 3 3" xfId="7882"/>
    <cellStyle name="Berekening 2 2 3 4" xfId="16434"/>
    <cellStyle name="Berekening 2 2 3 4 2" xfId="27292"/>
    <cellStyle name="Berekening 2 2 3 5" xfId="27293"/>
    <cellStyle name="Berekening 2 2 3 6" xfId="27294"/>
    <cellStyle name="Berekening 2 2 3 7" xfId="27295"/>
    <cellStyle name="Berekening 2 2 30" xfId="84"/>
    <cellStyle name="Berekening 2 2 30 2" xfId="5875"/>
    <cellStyle name="Berekening 2 2 30 2 2" xfId="10370"/>
    <cellStyle name="Berekening 2 2 30 2 3" xfId="16435"/>
    <cellStyle name="Berekening 2 2 30 2 3 2" xfId="27296"/>
    <cellStyle name="Berekening 2 2 30 2 4" xfId="27297"/>
    <cellStyle name="Berekening 2 2 30 2 5" xfId="27298"/>
    <cellStyle name="Berekening 2 2 30 2 6" xfId="27299"/>
    <cellStyle name="Berekening 2 2 30 3" xfId="7883"/>
    <cellStyle name="Berekening 2 2 30 4" xfId="16436"/>
    <cellStyle name="Berekening 2 2 30 4 2" xfId="27300"/>
    <cellStyle name="Berekening 2 2 30 5" xfId="27301"/>
    <cellStyle name="Berekening 2 2 30 6" xfId="27302"/>
    <cellStyle name="Berekening 2 2 30 7" xfId="27303"/>
    <cellStyle name="Berekening 2 2 31" xfId="85"/>
    <cellStyle name="Berekening 2 2 31 2" xfId="5876"/>
    <cellStyle name="Berekening 2 2 31 2 2" xfId="10371"/>
    <cellStyle name="Berekening 2 2 31 2 3" xfId="16437"/>
    <cellStyle name="Berekening 2 2 31 2 3 2" xfId="27304"/>
    <cellStyle name="Berekening 2 2 31 2 4" xfId="27305"/>
    <cellStyle name="Berekening 2 2 31 2 5" xfId="27306"/>
    <cellStyle name="Berekening 2 2 31 2 6" xfId="27307"/>
    <cellStyle name="Berekening 2 2 31 3" xfId="7884"/>
    <cellStyle name="Berekening 2 2 31 4" xfId="16438"/>
    <cellStyle name="Berekening 2 2 31 4 2" xfId="27308"/>
    <cellStyle name="Berekening 2 2 31 5" xfId="27309"/>
    <cellStyle name="Berekening 2 2 31 6" xfId="27310"/>
    <cellStyle name="Berekening 2 2 31 7" xfId="27311"/>
    <cellStyle name="Berekening 2 2 32" xfId="86"/>
    <cellStyle name="Berekening 2 2 32 2" xfId="5877"/>
    <cellStyle name="Berekening 2 2 32 2 2" xfId="10372"/>
    <cellStyle name="Berekening 2 2 32 2 3" xfId="16439"/>
    <cellStyle name="Berekening 2 2 32 2 3 2" xfId="27312"/>
    <cellStyle name="Berekening 2 2 32 2 4" xfId="27313"/>
    <cellStyle name="Berekening 2 2 32 2 5" xfId="27314"/>
    <cellStyle name="Berekening 2 2 32 2 6" xfId="27315"/>
    <cellStyle name="Berekening 2 2 32 3" xfId="7885"/>
    <cellStyle name="Berekening 2 2 32 4" xfId="16440"/>
    <cellStyle name="Berekening 2 2 32 4 2" xfId="27316"/>
    <cellStyle name="Berekening 2 2 32 5" xfId="27317"/>
    <cellStyle name="Berekening 2 2 32 6" xfId="27318"/>
    <cellStyle name="Berekening 2 2 32 7" xfId="27319"/>
    <cellStyle name="Berekening 2 2 33" xfId="87"/>
    <cellStyle name="Berekening 2 2 33 2" xfId="5878"/>
    <cellStyle name="Berekening 2 2 33 2 2" xfId="10373"/>
    <cellStyle name="Berekening 2 2 33 2 3" xfId="16441"/>
    <cellStyle name="Berekening 2 2 33 2 3 2" xfId="27320"/>
    <cellStyle name="Berekening 2 2 33 2 4" xfId="27321"/>
    <cellStyle name="Berekening 2 2 33 2 5" xfId="27322"/>
    <cellStyle name="Berekening 2 2 33 2 6" xfId="27323"/>
    <cellStyle name="Berekening 2 2 33 3" xfId="7886"/>
    <cellStyle name="Berekening 2 2 33 4" xfId="16442"/>
    <cellStyle name="Berekening 2 2 33 4 2" xfId="27324"/>
    <cellStyle name="Berekening 2 2 33 5" xfId="27325"/>
    <cellStyle name="Berekening 2 2 33 6" xfId="27326"/>
    <cellStyle name="Berekening 2 2 33 7" xfId="27327"/>
    <cellStyle name="Berekening 2 2 34" xfId="88"/>
    <cellStyle name="Berekening 2 2 34 2" xfId="5879"/>
    <cellStyle name="Berekening 2 2 34 2 2" xfId="10374"/>
    <cellStyle name="Berekening 2 2 34 2 3" xfId="16443"/>
    <cellStyle name="Berekening 2 2 34 2 3 2" xfId="27328"/>
    <cellStyle name="Berekening 2 2 34 2 4" xfId="27329"/>
    <cellStyle name="Berekening 2 2 34 2 5" xfId="27330"/>
    <cellStyle name="Berekening 2 2 34 2 6" xfId="27331"/>
    <cellStyle name="Berekening 2 2 34 3" xfId="7887"/>
    <cellStyle name="Berekening 2 2 34 4" xfId="16444"/>
    <cellStyle name="Berekening 2 2 34 4 2" xfId="27332"/>
    <cellStyle name="Berekening 2 2 34 5" xfId="27333"/>
    <cellStyle name="Berekening 2 2 34 6" xfId="27334"/>
    <cellStyle name="Berekening 2 2 34 7" xfId="27335"/>
    <cellStyle name="Berekening 2 2 35" xfId="89"/>
    <cellStyle name="Berekening 2 2 35 2" xfId="5880"/>
    <cellStyle name="Berekening 2 2 35 2 2" xfId="10375"/>
    <cellStyle name="Berekening 2 2 35 2 3" xfId="16445"/>
    <cellStyle name="Berekening 2 2 35 2 3 2" xfId="27336"/>
    <cellStyle name="Berekening 2 2 35 2 4" xfId="27337"/>
    <cellStyle name="Berekening 2 2 35 2 5" xfId="27338"/>
    <cellStyle name="Berekening 2 2 35 2 6" xfId="27339"/>
    <cellStyle name="Berekening 2 2 35 3" xfId="7888"/>
    <cellStyle name="Berekening 2 2 35 4" xfId="16446"/>
    <cellStyle name="Berekening 2 2 35 4 2" xfId="27340"/>
    <cellStyle name="Berekening 2 2 35 5" xfId="27341"/>
    <cellStyle name="Berekening 2 2 35 6" xfId="27342"/>
    <cellStyle name="Berekening 2 2 35 7" xfId="27343"/>
    <cellStyle name="Berekening 2 2 36" xfId="90"/>
    <cellStyle name="Berekening 2 2 36 2" xfId="5881"/>
    <cellStyle name="Berekening 2 2 36 2 2" xfId="10376"/>
    <cellStyle name="Berekening 2 2 36 2 3" xfId="16447"/>
    <cellStyle name="Berekening 2 2 36 2 3 2" xfId="27344"/>
    <cellStyle name="Berekening 2 2 36 2 4" xfId="27345"/>
    <cellStyle name="Berekening 2 2 36 2 5" xfId="27346"/>
    <cellStyle name="Berekening 2 2 36 2 6" xfId="27347"/>
    <cellStyle name="Berekening 2 2 36 3" xfId="7889"/>
    <cellStyle name="Berekening 2 2 36 4" xfId="16448"/>
    <cellStyle name="Berekening 2 2 36 4 2" xfId="27348"/>
    <cellStyle name="Berekening 2 2 36 5" xfId="27349"/>
    <cellStyle name="Berekening 2 2 36 6" xfId="27350"/>
    <cellStyle name="Berekening 2 2 36 7" xfId="27351"/>
    <cellStyle name="Berekening 2 2 37" xfId="91"/>
    <cellStyle name="Berekening 2 2 37 2" xfId="5882"/>
    <cellStyle name="Berekening 2 2 37 2 2" xfId="10377"/>
    <cellStyle name="Berekening 2 2 37 2 3" xfId="16449"/>
    <cellStyle name="Berekening 2 2 37 2 3 2" xfId="27352"/>
    <cellStyle name="Berekening 2 2 37 2 4" xfId="27353"/>
    <cellStyle name="Berekening 2 2 37 2 5" xfId="27354"/>
    <cellStyle name="Berekening 2 2 37 2 6" xfId="27355"/>
    <cellStyle name="Berekening 2 2 37 3" xfId="7890"/>
    <cellStyle name="Berekening 2 2 37 4" xfId="16450"/>
    <cellStyle name="Berekening 2 2 37 4 2" xfId="27356"/>
    <cellStyle name="Berekening 2 2 37 5" xfId="27357"/>
    <cellStyle name="Berekening 2 2 37 6" xfId="27358"/>
    <cellStyle name="Berekening 2 2 37 7" xfId="27359"/>
    <cellStyle name="Berekening 2 2 38" xfId="92"/>
    <cellStyle name="Berekening 2 2 38 2" xfId="5883"/>
    <cellStyle name="Berekening 2 2 38 2 2" xfId="10378"/>
    <cellStyle name="Berekening 2 2 38 2 3" xfId="16451"/>
    <cellStyle name="Berekening 2 2 38 2 3 2" xfId="27360"/>
    <cellStyle name="Berekening 2 2 38 2 4" xfId="27361"/>
    <cellStyle name="Berekening 2 2 38 2 5" xfId="27362"/>
    <cellStyle name="Berekening 2 2 38 2 6" xfId="27363"/>
    <cellStyle name="Berekening 2 2 38 3" xfId="7891"/>
    <cellStyle name="Berekening 2 2 38 4" xfId="16452"/>
    <cellStyle name="Berekening 2 2 38 4 2" xfId="27364"/>
    <cellStyle name="Berekening 2 2 38 5" xfId="27365"/>
    <cellStyle name="Berekening 2 2 38 6" xfId="27366"/>
    <cellStyle name="Berekening 2 2 38 7" xfId="27367"/>
    <cellStyle name="Berekening 2 2 39" xfId="93"/>
    <cellStyle name="Berekening 2 2 39 2" xfId="5884"/>
    <cellStyle name="Berekening 2 2 39 2 2" xfId="10379"/>
    <cellStyle name="Berekening 2 2 39 2 3" xfId="16453"/>
    <cellStyle name="Berekening 2 2 39 2 3 2" xfId="27368"/>
    <cellStyle name="Berekening 2 2 39 2 4" xfId="27369"/>
    <cellStyle name="Berekening 2 2 39 2 5" xfId="27370"/>
    <cellStyle name="Berekening 2 2 39 2 6" xfId="27371"/>
    <cellStyle name="Berekening 2 2 39 3" xfId="7892"/>
    <cellStyle name="Berekening 2 2 39 4" xfId="16454"/>
    <cellStyle name="Berekening 2 2 39 4 2" xfId="27372"/>
    <cellStyle name="Berekening 2 2 39 5" xfId="27373"/>
    <cellStyle name="Berekening 2 2 39 6" xfId="27374"/>
    <cellStyle name="Berekening 2 2 39 7" xfId="27375"/>
    <cellStyle name="Berekening 2 2 4" xfId="94"/>
    <cellStyle name="Berekening 2 2 4 2" xfId="5885"/>
    <cellStyle name="Berekening 2 2 4 2 2" xfId="10380"/>
    <cellStyle name="Berekening 2 2 4 2 3" xfId="16455"/>
    <cellStyle name="Berekening 2 2 4 2 3 2" xfId="27376"/>
    <cellStyle name="Berekening 2 2 4 2 4" xfId="27377"/>
    <cellStyle name="Berekening 2 2 4 2 5" xfId="27378"/>
    <cellStyle name="Berekening 2 2 4 2 6" xfId="27379"/>
    <cellStyle name="Berekening 2 2 4 3" xfId="7893"/>
    <cellStyle name="Berekening 2 2 4 4" xfId="16456"/>
    <cellStyle name="Berekening 2 2 4 4 2" xfId="27380"/>
    <cellStyle name="Berekening 2 2 4 5" xfId="27381"/>
    <cellStyle name="Berekening 2 2 4 6" xfId="27382"/>
    <cellStyle name="Berekening 2 2 4 7" xfId="27383"/>
    <cellStyle name="Berekening 2 2 40" xfId="95"/>
    <cellStyle name="Berekening 2 2 40 2" xfId="5886"/>
    <cellStyle name="Berekening 2 2 40 2 2" xfId="10381"/>
    <cellStyle name="Berekening 2 2 40 2 3" xfId="16457"/>
    <cellStyle name="Berekening 2 2 40 2 3 2" xfId="27384"/>
    <cellStyle name="Berekening 2 2 40 2 4" xfId="27385"/>
    <cellStyle name="Berekening 2 2 40 2 5" xfId="27386"/>
    <cellStyle name="Berekening 2 2 40 2 6" xfId="27387"/>
    <cellStyle name="Berekening 2 2 40 3" xfId="7894"/>
    <cellStyle name="Berekening 2 2 40 4" xfId="16458"/>
    <cellStyle name="Berekening 2 2 40 4 2" xfId="27388"/>
    <cellStyle name="Berekening 2 2 40 5" xfId="27389"/>
    <cellStyle name="Berekening 2 2 40 6" xfId="27390"/>
    <cellStyle name="Berekening 2 2 40 7" xfId="27391"/>
    <cellStyle name="Berekening 2 2 41" xfId="96"/>
    <cellStyle name="Berekening 2 2 41 2" xfId="5887"/>
    <cellStyle name="Berekening 2 2 41 2 2" xfId="10382"/>
    <cellStyle name="Berekening 2 2 41 2 3" xfId="16459"/>
    <cellStyle name="Berekening 2 2 41 2 3 2" xfId="27392"/>
    <cellStyle name="Berekening 2 2 41 2 4" xfId="27393"/>
    <cellStyle name="Berekening 2 2 41 2 5" xfId="27394"/>
    <cellStyle name="Berekening 2 2 41 2 6" xfId="27395"/>
    <cellStyle name="Berekening 2 2 41 3" xfId="7895"/>
    <cellStyle name="Berekening 2 2 41 4" xfId="16460"/>
    <cellStyle name="Berekening 2 2 41 4 2" xfId="27396"/>
    <cellStyle name="Berekening 2 2 41 5" xfId="27397"/>
    <cellStyle name="Berekening 2 2 41 6" xfId="27398"/>
    <cellStyle name="Berekening 2 2 41 7" xfId="27399"/>
    <cellStyle name="Berekening 2 2 42" xfId="97"/>
    <cellStyle name="Berekening 2 2 42 2" xfId="5888"/>
    <cellStyle name="Berekening 2 2 42 2 2" xfId="10383"/>
    <cellStyle name="Berekening 2 2 42 2 3" xfId="16461"/>
    <cellStyle name="Berekening 2 2 42 2 3 2" xfId="27400"/>
    <cellStyle name="Berekening 2 2 42 2 4" xfId="27401"/>
    <cellStyle name="Berekening 2 2 42 2 5" xfId="27402"/>
    <cellStyle name="Berekening 2 2 42 2 6" xfId="27403"/>
    <cellStyle name="Berekening 2 2 42 3" xfId="7896"/>
    <cellStyle name="Berekening 2 2 42 4" xfId="16462"/>
    <cellStyle name="Berekening 2 2 42 4 2" xfId="27404"/>
    <cellStyle name="Berekening 2 2 42 5" xfId="27405"/>
    <cellStyle name="Berekening 2 2 42 6" xfId="27406"/>
    <cellStyle name="Berekening 2 2 42 7" xfId="27407"/>
    <cellStyle name="Berekening 2 2 43" xfId="98"/>
    <cellStyle name="Berekening 2 2 43 2" xfId="5889"/>
    <cellStyle name="Berekening 2 2 43 2 2" xfId="10384"/>
    <cellStyle name="Berekening 2 2 43 2 3" xfId="16463"/>
    <cellStyle name="Berekening 2 2 43 2 3 2" xfId="27408"/>
    <cellStyle name="Berekening 2 2 43 2 4" xfId="27409"/>
    <cellStyle name="Berekening 2 2 43 2 5" xfId="27410"/>
    <cellStyle name="Berekening 2 2 43 2 6" xfId="27411"/>
    <cellStyle name="Berekening 2 2 43 3" xfId="7897"/>
    <cellStyle name="Berekening 2 2 43 4" xfId="16464"/>
    <cellStyle name="Berekening 2 2 43 4 2" xfId="27412"/>
    <cellStyle name="Berekening 2 2 43 5" xfId="27413"/>
    <cellStyle name="Berekening 2 2 43 6" xfId="27414"/>
    <cellStyle name="Berekening 2 2 43 7" xfId="27415"/>
    <cellStyle name="Berekening 2 2 44" xfId="99"/>
    <cellStyle name="Berekening 2 2 44 2" xfId="5890"/>
    <cellStyle name="Berekening 2 2 44 2 2" xfId="10385"/>
    <cellStyle name="Berekening 2 2 44 2 3" xfId="16465"/>
    <cellStyle name="Berekening 2 2 44 2 3 2" xfId="27416"/>
    <cellStyle name="Berekening 2 2 44 2 4" xfId="27417"/>
    <cellStyle name="Berekening 2 2 44 2 5" xfId="27418"/>
    <cellStyle name="Berekening 2 2 44 2 6" xfId="27419"/>
    <cellStyle name="Berekening 2 2 44 3" xfId="7898"/>
    <cellStyle name="Berekening 2 2 44 4" xfId="16466"/>
    <cellStyle name="Berekening 2 2 44 4 2" xfId="27420"/>
    <cellStyle name="Berekening 2 2 44 5" xfId="27421"/>
    <cellStyle name="Berekening 2 2 44 6" xfId="27422"/>
    <cellStyle name="Berekening 2 2 44 7" xfId="27423"/>
    <cellStyle name="Berekening 2 2 45" xfId="100"/>
    <cellStyle name="Berekening 2 2 45 2" xfId="5891"/>
    <cellStyle name="Berekening 2 2 45 2 2" xfId="10386"/>
    <cellStyle name="Berekening 2 2 45 2 3" xfId="16467"/>
    <cellStyle name="Berekening 2 2 45 2 3 2" xfId="27424"/>
    <cellStyle name="Berekening 2 2 45 2 4" xfId="27425"/>
    <cellStyle name="Berekening 2 2 45 2 5" xfId="27426"/>
    <cellStyle name="Berekening 2 2 45 2 6" xfId="27427"/>
    <cellStyle name="Berekening 2 2 45 3" xfId="7899"/>
    <cellStyle name="Berekening 2 2 45 4" xfId="16468"/>
    <cellStyle name="Berekening 2 2 45 4 2" xfId="27428"/>
    <cellStyle name="Berekening 2 2 45 5" xfId="27429"/>
    <cellStyle name="Berekening 2 2 45 6" xfId="27430"/>
    <cellStyle name="Berekening 2 2 45 7" xfId="27431"/>
    <cellStyle name="Berekening 2 2 46" xfId="101"/>
    <cellStyle name="Berekening 2 2 46 2" xfId="5892"/>
    <cellStyle name="Berekening 2 2 46 2 2" xfId="10387"/>
    <cellStyle name="Berekening 2 2 46 2 3" xfId="16469"/>
    <cellStyle name="Berekening 2 2 46 2 3 2" xfId="27432"/>
    <cellStyle name="Berekening 2 2 46 2 4" xfId="27433"/>
    <cellStyle name="Berekening 2 2 46 2 5" xfId="27434"/>
    <cellStyle name="Berekening 2 2 46 2 6" xfId="27435"/>
    <cellStyle name="Berekening 2 2 46 3" xfId="7900"/>
    <cellStyle name="Berekening 2 2 46 4" xfId="16470"/>
    <cellStyle name="Berekening 2 2 46 4 2" xfId="27436"/>
    <cellStyle name="Berekening 2 2 46 5" xfId="27437"/>
    <cellStyle name="Berekening 2 2 46 6" xfId="27438"/>
    <cellStyle name="Berekening 2 2 46 7" xfId="27439"/>
    <cellStyle name="Berekening 2 2 47" xfId="102"/>
    <cellStyle name="Berekening 2 2 47 2" xfId="5893"/>
    <cellStyle name="Berekening 2 2 47 2 2" xfId="10388"/>
    <cellStyle name="Berekening 2 2 47 2 3" xfId="16471"/>
    <cellStyle name="Berekening 2 2 47 2 3 2" xfId="27440"/>
    <cellStyle name="Berekening 2 2 47 2 4" xfId="27441"/>
    <cellStyle name="Berekening 2 2 47 2 5" xfId="27442"/>
    <cellStyle name="Berekening 2 2 47 2 6" xfId="27443"/>
    <cellStyle name="Berekening 2 2 47 3" xfId="7901"/>
    <cellStyle name="Berekening 2 2 47 4" xfId="16472"/>
    <cellStyle name="Berekening 2 2 47 4 2" xfId="27444"/>
    <cellStyle name="Berekening 2 2 47 5" xfId="27445"/>
    <cellStyle name="Berekening 2 2 47 6" xfId="27446"/>
    <cellStyle name="Berekening 2 2 47 7" xfId="27447"/>
    <cellStyle name="Berekening 2 2 48" xfId="103"/>
    <cellStyle name="Berekening 2 2 48 2" xfId="5894"/>
    <cellStyle name="Berekening 2 2 48 2 2" xfId="10389"/>
    <cellStyle name="Berekening 2 2 48 2 3" xfId="16473"/>
    <cellStyle name="Berekening 2 2 48 2 3 2" xfId="27448"/>
    <cellStyle name="Berekening 2 2 48 2 4" xfId="27449"/>
    <cellStyle name="Berekening 2 2 48 2 5" xfId="27450"/>
    <cellStyle name="Berekening 2 2 48 2 6" xfId="27451"/>
    <cellStyle name="Berekening 2 2 48 3" xfId="7902"/>
    <cellStyle name="Berekening 2 2 48 4" xfId="16474"/>
    <cellStyle name="Berekening 2 2 48 4 2" xfId="27452"/>
    <cellStyle name="Berekening 2 2 48 5" xfId="27453"/>
    <cellStyle name="Berekening 2 2 48 6" xfId="27454"/>
    <cellStyle name="Berekening 2 2 48 7" xfId="27455"/>
    <cellStyle name="Berekening 2 2 49" xfId="104"/>
    <cellStyle name="Berekening 2 2 49 2" xfId="5895"/>
    <cellStyle name="Berekening 2 2 49 2 2" xfId="10390"/>
    <cellStyle name="Berekening 2 2 49 2 3" xfId="16475"/>
    <cellStyle name="Berekening 2 2 49 2 3 2" xfId="27456"/>
    <cellStyle name="Berekening 2 2 49 2 4" xfId="27457"/>
    <cellStyle name="Berekening 2 2 49 2 5" xfId="27458"/>
    <cellStyle name="Berekening 2 2 49 2 6" xfId="27459"/>
    <cellStyle name="Berekening 2 2 49 3" xfId="7903"/>
    <cellStyle name="Berekening 2 2 49 4" xfId="16476"/>
    <cellStyle name="Berekening 2 2 49 4 2" xfId="27460"/>
    <cellStyle name="Berekening 2 2 49 5" xfId="27461"/>
    <cellStyle name="Berekening 2 2 49 6" xfId="27462"/>
    <cellStyle name="Berekening 2 2 49 7" xfId="27463"/>
    <cellStyle name="Berekening 2 2 5" xfId="105"/>
    <cellStyle name="Berekening 2 2 5 2" xfId="5896"/>
    <cellStyle name="Berekening 2 2 5 2 2" xfId="10391"/>
    <cellStyle name="Berekening 2 2 5 2 3" xfId="16477"/>
    <cellStyle name="Berekening 2 2 5 2 3 2" xfId="27464"/>
    <cellStyle name="Berekening 2 2 5 2 4" xfId="27465"/>
    <cellStyle name="Berekening 2 2 5 2 5" xfId="27466"/>
    <cellStyle name="Berekening 2 2 5 2 6" xfId="27467"/>
    <cellStyle name="Berekening 2 2 5 3" xfId="7904"/>
    <cellStyle name="Berekening 2 2 5 4" xfId="16478"/>
    <cellStyle name="Berekening 2 2 5 4 2" xfId="27468"/>
    <cellStyle name="Berekening 2 2 5 5" xfId="27469"/>
    <cellStyle name="Berekening 2 2 5 6" xfId="27470"/>
    <cellStyle name="Berekening 2 2 5 7" xfId="27471"/>
    <cellStyle name="Berekening 2 2 50" xfId="106"/>
    <cellStyle name="Berekening 2 2 50 2" xfId="5897"/>
    <cellStyle name="Berekening 2 2 50 2 2" xfId="10392"/>
    <cellStyle name="Berekening 2 2 50 2 3" xfId="16479"/>
    <cellStyle name="Berekening 2 2 50 2 3 2" xfId="27472"/>
    <cellStyle name="Berekening 2 2 50 2 4" xfId="27473"/>
    <cellStyle name="Berekening 2 2 50 2 5" xfId="27474"/>
    <cellStyle name="Berekening 2 2 50 2 6" xfId="27475"/>
    <cellStyle name="Berekening 2 2 50 3" xfId="7905"/>
    <cellStyle name="Berekening 2 2 50 4" xfId="16480"/>
    <cellStyle name="Berekening 2 2 50 4 2" xfId="27476"/>
    <cellStyle name="Berekening 2 2 50 5" xfId="27477"/>
    <cellStyle name="Berekening 2 2 50 6" xfId="27478"/>
    <cellStyle name="Berekening 2 2 50 7" xfId="27479"/>
    <cellStyle name="Berekening 2 2 51" xfId="107"/>
    <cellStyle name="Berekening 2 2 51 2" xfId="5898"/>
    <cellStyle name="Berekening 2 2 51 2 2" xfId="10393"/>
    <cellStyle name="Berekening 2 2 51 2 3" xfId="16481"/>
    <cellStyle name="Berekening 2 2 51 2 3 2" xfId="27480"/>
    <cellStyle name="Berekening 2 2 51 2 4" xfId="27481"/>
    <cellStyle name="Berekening 2 2 51 2 5" xfId="27482"/>
    <cellStyle name="Berekening 2 2 51 2 6" xfId="27483"/>
    <cellStyle name="Berekening 2 2 51 3" xfId="7906"/>
    <cellStyle name="Berekening 2 2 51 4" xfId="16482"/>
    <cellStyle name="Berekening 2 2 51 4 2" xfId="27484"/>
    <cellStyle name="Berekening 2 2 51 5" xfId="27485"/>
    <cellStyle name="Berekening 2 2 51 6" xfId="27486"/>
    <cellStyle name="Berekening 2 2 51 7" xfId="27487"/>
    <cellStyle name="Berekening 2 2 52" xfId="108"/>
    <cellStyle name="Berekening 2 2 52 2" xfId="5899"/>
    <cellStyle name="Berekening 2 2 52 2 2" xfId="10394"/>
    <cellStyle name="Berekening 2 2 52 2 3" xfId="16483"/>
    <cellStyle name="Berekening 2 2 52 2 3 2" xfId="27488"/>
    <cellStyle name="Berekening 2 2 52 2 4" xfId="27489"/>
    <cellStyle name="Berekening 2 2 52 2 5" xfId="27490"/>
    <cellStyle name="Berekening 2 2 52 2 6" xfId="27491"/>
    <cellStyle name="Berekening 2 2 52 3" xfId="7907"/>
    <cellStyle name="Berekening 2 2 52 4" xfId="16484"/>
    <cellStyle name="Berekening 2 2 52 4 2" xfId="27492"/>
    <cellStyle name="Berekening 2 2 52 5" xfId="27493"/>
    <cellStyle name="Berekening 2 2 52 6" xfId="27494"/>
    <cellStyle name="Berekening 2 2 52 7" xfId="27495"/>
    <cellStyle name="Berekening 2 2 53" xfId="109"/>
    <cellStyle name="Berekening 2 2 53 2" xfId="5900"/>
    <cellStyle name="Berekening 2 2 53 2 2" xfId="10395"/>
    <cellStyle name="Berekening 2 2 53 2 3" xfId="16485"/>
    <cellStyle name="Berekening 2 2 53 2 3 2" xfId="27496"/>
    <cellStyle name="Berekening 2 2 53 2 4" xfId="27497"/>
    <cellStyle name="Berekening 2 2 53 2 5" xfId="27498"/>
    <cellStyle name="Berekening 2 2 53 2 6" xfId="27499"/>
    <cellStyle name="Berekening 2 2 53 3" xfId="7908"/>
    <cellStyle name="Berekening 2 2 53 4" xfId="16486"/>
    <cellStyle name="Berekening 2 2 53 4 2" xfId="27500"/>
    <cellStyle name="Berekening 2 2 53 5" xfId="27501"/>
    <cellStyle name="Berekening 2 2 53 6" xfId="27502"/>
    <cellStyle name="Berekening 2 2 53 7" xfId="27503"/>
    <cellStyle name="Berekening 2 2 54" xfId="110"/>
    <cellStyle name="Berekening 2 2 54 2" xfId="5901"/>
    <cellStyle name="Berekening 2 2 54 2 2" xfId="10396"/>
    <cellStyle name="Berekening 2 2 54 2 3" xfId="16487"/>
    <cellStyle name="Berekening 2 2 54 2 3 2" xfId="27504"/>
    <cellStyle name="Berekening 2 2 54 2 4" xfId="27505"/>
    <cellStyle name="Berekening 2 2 54 2 5" xfId="27506"/>
    <cellStyle name="Berekening 2 2 54 2 6" xfId="27507"/>
    <cellStyle name="Berekening 2 2 54 3" xfId="7909"/>
    <cellStyle name="Berekening 2 2 54 4" xfId="16488"/>
    <cellStyle name="Berekening 2 2 54 4 2" xfId="27508"/>
    <cellStyle name="Berekening 2 2 54 5" xfId="27509"/>
    <cellStyle name="Berekening 2 2 54 6" xfId="27510"/>
    <cellStyle name="Berekening 2 2 54 7" xfId="27511"/>
    <cellStyle name="Berekening 2 2 55" xfId="111"/>
    <cellStyle name="Berekening 2 2 55 2" xfId="5902"/>
    <cellStyle name="Berekening 2 2 55 2 2" xfId="10397"/>
    <cellStyle name="Berekening 2 2 55 2 3" xfId="16489"/>
    <cellStyle name="Berekening 2 2 55 2 3 2" xfId="27512"/>
    <cellStyle name="Berekening 2 2 55 2 4" xfId="27513"/>
    <cellStyle name="Berekening 2 2 55 2 5" xfId="27514"/>
    <cellStyle name="Berekening 2 2 55 2 6" xfId="27515"/>
    <cellStyle name="Berekening 2 2 55 3" xfId="7910"/>
    <cellStyle name="Berekening 2 2 55 4" xfId="16490"/>
    <cellStyle name="Berekening 2 2 55 4 2" xfId="27516"/>
    <cellStyle name="Berekening 2 2 55 5" xfId="27517"/>
    <cellStyle name="Berekening 2 2 55 6" xfId="27518"/>
    <cellStyle name="Berekening 2 2 55 7" xfId="27519"/>
    <cellStyle name="Berekening 2 2 56" xfId="112"/>
    <cellStyle name="Berekening 2 2 56 2" xfId="5903"/>
    <cellStyle name="Berekening 2 2 56 2 2" xfId="10398"/>
    <cellStyle name="Berekening 2 2 56 2 3" xfId="16491"/>
    <cellStyle name="Berekening 2 2 56 2 3 2" xfId="27520"/>
    <cellStyle name="Berekening 2 2 56 2 4" xfId="27521"/>
    <cellStyle name="Berekening 2 2 56 2 5" xfId="27522"/>
    <cellStyle name="Berekening 2 2 56 2 6" xfId="27523"/>
    <cellStyle name="Berekening 2 2 56 3" xfId="7911"/>
    <cellStyle name="Berekening 2 2 56 4" xfId="16492"/>
    <cellStyle name="Berekening 2 2 56 4 2" xfId="27524"/>
    <cellStyle name="Berekening 2 2 56 5" xfId="27525"/>
    <cellStyle name="Berekening 2 2 56 6" xfId="27526"/>
    <cellStyle name="Berekening 2 2 56 7" xfId="27527"/>
    <cellStyle name="Berekening 2 2 57" xfId="113"/>
    <cellStyle name="Berekening 2 2 57 2" xfId="5904"/>
    <cellStyle name="Berekening 2 2 57 2 2" xfId="10399"/>
    <cellStyle name="Berekening 2 2 57 2 3" xfId="16493"/>
    <cellStyle name="Berekening 2 2 57 2 3 2" xfId="27528"/>
    <cellStyle name="Berekening 2 2 57 2 4" xfId="27529"/>
    <cellStyle name="Berekening 2 2 57 2 5" xfId="27530"/>
    <cellStyle name="Berekening 2 2 57 2 6" xfId="27531"/>
    <cellStyle name="Berekening 2 2 57 3" xfId="7912"/>
    <cellStyle name="Berekening 2 2 57 4" xfId="16494"/>
    <cellStyle name="Berekening 2 2 57 4 2" xfId="27532"/>
    <cellStyle name="Berekening 2 2 57 5" xfId="27533"/>
    <cellStyle name="Berekening 2 2 57 6" xfId="27534"/>
    <cellStyle name="Berekening 2 2 57 7" xfId="27535"/>
    <cellStyle name="Berekening 2 2 58" xfId="114"/>
    <cellStyle name="Berekening 2 2 58 2" xfId="5905"/>
    <cellStyle name="Berekening 2 2 58 2 2" xfId="10400"/>
    <cellStyle name="Berekening 2 2 58 2 3" xfId="16495"/>
    <cellStyle name="Berekening 2 2 58 2 3 2" xfId="27536"/>
    <cellStyle name="Berekening 2 2 58 2 4" xfId="27537"/>
    <cellStyle name="Berekening 2 2 58 2 5" xfId="27538"/>
    <cellStyle name="Berekening 2 2 58 2 6" xfId="27539"/>
    <cellStyle name="Berekening 2 2 58 3" xfId="7913"/>
    <cellStyle name="Berekening 2 2 58 4" xfId="16496"/>
    <cellStyle name="Berekening 2 2 58 4 2" xfId="27540"/>
    <cellStyle name="Berekening 2 2 58 5" xfId="27541"/>
    <cellStyle name="Berekening 2 2 58 6" xfId="27542"/>
    <cellStyle name="Berekening 2 2 58 7" xfId="27543"/>
    <cellStyle name="Berekening 2 2 59" xfId="115"/>
    <cellStyle name="Berekening 2 2 59 2" xfId="5906"/>
    <cellStyle name="Berekening 2 2 59 2 2" xfId="10401"/>
    <cellStyle name="Berekening 2 2 59 2 3" xfId="16497"/>
    <cellStyle name="Berekening 2 2 59 2 3 2" xfId="27544"/>
    <cellStyle name="Berekening 2 2 59 2 4" xfId="27545"/>
    <cellStyle name="Berekening 2 2 59 2 5" xfId="27546"/>
    <cellStyle name="Berekening 2 2 59 2 6" xfId="27547"/>
    <cellStyle name="Berekening 2 2 59 3" xfId="7914"/>
    <cellStyle name="Berekening 2 2 59 4" xfId="16498"/>
    <cellStyle name="Berekening 2 2 59 4 2" xfId="27548"/>
    <cellStyle name="Berekening 2 2 59 5" xfId="27549"/>
    <cellStyle name="Berekening 2 2 59 6" xfId="27550"/>
    <cellStyle name="Berekening 2 2 59 7" xfId="27551"/>
    <cellStyle name="Berekening 2 2 6" xfId="116"/>
    <cellStyle name="Berekening 2 2 6 2" xfId="5907"/>
    <cellStyle name="Berekening 2 2 6 2 2" xfId="10402"/>
    <cellStyle name="Berekening 2 2 6 2 3" xfId="16499"/>
    <cellStyle name="Berekening 2 2 6 2 3 2" xfId="27552"/>
    <cellStyle name="Berekening 2 2 6 2 4" xfId="27553"/>
    <cellStyle name="Berekening 2 2 6 2 5" xfId="27554"/>
    <cellStyle name="Berekening 2 2 6 2 6" xfId="27555"/>
    <cellStyle name="Berekening 2 2 6 3" xfId="7915"/>
    <cellStyle name="Berekening 2 2 6 4" xfId="16500"/>
    <cellStyle name="Berekening 2 2 6 4 2" xfId="27556"/>
    <cellStyle name="Berekening 2 2 6 5" xfId="27557"/>
    <cellStyle name="Berekening 2 2 6 6" xfId="27558"/>
    <cellStyle name="Berekening 2 2 6 7" xfId="27559"/>
    <cellStyle name="Berekening 2 2 60" xfId="117"/>
    <cellStyle name="Berekening 2 2 60 2" xfId="5908"/>
    <cellStyle name="Berekening 2 2 60 2 2" xfId="10403"/>
    <cellStyle name="Berekening 2 2 60 2 3" xfId="16501"/>
    <cellStyle name="Berekening 2 2 60 2 3 2" xfId="27560"/>
    <cellStyle name="Berekening 2 2 60 2 4" xfId="27561"/>
    <cellStyle name="Berekening 2 2 60 2 5" xfId="27562"/>
    <cellStyle name="Berekening 2 2 60 2 6" xfId="27563"/>
    <cellStyle name="Berekening 2 2 60 3" xfId="7916"/>
    <cellStyle name="Berekening 2 2 60 4" xfId="16502"/>
    <cellStyle name="Berekening 2 2 60 4 2" xfId="27564"/>
    <cellStyle name="Berekening 2 2 60 5" xfId="27565"/>
    <cellStyle name="Berekening 2 2 60 6" xfId="27566"/>
    <cellStyle name="Berekening 2 2 60 7" xfId="27567"/>
    <cellStyle name="Berekening 2 2 61" xfId="118"/>
    <cellStyle name="Berekening 2 2 61 2" xfId="5909"/>
    <cellStyle name="Berekening 2 2 61 2 2" xfId="10404"/>
    <cellStyle name="Berekening 2 2 61 2 3" xfId="16503"/>
    <cellStyle name="Berekening 2 2 61 2 3 2" xfId="27568"/>
    <cellStyle name="Berekening 2 2 61 2 4" xfId="27569"/>
    <cellStyle name="Berekening 2 2 61 2 5" xfId="27570"/>
    <cellStyle name="Berekening 2 2 61 2 6" xfId="27571"/>
    <cellStyle name="Berekening 2 2 61 3" xfId="7917"/>
    <cellStyle name="Berekening 2 2 61 4" xfId="16504"/>
    <cellStyle name="Berekening 2 2 61 4 2" xfId="27572"/>
    <cellStyle name="Berekening 2 2 61 5" xfId="27573"/>
    <cellStyle name="Berekening 2 2 61 6" xfId="27574"/>
    <cellStyle name="Berekening 2 2 61 7" xfId="27575"/>
    <cellStyle name="Berekening 2 2 62" xfId="119"/>
    <cellStyle name="Berekening 2 2 62 2" xfId="5910"/>
    <cellStyle name="Berekening 2 2 62 2 2" xfId="10405"/>
    <cellStyle name="Berekening 2 2 62 2 3" xfId="16505"/>
    <cellStyle name="Berekening 2 2 62 2 3 2" xfId="27576"/>
    <cellStyle name="Berekening 2 2 62 2 4" xfId="27577"/>
    <cellStyle name="Berekening 2 2 62 2 5" xfId="27578"/>
    <cellStyle name="Berekening 2 2 62 2 6" xfId="27579"/>
    <cellStyle name="Berekening 2 2 62 3" xfId="7918"/>
    <cellStyle name="Berekening 2 2 62 4" xfId="16506"/>
    <cellStyle name="Berekening 2 2 62 4 2" xfId="27580"/>
    <cellStyle name="Berekening 2 2 62 5" xfId="27581"/>
    <cellStyle name="Berekening 2 2 62 6" xfId="27582"/>
    <cellStyle name="Berekening 2 2 62 7" xfId="27583"/>
    <cellStyle name="Berekening 2 2 63" xfId="120"/>
    <cellStyle name="Berekening 2 2 63 2" xfId="5911"/>
    <cellStyle name="Berekening 2 2 63 2 2" xfId="10406"/>
    <cellStyle name="Berekening 2 2 63 2 3" xfId="16507"/>
    <cellStyle name="Berekening 2 2 63 2 3 2" xfId="27584"/>
    <cellStyle name="Berekening 2 2 63 2 4" xfId="27585"/>
    <cellStyle name="Berekening 2 2 63 2 5" xfId="27586"/>
    <cellStyle name="Berekening 2 2 63 2 6" xfId="27587"/>
    <cellStyle name="Berekening 2 2 63 3" xfId="7919"/>
    <cellStyle name="Berekening 2 2 63 4" xfId="16508"/>
    <cellStyle name="Berekening 2 2 63 4 2" xfId="27588"/>
    <cellStyle name="Berekening 2 2 63 5" xfId="27589"/>
    <cellStyle name="Berekening 2 2 63 6" xfId="27590"/>
    <cellStyle name="Berekening 2 2 63 7" xfId="27591"/>
    <cellStyle name="Berekening 2 2 64" xfId="121"/>
    <cellStyle name="Berekening 2 2 64 2" xfId="5912"/>
    <cellStyle name="Berekening 2 2 64 2 2" xfId="10407"/>
    <cellStyle name="Berekening 2 2 64 2 3" xfId="16509"/>
    <cellStyle name="Berekening 2 2 64 2 3 2" xfId="27592"/>
    <cellStyle name="Berekening 2 2 64 2 4" xfId="27593"/>
    <cellStyle name="Berekening 2 2 64 2 5" xfId="27594"/>
    <cellStyle name="Berekening 2 2 64 2 6" xfId="27595"/>
    <cellStyle name="Berekening 2 2 64 3" xfId="7920"/>
    <cellStyle name="Berekening 2 2 64 4" xfId="16510"/>
    <cellStyle name="Berekening 2 2 64 4 2" xfId="27596"/>
    <cellStyle name="Berekening 2 2 64 5" xfId="27597"/>
    <cellStyle name="Berekening 2 2 64 6" xfId="27598"/>
    <cellStyle name="Berekening 2 2 64 7" xfId="27599"/>
    <cellStyle name="Berekening 2 2 65" xfId="122"/>
    <cellStyle name="Berekening 2 2 65 2" xfId="5913"/>
    <cellStyle name="Berekening 2 2 65 2 2" xfId="10408"/>
    <cellStyle name="Berekening 2 2 65 2 3" xfId="16511"/>
    <cellStyle name="Berekening 2 2 65 2 3 2" xfId="27600"/>
    <cellStyle name="Berekening 2 2 65 2 4" xfId="27601"/>
    <cellStyle name="Berekening 2 2 65 2 5" xfId="27602"/>
    <cellStyle name="Berekening 2 2 65 2 6" xfId="27603"/>
    <cellStyle name="Berekening 2 2 65 3" xfId="7921"/>
    <cellStyle name="Berekening 2 2 65 4" xfId="16512"/>
    <cellStyle name="Berekening 2 2 65 4 2" xfId="27604"/>
    <cellStyle name="Berekening 2 2 65 5" xfId="27605"/>
    <cellStyle name="Berekening 2 2 65 6" xfId="27606"/>
    <cellStyle name="Berekening 2 2 65 7" xfId="27607"/>
    <cellStyle name="Berekening 2 2 66" xfId="123"/>
    <cellStyle name="Berekening 2 2 66 2" xfId="5914"/>
    <cellStyle name="Berekening 2 2 66 2 2" xfId="10409"/>
    <cellStyle name="Berekening 2 2 66 2 3" xfId="16513"/>
    <cellStyle name="Berekening 2 2 66 2 3 2" xfId="27608"/>
    <cellStyle name="Berekening 2 2 66 2 4" xfId="27609"/>
    <cellStyle name="Berekening 2 2 66 2 5" xfId="27610"/>
    <cellStyle name="Berekening 2 2 66 2 6" xfId="27611"/>
    <cellStyle name="Berekening 2 2 66 3" xfId="7922"/>
    <cellStyle name="Berekening 2 2 66 4" xfId="16514"/>
    <cellStyle name="Berekening 2 2 66 4 2" xfId="27612"/>
    <cellStyle name="Berekening 2 2 66 5" xfId="27613"/>
    <cellStyle name="Berekening 2 2 66 6" xfId="27614"/>
    <cellStyle name="Berekening 2 2 66 7" xfId="27615"/>
    <cellStyle name="Berekening 2 2 67" xfId="124"/>
    <cellStyle name="Berekening 2 2 67 2" xfId="5915"/>
    <cellStyle name="Berekening 2 2 67 2 2" xfId="10410"/>
    <cellStyle name="Berekening 2 2 67 2 3" xfId="16515"/>
    <cellStyle name="Berekening 2 2 67 2 3 2" xfId="27616"/>
    <cellStyle name="Berekening 2 2 67 2 4" xfId="27617"/>
    <cellStyle name="Berekening 2 2 67 2 5" xfId="27618"/>
    <cellStyle name="Berekening 2 2 67 2 6" xfId="27619"/>
    <cellStyle name="Berekening 2 2 67 3" xfId="7923"/>
    <cellStyle name="Berekening 2 2 67 4" xfId="16516"/>
    <cellStyle name="Berekening 2 2 67 4 2" xfId="27620"/>
    <cellStyle name="Berekening 2 2 67 5" xfId="27621"/>
    <cellStyle name="Berekening 2 2 67 6" xfId="27622"/>
    <cellStyle name="Berekening 2 2 67 7" xfId="27623"/>
    <cellStyle name="Berekening 2 2 68" xfId="125"/>
    <cellStyle name="Berekening 2 2 68 2" xfId="5916"/>
    <cellStyle name="Berekening 2 2 68 2 2" xfId="10411"/>
    <cellStyle name="Berekening 2 2 68 2 3" xfId="16517"/>
    <cellStyle name="Berekening 2 2 68 2 3 2" xfId="27624"/>
    <cellStyle name="Berekening 2 2 68 2 4" xfId="27625"/>
    <cellStyle name="Berekening 2 2 68 2 5" xfId="27626"/>
    <cellStyle name="Berekening 2 2 68 2 6" xfId="27627"/>
    <cellStyle name="Berekening 2 2 68 3" xfId="7924"/>
    <cellStyle name="Berekening 2 2 68 4" xfId="16518"/>
    <cellStyle name="Berekening 2 2 68 4 2" xfId="27628"/>
    <cellStyle name="Berekening 2 2 68 5" xfId="27629"/>
    <cellStyle name="Berekening 2 2 68 6" xfId="27630"/>
    <cellStyle name="Berekening 2 2 68 7" xfId="27631"/>
    <cellStyle name="Berekening 2 2 69" xfId="126"/>
    <cellStyle name="Berekening 2 2 69 2" xfId="5917"/>
    <cellStyle name="Berekening 2 2 69 2 2" xfId="10412"/>
    <cellStyle name="Berekening 2 2 69 2 3" xfId="16519"/>
    <cellStyle name="Berekening 2 2 69 2 3 2" xfId="27632"/>
    <cellStyle name="Berekening 2 2 69 2 4" xfId="27633"/>
    <cellStyle name="Berekening 2 2 69 2 5" xfId="27634"/>
    <cellStyle name="Berekening 2 2 69 2 6" xfId="27635"/>
    <cellStyle name="Berekening 2 2 69 3" xfId="7925"/>
    <cellStyle name="Berekening 2 2 69 4" xfId="16520"/>
    <cellStyle name="Berekening 2 2 69 4 2" xfId="27636"/>
    <cellStyle name="Berekening 2 2 69 5" xfId="27637"/>
    <cellStyle name="Berekening 2 2 69 6" xfId="27638"/>
    <cellStyle name="Berekening 2 2 69 7" xfId="27639"/>
    <cellStyle name="Berekening 2 2 7" xfId="127"/>
    <cellStyle name="Berekening 2 2 7 2" xfId="5918"/>
    <cellStyle name="Berekening 2 2 7 2 2" xfId="10413"/>
    <cellStyle name="Berekening 2 2 7 2 3" xfId="16521"/>
    <cellStyle name="Berekening 2 2 7 2 3 2" xfId="27640"/>
    <cellStyle name="Berekening 2 2 7 2 4" xfId="27641"/>
    <cellStyle name="Berekening 2 2 7 2 5" xfId="27642"/>
    <cellStyle name="Berekening 2 2 7 2 6" xfId="27643"/>
    <cellStyle name="Berekening 2 2 7 3" xfId="7926"/>
    <cellStyle name="Berekening 2 2 7 4" xfId="16522"/>
    <cellStyle name="Berekening 2 2 7 4 2" xfId="27644"/>
    <cellStyle name="Berekening 2 2 7 5" xfId="27645"/>
    <cellStyle name="Berekening 2 2 7 6" xfId="27646"/>
    <cellStyle name="Berekening 2 2 7 7" xfId="27647"/>
    <cellStyle name="Berekening 2 2 70" xfId="128"/>
    <cellStyle name="Berekening 2 2 70 2" xfId="5919"/>
    <cellStyle name="Berekening 2 2 70 2 2" xfId="10414"/>
    <cellStyle name="Berekening 2 2 70 2 3" xfId="16523"/>
    <cellStyle name="Berekening 2 2 70 2 3 2" xfId="27648"/>
    <cellStyle name="Berekening 2 2 70 2 4" xfId="27649"/>
    <cellStyle name="Berekening 2 2 70 2 5" xfId="27650"/>
    <cellStyle name="Berekening 2 2 70 2 6" xfId="27651"/>
    <cellStyle name="Berekening 2 2 70 3" xfId="7927"/>
    <cellStyle name="Berekening 2 2 70 4" xfId="16524"/>
    <cellStyle name="Berekening 2 2 70 4 2" xfId="27652"/>
    <cellStyle name="Berekening 2 2 70 5" xfId="27653"/>
    <cellStyle name="Berekening 2 2 70 6" xfId="27654"/>
    <cellStyle name="Berekening 2 2 70 7" xfId="27655"/>
    <cellStyle name="Berekening 2 2 71" xfId="129"/>
    <cellStyle name="Berekening 2 2 71 2" xfId="5920"/>
    <cellStyle name="Berekening 2 2 71 2 2" xfId="10415"/>
    <cellStyle name="Berekening 2 2 71 2 3" xfId="16525"/>
    <cellStyle name="Berekening 2 2 71 2 3 2" xfId="27656"/>
    <cellStyle name="Berekening 2 2 71 2 4" xfId="27657"/>
    <cellStyle name="Berekening 2 2 71 2 5" xfId="27658"/>
    <cellStyle name="Berekening 2 2 71 2 6" xfId="27659"/>
    <cellStyle name="Berekening 2 2 71 3" xfId="7928"/>
    <cellStyle name="Berekening 2 2 71 4" xfId="16526"/>
    <cellStyle name="Berekening 2 2 71 4 2" xfId="27660"/>
    <cellStyle name="Berekening 2 2 71 5" xfId="27661"/>
    <cellStyle name="Berekening 2 2 71 6" xfId="27662"/>
    <cellStyle name="Berekening 2 2 71 7" xfId="27663"/>
    <cellStyle name="Berekening 2 2 72" xfId="130"/>
    <cellStyle name="Berekening 2 2 72 2" xfId="5921"/>
    <cellStyle name="Berekening 2 2 72 2 2" xfId="10416"/>
    <cellStyle name="Berekening 2 2 72 2 3" xfId="16527"/>
    <cellStyle name="Berekening 2 2 72 2 3 2" xfId="27664"/>
    <cellStyle name="Berekening 2 2 72 2 4" xfId="27665"/>
    <cellStyle name="Berekening 2 2 72 2 5" xfId="27666"/>
    <cellStyle name="Berekening 2 2 72 2 6" xfId="27667"/>
    <cellStyle name="Berekening 2 2 72 3" xfId="7929"/>
    <cellStyle name="Berekening 2 2 72 4" xfId="16528"/>
    <cellStyle name="Berekening 2 2 72 4 2" xfId="27668"/>
    <cellStyle name="Berekening 2 2 72 5" xfId="27669"/>
    <cellStyle name="Berekening 2 2 72 6" xfId="27670"/>
    <cellStyle name="Berekening 2 2 72 7" xfId="27671"/>
    <cellStyle name="Berekening 2 2 73" xfId="131"/>
    <cellStyle name="Berekening 2 2 73 2" xfId="5922"/>
    <cellStyle name="Berekening 2 2 73 2 2" xfId="10417"/>
    <cellStyle name="Berekening 2 2 73 2 3" xfId="16529"/>
    <cellStyle name="Berekening 2 2 73 2 3 2" xfId="27672"/>
    <cellStyle name="Berekening 2 2 73 2 4" xfId="27673"/>
    <cellStyle name="Berekening 2 2 73 2 5" xfId="27674"/>
    <cellStyle name="Berekening 2 2 73 2 6" xfId="27675"/>
    <cellStyle name="Berekening 2 2 73 3" xfId="7930"/>
    <cellStyle name="Berekening 2 2 73 4" xfId="16530"/>
    <cellStyle name="Berekening 2 2 73 4 2" xfId="27676"/>
    <cellStyle name="Berekening 2 2 73 5" xfId="27677"/>
    <cellStyle name="Berekening 2 2 73 6" xfId="27678"/>
    <cellStyle name="Berekening 2 2 73 7" xfId="27679"/>
    <cellStyle name="Berekening 2 2 74" xfId="132"/>
    <cellStyle name="Berekening 2 2 74 2" xfId="5923"/>
    <cellStyle name="Berekening 2 2 74 2 2" xfId="10418"/>
    <cellStyle name="Berekening 2 2 74 2 3" xfId="16531"/>
    <cellStyle name="Berekening 2 2 74 2 3 2" xfId="27680"/>
    <cellStyle name="Berekening 2 2 74 2 4" xfId="27681"/>
    <cellStyle name="Berekening 2 2 74 2 5" xfId="27682"/>
    <cellStyle name="Berekening 2 2 74 2 6" xfId="27683"/>
    <cellStyle name="Berekening 2 2 74 3" xfId="7931"/>
    <cellStyle name="Berekening 2 2 74 4" xfId="16532"/>
    <cellStyle name="Berekening 2 2 74 4 2" xfId="27684"/>
    <cellStyle name="Berekening 2 2 74 5" xfId="27685"/>
    <cellStyle name="Berekening 2 2 74 6" xfId="27686"/>
    <cellStyle name="Berekening 2 2 74 7" xfId="27687"/>
    <cellStyle name="Berekening 2 2 75" xfId="133"/>
    <cellStyle name="Berekening 2 2 75 2" xfId="5924"/>
    <cellStyle name="Berekening 2 2 75 2 2" xfId="10419"/>
    <cellStyle name="Berekening 2 2 75 2 3" xfId="16533"/>
    <cellStyle name="Berekening 2 2 75 2 3 2" xfId="27688"/>
    <cellStyle name="Berekening 2 2 75 2 4" xfId="27689"/>
    <cellStyle name="Berekening 2 2 75 2 5" xfId="27690"/>
    <cellStyle name="Berekening 2 2 75 2 6" xfId="27691"/>
    <cellStyle name="Berekening 2 2 75 3" xfId="7932"/>
    <cellStyle name="Berekening 2 2 75 4" xfId="16534"/>
    <cellStyle name="Berekening 2 2 75 4 2" xfId="27692"/>
    <cellStyle name="Berekening 2 2 75 5" xfId="27693"/>
    <cellStyle name="Berekening 2 2 75 6" xfId="27694"/>
    <cellStyle name="Berekening 2 2 75 7" xfId="27695"/>
    <cellStyle name="Berekening 2 2 76" xfId="134"/>
    <cellStyle name="Berekening 2 2 76 2" xfId="5925"/>
    <cellStyle name="Berekening 2 2 76 2 2" xfId="10420"/>
    <cellStyle name="Berekening 2 2 76 2 3" xfId="16535"/>
    <cellStyle name="Berekening 2 2 76 2 3 2" xfId="27696"/>
    <cellStyle name="Berekening 2 2 76 2 4" xfId="27697"/>
    <cellStyle name="Berekening 2 2 76 2 5" xfId="27698"/>
    <cellStyle name="Berekening 2 2 76 2 6" xfId="27699"/>
    <cellStyle name="Berekening 2 2 76 3" xfId="7933"/>
    <cellStyle name="Berekening 2 2 76 4" xfId="16536"/>
    <cellStyle name="Berekening 2 2 76 4 2" xfId="27700"/>
    <cellStyle name="Berekening 2 2 76 5" xfId="27701"/>
    <cellStyle name="Berekening 2 2 76 6" xfId="27702"/>
    <cellStyle name="Berekening 2 2 76 7" xfId="27703"/>
    <cellStyle name="Berekening 2 2 77" xfId="135"/>
    <cellStyle name="Berekening 2 2 77 2" xfId="5926"/>
    <cellStyle name="Berekening 2 2 77 2 2" xfId="10421"/>
    <cellStyle name="Berekening 2 2 77 2 3" xfId="16537"/>
    <cellStyle name="Berekening 2 2 77 2 3 2" xfId="27704"/>
    <cellStyle name="Berekening 2 2 77 2 4" xfId="27705"/>
    <cellStyle name="Berekening 2 2 77 2 5" xfId="27706"/>
    <cellStyle name="Berekening 2 2 77 2 6" xfId="27707"/>
    <cellStyle name="Berekening 2 2 77 3" xfId="7934"/>
    <cellStyle name="Berekening 2 2 77 4" xfId="16538"/>
    <cellStyle name="Berekening 2 2 77 4 2" xfId="27708"/>
    <cellStyle name="Berekening 2 2 77 5" xfId="27709"/>
    <cellStyle name="Berekening 2 2 77 6" xfId="27710"/>
    <cellStyle name="Berekening 2 2 77 7" xfId="27711"/>
    <cellStyle name="Berekening 2 2 78" xfId="136"/>
    <cellStyle name="Berekening 2 2 78 2" xfId="5927"/>
    <cellStyle name="Berekening 2 2 78 2 2" xfId="10422"/>
    <cellStyle name="Berekening 2 2 78 2 3" xfId="16539"/>
    <cellStyle name="Berekening 2 2 78 2 3 2" xfId="27712"/>
    <cellStyle name="Berekening 2 2 78 2 4" xfId="27713"/>
    <cellStyle name="Berekening 2 2 78 2 5" xfId="27714"/>
    <cellStyle name="Berekening 2 2 78 2 6" xfId="27715"/>
    <cellStyle name="Berekening 2 2 78 3" xfId="7935"/>
    <cellStyle name="Berekening 2 2 78 4" xfId="16540"/>
    <cellStyle name="Berekening 2 2 78 4 2" xfId="27716"/>
    <cellStyle name="Berekening 2 2 78 5" xfId="27717"/>
    <cellStyle name="Berekening 2 2 78 6" xfId="27718"/>
    <cellStyle name="Berekening 2 2 78 7" xfId="27719"/>
    <cellStyle name="Berekening 2 2 79" xfId="137"/>
    <cellStyle name="Berekening 2 2 79 2" xfId="5928"/>
    <cellStyle name="Berekening 2 2 79 2 2" xfId="10423"/>
    <cellStyle name="Berekening 2 2 79 2 3" xfId="16541"/>
    <cellStyle name="Berekening 2 2 79 2 3 2" xfId="27720"/>
    <cellStyle name="Berekening 2 2 79 2 4" xfId="27721"/>
    <cellStyle name="Berekening 2 2 79 2 5" xfId="27722"/>
    <cellStyle name="Berekening 2 2 79 2 6" xfId="27723"/>
    <cellStyle name="Berekening 2 2 79 3" xfId="7936"/>
    <cellStyle name="Berekening 2 2 79 4" xfId="16542"/>
    <cellStyle name="Berekening 2 2 79 4 2" xfId="27724"/>
    <cellStyle name="Berekening 2 2 79 5" xfId="27725"/>
    <cellStyle name="Berekening 2 2 79 6" xfId="27726"/>
    <cellStyle name="Berekening 2 2 79 7" xfId="27727"/>
    <cellStyle name="Berekening 2 2 8" xfId="138"/>
    <cellStyle name="Berekening 2 2 8 2" xfId="5929"/>
    <cellStyle name="Berekening 2 2 8 2 2" xfId="10424"/>
    <cellStyle name="Berekening 2 2 8 2 3" xfId="16543"/>
    <cellStyle name="Berekening 2 2 8 2 3 2" xfId="27728"/>
    <cellStyle name="Berekening 2 2 8 2 4" xfId="27729"/>
    <cellStyle name="Berekening 2 2 8 2 5" xfId="27730"/>
    <cellStyle name="Berekening 2 2 8 2 6" xfId="27731"/>
    <cellStyle name="Berekening 2 2 8 3" xfId="7937"/>
    <cellStyle name="Berekening 2 2 8 4" xfId="16544"/>
    <cellStyle name="Berekening 2 2 8 4 2" xfId="27732"/>
    <cellStyle name="Berekening 2 2 8 5" xfId="27733"/>
    <cellStyle name="Berekening 2 2 8 6" xfId="27734"/>
    <cellStyle name="Berekening 2 2 8 7" xfId="27735"/>
    <cellStyle name="Berekening 2 2 80" xfId="5930"/>
    <cellStyle name="Berekening 2 2 80 2" xfId="10347"/>
    <cellStyle name="Berekening 2 2 80 3" xfId="16545"/>
    <cellStyle name="Berekening 2 2 80 3 2" xfId="27736"/>
    <cellStyle name="Berekening 2 2 80 4" xfId="27737"/>
    <cellStyle name="Berekening 2 2 80 5" xfId="27738"/>
    <cellStyle name="Berekening 2 2 80 6" xfId="27739"/>
    <cellStyle name="Berekening 2 2 81" xfId="7860"/>
    <cellStyle name="Berekening 2 2 82" xfId="16546"/>
    <cellStyle name="Berekening 2 2 82 2" xfId="27740"/>
    <cellStyle name="Berekening 2 2 83" xfId="27741"/>
    <cellStyle name="Berekening 2 2 84" xfId="27742"/>
    <cellStyle name="Berekening 2 2 85" xfId="27743"/>
    <cellStyle name="Berekening 2 2 9" xfId="139"/>
    <cellStyle name="Berekening 2 2 9 2" xfId="5931"/>
    <cellStyle name="Berekening 2 2 9 2 2" xfId="10425"/>
    <cellStyle name="Berekening 2 2 9 2 3" xfId="16547"/>
    <cellStyle name="Berekening 2 2 9 2 3 2" xfId="27744"/>
    <cellStyle name="Berekening 2 2 9 2 4" xfId="27745"/>
    <cellStyle name="Berekening 2 2 9 2 5" xfId="27746"/>
    <cellStyle name="Berekening 2 2 9 2 6" xfId="27747"/>
    <cellStyle name="Berekening 2 2 9 3" xfId="7938"/>
    <cellStyle name="Berekening 2 2 9 4" xfId="16548"/>
    <cellStyle name="Berekening 2 2 9 4 2" xfId="27748"/>
    <cellStyle name="Berekening 2 2 9 5" xfId="27749"/>
    <cellStyle name="Berekening 2 2 9 6" xfId="27750"/>
    <cellStyle name="Berekening 2 2 9 7" xfId="27751"/>
    <cellStyle name="Berekening 2 20" xfId="16549"/>
    <cellStyle name="Berekening 2 20 2" xfId="27752"/>
    <cellStyle name="Berekening 2 21" xfId="27753"/>
    <cellStyle name="Berekening 2 22" xfId="27754"/>
    <cellStyle name="Berekening 2 23" xfId="27755"/>
    <cellStyle name="Berekening 2 3" xfId="140"/>
    <cellStyle name="Berekening 2 3 2" xfId="5932"/>
    <cellStyle name="Berekening 2 3 2 2" xfId="10426"/>
    <cellStyle name="Berekening 2 3 2 3" xfId="16550"/>
    <cellStyle name="Berekening 2 3 2 3 2" xfId="27756"/>
    <cellStyle name="Berekening 2 3 2 4" xfId="27757"/>
    <cellStyle name="Berekening 2 3 2 5" xfId="27758"/>
    <cellStyle name="Berekening 2 3 2 6" xfId="27759"/>
    <cellStyle name="Berekening 2 3 3" xfId="7939"/>
    <cellStyle name="Berekening 2 3 4" xfId="16551"/>
    <cellStyle name="Berekening 2 3 4 2" xfId="27760"/>
    <cellStyle name="Berekening 2 3 5" xfId="27761"/>
    <cellStyle name="Berekening 2 3 6" xfId="27762"/>
    <cellStyle name="Berekening 2 3 7" xfId="27763"/>
    <cellStyle name="Berekening 2 4" xfId="141"/>
    <cellStyle name="Berekening 2 4 2" xfId="5933"/>
    <cellStyle name="Berekening 2 4 2 2" xfId="10427"/>
    <cellStyle name="Berekening 2 4 2 3" xfId="16552"/>
    <cellStyle name="Berekening 2 4 2 3 2" xfId="27764"/>
    <cellStyle name="Berekening 2 4 2 4" xfId="27765"/>
    <cellStyle name="Berekening 2 4 2 5" xfId="27766"/>
    <cellStyle name="Berekening 2 4 2 6" xfId="27767"/>
    <cellStyle name="Berekening 2 4 3" xfId="7940"/>
    <cellStyle name="Berekening 2 4 4" xfId="16553"/>
    <cellStyle name="Berekening 2 4 4 2" xfId="27768"/>
    <cellStyle name="Berekening 2 4 5" xfId="27769"/>
    <cellStyle name="Berekening 2 4 6" xfId="27770"/>
    <cellStyle name="Berekening 2 4 7" xfId="27771"/>
    <cellStyle name="Berekening 2 5" xfId="142"/>
    <cellStyle name="Berekening 2 5 2" xfId="5934"/>
    <cellStyle name="Berekening 2 5 2 2" xfId="10428"/>
    <cellStyle name="Berekening 2 5 2 3" xfId="16554"/>
    <cellStyle name="Berekening 2 5 2 3 2" xfId="27772"/>
    <cellStyle name="Berekening 2 5 2 4" xfId="27773"/>
    <cellStyle name="Berekening 2 5 2 5" xfId="27774"/>
    <cellStyle name="Berekening 2 5 2 6" xfId="27775"/>
    <cellStyle name="Berekening 2 5 3" xfId="7941"/>
    <cellStyle name="Berekening 2 5 4" xfId="16555"/>
    <cellStyle name="Berekening 2 5 4 2" xfId="27776"/>
    <cellStyle name="Berekening 2 5 5" xfId="27777"/>
    <cellStyle name="Berekening 2 5 6" xfId="27778"/>
    <cellStyle name="Berekening 2 5 7" xfId="27779"/>
    <cellStyle name="Berekening 2 6" xfId="143"/>
    <cellStyle name="Berekening 2 6 2" xfId="5935"/>
    <cellStyle name="Berekening 2 6 2 2" xfId="10429"/>
    <cellStyle name="Berekening 2 6 2 3" xfId="16556"/>
    <cellStyle name="Berekening 2 6 2 3 2" xfId="27780"/>
    <cellStyle name="Berekening 2 6 2 4" xfId="27781"/>
    <cellStyle name="Berekening 2 6 2 5" xfId="27782"/>
    <cellStyle name="Berekening 2 6 2 6" xfId="27783"/>
    <cellStyle name="Berekening 2 6 3" xfId="7942"/>
    <cellStyle name="Berekening 2 6 4" xfId="16557"/>
    <cellStyle name="Berekening 2 6 4 2" xfId="27784"/>
    <cellStyle name="Berekening 2 6 5" xfId="27785"/>
    <cellStyle name="Berekening 2 6 6" xfId="27786"/>
    <cellStyle name="Berekening 2 6 7" xfId="27787"/>
    <cellStyle name="Berekening 2 7" xfId="144"/>
    <cellStyle name="Berekening 2 7 2" xfId="5936"/>
    <cellStyle name="Berekening 2 7 2 2" xfId="10430"/>
    <cellStyle name="Berekening 2 7 2 3" xfId="16558"/>
    <cellStyle name="Berekening 2 7 2 3 2" xfId="27788"/>
    <cellStyle name="Berekening 2 7 2 4" xfId="27789"/>
    <cellStyle name="Berekening 2 7 2 5" xfId="27790"/>
    <cellStyle name="Berekening 2 7 2 6" xfId="27791"/>
    <cellStyle name="Berekening 2 7 3" xfId="7943"/>
    <cellStyle name="Berekening 2 7 4" xfId="16559"/>
    <cellStyle name="Berekening 2 7 4 2" xfId="27792"/>
    <cellStyle name="Berekening 2 7 5" xfId="27793"/>
    <cellStyle name="Berekening 2 7 6" xfId="27794"/>
    <cellStyle name="Berekening 2 7 7" xfId="27795"/>
    <cellStyle name="Berekening 2 8" xfId="145"/>
    <cellStyle name="Berekening 2 8 2" xfId="5937"/>
    <cellStyle name="Berekening 2 8 2 2" xfId="10431"/>
    <cellStyle name="Berekening 2 8 2 3" xfId="16560"/>
    <cellStyle name="Berekening 2 8 2 3 2" xfId="27796"/>
    <cellStyle name="Berekening 2 8 2 4" xfId="27797"/>
    <cellStyle name="Berekening 2 8 2 5" xfId="27798"/>
    <cellStyle name="Berekening 2 8 2 6" xfId="27799"/>
    <cellStyle name="Berekening 2 8 3" xfId="7944"/>
    <cellStyle name="Berekening 2 8 4" xfId="16561"/>
    <cellStyle name="Berekening 2 8 4 2" xfId="27800"/>
    <cellStyle name="Berekening 2 8 5" xfId="27801"/>
    <cellStyle name="Berekening 2 8 6" xfId="27802"/>
    <cellStyle name="Berekening 2 8 7" xfId="27803"/>
    <cellStyle name="Berekening 2 9" xfId="146"/>
    <cellStyle name="Berekening 2 9 2" xfId="5938"/>
    <cellStyle name="Berekening 2 9 2 2" xfId="10432"/>
    <cellStyle name="Berekening 2 9 2 3" xfId="16562"/>
    <cellStyle name="Berekening 2 9 2 3 2" xfId="27804"/>
    <cellStyle name="Berekening 2 9 2 4" xfId="27805"/>
    <cellStyle name="Berekening 2 9 2 5" xfId="27806"/>
    <cellStyle name="Berekening 2 9 2 6" xfId="27807"/>
    <cellStyle name="Berekening 2 9 3" xfId="7945"/>
    <cellStyle name="Berekening 2 9 4" xfId="16563"/>
    <cellStyle name="Berekening 2 9 4 2" xfId="27808"/>
    <cellStyle name="Berekening 2 9 5" xfId="27809"/>
    <cellStyle name="Berekening 2 9 6" xfId="27810"/>
    <cellStyle name="Berekening 2 9 7" xfId="27811"/>
    <cellStyle name="Berekening 3" xfId="147"/>
    <cellStyle name="Berekening 3 10" xfId="148"/>
    <cellStyle name="Berekening 3 10 2" xfId="5939"/>
    <cellStyle name="Berekening 3 10 2 2" xfId="10434"/>
    <cellStyle name="Berekening 3 10 2 3" xfId="16564"/>
    <cellStyle name="Berekening 3 10 2 3 2" xfId="27812"/>
    <cellStyle name="Berekening 3 10 2 4" xfId="27813"/>
    <cellStyle name="Berekening 3 10 2 5" xfId="27814"/>
    <cellStyle name="Berekening 3 10 2 6" xfId="27815"/>
    <cellStyle name="Berekening 3 10 3" xfId="7947"/>
    <cellStyle name="Berekening 3 10 4" xfId="16565"/>
    <cellStyle name="Berekening 3 10 4 2" xfId="27816"/>
    <cellStyle name="Berekening 3 10 5" xfId="27817"/>
    <cellStyle name="Berekening 3 10 6" xfId="27818"/>
    <cellStyle name="Berekening 3 10 7" xfId="27819"/>
    <cellStyle name="Berekening 3 11" xfId="149"/>
    <cellStyle name="Berekening 3 11 2" xfId="5940"/>
    <cellStyle name="Berekening 3 11 2 2" xfId="10435"/>
    <cellStyle name="Berekening 3 11 2 3" xfId="16566"/>
    <cellStyle name="Berekening 3 11 2 3 2" xfId="27820"/>
    <cellStyle name="Berekening 3 11 2 4" xfId="27821"/>
    <cellStyle name="Berekening 3 11 2 5" xfId="27822"/>
    <cellStyle name="Berekening 3 11 2 6" xfId="27823"/>
    <cellStyle name="Berekening 3 11 3" xfId="7948"/>
    <cellStyle name="Berekening 3 11 4" xfId="16567"/>
    <cellStyle name="Berekening 3 11 4 2" xfId="27824"/>
    <cellStyle name="Berekening 3 11 5" xfId="27825"/>
    <cellStyle name="Berekening 3 11 6" xfId="27826"/>
    <cellStyle name="Berekening 3 11 7" xfId="27827"/>
    <cellStyle name="Berekening 3 12" xfId="150"/>
    <cellStyle name="Berekening 3 12 2" xfId="5941"/>
    <cellStyle name="Berekening 3 12 2 2" xfId="10436"/>
    <cellStyle name="Berekening 3 12 2 3" xfId="16568"/>
    <cellStyle name="Berekening 3 12 2 3 2" xfId="27828"/>
    <cellStyle name="Berekening 3 12 2 4" xfId="27829"/>
    <cellStyle name="Berekening 3 12 2 5" xfId="27830"/>
    <cellStyle name="Berekening 3 12 2 6" xfId="27831"/>
    <cellStyle name="Berekening 3 12 3" xfId="7949"/>
    <cellStyle name="Berekening 3 12 4" xfId="16569"/>
    <cellStyle name="Berekening 3 12 4 2" xfId="27832"/>
    <cellStyle name="Berekening 3 12 5" xfId="27833"/>
    <cellStyle name="Berekening 3 12 6" xfId="27834"/>
    <cellStyle name="Berekening 3 12 7" xfId="27835"/>
    <cellStyle name="Berekening 3 13" xfId="151"/>
    <cellStyle name="Berekening 3 13 2" xfId="5942"/>
    <cellStyle name="Berekening 3 13 2 2" xfId="10437"/>
    <cellStyle name="Berekening 3 13 2 3" xfId="16570"/>
    <cellStyle name="Berekening 3 13 2 3 2" xfId="27836"/>
    <cellStyle name="Berekening 3 13 2 4" xfId="27837"/>
    <cellStyle name="Berekening 3 13 2 5" xfId="27838"/>
    <cellStyle name="Berekening 3 13 2 6" xfId="27839"/>
    <cellStyle name="Berekening 3 13 3" xfId="7950"/>
    <cellStyle name="Berekening 3 13 4" xfId="16571"/>
    <cellStyle name="Berekening 3 13 4 2" xfId="27840"/>
    <cellStyle name="Berekening 3 13 5" xfId="27841"/>
    <cellStyle name="Berekening 3 13 6" xfId="27842"/>
    <cellStyle name="Berekening 3 13 7" xfId="27843"/>
    <cellStyle name="Berekening 3 14" xfId="152"/>
    <cellStyle name="Berekening 3 14 2" xfId="5943"/>
    <cellStyle name="Berekening 3 14 2 2" xfId="10438"/>
    <cellStyle name="Berekening 3 14 2 3" xfId="16572"/>
    <cellStyle name="Berekening 3 14 2 3 2" xfId="27844"/>
    <cellStyle name="Berekening 3 14 2 4" xfId="27845"/>
    <cellStyle name="Berekening 3 14 2 5" xfId="27846"/>
    <cellStyle name="Berekening 3 14 2 6" xfId="27847"/>
    <cellStyle name="Berekening 3 14 3" xfId="7951"/>
    <cellStyle name="Berekening 3 14 4" xfId="16573"/>
    <cellStyle name="Berekening 3 14 4 2" xfId="27848"/>
    <cellStyle name="Berekening 3 14 5" xfId="27849"/>
    <cellStyle name="Berekening 3 14 6" xfId="27850"/>
    <cellStyle name="Berekening 3 14 7" xfId="27851"/>
    <cellStyle name="Berekening 3 15" xfId="153"/>
    <cellStyle name="Berekening 3 15 2" xfId="5944"/>
    <cellStyle name="Berekening 3 15 2 2" xfId="10439"/>
    <cellStyle name="Berekening 3 15 2 3" xfId="16574"/>
    <cellStyle name="Berekening 3 15 2 3 2" xfId="27852"/>
    <cellStyle name="Berekening 3 15 2 4" xfId="27853"/>
    <cellStyle name="Berekening 3 15 2 5" xfId="27854"/>
    <cellStyle name="Berekening 3 15 2 6" xfId="27855"/>
    <cellStyle name="Berekening 3 15 3" xfId="7952"/>
    <cellStyle name="Berekening 3 15 4" xfId="16575"/>
    <cellStyle name="Berekening 3 15 4 2" xfId="27856"/>
    <cellStyle name="Berekening 3 15 5" xfId="27857"/>
    <cellStyle name="Berekening 3 15 6" xfId="27858"/>
    <cellStyle name="Berekening 3 15 7" xfId="27859"/>
    <cellStyle name="Berekening 3 16" xfId="154"/>
    <cellStyle name="Berekening 3 16 2" xfId="5945"/>
    <cellStyle name="Berekening 3 16 2 2" xfId="10440"/>
    <cellStyle name="Berekening 3 16 2 3" xfId="16576"/>
    <cellStyle name="Berekening 3 16 2 3 2" xfId="27860"/>
    <cellStyle name="Berekening 3 16 2 4" xfId="27861"/>
    <cellStyle name="Berekening 3 16 2 5" xfId="27862"/>
    <cellStyle name="Berekening 3 16 2 6" xfId="27863"/>
    <cellStyle name="Berekening 3 16 3" xfId="7953"/>
    <cellStyle name="Berekening 3 16 4" xfId="16577"/>
    <cellStyle name="Berekening 3 16 4 2" xfId="27864"/>
    <cellStyle name="Berekening 3 16 5" xfId="27865"/>
    <cellStyle name="Berekening 3 16 6" xfId="27866"/>
    <cellStyle name="Berekening 3 16 7" xfId="27867"/>
    <cellStyle name="Berekening 3 17" xfId="155"/>
    <cellStyle name="Berekening 3 17 2" xfId="5946"/>
    <cellStyle name="Berekening 3 17 2 2" xfId="10441"/>
    <cellStyle name="Berekening 3 17 2 3" xfId="16578"/>
    <cellStyle name="Berekening 3 17 2 3 2" xfId="27868"/>
    <cellStyle name="Berekening 3 17 2 4" xfId="27869"/>
    <cellStyle name="Berekening 3 17 2 5" xfId="27870"/>
    <cellStyle name="Berekening 3 17 2 6" xfId="27871"/>
    <cellStyle name="Berekening 3 17 3" xfId="7954"/>
    <cellStyle name="Berekening 3 17 4" xfId="16579"/>
    <cellStyle name="Berekening 3 17 4 2" xfId="27872"/>
    <cellStyle name="Berekening 3 17 5" xfId="27873"/>
    <cellStyle name="Berekening 3 17 6" xfId="27874"/>
    <cellStyle name="Berekening 3 17 7" xfId="27875"/>
    <cellStyle name="Berekening 3 18" xfId="5947"/>
    <cellStyle name="Berekening 3 18 2" xfId="10433"/>
    <cellStyle name="Berekening 3 18 3" xfId="16580"/>
    <cellStyle name="Berekening 3 18 3 2" xfId="27876"/>
    <cellStyle name="Berekening 3 18 4" xfId="27877"/>
    <cellStyle name="Berekening 3 18 5" xfId="27878"/>
    <cellStyle name="Berekening 3 18 6" xfId="27879"/>
    <cellStyle name="Berekening 3 19" xfId="7946"/>
    <cellStyle name="Berekening 3 2" xfId="156"/>
    <cellStyle name="Berekening 3 2 10" xfId="157"/>
    <cellStyle name="Berekening 3 2 10 2" xfId="5948"/>
    <cellStyle name="Berekening 3 2 10 2 2" xfId="10443"/>
    <cellStyle name="Berekening 3 2 10 2 3" xfId="16581"/>
    <cellStyle name="Berekening 3 2 10 2 3 2" xfId="27880"/>
    <cellStyle name="Berekening 3 2 10 2 4" xfId="27881"/>
    <cellStyle name="Berekening 3 2 10 2 5" xfId="27882"/>
    <cellStyle name="Berekening 3 2 10 2 6" xfId="27883"/>
    <cellStyle name="Berekening 3 2 10 3" xfId="7956"/>
    <cellStyle name="Berekening 3 2 10 4" xfId="16582"/>
    <cellStyle name="Berekening 3 2 10 4 2" xfId="27884"/>
    <cellStyle name="Berekening 3 2 10 5" xfId="27885"/>
    <cellStyle name="Berekening 3 2 10 6" xfId="27886"/>
    <cellStyle name="Berekening 3 2 10 7" xfId="27887"/>
    <cellStyle name="Berekening 3 2 11" xfId="158"/>
    <cellStyle name="Berekening 3 2 11 2" xfId="5949"/>
    <cellStyle name="Berekening 3 2 11 2 2" xfId="10444"/>
    <cellStyle name="Berekening 3 2 11 2 3" xfId="16583"/>
    <cellStyle name="Berekening 3 2 11 2 3 2" xfId="27888"/>
    <cellStyle name="Berekening 3 2 11 2 4" xfId="27889"/>
    <cellStyle name="Berekening 3 2 11 2 5" xfId="27890"/>
    <cellStyle name="Berekening 3 2 11 2 6" xfId="27891"/>
    <cellStyle name="Berekening 3 2 11 3" xfId="7957"/>
    <cellStyle name="Berekening 3 2 11 4" xfId="16584"/>
    <cellStyle name="Berekening 3 2 11 4 2" xfId="27892"/>
    <cellStyle name="Berekening 3 2 11 5" xfId="27893"/>
    <cellStyle name="Berekening 3 2 11 6" xfId="27894"/>
    <cellStyle name="Berekening 3 2 11 7" xfId="27895"/>
    <cellStyle name="Berekening 3 2 12" xfId="159"/>
    <cellStyle name="Berekening 3 2 12 2" xfId="5950"/>
    <cellStyle name="Berekening 3 2 12 2 2" xfId="10445"/>
    <cellStyle name="Berekening 3 2 12 2 3" xfId="16585"/>
    <cellStyle name="Berekening 3 2 12 2 3 2" xfId="27896"/>
    <cellStyle name="Berekening 3 2 12 2 4" xfId="27897"/>
    <cellStyle name="Berekening 3 2 12 2 5" xfId="27898"/>
    <cellStyle name="Berekening 3 2 12 2 6" xfId="27899"/>
    <cellStyle name="Berekening 3 2 12 3" xfId="7958"/>
    <cellStyle name="Berekening 3 2 12 4" xfId="16586"/>
    <cellStyle name="Berekening 3 2 12 4 2" xfId="27900"/>
    <cellStyle name="Berekening 3 2 12 5" xfId="27901"/>
    <cellStyle name="Berekening 3 2 12 6" xfId="27902"/>
    <cellStyle name="Berekening 3 2 12 7" xfId="27903"/>
    <cellStyle name="Berekening 3 2 13" xfId="160"/>
    <cellStyle name="Berekening 3 2 13 2" xfId="5951"/>
    <cellStyle name="Berekening 3 2 13 2 2" xfId="10446"/>
    <cellStyle name="Berekening 3 2 13 2 3" xfId="16587"/>
    <cellStyle name="Berekening 3 2 13 2 3 2" xfId="27904"/>
    <cellStyle name="Berekening 3 2 13 2 4" xfId="27905"/>
    <cellStyle name="Berekening 3 2 13 2 5" xfId="27906"/>
    <cellStyle name="Berekening 3 2 13 2 6" xfId="27907"/>
    <cellStyle name="Berekening 3 2 13 3" xfId="7959"/>
    <cellStyle name="Berekening 3 2 13 4" xfId="16588"/>
    <cellStyle name="Berekening 3 2 13 4 2" xfId="27908"/>
    <cellStyle name="Berekening 3 2 13 5" xfId="27909"/>
    <cellStyle name="Berekening 3 2 13 6" xfId="27910"/>
    <cellStyle name="Berekening 3 2 13 7" xfId="27911"/>
    <cellStyle name="Berekening 3 2 14" xfId="161"/>
    <cellStyle name="Berekening 3 2 14 2" xfId="5952"/>
    <cellStyle name="Berekening 3 2 14 2 2" xfId="10447"/>
    <cellStyle name="Berekening 3 2 14 2 3" xfId="16589"/>
    <cellStyle name="Berekening 3 2 14 2 3 2" xfId="27912"/>
    <cellStyle name="Berekening 3 2 14 2 4" xfId="27913"/>
    <cellStyle name="Berekening 3 2 14 2 5" xfId="27914"/>
    <cellStyle name="Berekening 3 2 14 2 6" xfId="27915"/>
    <cellStyle name="Berekening 3 2 14 3" xfId="7960"/>
    <cellStyle name="Berekening 3 2 14 4" xfId="16590"/>
    <cellStyle name="Berekening 3 2 14 4 2" xfId="27916"/>
    <cellStyle name="Berekening 3 2 14 5" xfId="27917"/>
    <cellStyle name="Berekening 3 2 14 6" xfId="27918"/>
    <cellStyle name="Berekening 3 2 14 7" xfId="27919"/>
    <cellStyle name="Berekening 3 2 15" xfId="162"/>
    <cellStyle name="Berekening 3 2 15 2" xfId="5953"/>
    <cellStyle name="Berekening 3 2 15 2 2" xfId="10448"/>
    <cellStyle name="Berekening 3 2 15 2 3" xfId="16591"/>
    <cellStyle name="Berekening 3 2 15 2 3 2" xfId="27920"/>
    <cellStyle name="Berekening 3 2 15 2 4" xfId="27921"/>
    <cellStyle name="Berekening 3 2 15 2 5" xfId="27922"/>
    <cellStyle name="Berekening 3 2 15 2 6" xfId="27923"/>
    <cellStyle name="Berekening 3 2 15 3" xfId="7961"/>
    <cellStyle name="Berekening 3 2 15 4" xfId="16592"/>
    <cellStyle name="Berekening 3 2 15 4 2" xfId="27924"/>
    <cellStyle name="Berekening 3 2 15 5" xfId="27925"/>
    <cellStyle name="Berekening 3 2 15 6" xfId="27926"/>
    <cellStyle name="Berekening 3 2 15 7" xfId="27927"/>
    <cellStyle name="Berekening 3 2 16" xfId="163"/>
    <cellStyle name="Berekening 3 2 16 2" xfId="5954"/>
    <cellStyle name="Berekening 3 2 16 2 2" xfId="10449"/>
    <cellStyle name="Berekening 3 2 16 2 3" xfId="16593"/>
    <cellStyle name="Berekening 3 2 16 2 3 2" xfId="27928"/>
    <cellStyle name="Berekening 3 2 16 2 4" xfId="27929"/>
    <cellStyle name="Berekening 3 2 16 2 5" xfId="27930"/>
    <cellStyle name="Berekening 3 2 16 2 6" xfId="27931"/>
    <cellStyle name="Berekening 3 2 16 3" xfId="7962"/>
    <cellStyle name="Berekening 3 2 16 4" xfId="16594"/>
    <cellStyle name="Berekening 3 2 16 4 2" xfId="27932"/>
    <cellStyle name="Berekening 3 2 16 5" xfId="27933"/>
    <cellStyle name="Berekening 3 2 16 6" xfId="27934"/>
    <cellStyle name="Berekening 3 2 16 7" xfId="27935"/>
    <cellStyle name="Berekening 3 2 17" xfId="164"/>
    <cellStyle name="Berekening 3 2 17 2" xfId="5955"/>
    <cellStyle name="Berekening 3 2 17 2 2" xfId="10450"/>
    <cellStyle name="Berekening 3 2 17 2 3" xfId="16595"/>
    <cellStyle name="Berekening 3 2 17 2 3 2" xfId="27936"/>
    <cellStyle name="Berekening 3 2 17 2 4" xfId="27937"/>
    <cellStyle name="Berekening 3 2 17 2 5" xfId="27938"/>
    <cellStyle name="Berekening 3 2 17 2 6" xfId="27939"/>
    <cellStyle name="Berekening 3 2 17 3" xfId="7963"/>
    <cellStyle name="Berekening 3 2 17 4" xfId="16596"/>
    <cellStyle name="Berekening 3 2 17 4 2" xfId="27940"/>
    <cellStyle name="Berekening 3 2 17 5" xfId="27941"/>
    <cellStyle name="Berekening 3 2 17 6" xfId="27942"/>
    <cellStyle name="Berekening 3 2 17 7" xfId="27943"/>
    <cellStyle name="Berekening 3 2 18" xfId="165"/>
    <cellStyle name="Berekening 3 2 18 2" xfId="5956"/>
    <cellStyle name="Berekening 3 2 18 2 2" xfId="10451"/>
    <cellStyle name="Berekening 3 2 18 2 3" xfId="16597"/>
    <cellStyle name="Berekening 3 2 18 2 3 2" xfId="27944"/>
    <cellStyle name="Berekening 3 2 18 2 4" xfId="27945"/>
    <cellStyle name="Berekening 3 2 18 2 5" xfId="27946"/>
    <cellStyle name="Berekening 3 2 18 2 6" xfId="27947"/>
    <cellStyle name="Berekening 3 2 18 3" xfId="7964"/>
    <cellStyle name="Berekening 3 2 18 4" xfId="16598"/>
    <cellStyle name="Berekening 3 2 18 4 2" xfId="27948"/>
    <cellStyle name="Berekening 3 2 18 5" xfId="27949"/>
    <cellStyle name="Berekening 3 2 18 6" xfId="27950"/>
    <cellStyle name="Berekening 3 2 18 7" xfId="27951"/>
    <cellStyle name="Berekening 3 2 19" xfId="166"/>
    <cellStyle name="Berekening 3 2 19 2" xfId="5957"/>
    <cellStyle name="Berekening 3 2 19 2 2" xfId="10452"/>
    <cellStyle name="Berekening 3 2 19 2 3" xfId="16599"/>
    <cellStyle name="Berekening 3 2 19 2 3 2" xfId="27952"/>
    <cellStyle name="Berekening 3 2 19 2 4" xfId="27953"/>
    <cellStyle name="Berekening 3 2 19 2 5" xfId="27954"/>
    <cellStyle name="Berekening 3 2 19 2 6" xfId="27955"/>
    <cellStyle name="Berekening 3 2 19 3" xfId="7965"/>
    <cellStyle name="Berekening 3 2 19 4" xfId="16600"/>
    <cellStyle name="Berekening 3 2 19 4 2" xfId="27956"/>
    <cellStyle name="Berekening 3 2 19 5" xfId="27957"/>
    <cellStyle name="Berekening 3 2 19 6" xfId="27958"/>
    <cellStyle name="Berekening 3 2 19 7" xfId="27959"/>
    <cellStyle name="Berekening 3 2 2" xfId="167"/>
    <cellStyle name="Berekening 3 2 2 2" xfId="5958"/>
    <cellStyle name="Berekening 3 2 2 2 2" xfId="10453"/>
    <cellStyle name="Berekening 3 2 2 2 3" xfId="16601"/>
    <cellStyle name="Berekening 3 2 2 2 3 2" xfId="27960"/>
    <cellStyle name="Berekening 3 2 2 2 4" xfId="27961"/>
    <cellStyle name="Berekening 3 2 2 2 5" xfId="27962"/>
    <cellStyle name="Berekening 3 2 2 2 6" xfId="27963"/>
    <cellStyle name="Berekening 3 2 2 3" xfId="7966"/>
    <cellStyle name="Berekening 3 2 2 4" xfId="16602"/>
    <cellStyle name="Berekening 3 2 2 4 2" xfId="27964"/>
    <cellStyle name="Berekening 3 2 2 5" xfId="27965"/>
    <cellStyle name="Berekening 3 2 2 6" xfId="27966"/>
    <cellStyle name="Berekening 3 2 2 7" xfId="27967"/>
    <cellStyle name="Berekening 3 2 20" xfId="168"/>
    <cellStyle name="Berekening 3 2 20 2" xfId="5959"/>
    <cellStyle name="Berekening 3 2 20 2 2" xfId="10454"/>
    <cellStyle name="Berekening 3 2 20 2 3" xfId="16603"/>
    <cellStyle name="Berekening 3 2 20 2 3 2" xfId="27968"/>
    <cellStyle name="Berekening 3 2 20 2 4" xfId="27969"/>
    <cellStyle name="Berekening 3 2 20 2 5" xfId="27970"/>
    <cellStyle name="Berekening 3 2 20 2 6" xfId="27971"/>
    <cellStyle name="Berekening 3 2 20 3" xfId="7967"/>
    <cellStyle name="Berekening 3 2 20 4" xfId="16604"/>
    <cellStyle name="Berekening 3 2 20 4 2" xfId="27972"/>
    <cellStyle name="Berekening 3 2 20 5" xfId="27973"/>
    <cellStyle name="Berekening 3 2 20 6" xfId="27974"/>
    <cellStyle name="Berekening 3 2 20 7" xfId="27975"/>
    <cellStyle name="Berekening 3 2 21" xfId="169"/>
    <cellStyle name="Berekening 3 2 21 2" xfId="5960"/>
    <cellStyle name="Berekening 3 2 21 2 2" xfId="10455"/>
    <cellStyle name="Berekening 3 2 21 2 3" xfId="16605"/>
    <cellStyle name="Berekening 3 2 21 2 3 2" xfId="27976"/>
    <cellStyle name="Berekening 3 2 21 2 4" xfId="27977"/>
    <cellStyle name="Berekening 3 2 21 2 5" xfId="27978"/>
    <cellStyle name="Berekening 3 2 21 2 6" xfId="27979"/>
    <cellStyle name="Berekening 3 2 21 3" xfId="7968"/>
    <cellStyle name="Berekening 3 2 21 4" xfId="16606"/>
    <cellStyle name="Berekening 3 2 21 4 2" xfId="27980"/>
    <cellStyle name="Berekening 3 2 21 5" xfId="27981"/>
    <cellStyle name="Berekening 3 2 21 6" xfId="27982"/>
    <cellStyle name="Berekening 3 2 21 7" xfId="27983"/>
    <cellStyle name="Berekening 3 2 22" xfId="170"/>
    <cellStyle name="Berekening 3 2 22 2" xfId="5961"/>
    <cellStyle name="Berekening 3 2 22 2 2" xfId="10456"/>
    <cellStyle name="Berekening 3 2 22 2 3" xfId="16607"/>
    <cellStyle name="Berekening 3 2 22 2 3 2" xfId="27984"/>
    <cellStyle name="Berekening 3 2 22 2 4" xfId="27985"/>
    <cellStyle name="Berekening 3 2 22 2 5" xfId="27986"/>
    <cellStyle name="Berekening 3 2 22 2 6" xfId="27987"/>
    <cellStyle name="Berekening 3 2 22 3" xfId="7969"/>
    <cellStyle name="Berekening 3 2 22 4" xfId="16608"/>
    <cellStyle name="Berekening 3 2 22 4 2" xfId="27988"/>
    <cellStyle name="Berekening 3 2 22 5" xfId="27989"/>
    <cellStyle name="Berekening 3 2 22 6" xfId="27990"/>
    <cellStyle name="Berekening 3 2 22 7" xfId="27991"/>
    <cellStyle name="Berekening 3 2 23" xfId="171"/>
    <cellStyle name="Berekening 3 2 23 2" xfId="5962"/>
    <cellStyle name="Berekening 3 2 23 2 2" xfId="10457"/>
    <cellStyle name="Berekening 3 2 23 2 3" xfId="16609"/>
    <cellStyle name="Berekening 3 2 23 2 3 2" xfId="27992"/>
    <cellStyle name="Berekening 3 2 23 2 4" xfId="27993"/>
    <cellStyle name="Berekening 3 2 23 2 5" xfId="27994"/>
    <cellStyle name="Berekening 3 2 23 2 6" xfId="27995"/>
    <cellStyle name="Berekening 3 2 23 3" xfId="7970"/>
    <cellStyle name="Berekening 3 2 23 4" xfId="16610"/>
    <cellStyle name="Berekening 3 2 23 4 2" xfId="27996"/>
    <cellStyle name="Berekening 3 2 23 5" xfId="27997"/>
    <cellStyle name="Berekening 3 2 23 6" xfId="27998"/>
    <cellStyle name="Berekening 3 2 23 7" xfId="27999"/>
    <cellStyle name="Berekening 3 2 24" xfId="172"/>
    <cellStyle name="Berekening 3 2 24 2" xfId="5963"/>
    <cellStyle name="Berekening 3 2 24 2 2" xfId="10458"/>
    <cellStyle name="Berekening 3 2 24 2 3" xfId="16611"/>
    <cellStyle name="Berekening 3 2 24 2 3 2" xfId="28000"/>
    <cellStyle name="Berekening 3 2 24 2 4" xfId="28001"/>
    <cellStyle name="Berekening 3 2 24 2 5" xfId="28002"/>
    <cellStyle name="Berekening 3 2 24 2 6" xfId="28003"/>
    <cellStyle name="Berekening 3 2 24 3" xfId="7971"/>
    <cellStyle name="Berekening 3 2 24 4" xfId="16612"/>
    <cellStyle name="Berekening 3 2 24 4 2" xfId="28004"/>
    <cellStyle name="Berekening 3 2 24 5" xfId="28005"/>
    <cellStyle name="Berekening 3 2 24 6" xfId="28006"/>
    <cellStyle name="Berekening 3 2 24 7" xfId="28007"/>
    <cellStyle name="Berekening 3 2 25" xfId="173"/>
    <cellStyle name="Berekening 3 2 25 2" xfId="5964"/>
    <cellStyle name="Berekening 3 2 25 2 2" xfId="10459"/>
    <cellStyle name="Berekening 3 2 25 2 3" xfId="16613"/>
    <cellStyle name="Berekening 3 2 25 2 3 2" xfId="28008"/>
    <cellStyle name="Berekening 3 2 25 2 4" xfId="28009"/>
    <cellStyle name="Berekening 3 2 25 2 5" xfId="28010"/>
    <cellStyle name="Berekening 3 2 25 2 6" xfId="28011"/>
    <cellStyle name="Berekening 3 2 25 3" xfId="7972"/>
    <cellStyle name="Berekening 3 2 25 4" xfId="16614"/>
    <cellStyle name="Berekening 3 2 25 4 2" xfId="28012"/>
    <cellStyle name="Berekening 3 2 25 5" xfId="28013"/>
    <cellStyle name="Berekening 3 2 25 6" xfId="28014"/>
    <cellStyle name="Berekening 3 2 25 7" xfId="28015"/>
    <cellStyle name="Berekening 3 2 26" xfId="174"/>
    <cellStyle name="Berekening 3 2 26 2" xfId="5965"/>
    <cellStyle name="Berekening 3 2 26 2 2" xfId="10460"/>
    <cellStyle name="Berekening 3 2 26 2 3" xfId="16615"/>
    <cellStyle name="Berekening 3 2 26 2 3 2" xfId="28016"/>
    <cellStyle name="Berekening 3 2 26 2 4" xfId="28017"/>
    <cellStyle name="Berekening 3 2 26 2 5" xfId="28018"/>
    <cellStyle name="Berekening 3 2 26 2 6" xfId="28019"/>
    <cellStyle name="Berekening 3 2 26 3" xfId="7973"/>
    <cellStyle name="Berekening 3 2 26 4" xfId="16616"/>
    <cellStyle name="Berekening 3 2 26 4 2" xfId="28020"/>
    <cellStyle name="Berekening 3 2 26 5" xfId="28021"/>
    <cellStyle name="Berekening 3 2 26 6" xfId="28022"/>
    <cellStyle name="Berekening 3 2 26 7" xfId="28023"/>
    <cellStyle name="Berekening 3 2 27" xfId="175"/>
    <cellStyle name="Berekening 3 2 27 2" xfId="5966"/>
    <cellStyle name="Berekening 3 2 27 2 2" xfId="10461"/>
    <cellStyle name="Berekening 3 2 27 2 3" xfId="16617"/>
    <cellStyle name="Berekening 3 2 27 2 3 2" xfId="28024"/>
    <cellStyle name="Berekening 3 2 27 2 4" xfId="28025"/>
    <cellStyle name="Berekening 3 2 27 2 5" xfId="28026"/>
    <cellStyle name="Berekening 3 2 27 2 6" xfId="28027"/>
    <cellStyle name="Berekening 3 2 27 3" xfId="7974"/>
    <cellStyle name="Berekening 3 2 27 4" xfId="16618"/>
    <cellStyle name="Berekening 3 2 27 4 2" xfId="28028"/>
    <cellStyle name="Berekening 3 2 27 5" xfId="28029"/>
    <cellStyle name="Berekening 3 2 27 6" xfId="28030"/>
    <cellStyle name="Berekening 3 2 27 7" xfId="28031"/>
    <cellStyle name="Berekening 3 2 28" xfId="176"/>
    <cellStyle name="Berekening 3 2 28 2" xfId="5967"/>
    <cellStyle name="Berekening 3 2 28 2 2" xfId="10462"/>
    <cellStyle name="Berekening 3 2 28 2 3" xfId="16619"/>
    <cellStyle name="Berekening 3 2 28 2 3 2" xfId="28032"/>
    <cellStyle name="Berekening 3 2 28 2 4" xfId="28033"/>
    <cellStyle name="Berekening 3 2 28 2 5" xfId="28034"/>
    <cellStyle name="Berekening 3 2 28 2 6" xfId="28035"/>
    <cellStyle name="Berekening 3 2 28 3" xfId="7975"/>
    <cellStyle name="Berekening 3 2 28 4" xfId="16620"/>
    <cellStyle name="Berekening 3 2 28 4 2" xfId="28036"/>
    <cellStyle name="Berekening 3 2 28 5" xfId="28037"/>
    <cellStyle name="Berekening 3 2 28 6" xfId="28038"/>
    <cellStyle name="Berekening 3 2 28 7" xfId="28039"/>
    <cellStyle name="Berekening 3 2 29" xfId="177"/>
    <cellStyle name="Berekening 3 2 29 2" xfId="5968"/>
    <cellStyle name="Berekening 3 2 29 2 2" xfId="10463"/>
    <cellStyle name="Berekening 3 2 29 2 3" xfId="16621"/>
    <cellStyle name="Berekening 3 2 29 2 3 2" xfId="28040"/>
    <cellStyle name="Berekening 3 2 29 2 4" xfId="28041"/>
    <cellStyle name="Berekening 3 2 29 2 5" xfId="28042"/>
    <cellStyle name="Berekening 3 2 29 2 6" xfId="28043"/>
    <cellStyle name="Berekening 3 2 29 3" xfId="7976"/>
    <cellStyle name="Berekening 3 2 29 4" xfId="16622"/>
    <cellStyle name="Berekening 3 2 29 4 2" xfId="28044"/>
    <cellStyle name="Berekening 3 2 29 5" xfId="28045"/>
    <cellStyle name="Berekening 3 2 29 6" xfId="28046"/>
    <cellStyle name="Berekening 3 2 29 7" xfId="28047"/>
    <cellStyle name="Berekening 3 2 3" xfId="178"/>
    <cellStyle name="Berekening 3 2 3 2" xfId="5969"/>
    <cellStyle name="Berekening 3 2 3 2 2" xfId="10464"/>
    <cellStyle name="Berekening 3 2 3 2 3" xfId="16623"/>
    <cellStyle name="Berekening 3 2 3 2 3 2" xfId="28048"/>
    <cellStyle name="Berekening 3 2 3 2 4" xfId="28049"/>
    <cellStyle name="Berekening 3 2 3 2 5" xfId="28050"/>
    <cellStyle name="Berekening 3 2 3 2 6" xfId="28051"/>
    <cellStyle name="Berekening 3 2 3 3" xfId="7977"/>
    <cellStyle name="Berekening 3 2 3 4" xfId="16624"/>
    <cellStyle name="Berekening 3 2 3 4 2" xfId="28052"/>
    <cellStyle name="Berekening 3 2 3 5" xfId="28053"/>
    <cellStyle name="Berekening 3 2 3 6" xfId="28054"/>
    <cellStyle name="Berekening 3 2 3 7" xfId="28055"/>
    <cellStyle name="Berekening 3 2 30" xfId="179"/>
    <cellStyle name="Berekening 3 2 30 2" xfId="5970"/>
    <cellStyle name="Berekening 3 2 30 2 2" xfId="10465"/>
    <cellStyle name="Berekening 3 2 30 2 3" xfId="16625"/>
    <cellStyle name="Berekening 3 2 30 2 3 2" xfId="28056"/>
    <cellStyle name="Berekening 3 2 30 2 4" xfId="28057"/>
    <cellStyle name="Berekening 3 2 30 2 5" xfId="28058"/>
    <cellStyle name="Berekening 3 2 30 2 6" xfId="28059"/>
    <cellStyle name="Berekening 3 2 30 3" xfId="7978"/>
    <cellStyle name="Berekening 3 2 30 4" xfId="16626"/>
    <cellStyle name="Berekening 3 2 30 4 2" xfId="28060"/>
    <cellStyle name="Berekening 3 2 30 5" xfId="28061"/>
    <cellStyle name="Berekening 3 2 30 6" xfId="28062"/>
    <cellStyle name="Berekening 3 2 30 7" xfId="28063"/>
    <cellStyle name="Berekening 3 2 31" xfId="180"/>
    <cellStyle name="Berekening 3 2 31 2" xfId="5971"/>
    <cellStyle name="Berekening 3 2 31 2 2" xfId="10466"/>
    <cellStyle name="Berekening 3 2 31 2 3" xfId="16627"/>
    <cellStyle name="Berekening 3 2 31 2 3 2" xfId="28064"/>
    <cellStyle name="Berekening 3 2 31 2 4" xfId="28065"/>
    <cellStyle name="Berekening 3 2 31 2 5" xfId="28066"/>
    <cellStyle name="Berekening 3 2 31 2 6" xfId="28067"/>
    <cellStyle name="Berekening 3 2 31 3" xfId="7979"/>
    <cellStyle name="Berekening 3 2 31 4" xfId="16628"/>
    <cellStyle name="Berekening 3 2 31 4 2" xfId="28068"/>
    <cellStyle name="Berekening 3 2 31 5" xfId="28069"/>
    <cellStyle name="Berekening 3 2 31 6" xfId="28070"/>
    <cellStyle name="Berekening 3 2 31 7" xfId="28071"/>
    <cellStyle name="Berekening 3 2 32" xfId="181"/>
    <cellStyle name="Berekening 3 2 32 2" xfId="5972"/>
    <cellStyle name="Berekening 3 2 32 2 2" xfId="10467"/>
    <cellStyle name="Berekening 3 2 32 2 3" xfId="16629"/>
    <cellStyle name="Berekening 3 2 32 2 3 2" xfId="28072"/>
    <cellStyle name="Berekening 3 2 32 2 4" xfId="28073"/>
    <cellStyle name="Berekening 3 2 32 2 5" xfId="28074"/>
    <cellStyle name="Berekening 3 2 32 2 6" xfId="28075"/>
    <cellStyle name="Berekening 3 2 32 3" xfId="7980"/>
    <cellStyle name="Berekening 3 2 32 4" xfId="16630"/>
    <cellStyle name="Berekening 3 2 32 4 2" xfId="28076"/>
    <cellStyle name="Berekening 3 2 32 5" xfId="28077"/>
    <cellStyle name="Berekening 3 2 32 6" xfId="28078"/>
    <cellStyle name="Berekening 3 2 32 7" xfId="28079"/>
    <cellStyle name="Berekening 3 2 33" xfId="182"/>
    <cellStyle name="Berekening 3 2 33 2" xfId="5973"/>
    <cellStyle name="Berekening 3 2 33 2 2" xfId="10468"/>
    <cellStyle name="Berekening 3 2 33 2 3" xfId="16631"/>
    <cellStyle name="Berekening 3 2 33 2 3 2" xfId="28080"/>
    <cellStyle name="Berekening 3 2 33 2 4" xfId="28081"/>
    <cellStyle name="Berekening 3 2 33 2 5" xfId="28082"/>
    <cellStyle name="Berekening 3 2 33 2 6" xfId="28083"/>
    <cellStyle name="Berekening 3 2 33 3" xfId="7981"/>
    <cellStyle name="Berekening 3 2 33 4" xfId="16632"/>
    <cellStyle name="Berekening 3 2 33 4 2" xfId="28084"/>
    <cellStyle name="Berekening 3 2 33 5" xfId="28085"/>
    <cellStyle name="Berekening 3 2 33 6" xfId="28086"/>
    <cellStyle name="Berekening 3 2 33 7" xfId="28087"/>
    <cellStyle name="Berekening 3 2 34" xfId="183"/>
    <cellStyle name="Berekening 3 2 34 2" xfId="5974"/>
    <cellStyle name="Berekening 3 2 34 2 2" xfId="10469"/>
    <cellStyle name="Berekening 3 2 34 2 3" xfId="16633"/>
    <cellStyle name="Berekening 3 2 34 2 3 2" xfId="28088"/>
    <cellStyle name="Berekening 3 2 34 2 4" xfId="28089"/>
    <cellStyle name="Berekening 3 2 34 2 5" xfId="28090"/>
    <cellStyle name="Berekening 3 2 34 2 6" xfId="28091"/>
    <cellStyle name="Berekening 3 2 34 3" xfId="7982"/>
    <cellStyle name="Berekening 3 2 34 4" xfId="16634"/>
    <cellStyle name="Berekening 3 2 34 4 2" xfId="28092"/>
    <cellStyle name="Berekening 3 2 34 5" xfId="28093"/>
    <cellStyle name="Berekening 3 2 34 6" xfId="28094"/>
    <cellStyle name="Berekening 3 2 34 7" xfId="28095"/>
    <cellStyle name="Berekening 3 2 35" xfId="184"/>
    <cellStyle name="Berekening 3 2 35 2" xfId="5975"/>
    <cellStyle name="Berekening 3 2 35 2 2" xfId="10470"/>
    <cellStyle name="Berekening 3 2 35 2 3" xfId="16635"/>
    <cellStyle name="Berekening 3 2 35 2 3 2" xfId="28096"/>
    <cellStyle name="Berekening 3 2 35 2 4" xfId="28097"/>
    <cellStyle name="Berekening 3 2 35 2 5" xfId="28098"/>
    <cellStyle name="Berekening 3 2 35 2 6" xfId="28099"/>
    <cellStyle name="Berekening 3 2 35 3" xfId="7983"/>
    <cellStyle name="Berekening 3 2 35 4" xfId="16636"/>
    <cellStyle name="Berekening 3 2 35 4 2" xfId="28100"/>
    <cellStyle name="Berekening 3 2 35 5" xfId="28101"/>
    <cellStyle name="Berekening 3 2 35 6" xfId="28102"/>
    <cellStyle name="Berekening 3 2 35 7" xfId="28103"/>
    <cellStyle name="Berekening 3 2 36" xfId="185"/>
    <cellStyle name="Berekening 3 2 36 2" xfId="5976"/>
    <cellStyle name="Berekening 3 2 36 2 2" xfId="10471"/>
    <cellStyle name="Berekening 3 2 36 2 3" xfId="16637"/>
    <cellStyle name="Berekening 3 2 36 2 3 2" xfId="28104"/>
    <cellStyle name="Berekening 3 2 36 2 4" xfId="28105"/>
    <cellStyle name="Berekening 3 2 36 2 5" xfId="28106"/>
    <cellStyle name="Berekening 3 2 36 2 6" xfId="28107"/>
    <cellStyle name="Berekening 3 2 36 3" xfId="7984"/>
    <cellStyle name="Berekening 3 2 36 4" xfId="16638"/>
    <cellStyle name="Berekening 3 2 36 4 2" xfId="28108"/>
    <cellStyle name="Berekening 3 2 36 5" xfId="28109"/>
    <cellStyle name="Berekening 3 2 36 6" xfId="28110"/>
    <cellStyle name="Berekening 3 2 36 7" xfId="28111"/>
    <cellStyle name="Berekening 3 2 37" xfId="186"/>
    <cellStyle name="Berekening 3 2 37 2" xfId="5977"/>
    <cellStyle name="Berekening 3 2 37 2 2" xfId="10472"/>
    <cellStyle name="Berekening 3 2 37 2 3" xfId="16639"/>
    <cellStyle name="Berekening 3 2 37 2 3 2" xfId="28112"/>
    <cellStyle name="Berekening 3 2 37 2 4" xfId="28113"/>
    <cellStyle name="Berekening 3 2 37 2 5" xfId="28114"/>
    <cellStyle name="Berekening 3 2 37 2 6" xfId="28115"/>
    <cellStyle name="Berekening 3 2 37 3" xfId="7985"/>
    <cellStyle name="Berekening 3 2 37 4" xfId="16640"/>
    <cellStyle name="Berekening 3 2 37 4 2" xfId="28116"/>
    <cellStyle name="Berekening 3 2 37 5" xfId="28117"/>
    <cellStyle name="Berekening 3 2 37 6" xfId="28118"/>
    <cellStyle name="Berekening 3 2 37 7" xfId="28119"/>
    <cellStyle name="Berekening 3 2 38" xfId="187"/>
    <cellStyle name="Berekening 3 2 38 2" xfId="5978"/>
    <cellStyle name="Berekening 3 2 38 2 2" xfId="10473"/>
    <cellStyle name="Berekening 3 2 38 2 3" xfId="16641"/>
    <cellStyle name="Berekening 3 2 38 2 3 2" xfId="28120"/>
    <cellStyle name="Berekening 3 2 38 2 4" xfId="28121"/>
    <cellStyle name="Berekening 3 2 38 2 5" xfId="28122"/>
    <cellStyle name="Berekening 3 2 38 2 6" xfId="28123"/>
    <cellStyle name="Berekening 3 2 38 3" xfId="7986"/>
    <cellStyle name="Berekening 3 2 38 4" xfId="16642"/>
    <cellStyle name="Berekening 3 2 38 4 2" xfId="28124"/>
    <cellStyle name="Berekening 3 2 38 5" xfId="28125"/>
    <cellStyle name="Berekening 3 2 38 6" xfId="28126"/>
    <cellStyle name="Berekening 3 2 38 7" xfId="28127"/>
    <cellStyle name="Berekening 3 2 39" xfId="188"/>
    <cellStyle name="Berekening 3 2 39 2" xfId="5979"/>
    <cellStyle name="Berekening 3 2 39 2 2" xfId="10474"/>
    <cellStyle name="Berekening 3 2 39 2 3" xfId="16643"/>
    <cellStyle name="Berekening 3 2 39 2 3 2" xfId="28128"/>
    <cellStyle name="Berekening 3 2 39 2 4" xfId="28129"/>
    <cellStyle name="Berekening 3 2 39 2 5" xfId="28130"/>
    <cellStyle name="Berekening 3 2 39 2 6" xfId="28131"/>
    <cellStyle name="Berekening 3 2 39 3" xfId="7987"/>
    <cellStyle name="Berekening 3 2 39 4" xfId="16644"/>
    <cellStyle name="Berekening 3 2 39 4 2" xfId="28132"/>
    <cellStyle name="Berekening 3 2 39 5" xfId="28133"/>
    <cellStyle name="Berekening 3 2 39 6" xfId="28134"/>
    <cellStyle name="Berekening 3 2 39 7" xfId="28135"/>
    <cellStyle name="Berekening 3 2 4" xfId="189"/>
    <cellStyle name="Berekening 3 2 4 2" xfId="5980"/>
    <cellStyle name="Berekening 3 2 4 2 2" xfId="10475"/>
    <cellStyle name="Berekening 3 2 4 2 3" xfId="16645"/>
    <cellStyle name="Berekening 3 2 4 2 3 2" xfId="28136"/>
    <cellStyle name="Berekening 3 2 4 2 4" xfId="28137"/>
    <cellStyle name="Berekening 3 2 4 2 5" xfId="28138"/>
    <cellStyle name="Berekening 3 2 4 2 6" xfId="28139"/>
    <cellStyle name="Berekening 3 2 4 3" xfId="7988"/>
    <cellStyle name="Berekening 3 2 4 4" xfId="16646"/>
    <cellStyle name="Berekening 3 2 4 4 2" xfId="28140"/>
    <cellStyle name="Berekening 3 2 4 5" xfId="28141"/>
    <cellStyle name="Berekening 3 2 4 6" xfId="28142"/>
    <cellStyle name="Berekening 3 2 4 7" xfId="28143"/>
    <cellStyle name="Berekening 3 2 40" xfId="190"/>
    <cellStyle name="Berekening 3 2 40 2" xfId="5981"/>
    <cellStyle name="Berekening 3 2 40 2 2" xfId="10476"/>
    <cellStyle name="Berekening 3 2 40 2 3" xfId="16647"/>
    <cellStyle name="Berekening 3 2 40 2 3 2" xfId="28144"/>
    <cellStyle name="Berekening 3 2 40 2 4" xfId="28145"/>
    <cellStyle name="Berekening 3 2 40 2 5" xfId="28146"/>
    <cellStyle name="Berekening 3 2 40 2 6" xfId="28147"/>
    <cellStyle name="Berekening 3 2 40 3" xfId="7989"/>
    <cellStyle name="Berekening 3 2 40 4" xfId="16648"/>
    <cellStyle name="Berekening 3 2 40 4 2" xfId="28148"/>
    <cellStyle name="Berekening 3 2 40 5" xfId="28149"/>
    <cellStyle name="Berekening 3 2 40 6" xfId="28150"/>
    <cellStyle name="Berekening 3 2 40 7" xfId="28151"/>
    <cellStyle name="Berekening 3 2 41" xfId="191"/>
    <cellStyle name="Berekening 3 2 41 2" xfId="5982"/>
    <cellStyle name="Berekening 3 2 41 2 2" xfId="10477"/>
    <cellStyle name="Berekening 3 2 41 2 3" xfId="16649"/>
    <cellStyle name="Berekening 3 2 41 2 3 2" xfId="28152"/>
    <cellStyle name="Berekening 3 2 41 2 4" xfId="28153"/>
    <cellStyle name="Berekening 3 2 41 2 5" xfId="28154"/>
    <cellStyle name="Berekening 3 2 41 2 6" xfId="28155"/>
    <cellStyle name="Berekening 3 2 41 3" xfId="7990"/>
    <cellStyle name="Berekening 3 2 41 4" xfId="16650"/>
    <cellStyle name="Berekening 3 2 41 4 2" xfId="28156"/>
    <cellStyle name="Berekening 3 2 41 5" xfId="28157"/>
    <cellStyle name="Berekening 3 2 41 6" xfId="28158"/>
    <cellStyle name="Berekening 3 2 41 7" xfId="28159"/>
    <cellStyle name="Berekening 3 2 42" xfId="192"/>
    <cellStyle name="Berekening 3 2 42 2" xfId="5983"/>
    <cellStyle name="Berekening 3 2 42 2 2" xfId="10478"/>
    <cellStyle name="Berekening 3 2 42 2 3" xfId="16651"/>
    <cellStyle name="Berekening 3 2 42 2 3 2" xfId="28160"/>
    <cellStyle name="Berekening 3 2 42 2 4" xfId="28161"/>
    <cellStyle name="Berekening 3 2 42 2 5" xfId="28162"/>
    <cellStyle name="Berekening 3 2 42 2 6" xfId="28163"/>
    <cellStyle name="Berekening 3 2 42 3" xfId="7991"/>
    <cellStyle name="Berekening 3 2 42 4" xfId="16652"/>
    <cellStyle name="Berekening 3 2 42 4 2" xfId="28164"/>
    <cellStyle name="Berekening 3 2 42 5" xfId="28165"/>
    <cellStyle name="Berekening 3 2 42 6" xfId="28166"/>
    <cellStyle name="Berekening 3 2 42 7" xfId="28167"/>
    <cellStyle name="Berekening 3 2 43" xfId="193"/>
    <cellStyle name="Berekening 3 2 43 2" xfId="5984"/>
    <cellStyle name="Berekening 3 2 43 2 2" xfId="10479"/>
    <cellStyle name="Berekening 3 2 43 2 3" xfId="16653"/>
    <cellStyle name="Berekening 3 2 43 2 3 2" xfId="28168"/>
    <cellStyle name="Berekening 3 2 43 2 4" xfId="28169"/>
    <cellStyle name="Berekening 3 2 43 2 5" xfId="28170"/>
    <cellStyle name="Berekening 3 2 43 2 6" xfId="28171"/>
    <cellStyle name="Berekening 3 2 43 3" xfId="7992"/>
    <cellStyle name="Berekening 3 2 43 4" xfId="16654"/>
    <cellStyle name="Berekening 3 2 43 4 2" xfId="28172"/>
    <cellStyle name="Berekening 3 2 43 5" xfId="28173"/>
    <cellStyle name="Berekening 3 2 43 6" xfId="28174"/>
    <cellStyle name="Berekening 3 2 43 7" xfId="28175"/>
    <cellStyle name="Berekening 3 2 44" xfId="194"/>
    <cellStyle name="Berekening 3 2 44 2" xfId="5985"/>
    <cellStyle name="Berekening 3 2 44 2 2" xfId="10480"/>
    <cellStyle name="Berekening 3 2 44 2 3" xfId="16655"/>
    <cellStyle name="Berekening 3 2 44 2 3 2" xfId="28176"/>
    <cellStyle name="Berekening 3 2 44 2 4" xfId="28177"/>
    <cellStyle name="Berekening 3 2 44 2 5" xfId="28178"/>
    <cellStyle name="Berekening 3 2 44 2 6" xfId="28179"/>
    <cellStyle name="Berekening 3 2 44 3" xfId="7993"/>
    <cellStyle name="Berekening 3 2 44 4" xfId="16656"/>
    <cellStyle name="Berekening 3 2 44 4 2" xfId="28180"/>
    <cellStyle name="Berekening 3 2 44 5" xfId="28181"/>
    <cellStyle name="Berekening 3 2 44 6" xfId="28182"/>
    <cellStyle name="Berekening 3 2 44 7" xfId="28183"/>
    <cellStyle name="Berekening 3 2 45" xfId="195"/>
    <cellStyle name="Berekening 3 2 45 2" xfId="5986"/>
    <cellStyle name="Berekening 3 2 45 2 2" xfId="10481"/>
    <cellStyle name="Berekening 3 2 45 2 3" xfId="16657"/>
    <cellStyle name="Berekening 3 2 45 2 3 2" xfId="28184"/>
    <cellStyle name="Berekening 3 2 45 2 4" xfId="28185"/>
    <cellStyle name="Berekening 3 2 45 2 5" xfId="28186"/>
    <cellStyle name="Berekening 3 2 45 2 6" xfId="28187"/>
    <cellStyle name="Berekening 3 2 45 3" xfId="7994"/>
    <cellStyle name="Berekening 3 2 45 4" xfId="16658"/>
    <cellStyle name="Berekening 3 2 45 4 2" xfId="28188"/>
    <cellStyle name="Berekening 3 2 45 5" xfId="28189"/>
    <cellStyle name="Berekening 3 2 45 6" xfId="28190"/>
    <cellStyle name="Berekening 3 2 45 7" xfId="28191"/>
    <cellStyle name="Berekening 3 2 46" xfId="196"/>
    <cellStyle name="Berekening 3 2 46 2" xfId="5987"/>
    <cellStyle name="Berekening 3 2 46 2 2" xfId="10482"/>
    <cellStyle name="Berekening 3 2 46 2 3" xfId="16659"/>
    <cellStyle name="Berekening 3 2 46 2 3 2" xfId="28192"/>
    <cellStyle name="Berekening 3 2 46 2 4" xfId="28193"/>
    <cellStyle name="Berekening 3 2 46 2 5" xfId="28194"/>
    <cellStyle name="Berekening 3 2 46 2 6" xfId="28195"/>
    <cellStyle name="Berekening 3 2 46 3" xfId="7995"/>
    <cellStyle name="Berekening 3 2 46 4" xfId="16660"/>
    <cellStyle name="Berekening 3 2 46 4 2" xfId="28196"/>
    <cellStyle name="Berekening 3 2 46 5" xfId="28197"/>
    <cellStyle name="Berekening 3 2 46 6" xfId="28198"/>
    <cellStyle name="Berekening 3 2 46 7" xfId="28199"/>
    <cellStyle name="Berekening 3 2 47" xfId="197"/>
    <cellStyle name="Berekening 3 2 47 2" xfId="5988"/>
    <cellStyle name="Berekening 3 2 47 2 2" xfId="10483"/>
    <cellStyle name="Berekening 3 2 47 2 3" xfId="16661"/>
    <cellStyle name="Berekening 3 2 47 2 3 2" xfId="28200"/>
    <cellStyle name="Berekening 3 2 47 2 4" xfId="28201"/>
    <cellStyle name="Berekening 3 2 47 2 5" xfId="28202"/>
    <cellStyle name="Berekening 3 2 47 2 6" xfId="28203"/>
    <cellStyle name="Berekening 3 2 47 3" xfId="7996"/>
    <cellStyle name="Berekening 3 2 47 4" xfId="16662"/>
    <cellStyle name="Berekening 3 2 47 4 2" xfId="28204"/>
    <cellStyle name="Berekening 3 2 47 5" xfId="28205"/>
    <cellStyle name="Berekening 3 2 47 6" xfId="28206"/>
    <cellStyle name="Berekening 3 2 47 7" xfId="28207"/>
    <cellStyle name="Berekening 3 2 48" xfId="198"/>
    <cellStyle name="Berekening 3 2 48 2" xfId="5989"/>
    <cellStyle name="Berekening 3 2 48 2 2" xfId="10484"/>
    <cellStyle name="Berekening 3 2 48 2 3" xfId="16663"/>
    <cellStyle name="Berekening 3 2 48 2 3 2" xfId="28208"/>
    <cellStyle name="Berekening 3 2 48 2 4" xfId="28209"/>
    <cellStyle name="Berekening 3 2 48 2 5" xfId="28210"/>
    <cellStyle name="Berekening 3 2 48 2 6" xfId="28211"/>
    <cellStyle name="Berekening 3 2 48 3" xfId="7997"/>
    <cellStyle name="Berekening 3 2 48 4" xfId="16664"/>
    <cellStyle name="Berekening 3 2 48 4 2" xfId="28212"/>
    <cellStyle name="Berekening 3 2 48 5" xfId="28213"/>
    <cellStyle name="Berekening 3 2 48 6" xfId="28214"/>
    <cellStyle name="Berekening 3 2 48 7" xfId="28215"/>
    <cellStyle name="Berekening 3 2 49" xfId="199"/>
    <cellStyle name="Berekening 3 2 49 2" xfId="5990"/>
    <cellStyle name="Berekening 3 2 49 2 2" xfId="10485"/>
    <cellStyle name="Berekening 3 2 49 2 3" xfId="16665"/>
    <cellStyle name="Berekening 3 2 49 2 3 2" xfId="28216"/>
    <cellStyle name="Berekening 3 2 49 2 4" xfId="28217"/>
    <cellStyle name="Berekening 3 2 49 2 5" xfId="28218"/>
    <cellStyle name="Berekening 3 2 49 2 6" xfId="28219"/>
    <cellStyle name="Berekening 3 2 49 3" xfId="7998"/>
    <cellStyle name="Berekening 3 2 49 4" xfId="16666"/>
    <cellStyle name="Berekening 3 2 49 4 2" xfId="28220"/>
    <cellStyle name="Berekening 3 2 49 5" xfId="28221"/>
    <cellStyle name="Berekening 3 2 49 6" xfId="28222"/>
    <cellStyle name="Berekening 3 2 49 7" xfId="28223"/>
    <cellStyle name="Berekening 3 2 5" xfId="200"/>
    <cellStyle name="Berekening 3 2 5 2" xfId="5991"/>
    <cellStyle name="Berekening 3 2 5 2 2" xfId="10486"/>
    <cellStyle name="Berekening 3 2 5 2 3" xfId="16667"/>
    <cellStyle name="Berekening 3 2 5 2 3 2" xfId="28224"/>
    <cellStyle name="Berekening 3 2 5 2 4" xfId="28225"/>
    <cellStyle name="Berekening 3 2 5 2 5" xfId="28226"/>
    <cellStyle name="Berekening 3 2 5 2 6" xfId="28227"/>
    <cellStyle name="Berekening 3 2 5 3" xfId="7999"/>
    <cellStyle name="Berekening 3 2 5 4" xfId="16668"/>
    <cellStyle name="Berekening 3 2 5 4 2" xfId="28228"/>
    <cellStyle name="Berekening 3 2 5 5" xfId="28229"/>
    <cellStyle name="Berekening 3 2 5 6" xfId="28230"/>
    <cellStyle name="Berekening 3 2 5 7" xfId="28231"/>
    <cellStyle name="Berekening 3 2 50" xfId="201"/>
    <cellStyle name="Berekening 3 2 50 2" xfId="5992"/>
    <cellStyle name="Berekening 3 2 50 2 2" xfId="10487"/>
    <cellStyle name="Berekening 3 2 50 2 3" xfId="16669"/>
    <cellStyle name="Berekening 3 2 50 2 3 2" xfId="28232"/>
    <cellStyle name="Berekening 3 2 50 2 4" xfId="28233"/>
    <cellStyle name="Berekening 3 2 50 2 5" xfId="28234"/>
    <cellStyle name="Berekening 3 2 50 2 6" xfId="28235"/>
    <cellStyle name="Berekening 3 2 50 3" xfId="8000"/>
    <cellStyle name="Berekening 3 2 50 4" xfId="16670"/>
    <cellStyle name="Berekening 3 2 50 4 2" xfId="28236"/>
    <cellStyle name="Berekening 3 2 50 5" xfId="28237"/>
    <cellStyle name="Berekening 3 2 50 6" xfId="28238"/>
    <cellStyle name="Berekening 3 2 50 7" xfId="28239"/>
    <cellStyle name="Berekening 3 2 51" xfId="202"/>
    <cellStyle name="Berekening 3 2 51 2" xfId="5993"/>
    <cellStyle name="Berekening 3 2 51 2 2" xfId="10488"/>
    <cellStyle name="Berekening 3 2 51 2 3" xfId="16671"/>
    <cellStyle name="Berekening 3 2 51 2 3 2" xfId="28240"/>
    <cellStyle name="Berekening 3 2 51 2 4" xfId="28241"/>
    <cellStyle name="Berekening 3 2 51 2 5" xfId="28242"/>
    <cellStyle name="Berekening 3 2 51 2 6" xfId="28243"/>
    <cellStyle name="Berekening 3 2 51 3" xfId="8001"/>
    <cellStyle name="Berekening 3 2 51 4" xfId="16672"/>
    <cellStyle name="Berekening 3 2 51 4 2" xfId="28244"/>
    <cellStyle name="Berekening 3 2 51 5" xfId="28245"/>
    <cellStyle name="Berekening 3 2 51 6" xfId="28246"/>
    <cellStyle name="Berekening 3 2 51 7" xfId="28247"/>
    <cellStyle name="Berekening 3 2 52" xfId="203"/>
    <cellStyle name="Berekening 3 2 52 2" xfId="5994"/>
    <cellStyle name="Berekening 3 2 52 2 2" xfId="10489"/>
    <cellStyle name="Berekening 3 2 52 2 3" xfId="16673"/>
    <cellStyle name="Berekening 3 2 52 2 3 2" xfId="28248"/>
    <cellStyle name="Berekening 3 2 52 2 4" xfId="28249"/>
    <cellStyle name="Berekening 3 2 52 2 5" xfId="28250"/>
    <cellStyle name="Berekening 3 2 52 2 6" xfId="28251"/>
    <cellStyle name="Berekening 3 2 52 3" xfId="8002"/>
    <cellStyle name="Berekening 3 2 52 4" xfId="16674"/>
    <cellStyle name="Berekening 3 2 52 4 2" xfId="28252"/>
    <cellStyle name="Berekening 3 2 52 5" xfId="28253"/>
    <cellStyle name="Berekening 3 2 52 6" xfId="28254"/>
    <cellStyle name="Berekening 3 2 52 7" xfId="28255"/>
    <cellStyle name="Berekening 3 2 53" xfId="204"/>
    <cellStyle name="Berekening 3 2 53 2" xfId="5995"/>
    <cellStyle name="Berekening 3 2 53 2 2" xfId="10490"/>
    <cellStyle name="Berekening 3 2 53 2 3" xfId="16675"/>
    <cellStyle name="Berekening 3 2 53 2 3 2" xfId="28256"/>
    <cellStyle name="Berekening 3 2 53 2 4" xfId="28257"/>
    <cellStyle name="Berekening 3 2 53 2 5" xfId="28258"/>
    <cellStyle name="Berekening 3 2 53 2 6" xfId="28259"/>
    <cellStyle name="Berekening 3 2 53 3" xfId="8003"/>
    <cellStyle name="Berekening 3 2 53 4" xfId="16676"/>
    <cellStyle name="Berekening 3 2 53 4 2" xfId="28260"/>
    <cellStyle name="Berekening 3 2 53 5" xfId="28261"/>
    <cellStyle name="Berekening 3 2 53 6" xfId="28262"/>
    <cellStyle name="Berekening 3 2 53 7" xfId="28263"/>
    <cellStyle name="Berekening 3 2 54" xfId="205"/>
    <cellStyle name="Berekening 3 2 54 2" xfId="5996"/>
    <cellStyle name="Berekening 3 2 54 2 2" xfId="10491"/>
    <cellStyle name="Berekening 3 2 54 2 3" xfId="16677"/>
    <cellStyle name="Berekening 3 2 54 2 3 2" xfId="28264"/>
    <cellStyle name="Berekening 3 2 54 2 4" xfId="28265"/>
    <cellStyle name="Berekening 3 2 54 2 5" xfId="28266"/>
    <cellStyle name="Berekening 3 2 54 2 6" xfId="28267"/>
    <cellStyle name="Berekening 3 2 54 3" xfId="8004"/>
    <cellStyle name="Berekening 3 2 54 4" xfId="16678"/>
    <cellStyle name="Berekening 3 2 54 4 2" xfId="28268"/>
    <cellStyle name="Berekening 3 2 54 5" xfId="28269"/>
    <cellStyle name="Berekening 3 2 54 6" xfId="28270"/>
    <cellStyle name="Berekening 3 2 54 7" xfId="28271"/>
    <cellStyle name="Berekening 3 2 55" xfId="206"/>
    <cellStyle name="Berekening 3 2 55 2" xfId="5997"/>
    <cellStyle name="Berekening 3 2 55 2 2" xfId="10492"/>
    <cellStyle name="Berekening 3 2 55 2 3" xfId="16679"/>
    <cellStyle name="Berekening 3 2 55 2 3 2" xfId="28272"/>
    <cellStyle name="Berekening 3 2 55 2 4" xfId="28273"/>
    <cellStyle name="Berekening 3 2 55 2 5" xfId="28274"/>
    <cellStyle name="Berekening 3 2 55 2 6" xfId="28275"/>
    <cellStyle name="Berekening 3 2 55 3" xfId="8005"/>
    <cellStyle name="Berekening 3 2 55 4" xfId="16680"/>
    <cellStyle name="Berekening 3 2 55 4 2" xfId="28276"/>
    <cellStyle name="Berekening 3 2 55 5" xfId="28277"/>
    <cellStyle name="Berekening 3 2 55 6" xfId="28278"/>
    <cellStyle name="Berekening 3 2 55 7" xfId="28279"/>
    <cellStyle name="Berekening 3 2 56" xfId="207"/>
    <cellStyle name="Berekening 3 2 56 2" xfId="5998"/>
    <cellStyle name="Berekening 3 2 56 2 2" xfId="10493"/>
    <cellStyle name="Berekening 3 2 56 2 3" xfId="16681"/>
    <cellStyle name="Berekening 3 2 56 2 3 2" xfId="28280"/>
    <cellStyle name="Berekening 3 2 56 2 4" xfId="28281"/>
    <cellStyle name="Berekening 3 2 56 2 5" xfId="28282"/>
    <cellStyle name="Berekening 3 2 56 2 6" xfId="28283"/>
    <cellStyle name="Berekening 3 2 56 3" xfId="8006"/>
    <cellStyle name="Berekening 3 2 56 4" xfId="16682"/>
    <cellStyle name="Berekening 3 2 56 4 2" xfId="28284"/>
    <cellStyle name="Berekening 3 2 56 5" xfId="28285"/>
    <cellStyle name="Berekening 3 2 56 6" xfId="28286"/>
    <cellStyle name="Berekening 3 2 56 7" xfId="28287"/>
    <cellStyle name="Berekening 3 2 57" xfId="208"/>
    <cellStyle name="Berekening 3 2 57 2" xfId="5999"/>
    <cellStyle name="Berekening 3 2 57 2 2" xfId="10494"/>
    <cellStyle name="Berekening 3 2 57 2 3" xfId="16683"/>
    <cellStyle name="Berekening 3 2 57 2 3 2" xfId="28288"/>
    <cellStyle name="Berekening 3 2 57 2 4" xfId="28289"/>
    <cellStyle name="Berekening 3 2 57 2 5" xfId="28290"/>
    <cellStyle name="Berekening 3 2 57 2 6" xfId="28291"/>
    <cellStyle name="Berekening 3 2 57 3" xfId="8007"/>
    <cellStyle name="Berekening 3 2 57 4" xfId="16684"/>
    <cellStyle name="Berekening 3 2 57 4 2" xfId="28292"/>
    <cellStyle name="Berekening 3 2 57 5" xfId="28293"/>
    <cellStyle name="Berekening 3 2 57 6" xfId="28294"/>
    <cellStyle name="Berekening 3 2 57 7" xfId="28295"/>
    <cellStyle name="Berekening 3 2 58" xfId="209"/>
    <cellStyle name="Berekening 3 2 58 2" xfId="6000"/>
    <cellStyle name="Berekening 3 2 58 2 2" xfId="10495"/>
    <cellStyle name="Berekening 3 2 58 2 3" xfId="16685"/>
    <cellStyle name="Berekening 3 2 58 2 3 2" xfId="28296"/>
    <cellStyle name="Berekening 3 2 58 2 4" xfId="28297"/>
    <cellStyle name="Berekening 3 2 58 2 5" xfId="28298"/>
    <cellStyle name="Berekening 3 2 58 2 6" xfId="28299"/>
    <cellStyle name="Berekening 3 2 58 3" xfId="8008"/>
    <cellStyle name="Berekening 3 2 58 4" xfId="16686"/>
    <cellStyle name="Berekening 3 2 58 4 2" xfId="28300"/>
    <cellStyle name="Berekening 3 2 58 5" xfId="28301"/>
    <cellStyle name="Berekening 3 2 58 6" xfId="28302"/>
    <cellStyle name="Berekening 3 2 58 7" xfId="28303"/>
    <cellStyle name="Berekening 3 2 59" xfId="210"/>
    <cellStyle name="Berekening 3 2 59 2" xfId="6001"/>
    <cellStyle name="Berekening 3 2 59 2 2" xfId="10496"/>
    <cellStyle name="Berekening 3 2 59 2 3" xfId="16687"/>
    <cellStyle name="Berekening 3 2 59 2 3 2" xfId="28304"/>
    <cellStyle name="Berekening 3 2 59 2 4" xfId="28305"/>
    <cellStyle name="Berekening 3 2 59 2 5" xfId="28306"/>
    <cellStyle name="Berekening 3 2 59 2 6" xfId="28307"/>
    <cellStyle name="Berekening 3 2 59 3" xfId="8009"/>
    <cellStyle name="Berekening 3 2 59 4" xfId="16688"/>
    <cellStyle name="Berekening 3 2 59 4 2" xfId="28308"/>
    <cellStyle name="Berekening 3 2 59 5" xfId="28309"/>
    <cellStyle name="Berekening 3 2 59 6" xfId="28310"/>
    <cellStyle name="Berekening 3 2 59 7" xfId="28311"/>
    <cellStyle name="Berekening 3 2 6" xfId="211"/>
    <cellStyle name="Berekening 3 2 6 2" xfId="6002"/>
    <cellStyle name="Berekening 3 2 6 2 2" xfId="10497"/>
    <cellStyle name="Berekening 3 2 6 2 3" xfId="16689"/>
    <cellStyle name="Berekening 3 2 6 2 3 2" xfId="28312"/>
    <cellStyle name="Berekening 3 2 6 2 4" xfId="28313"/>
    <cellStyle name="Berekening 3 2 6 2 5" xfId="28314"/>
    <cellStyle name="Berekening 3 2 6 2 6" xfId="28315"/>
    <cellStyle name="Berekening 3 2 6 3" xfId="8010"/>
    <cellStyle name="Berekening 3 2 6 4" xfId="16690"/>
    <cellStyle name="Berekening 3 2 6 4 2" xfId="28316"/>
    <cellStyle name="Berekening 3 2 6 5" xfId="28317"/>
    <cellStyle name="Berekening 3 2 6 6" xfId="28318"/>
    <cellStyle name="Berekening 3 2 6 7" xfId="28319"/>
    <cellStyle name="Berekening 3 2 60" xfId="212"/>
    <cellStyle name="Berekening 3 2 60 2" xfId="6003"/>
    <cellStyle name="Berekening 3 2 60 2 2" xfId="10498"/>
    <cellStyle name="Berekening 3 2 60 2 3" xfId="16691"/>
    <cellStyle name="Berekening 3 2 60 2 3 2" xfId="28320"/>
    <cellStyle name="Berekening 3 2 60 2 4" xfId="28321"/>
    <cellStyle name="Berekening 3 2 60 2 5" xfId="28322"/>
    <cellStyle name="Berekening 3 2 60 2 6" xfId="28323"/>
    <cellStyle name="Berekening 3 2 60 3" xfId="8011"/>
    <cellStyle name="Berekening 3 2 60 4" xfId="16692"/>
    <cellStyle name="Berekening 3 2 60 4 2" xfId="28324"/>
    <cellStyle name="Berekening 3 2 60 5" xfId="28325"/>
    <cellStyle name="Berekening 3 2 60 6" xfId="28326"/>
    <cellStyle name="Berekening 3 2 60 7" xfId="28327"/>
    <cellStyle name="Berekening 3 2 61" xfId="213"/>
    <cellStyle name="Berekening 3 2 61 2" xfId="6004"/>
    <cellStyle name="Berekening 3 2 61 2 2" xfId="10499"/>
    <cellStyle name="Berekening 3 2 61 2 3" xfId="16693"/>
    <cellStyle name="Berekening 3 2 61 2 3 2" xfId="28328"/>
    <cellStyle name="Berekening 3 2 61 2 4" xfId="28329"/>
    <cellStyle name="Berekening 3 2 61 2 5" xfId="28330"/>
    <cellStyle name="Berekening 3 2 61 2 6" xfId="28331"/>
    <cellStyle name="Berekening 3 2 61 3" xfId="8012"/>
    <cellStyle name="Berekening 3 2 61 4" xfId="16694"/>
    <cellStyle name="Berekening 3 2 61 4 2" xfId="28332"/>
    <cellStyle name="Berekening 3 2 61 5" xfId="28333"/>
    <cellStyle name="Berekening 3 2 61 6" xfId="28334"/>
    <cellStyle name="Berekening 3 2 61 7" xfId="28335"/>
    <cellStyle name="Berekening 3 2 62" xfId="214"/>
    <cellStyle name="Berekening 3 2 62 2" xfId="6005"/>
    <cellStyle name="Berekening 3 2 62 2 2" xfId="10500"/>
    <cellStyle name="Berekening 3 2 62 2 3" xfId="16695"/>
    <cellStyle name="Berekening 3 2 62 2 3 2" xfId="28336"/>
    <cellStyle name="Berekening 3 2 62 2 4" xfId="28337"/>
    <cellStyle name="Berekening 3 2 62 2 5" xfId="28338"/>
    <cellStyle name="Berekening 3 2 62 2 6" xfId="28339"/>
    <cellStyle name="Berekening 3 2 62 3" xfId="8013"/>
    <cellStyle name="Berekening 3 2 62 4" xfId="16696"/>
    <cellStyle name="Berekening 3 2 62 4 2" xfId="28340"/>
    <cellStyle name="Berekening 3 2 62 5" xfId="28341"/>
    <cellStyle name="Berekening 3 2 62 6" xfId="28342"/>
    <cellStyle name="Berekening 3 2 62 7" xfId="28343"/>
    <cellStyle name="Berekening 3 2 63" xfId="215"/>
    <cellStyle name="Berekening 3 2 63 2" xfId="6006"/>
    <cellStyle name="Berekening 3 2 63 2 2" xfId="10501"/>
    <cellStyle name="Berekening 3 2 63 2 3" xfId="16697"/>
    <cellStyle name="Berekening 3 2 63 2 3 2" xfId="28344"/>
    <cellStyle name="Berekening 3 2 63 2 4" xfId="28345"/>
    <cellStyle name="Berekening 3 2 63 2 5" xfId="28346"/>
    <cellStyle name="Berekening 3 2 63 2 6" xfId="28347"/>
    <cellStyle name="Berekening 3 2 63 3" xfId="8014"/>
    <cellStyle name="Berekening 3 2 63 4" xfId="16698"/>
    <cellStyle name="Berekening 3 2 63 4 2" xfId="28348"/>
    <cellStyle name="Berekening 3 2 63 5" xfId="28349"/>
    <cellStyle name="Berekening 3 2 63 6" xfId="28350"/>
    <cellStyle name="Berekening 3 2 63 7" xfId="28351"/>
    <cellStyle name="Berekening 3 2 64" xfId="216"/>
    <cellStyle name="Berekening 3 2 64 2" xfId="6007"/>
    <cellStyle name="Berekening 3 2 64 2 2" xfId="10502"/>
    <cellStyle name="Berekening 3 2 64 2 3" xfId="16699"/>
    <cellStyle name="Berekening 3 2 64 2 3 2" xfId="28352"/>
    <cellStyle name="Berekening 3 2 64 2 4" xfId="28353"/>
    <cellStyle name="Berekening 3 2 64 2 5" xfId="28354"/>
    <cellStyle name="Berekening 3 2 64 2 6" xfId="28355"/>
    <cellStyle name="Berekening 3 2 64 3" xfId="8015"/>
    <cellStyle name="Berekening 3 2 64 4" xfId="16700"/>
    <cellStyle name="Berekening 3 2 64 4 2" xfId="28356"/>
    <cellStyle name="Berekening 3 2 64 5" xfId="28357"/>
    <cellStyle name="Berekening 3 2 64 6" xfId="28358"/>
    <cellStyle name="Berekening 3 2 64 7" xfId="28359"/>
    <cellStyle name="Berekening 3 2 65" xfId="217"/>
    <cellStyle name="Berekening 3 2 65 2" xfId="6008"/>
    <cellStyle name="Berekening 3 2 65 2 2" xfId="10503"/>
    <cellStyle name="Berekening 3 2 65 2 3" xfId="16701"/>
    <cellStyle name="Berekening 3 2 65 2 3 2" xfId="28360"/>
    <cellStyle name="Berekening 3 2 65 2 4" xfId="28361"/>
    <cellStyle name="Berekening 3 2 65 2 5" xfId="28362"/>
    <cellStyle name="Berekening 3 2 65 2 6" xfId="28363"/>
    <cellStyle name="Berekening 3 2 65 3" xfId="8016"/>
    <cellStyle name="Berekening 3 2 65 4" xfId="16702"/>
    <cellStyle name="Berekening 3 2 65 4 2" xfId="28364"/>
    <cellStyle name="Berekening 3 2 65 5" xfId="28365"/>
    <cellStyle name="Berekening 3 2 65 6" xfId="28366"/>
    <cellStyle name="Berekening 3 2 65 7" xfId="28367"/>
    <cellStyle name="Berekening 3 2 66" xfId="218"/>
    <cellStyle name="Berekening 3 2 66 2" xfId="6009"/>
    <cellStyle name="Berekening 3 2 66 2 2" xfId="10504"/>
    <cellStyle name="Berekening 3 2 66 2 3" xfId="16703"/>
    <cellStyle name="Berekening 3 2 66 2 3 2" xfId="28368"/>
    <cellStyle name="Berekening 3 2 66 2 4" xfId="28369"/>
    <cellStyle name="Berekening 3 2 66 2 5" xfId="28370"/>
    <cellStyle name="Berekening 3 2 66 2 6" xfId="28371"/>
    <cellStyle name="Berekening 3 2 66 3" xfId="8017"/>
    <cellStyle name="Berekening 3 2 66 4" xfId="16704"/>
    <cellStyle name="Berekening 3 2 66 4 2" xfId="28372"/>
    <cellStyle name="Berekening 3 2 66 5" xfId="28373"/>
    <cellStyle name="Berekening 3 2 66 6" xfId="28374"/>
    <cellStyle name="Berekening 3 2 66 7" xfId="28375"/>
    <cellStyle name="Berekening 3 2 67" xfId="219"/>
    <cellStyle name="Berekening 3 2 67 2" xfId="6010"/>
    <cellStyle name="Berekening 3 2 67 2 2" xfId="10505"/>
    <cellStyle name="Berekening 3 2 67 2 3" xfId="16705"/>
    <cellStyle name="Berekening 3 2 67 2 3 2" xfId="28376"/>
    <cellStyle name="Berekening 3 2 67 2 4" xfId="28377"/>
    <cellStyle name="Berekening 3 2 67 2 5" xfId="28378"/>
    <cellStyle name="Berekening 3 2 67 2 6" xfId="28379"/>
    <cellStyle name="Berekening 3 2 67 3" xfId="8018"/>
    <cellStyle name="Berekening 3 2 67 4" xfId="16706"/>
    <cellStyle name="Berekening 3 2 67 4 2" xfId="28380"/>
    <cellStyle name="Berekening 3 2 67 5" xfId="28381"/>
    <cellStyle name="Berekening 3 2 67 6" xfId="28382"/>
    <cellStyle name="Berekening 3 2 67 7" xfId="28383"/>
    <cellStyle name="Berekening 3 2 68" xfId="220"/>
    <cellStyle name="Berekening 3 2 68 2" xfId="6011"/>
    <cellStyle name="Berekening 3 2 68 2 2" xfId="10506"/>
    <cellStyle name="Berekening 3 2 68 2 3" xfId="16707"/>
    <cellStyle name="Berekening 3 2 68 2 3 2" xfId="28384"/>
    <cellStyle name="Berekening 3 2 68 2 4" xfId="28385"/>
    <cellStyle name="Berekening 3 2 68 2 5" xfId="28386"/>
    <cellStyle name="Berekening 3 2 68 2 6" xfId="28387"/>
    <cellStyle name="Berekening 3 2 68 3" xfId="8019"/>
    <cellStyle name="Berekening 3 2 68 4" xfId="16708"/>
    <cellStyle name="Berekening 3 2 68 4 2" xfId="28388"/>
    <cellStyle name="Berekening 3 2 68 5" xfId="28389"/>
    <cellStyle name="Berekening 3 2 68 6" xfId="28390"/>
    <cellStyle name="Berekening 3 2 68 7" xfId="28391"/>
    <cellStyle name="Berekening 3 2 69" xfId="221"/>
    <cellStyle name="Berekening 3 2 69 2" xfId="6012"/>
    <cellStyle name="Berekening 3 2 69 2 2" xfId="10507"/>
    <cellStyle name="Berekening 3 2 69 2 3" xfId="16709"/>
    <cellStyle name="Berekening 3 2 69 2 3 2" xfId="28392"/>
    <cellStyle name="Berekening 3 2 69 2 4" xfId="28393"/>
    <cellStyle name="Berekening 3 2 69 2 5" xfId="28394"/>
    <cellStyle name="Berekening 3 2 69 2 6" xfId="28395"/>
    <cellStyle name="Berekening 3 2 69 3" xfId="8020"/>
    <cellStyle name="Berekening 3 2 69 4" xfId="16710"/>
    <cellStyle name="Berekening 3 2 69 4 2" xfId="28396"/>
    <cellStyle name="Berekening 3 2 69 5" xfId="28397"/>
    <cellStyle name="Berekening 3 2 69 6" xfId="28398"/>
    <cellStyle name="Berekening 3 2 69 7" xfId="28399"/>
    <cellStyle name="Berekening 3 2 7" xfId="222"/>
    <cellStyle name="Berekening 3 2 7 2" xfId="6013"/>
    <cellStyle name="Berekening 3 2 7 2 2" xfId="10508"/>
    <cellStyle name="Berekening 3 2 7 2 3" xfId="16711"/>
    <cellStyle name="Berekening 3 2 7 2 3 2" xfId="28400"/>
    <cellStyle name="Berekening 3 2 7 2 4" xfId="28401"/>
    <cellStyle name="Berekening 3 2 7 2 5" xfId="28402"/>
    <cellStyle name="Berekening 3 2 7 2 6" xfId="28403"/>
    <cellStyle name="Berekening 3 2 7 3" xfId="8021"/>
    <cellStyle name="Berekening 3 2 7 4" xfId="16712"/>
    <cellStyle name="Berekening 3 2 7 4 2" xfId="28404"/>
    <cellStyle name="Berekening 3 2 7 5" xfId="28405"/>
    <cellStyle name="Berekening 3 2 7 6" xfId="28406"/>
    <cellStyle name="Berekening 3 2 7 7" xfId="28407"/>
    <cellStyle name="Berekening 3 2 70" xfId="223"/>
    <cellStyle name="Berekening 3 2 70 2" xfId="6014"/>
    <cellStyle name="Berekening 3 2 70 2 2" xfId="10509"/>
    <cellStyle name="Berekening 3 2 70 2 3" xfId="16713"/>
    <cellStyle name="Berekening 3 2 70 2 3 2" xfId="28408"/>
    <cellStyle name="Berekening 3 2 70 2 4" xfId="28409"/>
    <cellStyle name="Berekening 3 2 70 2 5" xfId="28410"/>
    <cellStyle name="Berekening 3 2 70 2 6" xfId="28411"/>
    <cellStyle name="Berekening 3 2 70 3" xfId="8022"/>
    <cellStyle name="Berekening 3 2 70 4" xfId="16714"/>
    <cellStyle name="Berekening 3 2 70 4 2" xfId="28412"/>
    <cellStyle name="Berekening 3 2 70 5" xfId="28413"/>
    <cellStyle name="Berekening 3 2 70 6" xfId="28414"/>
    <cellStyle name="Berekening 3 2 70 7" xfId="28415"/>
    <cellStyle name="Berekening 3 2 71" xfId="224"/>
    <cellStyle name="Berekening 3 2 71 2" xfId="6015"/>
    <cellStyle name="Berekening 3 2 71 2 2" xfId="10510"/>
    <cellStyle name="Berekening 3 2 71 2 3" xfId="16715"/>
    <cellStyle name="Berekening 3 2 71 2 3 2" xfId="28416"/>
    <cellStyle name="Berekening 3 2 71 2 4" xfId="28417"/>
    <cellStyle name="Berekening 3 2 71 2 5" xfId="28418"/>
    <cellStyle name="Berekening 3 2 71 2 6" xfId="28419"/>
    <cellStyle name="Berekening 3 2 71 3" xfId="8023"/>
    <cellStyle name="Berekening 3 2 71 4" xfId="16716"/>
    <cellStyle name="Berekening 3 2 71 4 2" xfId="28420"/>
    <cellStyle name="Berekening 3 2 71 5" xfId="28421"/>
    <cellStyle name="Berekening 3 2 71 6" xfId="28422"/>
    <cellStyle name="Berekening 3 2 71 7" xfId="28423"/>
    <cellStyle name="Berekening 3 2 72" xfId="225"/>
    <cellStyle name="Berekening 3 2 72 2" xfId="6016"/>
    <cellStyle name="Berekening 3 2 72 2 2" xfId="10511"/>
    <cellStyle name="Berekening 3 2 72 2 3" xfId="16717"/>
    <cellStyle name="Berekening 3 2 72 2 3 2" xfId="28424"/>
    <cellStyle name="Berekening 3 2 72 2 4" xfId="28425"/>
    <cellStyle name="Berekening 3 2 72 2 5" xfId="28426"/>
    <cellStyle name="Berekening 3 2 72 2 6" xfId="28427"/>
    <cellStyle name="Berekening 3 2 72 3" xfId="8024"/>
    <cellStyle name="Berekening 3 2 72 4" xfId="16718"/>
    <cellStyle name="Berekening 3 2 72 4 2" xfId="28428"/>
    <cellStyle name="Berekening 3 2 72 5" xfId="28429"/>
    <cellStyle name="Berekening 3 2 72 6" xfId="28430"/>
    <cellStyle name="Berekening 3 2 72 7" xfId="28431"/>
    <cellStyle name="Berekening 3 2 73" xfId="226"/>
    <cellStyle name="Berekening 3 2 73 2" xfId="6017"/>
    <cellStyle name="Berekening 3 2 73 2 2" xfId="10512"/>
    <cellStyle name="Berekening 3 2 73 2 3" xfId="16719"/>
    <cellStyle name="Berekening 3 2 73 2 3 2" xfId="28432"/>
    <cellStyle name="Berekening 3 2 73 2 4" xfId="28433"/>
    <cellStyle name="Berekening 3 2 73 2 5" xfId="28434"/>
    <cellStyle name="Berekening 3 2 73 2 6" xfId="28435"/>
    <cellStyle name="Berekening 3 2 73 3" xfId="8025"/>
    <cellStyle name="Berekening 3 2 73 4" xfId="16720"/>
    <cellStyle name="Berekening 3 2 73 4 2" xfId="28436"/>
    <cellStyle name="Berekening 3 2 73 5" xfId="28437"/>
    <cellStyle name="Berekening 3 2 73 6" xfId="28438"/>
    <cellStyle name="Berekening 3 2 73 7" xfId="28439"/>
    <cellStyle name="Berekening 3 2 74" xfId="227"/>
    <cellStyle name="Berekening 3 2 74 2" xfId="6018"/>
    <cellStyle name="Berekening 3 2 74 2 2" xfId="10513"/>
    <cellStyle name="Berekening 3 2 74 2 3" xfId="16721"/>
    <cellStyle name="Berekening 3 2 74 2 3 2" xfId="28440"/>
    <cellStyle name="Berekening 3 2 74 2 4" xfId="28441"/>
    <cellStyle name="Berekening 3 2 74 2 5" xfId="28442"/>
    <cellStyle name="Berekening 3 2 74 2 6" xfId="28443"/>
    <cellStyle name="Berekening 3 2 74 3" xfId="8026"/>
    <cellStyle name="Berekening 3 2 74 4" xfId="16722"/>
    <cellStyle name="Berekening 3 2 74 4 2" xfId="28444"/>
    <cellStyle name="Berekening 3 2 74 5" xfId="28445"/>
    <cellStyle name="Berekening 3 2 74 6" xfId="28446"/>
    <cellStyle name="Berekening 3 2 74 7" xfId="28447"/>
    <cellStyle name="Berekening 3 2 75" xfId="228"/>
    <cellStyle name="Berekening 3 2 75 2" xfId="6019"/>
    <cellStyle name="Berekening 3 2 75 2 2" xfId="10514"/>
    <cellStyle name="Berekening 3 2 75 2 3" xfId="16723"/>
    <cellStyle name="Berekening 3 2 75 2 3 2" xfId="28448"/>
    <cellStyle name="Berekening 3 2 75 2 4" xfId="28449"/>
    <cellStyle name="Berekening 3 2 75 2 5" xfId="28450"/>
    <cellStyle name="Berekening 3 2 75 2 6" xfId="28451"/>
    <cellStyle name="Berekening 3 2 75 3" xfId="8027"/>
    <cellStyle name="Berekening 3 2 75 4" xfId="16724"/>
    <cellStyle name="Berekening 3 2 75 4 2" xfId="28452"/>
    <cellStyle name="Berekening 3 2 75 5" xfId="28453"/>
    <cellStyle name="Berekening 3 2 75 6" xfId="28454"/>
    <cellStyle name="Berekening 3 2 75 7" xfId="28455"/>
    <cellStyle name="Berekening 3 2 76" xfId="229"/>
    <cellStyle name="Berekening 3 2 76 2" xfId="6020"/>
    <cellStyle name="Berekening 3 2 76 2 2" xfId="10515"/>
    <cellStyle name="Berekening 3 2 76 2 3" xfId="16725"/>
    <cellStyle name="Berekening 3 2 76 2 3 2" xfId="28456"/>
    <cellStyle name="Berekening 3 2 76 2 4" xfId="28457"/>
    <cellStyle name="Berekening 3 2 76 2 5" xfId="28458"/>
    <cellStyle name="Berekening 3 2 76 2 6" xfId="28459"/>
    <cellStyle name="Berekening 3 2 76 3" xfId="8028"/>
    <cellStyle name="Berekening 3 2 76 4" xfId="16726"/>
    <cellStyle name="Berekening 3 2 76 4 2" xfId="28460"/>
    <cellStyle name="Berekening 3 2 76 5" xfId="28461"/>
    <cellStyle name="Berekening 3 2 76 6" xfId="28462"/>
    <cellStyle name="Berekening 3 2 76 7" xfId="28463"/>
    <cellStyle name="Berekening 3 2 77" xfId="230"/>
    <cellStyle name="Berekening 3 2 77 2" xfId="6021"/>
    <cellStyle name="Berekening 3 2 77 2 2" xfId="10516"/>
    <cellStyle name="Berekening 3 2 77 2 3" xfId="16727"/>
    <cellStyle name="Berekening 3 2 77 2 3 2" xfId="28464"/>
    <cellStyle name="Berekening 3 2 77 2 4" xfId="28465"/>
    <cellStyle name="Berekening 3 2 77 2 5" xfId="28466"/>
    <cellStyle name="Berekening 3 2 77 2 6" xfId="28467"/>
    <cellStyle name="Berekening 3 2 77 3" xfId="8029"/>
    <cellStyle name="Berekening 3 2 77 4" xfId="16728"/>
    <cellStyle name="Berekening 3 2 77 4 2" xfId="28468"/>
    <cellStyle name="Berekening 3 2 77 5" xfId="28469"/>
    <cellStyle name="Berekening 3 2 77 6" xfId="28470"/>
    <cellStyle name="Berekening 3 2 77 7" xfId="28471"/>
    <cellStyle name="Berekening 3 2 78" xfId="231"/>
    <cellStyle name="Berekening 3 2 78 2" xfId="6022"/>
    <cellStyle name="Berekening 3 2 78 2 2" xfId="10517"/>
    <cellStyle name="Berekening 3 2 78 2 3" xfId="16729"/>
    <cellStyle name="Berekening 3 2 78 2 3 2" xfId="28472"/>
    <cellStyle name="Berekening 3 2 78 2 4" xfId="28473"/>
    <cellStyle name="Berekening 3 2 78 2 5" xfId="28474"/>
    <cellStyle name="Berekening 3 2 78 2 6" xfId="28475"/>
    <cellStyle name="Berekening 3 2 78 3" xfId="8030"/>
    <cellStyle name="Berekening 3 2 78 4" xfId="16730"/>
    <cellStyle name="Berekening 3 2 78 4 2" xfId="28476"/>
    <cellStyle name="Berekening 3 2 78 5" xfId="28477"/>
    <cellStyle name="Berekening 3 2 78 6" xfId="28478"/>
    <cellStyle name="Berekening 3 2 78 7" xfId="28479"/>
    <cellStyle name="Berekening 3 2 79" xfId="232"/>
    <cellStyle name="Berekening 3 2 79 2" xfId="6023"/>
    <cellStyle name="Berekening 3 2 79 2 2" xfId="10518"/>
    <cellStyle name="Berekening 3 2 79 2 3" xfId="16731"/>
    <cellStyle name="Berekening 3 2 79 2 3 2" xfId="28480"/>
    <cellStyle name="Berekening 3 2 79 2 4" xfId="28481"/>
    <cellStyle name="Berekening 3 2 79 2 5" xfId="28482"/>
    <cellStyle name="Berekening 3 2 79 2 6" xfId="28483"/>
    <cellStyle name="Berekening 3 2 79 3" xfId="8031"/>
    <cellStyle name="Berekening 3 2 79 4" xfId="16732"/>
    <cellStyle name="Berekening 3 2 79 4 2" xfId="28484"/>
    <cellStyle name="Berekening 3 2 79 5" xfId="28485"/>
    <cellStyle name="Berekening 3 2 79 6" xfId="28486"/>
    <cellStyle name="Berekening 3 2 79 7" xfId="28487"/>
    <cellStyle name="Berekening 3 2 8" xfId="233"/>
    <cellStyle name="Berekening 3 2 8 2" xfId="6024"/>
    <cellStyle name="Berekening 3 2 8 2 2" xfId="10519"/>
    <cellStyle name="Berekening 3 2 8 2 3" xfId="16733"/>
    <cellStyle name="Berekening 3 2 8 2 3 2" xfId="28488"/>
    <cellStyle name="Berekening 3 2 8 2 4" xfId="28489"/>
    <cellStyle name="Berekening 3 2 8 2 5" xfId="28490"/>
    <cellStyle name="Berekening 3 2 8 2 6" xfId="28491"/>
    <cellStyle name="Berekening 3 2 8 3" xfId="8032"/>
    <cellStyle name="Berekening 3 2 8 4" xfId="16734"/>
    <cellStyle name="Berekening 3 2 8 4 2" xfId="28492"/>
    <cellStyle name="Berekening 3 2 8 5" xfId="28493"/>
    <cellStyle name="Berekening 3 2 8 6" xfId="28494"/>
    <cellStyle name="Berekening 3 2 8 7" xfId="28495"/>
    <cellStyle name="Berekening 3 2 80" xfId="6025"/>
    <cellStyle name="Berekening 3 2 80 2" xfId="10442"/>
    <cellStyle name="Berekening 3 2 80 3" xfId="16735"/>
    <cellStyle name="Berekening 3 2 80 3 2" xfId="28496"/>
    <cellStyle name="Berekening 3 2 80 4" xfId="28497"/>
    <cellStyle name="Berekening 3 2 80 5" xfId="28498"/>
    <cellStyle name="Berekening 3 2 80 6" xfId="28499"/>
    <cellStyle name="Berekening 3 2 81" xfId="7955"/>
    <cellStyle name="Berekening 3 2 82" xfId="16736"/>
    <cellStyle name="Berekening 3 2 82 2" xfId="28500"/>
    <cellStyle name="Berekening 3 2 83" xfId="28501"/>
    <cellStyle name="Berekening 3 2 84" xfId="28502"/>
    <cellStyle name="Berekening 3 2 85" xfId="28503"/>
    <cellStyle name="Berekening 3 2 9" xfId="234"/>
    <cellStyle name="Berekening 3 2 9 2" xfId="6026"/>
    <cellStyle name="Berekening 3 2 9 2 2" xfId="10520"/>
    <cellStyle name="Berekening 3 2 9 2 3" xfId="16737"/>
    <cellStyle name="Berekening 3 2 9 2 3 2" xfId="28504"/>
    <cellStyle name="Berekening 3 2 9 2 4" xfId="28505"/>
    <cellStyle name="Berekening 3 2 9 2 5" xfId="28506"/>
    <cellStyle name="Berekening 3 2 9 2 6" xfId="28507"/>
    <cellStyle name="Berekening 3 2 9 3" xfId="8033"/>
    <cellStyle name="Berekening 3 2 9 4" xfId="16738"/>
    <cellStyle name="Berekening 3 2 9 4 2" xfId="28508"/>
    <cellStyle name="Berekening 3 2 9 5" xfId="28509"/>
    <cellStyle name="Berekening 3 2 9 6" xfId="28510"/>
    <cellStyle name="Berekening 3 2 9 7" xfId="28511"/>
    <cellStyle name="Berekening 3 20" xfId="16739"/>
    <cellStyle name="Berekening 3 20 2" xfId="28512"/>
    <cellStyle name="Berekening 3 21" xfId="28513"/>
    <cellStyle name="Berekening 3 22" xfId="28514"/>
    <cellStyle name="Berekening 3 23" xfId="28515"/>
    <cellStyle name="Berekening 3 3" xfId="235"/>
    <cellStyle name="Berekening 3 3 2" xfId="6027"/>
    <cellStyle name="Berekening 3 3 2 2" xfId="10521"/>
    <cellStyle name="Berekening 3 3 2 3" xfId="16740"/>
    <cellStyle name="Berekening 3 3 2 3 2" xfId="28516"/>
    <cellStyle name="Berekening 3 3 2 4" xfId="28517"/>
    <cellStyle name="Berekening 3 3 2 5" xfId="28518"/>
    <cellStyle name="Berekening 3 3 2 6" xfId="28519"/>
    <cellStyle name="Berekening 3 3 3" xfId="8034"/>
    <cellStyle name="Berekening 3 3 4" xfId="16741"/>
    <cellStyle name="Berekening 3 3 4 2" xfId="28520"/>
    <cellStyle name="Berekening 3 3 5" xfId="28521"/>
    <cellStyle name="Berekening 3 3 6" xfId="28522"/>
    <cellStyle name="Berekening 3 3 7" xfId="28523"/>
    <cellStyle name="Berekening 3 4" xfId="236"/>
    <cellStyle name="Berekening 3 4 2" xfId="6028"/>
    <cellStyle name="Berekening 3 4 2 2" xfId="10522"/>
    <cellStyle name="Berekening 3 4 2 3" xfId="16742"/>
    <cellStyle name="Berekening 3 4 2 3 2" xfId="28524"/>
    <cellStyle name="Berekening 3 4 2 4" xfId="28525"/>
    <cellStyle name="Berekening 3 4 2 5" xfId="28526"/>
    <cellStyle name="Berekening 3 4 2 6" xfId="28527"/>
    <cellStyle name="Berekening 3 4 3" xfId="8035"/>
    <cellStyle name="Berekening 3 4 4" xfId="16743"/>
    <cellStyle name="Berekening 3 4 4 2" xfId="28528"/>
    <cellStyle name="Berekening 3 4 5" xfId="28529"/>
    <cellStyle name="Berekening 3 4 6" xfId="28530"/>
    <cellStyle name="Berekening 3 4 7" xfId="28531"/>
    <cellStyle name="Berekening 3 5" xfId="237"/>
    <cellStyle name="Berekening 3 5 2" xfId="6029"/>
    <cellStyle name="Berekening 3 5 2 2" xfId="10523"/>
    <cellStyle name="Berekening 3 5 2 3" xfId="16744"/>
    <cellStyle name="Berekening 3 5 2 3 2" xfId="28532"/>
    <cellStyle name="Berekening 3 5 2 4" xfId="28533"/>
    <cellStyle name="Berekening 3 5 2 5" xfId="28534"/>
    <cellStyle name="Berekening 3 5 2 6" xfId="28535"/>
    <cellStyle name="Berekening 3 5 3" xfId="8036"/>
    <cellStyle name="Berekening 3 5 4" xfId="16745"/>
    <cellStyle name="Berekening 3 5 4 2" xfId="28536"/>
    <cellStyle name="Berekening 3 5 5" xfId="28537"/>
    <cellStyle name="Berekening 3 5 6" xfId="28538"/>
    <cellStyle name="Berekening 3 5 7" xfId="28539"/>
    <cellStyle name="Berekening 3 6" xfId="238"/>
    <cellStyle name="Berekening 3 6 2" xfId="6030"/>
    <cellStyle name="Berekening 3 6 2 2" xfId="10524"/>
    <cellStyle name="Berekening 3 6 2 3" xfId="16746"/>
    <cellStyle name="Berekening 3 6 2 3 2" xfId="28540"/>
    <cellStyle name="Berekening 3 6 2 4" xfId="28541"/>
    <cellStyle name="Berekening 3 6 2 5" xfId="28542"/>
    <cellStyle name="Berekening 3 6 2 6" xfId="28543"/>
    <cellStyle name="Berekening 3 6 3" xfId="8037"/>
    <cellStyle name="Berekening 3 6 4" xfId="16747"/>
    <cellStyle name="Berekening 3 6 4 2" xfId="28544"/>
    <cellStyle name="Berekening 3 6 5" xfId="28545"/>
    <cellStyle name="Berekening 3 6 6" xfId="28546"/>
    <cellStyle name="Berekening 3 6 7" xfId="28547"/>
    <cellStyle name="Berekening 3 7" xfId="239"/>
    <cellStyle name="Berekening 3 7 2" xfId="6031"/>
    <cellStyle name="Berekening 3 7 2 2" xfId="10525"/>
    <cellStyle name="Berekening 3 7 2 3" xfId="16748"/>
    <cellStyle name="Berekening 3 7 2 3 2" xfId="28548"/>
    <cellStyle name="Berekening 3 7 2 4" xfId="28549"/>
    <cellStyle name="Berekening 3 7 2 5" xfId="28550"/>
    <cellStyle name="Berekening 3 7 2 6" xfId="28551"/>
    <cellStyle name="Berekening 3 7 3" xfId="8038"/>
    <cellStyle name="Berekening 3 7 4" xfId="16749"/>
    <cellStyle name="Berekening 3 7 4 2" xfId="28552"/>
    <cellStyle name="Berekening 3 7 5" xfId="28553"/>
    <cellStyle name="Berekening 3 7 6" xfId="28554"/>
    <cellStyle name="Berekening 3 7 7" xfId="28555"/>
    <cellStyle name="Berekening 3 8" xfId="240"/>
    <cellStyle name="Berekening 3 8 2" xfId="6032"/>
    <cellStyle name="Berekening 3 8 2 2" xfId="10526"/>
    <cellStyle name="Berekening 3 8 2 3" xfId="16750"/>
    <cellStyle name="Berekening 3 8 2 3 2" xfId="28556"/>
    <cellStyle name="Berekening 3 8 2 4" xfId="28557"/>
    <cellStyle name="Berekening 3 8 2 5" xfId="28558"/>
    <cellStyle name="Berekening 3 8 2 6" xfId="28559"/>
    <cellStyle name="Berekening 3 8 3" xfId="8039"/>
    <cellStyle name="Berekening 3 8 4" xfId="16751"/>
    <cellStyle name="Berekening 3 8 4 2" xfId="28560"/>
    <cellStyle name="Berekening 3 8 5" xfId="28561"/>
    <cellStyle name="Berekening 3 8 6" xfId="28562"/>
    <cellStyle name="Berekening 3 8 7" xfId="28563"/>
    <cellStyle name="Berekening 3 9" xfId="241"/>
    <cellStyle name="Berekening 3 9 2" xfId="6033"/>
    <cellStyle name="Berekening 3 9 2 2" xfId="10527"/>
    <cellStyle name="Berekening 3 9 2 3" xfId="16752"/>
    <cellStyle name="Berekening 3 9 2 3 2" xfId="28564"/>
    <cellStyle name="Berekening 3 9 2 4" xfId="28565"/>
    <cellStyle name="Berekening 3 9 2 5" xfId="28566"/>
    <cellStyle name="Berekening 3 9 2 6" xfId="28567"/>
    <cellStyle name="Berekening 3 9 3" xfId="8040"/>
    <cellStyle name="Berekening 3 9 4" xfId="16753"/>
    <cellStyle name="Berekening 3 9 4 2" xfId="28568"/>
    <cellStyle name="Berekening 3 9 5" xfId="28569"/>
    <cellStyle name="Berekening 3 9 6" xfId="28570"/>
    <cellStyle name="Berekening 3 9 7" xfId="28571"/>
    <cellStyle name="Calculation" xfId="242"/>
    <cellStyle name="Calculation 10" xfId="243"/>
    <cellStyle name="Calculation 10 2" xfId="6034"/>
    <cellStyle name="Calculation 10 2 2" xfId="10529"/>
    <cellStyle name="Calculation 10 2 3" xfId="16754"/>
    <cellStyle name="Calculation 10 2 3 2" xfId="28572"/>
    <cellStyle name="Calculation 10 2 4" xfId="28573"/>
    <cellStyle name="Calculation 10 2 5" xfId="28574"/>
    <cellStyle name="Calculation 10 2 6" xfId="28575"/>
    <cellStyle name="Calculation 10 3" xfId="8042"/>
    <cellStyle name="Calculation 10 4" xfId="16755"/>
    <cellStyle name="Calculation 10 4 2" xfId="28576"/>
    <cellStyle name="Calculation 10 5" xfId="28577"/>
    <cellStyle name="Calculation 10 6" xfId="28578"/>
    <cellStyle name="Calculation 10 7" xfId="28579"/>
    <cellStyle name="Calculation 11" xfId="244"/>
    <cellStyle name="Calculation 11 2" xfId="6035"/>
    <cellStyle name="Calculation 11 2 2" xfId="10530"/>
    <cellStyle name="Calculation 11 2 3" xfId="16756"/>
    <cellStyle name="Calculation 11 2 3 2" xfId="28580"/>
    <cellStyle name="Calculation 11 2 4" xfId="28581"/>
    <cellStyle name="Calculation 11 2 5" xfId="28582"/>
    <cellStyle name="Calculation 11 2 6" xfId="28583"/>
    <cellStyle name="Calculation 11 3" xfId="8043"/>
    <cellStyle name="Calculation 11 4" xfId="16757"/>
    <cellStyle name="Calculation 11 4 2" xfId="28584"/>
    <cellStyle name="Calculation 11 5" xfId="28585"/>
    <cellStyle name="Calculation 11 6" xfId="28586"/>
    <cellStyle name="Calculation 11 7" xfId="28587"/>
    <cellStyle name="Calculation 12" xfId="245"/>
    <cellStyle name="Calculation 12 2" xfId="6036"/>
    <cellStyle name="Calculation 12 2 2" xfId="10531"/>
    <cellStyle name="Calculation 12 2 3" xfId="16758"/>
    <cellStyle name="Calculation 12 2 3 2" xfId="28588"/>
    <cellStyle name="Calculation 12 2 4" xfId="28589"/>
    <cellStyle name="Calculation 12 2 5" xfId="28590"/>
    <cellStyle name="Calculation 12 2 6" xfId="28591"/>
    <cellStyle name="Calculation 12 3" xfId="8044"/>
    <cellStyle name="Calculation 12 4" xfId="16759"/>
    <cellStyle name="Calculation 12 4 2" xfId="28592"/>
    <cellStyle name="Calculation 12 5" xfId="28593"/>
    <cellStyle name="Calculation 12 6" xfId="28594"/>
    <cellStyle name="Calculation 12 7" xfId="28595"/>
    <cellStyle name="Calculation 13" xfId="246"/>
    <cellStyle name="Calculation 13 2" xfId="6037"/>
    <cellStyle name="Calculation 13 2 2" xfId="10532"/>
    <cellStyle name="Calculation 13 2 3" xfId="16760"/>
    <cellStyle name="Calculation 13 2 3 2" xfId="28596"/>
    <cellStyle name="Calculation 13 2 4" xfId="28597"/>
    <cellStyle name="Calculation 13 2 5" xfId="28598"/>
    <cellStyle name="Calculation 13 2 6" xfId="28599"/>
    <cellStyle name="Calculation 13 3" xfId="8045"/>
    <cellStyle name="Calculation 13 4" xfId="16761"/>
    <cellStyle name="Calculation 13 4 2" xfId="28600"/>
    <cellStyle name="Calculation 13 5" xfId="28601"/>
    <cellStyle name="Calculation 13 6" xfId="28602"/>
    <cellStyle name="Calculation 13 7" xfId="28603"/>
    <cellStyle name="Calculation 14" xfId="247"/>
    <cellStyle name="Calculation 14 2" xfId="6038"/>
    <cellStyle name="Calculation 14 2 2" xfId="10533"/>
    <cellStyle name="Calculation 14 2 3" xfId="16762"/>
    <cellStyle name="Calculation 14 2 3 2" xfId="28604"/>
    <cellStyle name="Calculation 14 2 4" xfId="28605"/>
    <cellStyle name="Calculation 14 2 5" xfId="28606"/>
    <cellStyle name="Calculation 14 2 6" xfId="28607"/>
    <cellStyle name="Calculation 14 3" xfId="8046"/>
    <cellStyle name="Calculation 14 4" xfId="16763"/>
    <cellStyle name="Calculation 14 4 2" xfId="28608"/>
    <cellStyle name="Calculation 14 5" xfId="28609"/>
    <cellStyle name="Calculation 14 6" xfId="28610"/>
    <cellStyle name="Calculation 14 7" xfId="28611"/>
    <cellStyle name="Calculation 15" xfId="248"/>
    <cellStyle name="Calculation 15 2" xfId="6039"/>
    <cellStyle name="Calculation 15 2 2" xfId="10534"/>
    <cellStyle name="Calculation 15 2 3" xfId="16764"/>
    <cellStyle name="Calculation 15 2 3 2" xfId="28612"/>
    <cellStyle name="Calculation 15 2 4" xfId="28613"/>
    <cellStyle name="Calculation 15 2 5" xfId="28614"/>
    <cellStyle name="Calculation 15 2 6" xfId="28615"/>
    <cellStyle name="Calculation 15 3" xfId="8047"/>
    <cellStyle name="Calculation 15 4" xfId="16765"/>
    <cellStyle name="Calculation 15 4 2" xfId="28616"/>
    <cellStyle name="Calculation 15 5" xfId="28617"/>
    <cellStyle name="Calculation 15 6" xfId="28618"/>
    <cellStyle name="Calculation 15 7" xfId="28619"/>
    <cellStyle name="Calculation 16" xfId="249"/>
    <cellStyle name="Calculation 16 2" xfId="6040"/>
    <cellStyle name="Calculation 16 2 2" xfId="10535"/>
    <cellStyle name="Calculation 16 2 3" xfId="16766"/>
    <cellStyle name="Calculation 16 2 3 2" xfId="28620"/>
    <cellStyle name="Calculation 16 2 4" xfId="28621"/>
    <cellStyle name="Calculation 16 2 5" xfId="28622"/>
    <cellStyle name="Calculation 16 2 6" xfId="28623"/>
    <cellStyle name="Calculation 16 3" xfId="8048"/>
    <cellStyle name="Calculation 16 4" xfId="16767"/>
    <cellStyle name="Calculation 16 4 2" xfId="28624"/>
    <cellStyle name="Calculation 16 5" xfId="28625"/>
    <cellStyle name="Calculation 16 6" xfId="28626"/>
    <cellStyle name="Calculation 16 7" xfId="28627"/>
    <cellStyle name="Calculation 17" xfId="250"/>
    <cellStyle name="Calculation 17 2" xfId="6041"/>
    <cellStyle name="Calculation 17 2 2" xfId="10536"/>
    <cellStyle name="Calculation 17 2 3" xfId="16768"/>
    <cellStyle name="Calculation 17 2 3 2" xfId="28628"/>
    <cellStyle name="Calculation 17 2 4" xfId="28629"/>
    <cellStyle name="Calculation 17 2 5" xfId="28630"/>
    <cellStyle name="Calculation 17 2 6" xfId="28631"/>
    <cellStyle name="Calculation 17 3" xfId="8049"/>
    <cellStyle name="Calculation 17 4" xfId="16769"/>
    <cellStyle name="Calculation 17 4 2" xfId="28632"/>
    <cellStyle name="Calculation 17 5" xfId="28633"/>
    <cellStyle name="Calculation 17 6" xfId="28634"/>
    <cellStyle name="Calculation 17 7" xfId="28635"/>
    <cellStyle name="Calculation 18" xfId="6042"/>
    <cellStyle name="Calculation 18 2" xfId="10528"/>
    <cellStyle name="Calculation 18 3" xfId="16770"/>
    <cellStyle name="Calculation 18 3 2" xfId="28636"/>
    <cellStyle name="Calculation 18 4" xfId="28637"/>
    <cellStyle name="Calculation 18 5" xfId="28638"/>
    <cellStyle name="Calculation 18 6" xfId="28639"/>
    <cellStyle name="Calculation 19" xfId="8041"/>
    <cellStyle name="Calculation 2" xfId="251"/>
    <cellStyle name="Calculation 2 10" xfId="252"/>
    <cellStyle name="Calculation 2 10 2" xfId="6043"/>
    <cellStyle name="Calculation 2 10 2 2" xfId="10538"/>
    <cellStyle name="Calculation 2 10 2 3" xfId="16771"/>
    <cellStyle name="Calculation 2 10 2 3 2" xfId="28640"/>
    <cellStyle name="Calculation 2 10 2 4" xfId="28641"/>
    <cellStyle name="Calculation 2 10 2 5" xfId="28642"/>
    <cellStyle name="Calculation 2 10 2 6" xfId="28643"/>
    <cellStyle name="Calculation 2 10 3" xfId="8051"/>
    <cellStyle name="Calculation 2 10 4" xfId="16772"/>
    <cellStyle name="Calculation 2 10 4 2" xfId="28644"/>
    <cellStyle name="Calculation 2 10 5" xfId="28645"/>
    <cellStyle name="Calculation 2 10 6" xfId="28646"/>
    <cellStyle name="Calculation 2 10 7" xfId="28647"/>
    <cellStyle name="Calculation 2 11" xfId="253"/>
    <cellStyle name="Calculation 2 11 2" xfId="6044"/>
    <cellStyle name="Calculation 2 11 2 2" xfId="10539"/>
    <cellStyle name="Calculation 2 11 2 3" xfId="16773"/>
    <cellStyle name="Calculation 2 11 2 3 2" xfId="28648"/>
    <cellStyle name="Calculation 2 11 2 4" xfId="28649"/>
    <cellStyle name="Calculation 2 11 2 5" xfId="28650"/>
    <cellStyle name="Calculation 2 11 2 6" xfId="28651"/>
    <cellStyle name="Calculation 2 11 3" xfId="8052"/>
    <cellStyle name="Calculation 2 11 4" xfId="16774"/>
    <cellStyle name="Calculation 2 11 4 2" xfId="28652"/>
    <cellStyle name="Calculation 2 11 5" xfId="28653"/>
    <cellStyle name="Calculation 2 11 6" xfId="28654"/>
    <cellStyle name="Calculation 2 11 7" xfId="28655"/>
    <cellStyle name="Calculation 2 12" xfId="254"/>
    <cellStyle name="Calculation 2 12 2" xfId="6045"/>
    <cellStyle name="Calculation 2 12 2 2" xfId="10540"/>
    <cellStyle name="Calculation 2 12 2 3" xfId="16775"/>
    <cellStyle name="Calculation 2 12 2 3 2" xfId="28656"/>
    <cellStyle name="Calculation 2 12 2 4" xfId="28657"/>
    <cellStyle name="Calculation 2 12 2 5" xfId="28658"/>
    <cellStyle name="Calculation 2 12 2 6" xfId="28659"/>
    <cellStyle name="Calculation 2 12 3" xfId="8053"/>
    <cellStyle name="Calculation 2 12 4" xfId="16776"/>
    <cellStyle name="Calculation 2 12 4 2" xfId="28660"/>
    <cellStyle name="Calculation 2 12 5" xfId="28661"/>
    <cellStyle name="Calculation 2 12 6" xfId="28662"/>
    <cellStyle name="Calculation 2 12 7" xfId="28663"/>
    <cellStyle name="Calculation 2 13" xfId="255"/>
    <cellStyle name="Calculation 2 13 2" xfId="6046"/>
    <cellStyle name="Calculation 2 13 2 2" xfId="10541"/>
    <cellStyle name="Calculation 2 13 2 3" xfId="16777"/>
    <cellStyle name="Calculation 2 13 2 3 2" xfId="28664"/>
    <cellStyle name="Calculation 2 13 2 4" xfId="28665"/>
    <cellStyle name="Calculation 2 13 2 5" xfId="28666"/>
    <cellStyle name="Calculation 2 13 2 6" xfId="28667"/>
    <cellStyle name="Calculation 2 13 3" xfId="8054"/>
    <cellStyle name="Calculation 2 13 4" xfId="16778"/>
    <cellStyle name="Calculation 2 13 4 2" xfId="28668"/>
    <cellStyle name="Calculation 2 13 5" xfId="28669"/>
    <cellStyle name="Calculation 2 13 6" xfId="28670"/>
    <cellStyle name="Calculation 2 13 7" xfId="28671"/>
    <cellStyle name="Calculation 2 14" xfId="256"/>
    <cellStyle name="Calculation 2 14 2" xfId="6047"/>
    <cellStyle name="Calculation 2 14 2 2" xfId="10542"/>
    <cellStyle name="Calculation 2 14 2 3" xfId="16779"/>
    <cellStyle name="Calculation 2 14 2 3 2" xfId="28672"/>
    <cellStyle name="Calculation 2 14 2 4" xfId="28673"/>
    <cellStyle name="Calculation 2 14 2 5" xfId="28674"/>
    <cellStyle name="Calculation 2 14 2 6" xfId="28675"/>
    <cellStyle name="Calculation 2 14 3" xfId="8055"/>
    <cellStyle name="Calculation 2 14 4" xfId="16780"/>
    <cellStyle name="Calculation 2 14 4 2" xfId="28676"/>
    <cellStyle name="Calculation 2 14 5" xfId="28677"/>
    <cellStyle name="Calculation 2 14 6" xfId="28678"/>
    <cellStyle name="Calculation 2 14 7" xfId="28679"/>
    <cellStyle name="Calculation 2 15" xfId="257"/>
    <cellStyle name="Calculation 2 15 2" xfId="6048"/>
    <cellStyle name="Calculation 2 15 2 2" xfId="10543"/>
    <cellStyle name="Calculation 2 15 2 3" xfId="16781"/>
    <cellStyle name="Calculation 2 15 2 3 2" xfId="28680"/>
    <cellStyle name="Calculation 2 15 2 4" xfId="28681"/>
    <cellStyle name="Calculation 2 15 2 5" xfId="28682"/>
    <cellStyle name="Calculation 2 15 2 6" xfId="28683"/>
    <cellStyle name="Calculation 2 15 3" xfId="8056"/>
    <cellStyle name="Calculation 2 15 4" xfId="16782"/>
    <cellStyle name="Calculation 2 15 4 2" xfId="28684"/>
    <cellStyle name="Calculation 2 15 5" xfId="28685"/>
    <cellStyle name="Calculation 2 15 6" xfId="28686"/>
    <cellStyle name="Calculation 2 15 7" xfId="28687"/>
    <cellStyle name="Calculation 2 16" xfId="258"/>
    <cellStyle name="Calculation 2 16 2" xfId="6049"/>
    <cellStyle name="Calculation 2 16 2 2" xfId="10544"/>
    <cellStyle name="Calculation 2 16 2 3" xfId="16783"/>
    <cellStyle name="Calculation 2 16 2 3 2" xfId="28688"/>
    <cellStyle name="Calculation 2 16 2 4" xfId="28689"/>
    <cellStyle name="Calculation 2 16 2 5" xfId="28690"/>
    <cellStyle name="Calculation 2 16 2 6" xfId="28691"/>
    <cellStyle name="Calculation 2 16 3" xfId="8057"/>
    <cellStyle name="Calculation 2 16 4" xfId="16784"/>
    <cellStyle name="Calculation 2 16 4 2" xfId="28692"/>
    <cellStyle name="Calculation 2 16 5" xfId="28693"/>
    <cellStyle name="Calculation 2 16 6" xfId="28694"/>
    <cellStyle name="Calculation 2 16 7" xfId="28695"/>
    <cellStyle name="Calculation 2 17" xfId="259"/>
    <cellStyle name="Calculation 2 17 2" xfId="6050"/>
    <cellStyle name="Calculation 2 17 2 2" xfId="10545"/>
    <cellStyle name="Calculation 2 17 2 3" xfId="16785"/>
    <cellStyle name="Calculation 2 17 2 3 2" xfId="28696"/>
    <cellStyle name="Calculation 2 17 2 4" xfId="28697"/>
    <cellStyle name="Calculation 2 17 2 5" xfId="28698"/>
    <cellStyle name="Calculation 2 17 2 6" xfId="28699"/>
    <cellStyle name="Calculation 2 17 3" xfId="8058"/>
    <cellStyle name="Calculation 2 17 4" xfId="16786"/>
    <cellStyle name="Calculation 2 17 4 2" xfId="28700"/>
    <cellStyle name="Calculation 2 17 5" xfId="28701"/>
    <cellStyle name="Calculation 2 17 6" xfId="28702"/>
    <cellStyle name="Calculation 2 17 7" xfId="28703"/>
    <cellStyle name="Calculation 2 18" xfId="260"/>
    <cellStyle name="Calculation 2 18 2" xfId="6051"/>
    <cellStyle name="Calculation 2 18 2 2" xfId="10546"/>
    <cellStyle name="Calculation 2 18 2 3" xfId="16787"/>
    <cellStyle name="Calculation 2 18 2 3 2" xfId="28704"/>
    <cellStyle name="Calculation 2 18 2 4" xfId="28705"/>
    <cellStyle name="Calculation 2 18 2 5" xfId="28706"/>
    <cellStyle name="Calculation 2 18 2 6" xfId="28707"/>
    <cellStyle name="Calculation 2 18 3" xfId="8059"/>
    <cellStyle name="Calculation 2 18 4" xfId="16788"/>
    <cellStyle name="Calculation 2 18 4 2" xfId="28708"/>
    <cellStyle name="Calculation 2 18 5" xfId="28709"/>
    <cellStyle name="Calculation 2 18 6" xfId="28710"/>
    <cellStyle name="Calculation 2 18 7" xfId="28711"/>
    <cellStyle name="Calculation 2 19" xfId="261"/>
    <cellStyle name="Calculation 2 19 2" xfId="6052"/>
    <cellStyle name="Calculation 2 19 2 2" xfId="10547"/>
    <cellStyle name="Calculation 2 19 2 3" xfId="16789"/>
    <cellStyle name="Calculation 2 19 2 3 2" xfId="28712"/>
    <cellStyle name="Calculation 2 19 2 4" xfId="28713"/>
    <cellStyle name="Calculation 2 19 2 5" xfId="28714"/>
    <cellStyle name="Calculation 2 19 2 6" xfId="28715"/>
    <cellStyle name="Calculation 2 19 3" xfId="8060"/>
    <cellStyle name="Calculation 2 19 4" xfId="16790"/>
    <cellStyle name="Calculation 2 19 4 2" xfId="28716"/>
    <cellStyle name="Calculation 2 19 5" xfId="28717"/>
    <cellStyle name="Calculation 2 19 6" xfId="28718"/>
    <cellStyle name="Calculation 2 19 7" xfId="28719"/>
    <cellStyle name="Calculation 2 2" xfId="262"/>
    <cellStyle name="Calculation 2 2 2" xfId="6053"/>
    <cellStyle name="Calculation 2 2 2 2" xfId="10548"/>
    <cellStyle name="Calculation 2 2 2 3" xfId="16791"/>
    <cellStyle name="Calculation 2 2 2 3 2" xfId="28720"/>
    <cellStyle name="Calculation 2 2 2 4" xfId="28721"/>
    <cellStyle name="Calculation 2 2 2 5" xfId="28722"/>
    <cellStyle name="Calculation 2 2 2 6" xfId="28723"/>
    <cellStyle name="Calculation 2 2 3" xfId="8061"/>
    <cellStyle name="Calculation 2 2 4" xfId="16792"/>
    <cellStyle name="Calculation 2 2 4 2" xfId="28724"/>
    <cellStyle name="Calculation 2 2 5" xfId="28725"/>
    <cellStyle name="Calculation 2 2 6" xfId="28726"/>
    <cellStyle name="Calculation 2 2 7" xfId="28727"/>
    <cellStyle name="Calculation 2 20" xfId="263"/>
    <cellStyle name="Calculation 2 20 2" xfId="6054"/>
    <cellStyle name="Calculation 2 20 2 2" xfId="10549"/>
    <cellStyle name="Calculation 2 20 2 3" xfId="16793"/>
    <cellStyle name="Calculation 2 20 2 3 2" xfId="28728"/>
    <cellStyle name="Calculation 2 20 2 4" xfId="28729"/>
    <cellStyle name="Calculation 2 20 2 5" xfId="28730"/>
    <cellStyle name="Calculation 2 20 2 6" xfId="28731"/>
    <cellStyle name="Calculation 2 20 3" xfId="8062"/>
    <cellStyle name="Calculation 2 20 4" xfId="16794"/>
    <cellStyle name="Calculation 2 20 4 2" xfId="28732"/>
    <cellStyle name="Calculation 2 20 5" xfId="28733"/>
    <cellStyle name="Calculation 2 20 6" xfId="28734"/>
    <cellStyle name="Calculation 2 20 7" xfId="28735"/>
    <cellStyle name="Calculation 2 21" xfId="264"/>
    <cellStyle name="Calculation 2 21 2" xfId="6055"/>
    <cellStyle name="Calculation 2 21 2 2" xfId="10550"/>
    <cellStyle name="Calculation 2 21 2 3" xfId="16795"/>
    <cellStyle name="Calculation 2 21 2 3 2" xfId="28736"/>
    <cellStyle name="Calculation 2 21 2 4" xfId="28737"/>
    <cellStyle name="Calculation 2 21 2 5" xfId="28738"/>
    <cellStyle name="Calculation 2 21 2 6" xfId="28739"/>
    <cellStyle name="Calculation 2 21 3" xfId="8063"/>
    <cellStyle name="Calculation 2 21 4" xfId="16796"/>
    <cellStyle name="Calculation 2 21 4 2" xfId="28740"/>
    <cellStyle name="Calculation 2 21 5" xfId="28741"/>
    <cellStyle name="Calculation 2 21 6" xfId="28742"/>
    <cellStyle name="Calculation 2 21 7" xfId="28743"/>
    <cellStyle name="Calculation 2 22" xfId="265"/>
    <cellStyle name="Calculation 2 22 2" xfId="6056"/>
    <cellStyle name="Calculation 2 22 2 2" xfId="10551"/>
    <cellStyle name="Calculation 2 22 2 3" xfId="16797"/>
    <cellStyle name="Calculation 2 22 2 3 2" xfId="28744"/>
    <cellStyle name="Calculation 2 22 2 4" xfId="28745"/>
    <cellStyle name="Calculation 2 22 2 5" xfId="28746"/>
    <cellStyle name="Calculation 2 22 2 6" xfId="28747"/>
    <cellStyle name="Calculation 2 22 3" xfId="8064"/>
    <cellStyle name="Calculation 2 22 4" xfId="16798"/>
    <cellStyle name="Calculation 2 22 4 2" xfId="28748"/>
    <cellStyle name="Calculation 2 22 5" xfId="28749"/>
    <cellStyle name="Calculation 2 22 6" xfId="28750"/>
    <cellStyle name="Calculation 2 22 7" xfId="28751"/>
    <cellStyle name="Calculation 2 23" xfId="266"/>
    <cellStyle name="Calculation 2 23 2" xfId="6057"/>
    <cellStyle name="Calculation 2 23 2 2" xfId="10552"/>
    <cellStyle name="Calculation 2 23 2 3" xfId="16799"/>
    <cellStyle name="Calculation 2 23 2 3 2" xfId="28752"/>
    <cellStyle name="Calculation 2 23 2 4" xfId="28753"/>
    <cellStyle name="Calculation 2 23 2 5" xfId="28754"/>
    <cellStyle name="Calculation 2 23 2 6" xfId="28755"/>
    <cellStyle name="Calculation 2 23 3" xfId="8065"/>
    <cellStyle name="Calculation 2 23 4" xfId="16800"/>
    <cellStyle name="Calculation 2 23 4 2" xfId="28756"/>
    <cellStyle name="Calculation 2 23 5" xfId="28757"/>
    <cellStyle name="Calculation 2 23 6" xfId="28758"/>
    <cellStyle name="Calculation 2 23 7" xfId="28759"/>
    <cellStyle name="Calculation 2 24" xfId="267"/>
    <cellStyle name="Calculation 2 24 2" xfId="6058"/>
    <cellStyle name="Calculation 2 24 2 2" xfId="10553"/>
    <cellStyle name="Calculation 2 24 2 3" xfId="16801"/>
    <cellStyle name="Calculation 2 24 2 3 2" xfId="28760"/>
    <cellStyle name="Calculation 2 24 2 4" xfId="28761"/>
    <cellStyle name="Calculation 2 24 2 5" xfId="28762"/>
    <cellStyle name="Calculation 2 24 2 6" xfId="28763"/>
    <cellStyle name="Calculation 2 24 3" xfId="8066"/>
    <cellStyle name="Calculation 2 24 4" xfId="16802"/>
    <cellStyle name="Calculation 2 24 4 2" xfId="28764"/>
    <cellStyle name="Calculation 2 24 5" xfId="28765"/>
    <cellStyle name="Calculation 2 24 6" xfId="28766"/>
    <cellStyle name="Calculation 2 24 7" xfId="28767"/>
    <cellStyle name="Calculation 2 25" xfId="268"/>
    <cellStyle name="Calculation 2 25 2" xfId="6059"/>
    <cellStyle name="Calculation 2 25 2 2" xfId="10554"/>
    <cellStyle name="Calculation 2 25 2 3" xfId="16803"/>
    <cellStyle name="Calculation 2 25 2 3 2" xfId="28768"/>
    <cellStyle name="Calculation 2 25 2 4" xfId="28769"/>
    <cellStyle name="Calculation 2 25 2 5" xfId="28770"/>
    <cellStyle name="Calculation 2 25 2 6" xfId="28771"/>
    <cellStyle name="Calculation 2 25 3" xfId="8067"/>
    <cellStyle name="Calculation 2 25 4" xfId="16804"/>
    <cellStyle name="Calculation 2 25 4 2" xfId="28772"/>
    <cellStyle name="Calculation 2 25 5" xfId="28773"/>
    <cellStyle name="Calculation 2 25 6" xfId="28774"/>
    <cellStyle name="Calculation 2 25 7" xfId="28775"/>
    <cellStyle name="Calculation 2 26" xfId="269"/>
    <cellStyle name="Calculation 2 26 2" xfId="6060"/>
    <cellStyle name="Calculation 2 26 2 2" xfId="10555"/>
    <cellStyle name="Calculation 2 26 2 3" xfId="16805"/>
    <cellStyle name="Calculation 2 26 2 3 2" xfId="28776"/>
    <cellStyle name="Calculation 2 26 2 4" xfId="28777"/>
    <cellStyle name="Calculation 2 26 2 5" xfId="28778"/>
    <cellStyle name="Calculation 2 26 2 6" xfId="28779"/>
    <cellStyle name="Calculation 2 26 3" xfId="8068"/>
    <cellStyle name="Calculation 2 26 4" xfId="16806"/>
    <cellStyle name="Calculation 2 26 4 2" xfId="28780"/>
    <cellStyle name="Calculation 2 26 5" xfId="28781"/>
    <cellStyle name="Calculation 2 26 6" xfId="28782"/>
    <cellStyle name="Calculation 2 26 7" xfId="28783"/>
    <cellStyle name="Calculation 2 27" xfId="270"/>
    <cellStyle name="Calculation 2 27 2" xfId="6061"/>
    <cellStyle name="Calculation 2 27 2 2" xfId="10556"/>
    <cellStyle name="Calculation 2 27 2 3" xfId="16807"/>
    <cellStyle name="Calculation 2 27 2 3 2" xfId="28784"/>
    <cellStyle name="Calculation 2 27 2 4" xfId="28785"/>
    <cellStyle name="Calculation 2 27 2 5" xfId="28786"/>
    <cellStyle name="Calculation 2 27 2 6" xfId="28787"/>
    <cellStyle name="Calculation 2 27 3" xfId="8069"/>
    <cellStyle name="Calculation 2 27 4" xfId="16808"/>
    <cellStyle name="Calculation 2 27 4 2" xfId="28788"/>
    <cellStyle name="Calculation 2 27 5" xfId="28789"/>
    <cellStyle name="Calculation 2 27 6" xfId="28790"/>
    <cellStyle name="Calculation 2 27 7" xfId="28791"/>
    <cellStyle name="Calculation 2 28" xfId="271"/>
    <cellStyle name="Calculation 2 28 2" xfId="6062"/>
    <cellStyle name="Calculation 2 28 2 2" xfId="10557"/>
    <cellStyle name="Calculation 2 28 2 3" xfId="16809"/>
    <cellStyle name="Calculation 2 28 2 3 2" xfId="28792"/>
    <cellStyle name="Calculation 2 28 2 4" xfId="28793"/>
    <cellStyle name="Calculation 2 28 2 5" xfId="28794"/>
    <cellStyle name="Calculation 2 28 2 6" xfId="28795"/>
    <cellStyle name="Calculation 2 28 3" xfId="8070"/>
    <cellStyle name="Calculation 2 28 4" xfId="16810"/>
    <cellStyle name="Calculation 2 28 4 2" xfId="28796"/>
    <cellStyle name="Calculation 2 28 5" xfId="28797"/>
    <cellStyle name="Calculation 2 28 6" xfId="28798"/>
    <cellStyle name="Calculation 2 28 7" xfId="28799"/>
    <cellStyle name="Calculation 2 29" xfId="272"/>
    <cellStyle name="Calculation 2 29 2" xfId="6063"/>
    <cellStyle name="Calculation 2 29 2 2" xfId="10558"/>
    <cellStyle name="Calculation 2 29 2 3" xfId="16811"/>
    <cellStyle name="Calculation 2 29 2 3 2" xfId="28800"/>
    <cellStyle name="Calculation 2 29 2 4" xfId="28801"/>
    <cellStyle name="Calculation 2 29 2 5" xfId="28802"/>
    <cellStyle name="Calculation 2 29 2 6" xfId="28803"/>
    <cellStyle name="Calculation 2 29 3" xfId="8071"/>
    <cellStyle name="Calculation 2 29 4" xfId="16812"/>
    <cellStyle name="Calculation 2 29 4 2" xfId="28804"/>
    <cellStyle name="Calculation 2 29 5" xfId="28805"/>
    <cellStyle name="Calculation 2 29 6" xfId="28806"/>
    <cellStyle name="Calculation 2 29 7" xfId="28807"/>
    <cellStyle name="Calculation 2 3" xfId="273"/>
    <cellStyle name="Calculation 2 3 2" xfId="6064"/>
    <cellStyle name="Calculation 2 3 2 2" xfId="10559"/>
    <cellStyle name="Calculation 2 3 2 3" xfId="16813"/>
    <cellStyle name="Calculation 2 3 2 3 2" xfId="28808"/>
    <cellStyle name="Calculation 2 3 2 4" xfId="28809"/>
    <cellStyle name="Calculation 2 3 2 5" xfId="28810"/>
    <cellStyle name="Calculation 2 3 2 6" xfId="28811"/>
    <cellStyle name="Calculation 2 3 3" xfId="8072"/>
    <cellStyle name="Calculation 2 3 4" xfId="16814"/>
    <cellStyle name="Calculation 2 3 4 2" xfId="28812"/>
    <cellStyle name="Calculation 2 3 5" xfId="28813"/>
    <cellStyle name="Calculation 2 3 6" xfId="28814"/>
    <cellStyle name="Calculation 2 3 7" xfId="28815"/>
    <cellStyle name="Calculation 2 30" xfId="274"/>
    <cellStyle name="Calculation 2 30 2" xfId="6065"/>
    <cellStyle name="Calculation 2 30 2 2" xfId="10560"/>
    <cellStyle name="Calculation 2 30 2 3" xfId="16815"/>
    <cellStyle name="Calculation 2 30 2 3 2" xfId="28816"/>
    <cellStyle name="Calculation 2 30 2 4" xfId="28817"/>
    <cellStyle name="Calculation 2 30 2 5" xfId="28818"/>
    <cellStyle name="Calculation 2 30 2 6" xfId="28819"/>
    <cellStyle name="Calculation 2 30 3" xfId="8073"/>
    <cellStyle name="Calculation 2 30 4" xfId="16816"/>
    <cellStyle name="Calculation 2 30 4 2" xfId="28820"/>
    <cellStyle name="Calculation 2 30 5" xfId="28821"/>
    <cellStyle name="Calculation 2 30 6" xfId="28822"/>
    <cellStyle name="Calculation 2 30 7" xfId="28823"/>
    <cellStyle name="Calculation 2 31" xfId="275"/>
    <cellStyle name="Calculation 2 31 2" xfId="6066"/>
    <cellStyle name="Calculation 2 31 2 2" xfId="10561"/>
    <cellStyle name="Calculation 2 31 2 3" xfId="16817"/>
    <cellStyle name="Calculation 2 31 2 3 2" xfId="28824"/>
    <cellStyle name="Calculation 2 31 2 4" xfId="28825"/>
    <cellStyle name="Calculation 2 31 2 5" xfId="28826"/>
    <cellStyle name="Calculation 2 31 2 6" xfId="28827"/>
    <cellStyle name="Calculation 2 31 3" xfId="8074"/>
    <cellStyle name="Calculation 2 31 4" xfId="16818"/>
    <cellStyle name="Calculation 2 31 4 2" xfId="28828"/>
    <cellStyle name="Calculation 2 31 5" xfId="28829"/>
    <cellStyle name="Calculation 2 31 6" xfId="28830"/>
    <cellStyle name="Calculation 2 31 7" xfId="28831"/>
    <cellStyle name="Calculation 2 32" xfId="276"/>
    <cellStyle name="Calculation 2 32 2" xfId="6067"/>
    <cellStyle name="Calculation 2 32 2 2" xfId="10562"/>
    <cellStyle name="Calculation 2 32 2 3" xfId="16819"/>
    <cellStyle name="Calculation 2 32 2 3 2" xfId="28832"/>
    <cellStyle name="Calculation 2 32 2 4" xfId="28833"/>
    <cellStyle name="Calculation 2 32 2 5" xfId="28834"/>
    <cellStyle name="Calculation 2 32 2 6" xfId="28835"/>
    <cellStyle name="Calculation 2 32 3" xfId="8075"/>
    <cellStyle name="Calculation 2 32 4" xfId="16820"/>
    <cellStyle name="Calculation 2 32 4 2" xfId="28836"/>
    <cellStyle name="Calculation 2 32 5" xfId="28837"/>
    <cellStyle name="Calculation 2 32 6" xfId="28838"/>
    <cellStyle name="Calculation 2 32 7" xfId="28839"/>
    <cellStyle name="Calculation 2 33" xfId="277"/>
    <cellStyle name="Calculation 2 33 2" xfId="6068"/>
    <cellStyle name="Calculation 2 33 2 2" xfId="10563"/>
    <cellStyle name="Calculation 2 33 2 3" xfId="16821"/>
    <cellStyle name="Calculation 2 33 2 3 2" xfId="28840"/>
    <cellStyle name="Calculation 2 33 2 4" xfId="28841"/>
    <cellStyle name="Calculation 2 33 2 5" xfId="28842"/>
    <cellStyle name="Calculation 2 33 2 6" xfId="28843"/>
    <cellStyle name="Calculation 2 33 3" xfId="8076"/>
    <cellStyle name="Calculation 2 33 4" xfId="16822"/>
    <cellStyle name="Calculation 2 33 4 2" xfId="28844"/>
    <cellStyle name="Calculation 2 33 5" xfId="28845"/>
    <cellStyle name="Calculation 2 33 6" xfId="28846"/>
    <cellStyle name="Calculation 2 33 7" xfId="28847"/>
    <cellStyle name="Calculation 2 34" xfId="278"/>
    <cellStyle name="Calculation 2 34 2" xfId="6069"/>
    <cellStyle name="Calculation 2 34 2 2" xfId="10564"/>
    <cellStyle name="Calculation 2 34 2 3" xfId="16823"/>
    <cellStyle name="Calculation 2 34 2 3 2" xfId="28848"/>
    <cellStyle name="Calculation 2 34 2 4" xfId="28849"/>
    <cellStyle name="Calculation 2 34 2 5" xfId="28850"/>
    <cellStyle name="Calculation 2 34 2 6" xfId="28851"/>
    <cellStyle name="Calculation 2 34 3" xfId="8077"/>
    <cellStyle name="Calculation 2 34 4" xfId="16824"/>
    <cellStyle name="Calculation 2 34 4 2" xfId="28852"/>
    <cellStyle name="Calculation 2 34 5" xfId="28853"/>
    <cellStyle name="Calculation 2 34 6" xfId="28854"/>
    <cellStyle name="Calculation 2 34 7" xfId="28855"/>
    <cellStyle name="Calculation 2 35" xfId="279"/>
    <cellStyle name="Calculation 2 35 2" xfId="6070"/>
    <cellStyle name="Calculation 2 35 2 2" xfId="10565"/>
    <cellStyle name="Calculation 2 35 2 3" xfId="16825"/>
    <cellStyle name="Calculation 2 35 2 3 2" xfId="28856"/>
    <cellStyle name="Calculation 2 35 2 4" xfId="28857"/>
    <cellStyle name="Calculation 2 35 2 5" xfId="28858"/>
    <cellStyle name="Calculation 2 35 2 6" xfId="28859"/>
    <cellStyle name="Calculation 2 35 3" xfId="8078"/>
    <cellStyle name="Calculation 2 35 4" xfId="16826"/>
    <cellStyle name="Calculation 2 35 4 2" xfId="28860"/>
    <cellStyle name="Calculation 2 35 5" xfId="28861"/>
    <cellStyle name="Calculation 2 35 6" xfId="28862"/>
    <cellStyle name="Calculation 2 35 7" xfId="28863"/>
    <cellStyle name="Calculation 2 36" xfId="280"/>
    <cellStyle name="Calculation 2 36 2" xfId="6071"/>
    <cellStyle name="Calculation 2 36 2 2" xfId="10566"/>
    <cellStyle name="Calculation 2 36 2 3" xfId="16827"/>
    <cellStyle name="Calculation 2 36 2 3 2" xfId="28864"/>
    <cellStyle name="Calculation 2 36 2 4" xfId="28865"/>
    <cellStyle name="Calculation 2 36 2 5" xfId="28866"/>
    <cellStyle name="Calculation 2 36 2 6" xfId="28867"/>
    <cellStyle name="Calculation 2 36 3" xfId="8079"/>
    <cellStyle name="Calculation 2 36 4" xfId="16828"/>
    <cellStyle name="Calculation 2 36 4 2" xfId="28868"/>
    <cellStyle name="Calculation 2 36 5" xfId="28869"/>
    <cellStyle name="Calculation 2 36 6" xfId="28870"/>
    <cellStyle name="Calculation 2 36 7" xfId="28871"/>
    <cellStyle name="Calculation 2 37" xfId="281"/>
    <cellStyle name="Calculation 2 37 2" xfId="6072"/>
    <cellStyle name="Calculation 2 37 2 2" xfId="10567"/>
    <cellStyle name="Calculation 2 37 2 3" xfId="16829"/>
    <cellStyle name="Calculation 2 37 2 3 2" xfId="28872"/>
    <cellStyle name="Calculation 2 37 2 4" xfId="28873"/>
    <cellStyle name="Calculation 2 37 2 5" xfId="28874"/>
    <cellStyle name="Calculation 2 37 2 6" xfId="28875"/>
    <cellStyle name="Calculation 2 37 3" xfId="8080"/>
    <cellStyle name="Calculation 2 37 4" xfId="16830"/>
    <cellStyle name="Calculation 2 37 4 2" xfId="28876"/>
    <cellStyle name="Calculation 2 37 5" xfId="28877"/>
    <cellStyle name="Calculation 2 37 6" xfId="28878"/>
    <cellStyle name="Calculation 2 37 7" xfId="28879"/>
    <cellStyle name="Calculation 2 38" xfId="282"/>
    <cellStyle name="Calculation 2 38 2" xfId="6073"/>
    <cellStyle name="Calculation 2 38 2 2" xfId="10568"/>
    <cellStyle name="Calculation 2 38 2 3" xfId="16831"/>
    <cellStyle name="Calculation 2 38 2 3 2" xfId="28880"/>
    <cellStyle name="Calculation 2 38 2 4" xfId="28881"/>
    <cellStyle name="Calculation 2 38 2 5" xfId="28882"/>
    <cellStyle name="Calculation 2 38 2 6" xfId="28883"/>
    <cellStyle name="Calculation 2 38 3" xfId="8081"/>
    <cellStyle name="Calculation 2 38 4" xfId="16832"/>
    <cellStyle name="Calculation 2 38 4 2" xfId="28884"/>
    <cellStyle name="Calculation 2 38 5" xfId="28885"/>
    <cellStyle name="Calculation 2 38 6" xfId="28886"/>
    <cellStyle name="Calculation 2 38 7" xfId="28887"/>
    <cellStyle name="Calculation 2 39" xfId="283"/>
    <cellStyle name="Calculation 2 39 2" xfId="6074"/>
    <cellStyle name="Calculation 2 39 2 2" xfId="10569"/>
    <cellStyle name="Calculation 2 39 2 3" xfId="16833"/>
    <cellStyle name="Calculation 2 39 2 3 2" xfId="28888"/>
    <cellStyle name="Calculation 2 39 2 4" xfId="28889"/>
    <cellStyle name="Calculation 2 39 2 5" xfId="28890"/>
    <cellStyle name="Calculation 2 39 2 6" xfId="28891"/>
    <cellStyle name="Calculation 2 39 3" xfId="8082"/>
    <cellStyle name="Calculation 2 39 4" xfId="16834"/>
    <cellStyle name="Calculation 2 39 4 2" xfId="28892"/>
    <cellStyle name="Calculation 2 39 5" xfId="28893"/>
    <cellStyle name="Calculation 2 39 6" xfId="28894"/>
    <cellStyle name="Calculation 2 39 7" xfId="28895"/>
    <cellStyle name="Calculation 2 4" xfId="284"/>
    <cellStyle name="Calculation 2 4 2" xfId="6075"/>
    <cellStyle name="Calculation 2 4 2 2" xfId="10570"/>
    <cellStyle name="Calculation 2 4 2 3" xfId="16835"/>
    <cellStyle name="Calculation 2 4 2 3 2" xfId="28896"/>
    <cellStyle name="Calculation 2 4 2 4" xfId="28897"/>
    <cellStyle name="Calculation 2 4 2 5" xfId="28898"/>
    <cellStyle name="Calculation 2 4 2 6" xfId="28899"/>
    <cellStyle name="Calculation 2 4 3" xfId="8083"/>
    <cellStyle name="Calculation 2 4 4" xfId="16836"/>
    <cellStyle name="Calculation 2 4 4 2" xfId="28900"/>
    <cellStyle name="Calculation 2 4 5" xfId="28901"/>
    <cellStyle name="Calculation 2 4 6" xfId="28902"/>
    <cellStyle name="Calculation 2 4 7" xfId="28903"/>
    <cellStyle name="Calculation 2 40" xfId="285"/>
    <cellStyle name="Calculation 2 40 2" xfId="6076"/>
    <cellStyle name="Calculation 2 40 2 2" xfId="10571"/>
    <cellStyle name="Calculation 2 40 2 3" xfId="16837"/>
    <cellStyle name="Calculation 2 40 2 3 2" xfId="28904"/>
    <cellStyle name="Calculation 2 40 2 4" xfId="28905"/>
    <cellStyle name="Calculation 2 40 2 5" xfId="28906"/>
    <cellStyle name="Calculation 2 40 2 6" xfId="28907"/>
    <cellStyle name="Calculation 2 40 3" xfId="8084"/>
    <cellStyle name="Calculation 2 40 4" xfId="16838"/>
    <cellStyle name="Calculation 2 40 4 2" xfId="28908"/>
    <cellStyle name="Calculation 2 40 5" xfId="28909"/>
    <cellStyle name="Calculation 2 40 6" xfId="28910"/>
    <cellStyle name="Calculation 2 40 7" xfId="28911"/>
    <cellStyle name="Calculation 2 41" xfId="286"/>
    <cellStyle name="Calculation 2 41 2" xfId="6077"/>
    <cellStyle name="Calculation 2 41 2 2" xfId="10572"/>
    <cellStyle name="Calculation 2 41 2 3" xfId="16839"/>
    <cellStyle name="Calculation 2 41 2 3 2" xfId="28912"/>
    <cellStyle name="Calculation 2 41 2 4" xfId="28913"/>
    <cellStyle name="Calculation 2 41 2 5" xfId="28914"/>
    <cellStyle name="Calculation 2 41 2 6" xfId="28915"/>
    <cellStyle name="Calculation 2 41 3" xfId="8085"/>
    <cellStyle name="Calculation 2 41 4" xfId="16840"/>
    <cellStyle name="Calculation 2 41 4 2" xfId="28916"/>
    <cellStyle name="Calculation 2 41 5" xfId="28917"/>
    <cellStyle name="Calculation 2 41 6" xfId="28918"/>
    <cellStyle name="Calculation 2 41 7" xfId="28919"/>
    <cellStyle name="Calculation 2 42" xfId="287"/>
    <cellStyle name="Calculation 2 42 2" xfId="6078"/>
    <cellStyle name="Calculation 2 42 2 2" xfId="10573"/>
    <cellStyle name="Calculation 2 42 2 3" xfId="16841"/>
    <cellStyle name="Calculation 2 42 2 3 2" xfId="28920"/>
    <cellStyle name="Calculation 2 42 2 4" xfId="28921"/>
    <cellStyle name="Calculation 2 42 2 5" xfId="28922"/>
    <cellStyle name="Calculation 2 42 2 6" xfId="28923"/>
    <cellStyle name="Calculation 2 42 3" xfId="8086"/>
    <cellStyle name="Calculation 2 42 4" xfId="16842"/>
    <cellStyle name="Calculation 2 42 4 2" xfId="28924"/>
    <cellStyle name="Calculation 2 42 5" xfId="28925"/>
    <cellStyle name="Calculation 2 42 6" xfId="28926"/>
    <cellStyle name="Calculation 2 42 7" xfId="28927"/>
    <cellStyle name="Calculation 2 43" xfId="288"/>
    <cellStyle name="Calculation 2 43 2" xfId="6079"/>
    <cellStyle name="Calculation 2 43 2 2" xfId="10574"/>
    <cellStyle name="Calculation 2 43 2 3" xfId="16843"/>
    <cellStyle name="Calculation 2 43 2 3 2" xfId="28928"/>
    <cellStyle name="Calculation 2 43 2 4" xfId="28929"/>
    <cellStyle name="Calculation 2 43 2 5" xfId="28930"/>
    <cellStyle name="Calculation 2 43 2 6" xfId="28931"/>
    <cellStyle name="Calculation 2 43 3" xfId="8087"/>
    <cellStyle name="Calculation 2 43 4" xfId="16844"/>
    <cellStyle name="Calculation 2 43 4 2" xfId="28932"/>
    <cellStyle name="Calculation 2 43 5" xfId="28933"/>
    <cellStyle name="Calculation 2 43 6" xfId="28934"/>
    <cellStyle name="Calculation 2 43 7" xfId="28935"/>
    <cellStyle name="Calculation 2 44" xfId="289"/>
    <cellStyle name="Calculation 2 44 2" xfId="6080"/>
    <cellStyle name="Calculation 2 44 2 2" xfId="10575"/>
    <cellStyle name="Calculation 2 44 2 3" xfId="16845"/>
    <cellStyle name="Calculation 2 44 2 3 2" xfId="28936"/>
    <cellStyle name="Calculation 2 44 2 4" xfId="28937"/>
    <cellStyle name="Calculation 2 44 2 5" xfId="28938"/>
    <cellStyle name="Calculation 2 44 2 6" xfId="28939"/>
    <cellStyle name="Calculation 2 44 3" xfId="8088"/>
    <cellStyle name="Calculation 2 44 4" xfId="16846"/>
    <cellStyle name="Calculation 2 44 4 2" xfId="28940"/>
    <cellStyle name="Calculation 2 44 5" xfId="28941"/>
    <cellStyle name="Calculation 2 44 6" xfId="28942"/>
    <cellStyle name="Calculation 2 44 7" xfId="28943"/>
    <cellStyle name="Calculation 2 45" xfId="290"/>
    <cellStyle name="Calculation 2 45 2" xfId="6081"/>
    <cellStyle name="Calculation 2 45 2 2" xfId="10576"/>
    <cellStyle name="Calculation 2 45 2 3" xfId="16847"/>
    <cellStyle name="Calculation 2 45 2 3 2" xfId="28944"/>
    <cellStyle name="Calculation 2 45 2 4" xfId="28945"/>
    <cellStyle name="Calculation 2 45 2 5" xfId="28946"/>
    <cellStyle name="Calculation 2 45 2 6" xfId="28947"/>
    <cellStyle name="Calculation 2 45 3" xfId="8089"/>
    <cellStyle name="Calculation 2 45 4" xfId="16848"/>
    <cellStyle name="Calculation 2 45 4 2" xfId="28948"/>
    <cellStyle name="Calculation 2 45 5" xfId="28949"/>
    <cellStyle name="Calculation 2 45 6" xfId="28950"/>
    <cellStyle name="Calculation 2 45 7" xfId="28951"/>
    <cellStyle name="Calculation 2 46" xfId="291"/>
    <cellStyle name="Calculation 2 46 2" xfId="6082"/>
    <cellStyle name="Calculation 2 46 2 2" xfId="10577"/>
    <cellStyle name="Calculation 2 46 2 3" xfId="16849"/>
    <cellStyle name="Calculation 2 46 2 3 2" xfId="28952"/>
    <cellStyle name="Calculation 2 46 2 4" xfId="28953"/>
    <cellStyle name="Calculation 2 46 2 5" xfId="28954"/>
    <cellStyle name="Calculation 2 46 2 6" xfId="28955"/>
    <cellStyle name="Calculation 2 46 3" xfId="8090"/>
    <cellStyle name="Calculation 2 46 4" xfId="16850"/>
    <cellStyle name="Calculation 2 46 4 2" xfId="28956"/>
    <cellStyle name="Calculation 2 46 5" xfId="28957"/>
    <cellStyle name="Calculation 2 46 6" xfId="28958"/>
    <cellStyle name="Calculation 2 46 7" xfId="28959"/>
    <cellStyle name="Calculation 2 47" xfId="292"/>
    <cellStyle name="Calculation 2 47 2" xfId="6083"/>
    <cellStyle name="Calculation 2 47 2 2" xfId="10578"/>
    <cellStyle name="Calculation 2 47 2 3" xfId="16851"/>
    <cellStyle name="Calculation 2 47 2 3 2" xfId="28960"/>
    <cellStyle name="Calculation 2 47 2 4" xfId="28961"/>
    <cellStyle name="Calculation 2 47 2 5" xfId="28962"/>
    <cellStyle name="Calculation 2 47 2 6" xfId="28963"/>
    <cellStyle name="Calculation 2 47 3" xfId="8091"/>
    <cellStyle name="Calculation 2 47 4" xfId="16852"/>
    <cellStyle name="Calculation 2 47 4 2" xfId="28964"/>
    <cellStyle name="Calculation 2 47 5" xfId="28965"/>
    <cellStyle name="Calculation 2 47 6" xfId="28966"/>
    <cellStyle name="Calculation 2 47 7" xfId="28967"/>
    <cellStyle name="Calculation 2 48" xfId="293"/>
    <cellStyle name="Calculation 2 48 2" xfId="6084"/>
    <cellStyle name="Calculation 2 48 2 2" xfId="10579"/>
    <cellStyle name="Calculation 2 48 2 3" xfId="16853"/>
    <cellStyle name="Calculation 2 48 2 3 2" xfId="28968"/>
    <cellStyle name="Calculation 2 48 2 4" xfId="28969"/>
    <cellStyle name="Calculation 2 48 2 5" xfId="28970"/>
    <cellStyle name="Calculation 2 48 2 6" xfId="28971"/>
    <cellStyle name="Calculation 2 48 3" xfId="8092"/>
    <cellStyle name="Calculation 2 48 4" xfId="16854"/>
    <cellStyle name="Calculation 2 48 4 2" xfId="28972"/>
    <cellStyle name="Calculation 2 48 5" xfId="28973"/>
    <cellStyle name="Calculation 2 48 6" xfId="28974"/>
    <cellStyle name="Calculation 2 48 7" xfId="28975"/>
    <cellStyle name="Calculation 2 49" xfId="294"/>
    <cellStyle name="Calculation 2 49 2" xfId="6085"/>
    <cellStyle name="Calculation 2 49 2 2" xfId="10580"/>
    <cellStyle name="Calculation 2 49 2 3" xfId="16855"/>
    <cellStyle name="Calculation 2 49 2 3 2" xfId="28976"/>
    <cellStyle name="Calculation 2 49 2 4" xfId="28977"/>
    <cellStyle name="Calculation 2 49 2 5" xfId="28978"/>
    <cellStyle name="Calculation 2 49 2 6" xfId="28979"/>
    <cellStyle name="Calculation 2 49 3" xfId="8093"/>
    <cellStyle name="Calculation 2 49 4" xfId="16856"/>
    <cellStyle name="Calculation 2 49 4 2" xfId="28980"/>
    <cellStyle name="Calculation 2 49 5" xfId="28981"/>
    <cellStyle name="Calculation 2 49 6" xfId="28982"/>
    <cellStyle name="Calculation 2 49 7" xfId="28983"/>
    <cellStyle name="Calculation 2 5" xfId="295"/>
    <cellStyle name="Calculation 2 5 2" xfId="6086"/>
    <cellStyle name="Calculation 2 5 2 2" xfId="10581"/>
    <cellStyle name="Calculation 2 5 2 3" xfId="16857"/>
    <cellStyle name="Calculation 2 5 2 3 2" xfId="28984"/>
    <cellStyle name="Calculation 2 5 2 4" xfId="28985"/>
    <cellStyle name="Calculation 2 5 2 5" xfId="28986"/>
    <cellStyle name="Calculation 2 5 2 6" xfId="28987"/>
    <cellStyle name="Calculation 2 5 3" xfId="8094"/>
    <cellStyle name="Calculation 2 5 4" xfId="16858"/>
    <cellStyle name="Calculation 2 5 4 2" xfId="28988"/>
    <cellStyle name="Calculation 2 5 5" xfId="28989"/>
    <cellStyle name="Calculation 2 5 6" xfId="28990"/>
    <cellStyle name="Calculation 2 5 7" xfId="28991"/>
    <cellStyle name="Calculation 2 50" xfId="296"/>
    <cellStyle name="Calculation 2 50 2" xfId="6087"/>
    <cellStyle name="Calculation 2 50 2 2" xfId="10582"/>
    <cellStyle name="Calculation 2 50 2 3" xfId="16859"/>
    <cellStyle name="Calculation 2 50 2 3 2" xfId="28992"/>
    <cellStyle name="Calculation 2 50 2 4" xfId="28993"/>
    <cellStyle name="Calculation 2 50 2 5" xfId="28994"/>
    <cellStyle name="Calculation 2 50 2 6" xfId="28995"/>
    <cellStyle name="Calculation 2 50 3" xfId="8095"/>
    <cellStyle name="Calculation 2 50 4" xfId="16860"/>
    <cellStyle name="Calculation 2 50 4 2" xfId="28996"/>
    <cellStyle name="Calculation 2 50 5" xfId="28997"/>
    <cellStyle name="Calculation 2 50 6" xfId="28998"/>
    <cellStyle name="Calculation 2 50 7" xfId="28999"/>
    <cellStyle name="Calculation 2 51" xfId="297"/>
    <cellStyle name="Calculation 2 51 2" xfId="6088"/>
    <cellStyle name="Calculation 2 51 2 2" xfId="10583"/>
    <cellStyle name="Calculation 2 51 2 3" xfId="16861"/>
    <cellStyle name="Calculation 2 51 2 3 2" xfId="29000"/>
    <cellStyle name="Calculation 2 51 2 4" xfId="29001"/>
    <cellStyle name="Calculation 2 51 2 5" xfId="29002"/>
    <cellStyle name="Calculation 2 51 2 6" xfId="29003"/>
    <cellStyle name="Calculation 2 51 3" xfId="8096"/>
    <cellStyle name="Calculation 2 51 4" xfId="16862"/>
    <cellStyle name="Calculation 2 51 4 2" xfId="29004"/>
    <cellStyle name="Calculation 2 51 5" xfId="29005"/>
    <cellStyle name="Calculation 2 51 6" xfId="29006"/>
    <cellStyle name="Calculation 2 51 7" xfId="29007"/>
    <cellStyle name="Calculation 2 52" xfId="298"/>
    <cellStyle name="Calculation 2 52 2" xfId="6089"/>
    <cellStyle name="Calculation 2 52 2 2" xfId="10584"/>
    <cellStyle name="Calculation 2 52 2 3" xfId="16863"/>
    <cellStyle name="Calculation 2 52 2 3 2" xfId="29008"/>
    <cellStyle name="Calculation 2 52 2 4" xfId="29009"/>
    <cellStyle name="Calculation 2 52 2 5" xfId="29010"/>
    <cellStyle name="Calculation 2 52 2 6" xfId="29011"/>
    <cellStyle name="Calculation 2 52 3" xfId="8097"/>
    <cellStyle name="Calculation 2 52 4" xfId="16864"/>
    <cellStyle name="Calculation 2 52 4 2" xfId="29012"/>
    <cellStyle name="Calculation 2 52 5" xfId="29013"/>
    <cellStyle name="Calculation 2 52 6" xfId="29014"/>
    <cellStyle name="Calculation 2 52 7" xfId="29015"/>
    <cellStyle name="Calculation 2 53" xfId="299"/>
    <cellStyle name="Calculation 2 53 2" xfId="6090"/>
    <cellStyle name="Calculation 2 53 2 2" xfId="10585"/>
    <cellStyle name="Calculation 2 53 2 3" xfId="16865"/>
    <cellStyle name="Calculation 2 53 2 3 2" xfId="29016"/>
    <cellStyle name="Calculation 2 53 2 4" xfId="29017"/>
    <cellStyle name="Calculation 2 53 2 5" xfId="29018"/>
    <cellStyle name="Calculation 2 53 2 6" xfId="29019"/>
    <cellStyle name="Calculation 2 53 3" xfId="8098"/>
    <cellStyle name="Calculation 2 53 4" xfId="16866"/>
    <cellStyle name="Calculation 2 53 4 2" xfId="29020"/>
    <cellStyle name="Calculation 2 53 5" xfId="29021"/>
    <cellStyle name="Calculation 2 53 6" xfId="29022"/>
    <cellStyle name="Calculation 2 53 7" xfId="29023"/>
    <cellStyle name="Calculation 2 54" xfId="300"/>
    <cellStyle name="Calculation 2 54 2" xfId="6091"/>
    <cellStyle name="Calculation 2 54 2 2" xfId="10586"/>
    <cellStyle name="Calculation 2 54 2 3" xfId="16867"/>
    <cellStyle name="Calculation 2 54 2 3 2" xfId="29024"/>
    <cellStyle name="Calculation 2 54 2 4" xfId="29025"/>
    <cellStyle name="Calculation 2 54 2 5" xfId="29026"/>
    <cellStyle name="Calculation 2 54 2 6" xfId="29027"/>
    <cellStyle name="Calculation 2 54 3" xfId="8099"/>
    <cellStyle name="Calculation 2 54 4" xfId="16868"/>
    <cellStyle name="Calculation 2 54 4 2" xfId="29028"/>
    <cellStyle name="Calculation 2 54 5" xfId="29029"/>
    <cellStyle name="Calculation 2 54 6" xfId="29030"/>
    <cellStyle name="Calculation 2 54 7" xfId="29031"/>
    <cellStyle name="Calculation 2 55" xfId="301"/>
    <cellStyle name="Calculation 2 55 2" xfId="6092"/>
    <cellStyle name="Calculation 2 55 2 2" xfId="10587"/>
    <cellStyle name="Calculation 2 55 2 3" xfId="16869"/>
    <cellStyle name="Calculation 2 55 2 3 2" xfId="29032"/>
    <cellStyle name="Calculation 2 55 2 4" xfId="29033"/>
    <cellStyle name="Calculation 2 55 2 5" xfId="29034"/>
    <cellStyle name="Calculation 2 55 2 6" xfId="29035"/>
    <cellStyle name="Calculation 2 55 3" xfId="8100"/>
    <cellStyle name="Calculation 2 55 4" xfId="16870"/>
    <cellStyle name="Calculation 2 55 4 2" xfId="29036"/>
    <cellStyle name="Calculation 2 55 5" xfId="29037"/>
    <cellStyle name="Calculation 2 55 6" xfId="29038"/>
    <cellStyle name="Calculation 2 55 7" xfId="29039"/>
    <cellStyle name="Calculation 2 56" xfId="302"/>
    <cellStyle name="Calculation 2 56 2" xfId="6093"/>
    <cellStyle name="Calculation 2 56 2 2" xfId="10588"/>
    <cellStyle name="Calculation 2 56 2 3" xfId="16871"/>
    <cellStyle name="Calculation 2 56 2 3 2" xfId="29040"/>
    <cellStyle name="Calculation 2 56 2 4" xfId="29041"/>
    <cellStyle name="Calculation 2 56 2 5" xfId="29042"/>
    <cellStyle name="Calculation 2 56 2 6" xfId="29043"/>
    <cellStyle name="Calculation 2 56 3" xfId="8101"/>
    <cellStyle name="Calculation 2 56 4" xfId="16872"/>
    <cellStyle name="Calculation 2 56 4 2" xfId="29044"/>
    <cellStyle name="Calculation 2 56 5" xfId="29045"/>
    <cellStyle name="Calculation 2 56 6" xfId="29046"/>
    <cellStyle name="Calculation 2 56 7" xfId="29047"/>
    <cellStyle name="Calculation 2 57" xfId="303"/>
    <cellStyle name="Calculation 2 57 2" xfId="6094"/>
    <cellStyle name="Calculation 2 57 2 2" xfId="10589"/>
    <cellStyle name="Calculation 2 57 2 3" xfId="16873"/>
    <cellStyle name="Calculation 2 57 2 3 2" xfId="29048"/>
    <cellStyle name="Calculation 2 57 2 4" xfId="29049"/>
    <cellStyle name="Calculation 2 57 2 5" xfId="29050"/>
    <cellStyle name="Calculation 2 57 2 6" xfId="29051"/>
    <cellStyle name="Calculation 2 57 3" xfId="8102"/>
    <cellStyle name="Calculation 2 57 4" xfId="16874"/>
    <cellStyle name="Calculation 2 57 4 2" xfId="29052"/>
    <cellStyle name="Calculation 2 57 5" xfId="29053"/>
    <cellStyle name="Calculation 2 57 6" xfId="29054"/>
    <cellStyle name="Calculation 2 57 7" xfId="29055"/>
    <cellStyle name="Calculation 2 58" xfId="304"/>
    <cellStyle name="Calculation 2 58 2" xfId="6095"/>
    <cellStyle name="Calculation 2 58 2 2" xfId="10590"/>
    <cellStyle name="Calculation 2 58 2 3" xfId="16875"/>
    <cellStyle name="Calculation 2 58 2 3 2" xfId="29056"/>
    <cellStyle name="Calculation 2 58 2 4" xfId="29057"/>
    <cellStyle name="Calculation 2 58 2 5" xfId="29058"/>
    <cellStyle name="Calculation 2 58 2 6" xfId="29059"/>
    <cellStyle name="Calculation 2 58 3" xfId="8103"/>
    <cellStyle name="Calculation 2 58 4" xfId="16876"/>
    <cellStyle name="Calculation 2 58 4 2" xfId="29060"/>
    <cellStyle name="Calculation 2 58 5" xfId="29061"/>
    <cellStyle name="Calculation 2 58 6" xfId="29062"/>
    <cellStyle name="Calculation 2 58 7" xfId="29063"/>
    <cellStyle name="Calculation 2 59" xfId="305"/>
    <cellStyle name="Calculation 2 59 2" xfId="6096"/>
    <cellStyle name="Calculation 2 59 2 2" xfId="10591"/>
    <cellStyle name="Calculation 2 59 2 3" xfId="16877"/>
    <cellStyle name="Calculation 2 59 2 3 2" xfId="29064"/>
    <cellStyle name="Calculation 2 59 2 4" xfId="29065"/>
    <cellStyle name="Calculation 2 59 2 5" xfId="29066"/>
    <cellStyle name="Calculation 2 59 2 6" xfId="29067"/>
    <cellStyle name="Calculation 2 59 3" xfId="8104"/>
    <cellStyle name="Calculation 2 59 4" xfId="16878"/>
    <cellStyle name="Calculation 2 59 4 2" xfId="29068"/>
    <cellStyle name="Calculation 2 59 5" xfId="29069"/>
    <cellStyle name="Calculation 2 59 6" xfId="29070"/>
    <cellStyle name="Calculation 2 59 7" xfId="29071"/>
    <cellStyle name="Calculation 2 6" xfId="306"/>
    <cellStyle name="Calculation 2 6 2" xfId="6097"/>
    <cellStyle name="Calculation 2 6 2 2" xfId="10592"/>
    <cellStyle name="Calculation 2 6 2 3" xfId="16879"/>
    <cellStyle name="Calculation 2 6 2 3 2" xfId="29072"/>
    <cellStyle name="Calculation 2 6 2 4" xfId="29073"/>
    <cellStyle name="Calculation 2 6 2 5" xfId="29074"/>
    <cellStyle name="Calculation 2 6 2 6" xfId="29075"/>
    <cellStyle name="Calculation 2 6 3" xfId="8105"/>
    <cellStyle name="Calculation 2 6 4" xfId="16880"/>
    <cellStyle name="Calculation 2 6 4 2" xfId="29076"/>
    <cellStyle name="Calculation 2 6 5" xfId="29077"/>
    <cellStyle name="Calculation 2 6 6" xfId="29078"/>
    <cellStyle name="Calculation 2 6 7" xfId="29079"/>
    <cellStyle name="Calculation 2 60" xfId="307"/>
    <cellStyle name="Calculation 2 60 2" xfId="6098"/>
    <cellStyle name="Calculation 2 60 2 2" xfId="10593"/>
    <cellStyle name="Calculation 2 60 2 3" xfId="16881"/>
    <cellStyle name="Calculation 2 60 2 3 2" xfId="29080"/>
    <cellStyle name="Calculation 2 60 2 4" xfId="29081"/>
    <cellStyle name="Calculation 2 60 2 5" xfId="29082"/>
    <cellStyle name="Calculation 2 60 2 6" xfId="29083"/>
    <cellStyle name="Calculation 2 60 3" xfId="8106"/>
    <cellStyle name="Calculation 2 60 4" xfId="16882"/>
    <cellStyle name="Calculation 2 60 4 2" xfId="29084"/>
    <cellStyle name="Calculation 2 60 5" xfId="29085"/>
    <cellStyle name="Calculation 2 60 6" xfId="29086"/>
    <cellStyle name="Calculation 2 60 7" xfId="29087"/>
    <cellStyle name="Calculation 2 61" xfId="308"/>
    <cellStyle name="Calculation 2 61 2" xfId="6099"/>
    <cellStyle name="Calculation 2 61 2 2" xfId="10594"/>
    <cellStyle name="Calculation 2 61 2 3" xfId="16883"/>
    <cellStyle name="Calculation 2 61 2 3 2" xfId="29088"/>
    <cellStyle name="Calculation 2 61 2 4" xfId="29089"/>
    <cellStyle name="Calculation 2 61 2 5" xfId="29090"/>
    <cellStyle name="Calculation 2 61 2 6" xfId="29091"/>
    <cellStyle name="Calculation 2 61 3" xfId="8107"/>
    <cellStyle name="Calculation 2 61 4" xfId="16884"/>
    <cellStyle name="Calculation 2 61 4 2" xfId="29092"/>
    <cellStyle name="Calculation 2 61 5" xfId="29093"/>
    <cellStyle name="Calculation 2 61 6" xfId="29094"/>
    <cellStyle name="Calculation 2 61 7" xfId="29095"/>
    <cellStyle name="Calculation 2 62" xfId="309"/>
    <cellStyle name="Calculation 2 62 2" xfId="6100"/>
    <cellStyle name="Calculation 2 62 2 2" xfId="10595"/>
    <cellStyle name="Calculation 2 62 2 3" xfId="16885"/>
    <cellStyle name="Calculation 2 62 2 3 2" xfId="29096"/>
    <cellStyle name="Calculation 2 62 2 4" xfId="29097"/>
    <cellStyle name="Calculation 2 62 2 5" xfId="29098"/>
    <cellStyle name="Calculation 2 62 2 6" xfId="29099"/>
    <cellStyle name="Calculation 2 62 3" xfId="8108"/>
    <cellStyle name="Calculation 2 62 4" xfId="16886"/>
    <cellStyle name="Calculation 2 62 4 2" xfId="29100"/>
    <cellStyle name="Calculation 2 62 5" xfId="29101"/>
    <cellStyle name="Calculation 2 62 6" xfId="29102"/>
    <cellStyle name="Calculation 2 62 7" xfId="29103"/>
    <cellStyle name="Calculation 2 63" xfId="310"/>
    <cellStyle name="Calculation 2 63 2" xfId="6101"/>
    <cellStyle name="Calculation 2 63 2 2" xfId="10596"/>
    <cellStyle name="Calculation 2 63 2 3" xfId="16887"/>
    <cellStyle name="Calculation 2 63 2 3 2" xfId="29104"/>
    <cellStyle name="Calculation 2 63 2 4" xfId="29105"/>
    <cellStyle name="Calculation 2 63 2 5" xfId="29106"/>
    <cellStyle name="Calculation 2 63 2 6" xfId="29107"/>
    <cellStyle name="Calculation 2 63 3" xfId="8109"/>
    <cellStyle name="Calculation 2 63 4" xfId="16888"/>
    <cellStyle name="Calculation 2 63 4 2" xfId="29108"/>
    <cellStyle name="Calculation 2 63 5" xfId="29109"/>
    <cellStyle name="Calculation 2 63 6" xfId="29110"/>
    <cellStyle name="Calculation 2 63 7" xfId="29111"/>
    <cellStyle name="Calculation 2 64" xfId="311"/>
    <cellStyle name="Calculation 2 64 2" xfId="6102"/>
    <cellStyle name="Calculation 2 64 2 2" xfId="10597"/>
    <cellStyle name="Calculation 2 64 2 3" xfId="16889"/>
    <cellStyle name="Calculation 2 64 2 3 2" xfId="29112"/>
    <cellStyle name="Calculation 2 64 2 4" xfId="29113"/>
    <cellStyle name="Calculation 2 64 2 5" xfId="29114"/>
    <cellStyle name="Calculation 2 64 2 6" xfId="29115"/>
    <cellStyle name="Calculation 2 64 3" xfId="8110"/>
    <cellStyle name="Calculation 2 64 4" xfId="16890"/>
    <cellStyle name="Calculation 2 64 4 2" xfId="29116"/>
    <cellStyle name="Calculation 2 64 5" xfId="29117"/>
    <cellStyle name="Calculation 2 64 6" xfId="29118"/>
    <cellStyle name="Calculation 2 64 7" xfId="29119"/>
    <cellStyle name="Calculation 2 65" xfId="312"/>
    <cellStyle name="Calculation 2 65 2" xfId="6103"/>
    <cellStyle name="Calculation 2 65 2 2" xfId="10598"/>
    <cellStyle name="Calculation 2 65 2 3" xfId="16891"/>
    <cellStyle name="Calculation 2 65 2 3 2" xfId="29120"/>
    <cellStyle name="Calculation 2 65 2 4" xfId="29121"/>
    <cellStyle name="Calculation 2 65 2 5" xfId="29122"/>
    <cellStyle name="Calculation 2 65 2 6" xfId="29123"/>
    <cellStyle name="Calculation 2 65 3" xfId="8111"/>
    <cellStyle name="Calculation 2 65 4" xfId="16892"/>
    <cellStyle name="Calculation 2 65 4 2" xfId="29124"/>
    <cellStyle name="Calculation 2 65 5" xfId="29125"/>
    <cellStyle name="Calculation 2 65 6" xfId="29126"/>
    <cellStyle name="Calculation 2 65 7" xfId="29127"/>
    <cellStyle name="Calculation 2 66" xfId="313"/>
    <cellStyle name="Calculation 2 66 2" xfId="6104"/>
    <cellStyle name="Calculation 2 66 2 2" xfId="10599"/>
    <cellStyle name="Calculation 2 66 2 3" xfId="16893"/>
    <cellStyle name="Calculation 2 66 2 3 2" xfId="29128"/>
    <cellStyle name="Calculation 2 66 2 4" xfId="29129"/>
    <cellStyle name="Calculation 2 66 2 5" xfId="29130"/>
    <cellStyle name="Calculation 2 66 2 6" xfId="29131"/>
    <cellStyle name="Calculation 2 66 3" xfId="8112"/>
    <cellStyle name="Calculation 2 66 4" xfId="16894"/>
    <cellStyle name="Calculation 2 66 4 2" xfId="29132"/>
    <cellStyle name="Calculation 2 66 5" xfId="29133"/>
    <cellStyle name="Calculation 2 66 6" xfId="29134"/>
    <cellStyle name="Calculation 2 66 7" xfId="29135"/>
    <cellStyle name="Calculation 2 67" xfId="314"/>
    <cellStyle name="Calculation 2 67 2" xfId="6105"/>
    <cellStyle name="Calculation 2 67 2 2" xfId="10600"/>
    <cellStyle name="Calculation 2 67 2 3" xfId="16895"/>
    <cellStyle name="Calculation 2 67 2 3 2" xfId="29136"/>
    <cellStyle name="Calculation 2 67 2 4" xfId="29137"/>
    <cellStyle name="Calculation 2 67 2 5" xfId="29138"/>
    <cellStyle name="Calculation 2 67 2 6" xfId="29139"/>
    <cellStyle name="Calculation 2 67 3" xfId="8113"/>
    <cellStyle name="Calculation 2 67 4" xfId="16896"/>
    <cellStyle name="Calculation 2 67 4 2" xfId="29140"/>
    <cellStyle name="Calculation 2 67 5" xfId="29141"/>
    <cellStyle name="Calculation 2 67 6" xfId="29142"/>
    <cellStyle name="Calculation 2 67 7" xfId="29143"/>
    <cellStyle name="Calculation 2 68" xfId="315"/>
    <cellStyle name="Calculation 2 68 2" xfId="6106"/>
    <cellStyle name="Calculation 2 68 2 2" xfId="10601"/>
    <cellStyle name="Calculation 2 68 2 3" xfId="16897"/>
    <cellStyle name="Calculation 2 68 2 3 2" xfId="29144"/>
    <cellStyle name="Calculation 2 68 2 4" xfId="29145"/>
    <cellStyle name="Calculation 2 68 2 5" xfId="29146"/>
    <cellStyle name="Calculation 2 68 2 6" xfId="29147"/>
    <cellStyle name="Calculation 2 68 3" xfId="8114"/>
    <cellStyle name="Calculation 2 68 4" xfId="16898"/>
    <cellStyle name="Calculation 2 68 4 2" xfId="29148"/>
    <cellStyle name="Calculation 2 68 5" xfId="29149"/>
    <cellStyle name="Calculation 2 68 6" xfId="29150"/>
    <cellStyle name="Calculation 2 68 7" xfId="29151"/>
    <cellStyle name="Calculation 2 69" xfId="316"/>
    <cellStyle name="Calculation 2 69 2" xfId="6107"/>
    <cellStyle name="Calculation 2 69 2 2" xfId="10602"/>
    <cellStyle name="Calculation 2 69 2 3" xfId="16899"/>
    <cellStyle name="Calculation 2 69 2 3 2" xfId="29152"/>
    <cellStyle name="Calculation 2 69 2 4" xfId="29153"/>
    <cellStyle name="Calculation 2 69 2 5" xfId="29154"/>
    <cellStyle name="Calculation 2 69 2 6" xfId="29155"/>
    <cellStyle name="Calculation 2 69 3" xfId="8115"/>
    <cellStyle name="Calculation 2 69 4" xfId="16900"/>
    <cellStyle name="Calculation 2 69 4 2" xfId="29156"/>
    <cellStyle name="Calculation 2 69 5" xfId="29157"/>
    <cellStyle name="Calculation 2 69 6" xfId="29158"/>
    <cellStyle name="Calculation 2 69 7" xfId="29159"/>
    <cellStyle name="Calculation 2 7" xfId="317"/>
    <cellStyle name="Calculation 2 7 2" xfId="6108"/>
    <cellStyle name="Calculation 2 7 2 2" xfId="10603"/>
    <cellStyle name="Calculation 2 7 2 3" xfId="16901"/>
    <cellStyle name="Calculation 2 7 2 3 2" xfId="29160"/>
    <cellStyle name="Calculation 2 7 2 4" xfId="29161"/>
    <cellStyle name="Calculation 2 7 2 5" xfId="29162"/>
    <cellStyle name="Calculation 2 7 2 6" xfId="29163"/>
    <cellStyle name="Calculation 2 7 3" xfId="8116"/>
    <cellStyle name="Calculation 2 7 4" xfId="16902"/>
    <cellStyle name="Calculation 2 7 4 2" xfId="29164"/>
    <cellStyle name="Calculation 2 7 5" xfId="29165"/>
    <cellStyle name="Calculation 2 7 6" xfId="29166"/>
    <cellStyle name="Calculation 2 7 7" xfId="29167"/>
    <cellStyle name="Calculation 2 70" xfId="318"/>
    <cellStyle name="Calculation 2 70 2" xfId="6109"/>
    <cellStyle name="Calculation 2 70 2 2" xfId="10604"/>
    <cellStyle name="Calculation 2 70 2 3" xfId="16903"/>
    <cellStyle name="Calculation 2 70 2 3 2" xfId="29168"/>
    <cellStyle name="Calculation 2 70 2 4" xfId="29169"/>
    <cellStyle name="Calculation 2 70 2 5" xfId="29170"/>
    <cellStyle name="Calculation 2 70 2 6" xfId="29171"/>
    <cellStyle name="Calculation 2 70 3" xfId="8117"/>
    <cellStyle name="Calculation 2 70 4" xfId="16904"/>
    <cellStyle name="Calculation 2 70 4 2" xfId="29172"/>
    <cellStyle name="Calculation 2 70 5" xfId="29173"/>
    <cellStyle name="Calculation 2 70 6" xfId="29174"/>
    <cellStyle name="Calculation 2 70 7" xfId="29175"/>
    <cellStyle name="Calculation 2 71" xfId="319"/>
    <cellStyle name="Calculation 2 71 2" xfId="6110"/>
    <cellStyle name="Calculation 2 71 2 2" xfId="10605"/>
    <cellStyle name="Calculation 2 71 2 3" xfId="16905"/>
    <cellStyle name="Calculation 2 71 2 3 2" xfId="29176"/>
    <cellStyle name="Calculation 2 71 2 4" xfId="29177"/>
    <cellStyle name="Calculation 2 71 2 5" xfId="29178"/>
    <cellStyle name="Calculation 2 71 2 6" xfId="29179"/>
    <cellStyle name="Calculation 2 71 3" xfId="8118"/>
    <cellStyle name="Calculation 2 71 4" xfId="16906"/>
    <cellStyle name="Calculation 2 71 4 2" xfId="29180"/>
    <cellStyle name="Calculation 2 71 5" xfId="29181"/>
    <cellStyle name="Calculation 2 71 6" xfId="29182"/>
    <cellStyle name="Calculation 2 71 7" xfId="29183"/>
    <cellStyle name="Calculation 2 72" xfId="320"/>
    <cellStyle name="Calculation 2 72 2" xfId="6111"/>
    <cellStyle name="Calculation 2 72 2 2" xfId="10606"/>
    <cellStyle name="Calculation 2 72 2 3" xfId="16907"/>
    <cellStyle name="Calculation 2 72 2 3 2" xfId="29184"/>
    <cellStyle name="Calculation 2 72 2 4" xfId="29185"/>
    <cellStyle name="Calculation 2 72 2 5" xfId="29186"/>
    <cellStyle name="Calculation 2 72 2 6" xfId="29187"/>
    <cellStyle name="Calculation 2 72 3" xfId="8119"/>
    <cellStyle name="Calculation 2 72 4" xfId="16908"/>
    <cellStyle name="Calculation 2 72 4 2" xfId="29188"/>
    <cellStyle name="Calculation 2 72 5" xfId="29189"/>
    <cellStyle name="Calculation 2 72 6" xfId="29190"/>
    <cellStyle name="Calculation 2 72 7" xfId="29191"/>
    <cellStyle name="Calculation 2 73" xfId="321"/>
    <cellStyle name="Calculation 2 73 2" xfId="6112"/>
    <cellStyle name="Calculation 2 73 2 2" xfId="10607"/>
    <cellStyle name="Calculation 2 73 2 3" xfId="16909"/>
    <cellStyle name="Calculation 2 73 2 3 2" xfId="29192"/>
    <cellStyle name="Calculation 2 73 2 4" xfId="29193"/>
    <cellStyle name="Calculation 2 73 2 5" xfId="29194"/>
    <cellStyle name="Calculation 2 73 2 6" xfId="29195"/>
    <cellStyle name="Calculation 2 73 3" xfId="8120"/>
    <cellStyle name="Calculation 2 73 4" xfId="16910"/>
    <cellStyle name="Calculation 2 73 4 2" xfId="29196"/>
    <cellStyle name="Calculation 2 73 5" xfId="29197"/>
    <cellStyle name="Calculation 2 73 6" xfId="29198"/>
    <cellStyle name="Calculation 2 73 7" xfId="29199"/>
    <cellStyle name="Calculation 2 74" xfId="322"/>
    <cellStyle name="Calculation 2 74 2" xfId="6113"/>
    <cellStyle name="Calculation 2 74 2 2" xfId="10608"/>
    <cellStyle name="Calculation 2 74 2 3" xfId="16911"/>
    <cellStyle name="Calculation 2 74 2 3 2" xfId="29200"/>
    <cellStyle name="Calculation 2 74 2 4" xfId="29201"/>
    <cellStyle name="Calculation 2 74 2 5" xfId="29202"/>
    <cellStyle name="Calculation 2 74 2 6" xfId="29203"/>
    <cellStyle name="Calculation 2 74 3" xfId="8121"/>
    <cellStyle name="Calculation 2 74 4" xfId="16912"/>
    <cellStyle name="Calculation 2 74 4 2" xfId="29204"/>
    <cellStyle name="Calculation 2 74 5" xfId="29205"/>
    <cellStyle name="Calculation 2 74 6" xfId="29206"/>
    <cellStyle name="Calculation 2 74 7" xfId="29207"/>
    <cellStyle name="Calculation 2 75" xfId="323"/>
    <cellStyle name="Calculation 2 75 2" xfId="6114"/>
    <cellStyle name="Calculation 2 75 2 2" xfId="10609"/>
    <cellStyle name="Calculation 2 75 2 3" xfId="16913"/>
    <cellStyle name="Calculation 2 75 2 3 2" xfId="29208"/>
    <cellStyle name="Calculation 2 75 2 4" xfId="29209"/>
    <cellStyle name="Calculation 2 75 2 5" xfId="29210"/>
    <cellStyle name="Calculation 2 75 2 6" xfId="29211"/>
    <cellStyle name="Calculation 2 75 3" xfId="8122"/>
    <cellStyle name="Calculation 2 75 4" xfId="16914"/>
    <cellStyle name="Calculation 2 75 4 2" xfId="29212"/>
    <cellStyle name="Calculation 2 75 5" xfId="29213"/>
    <cellStyle name="Calculation 2 75 6" xfId="29214"/>
    <cellStyle name="Calculation 2 75 7" xfId="29215"/>
    <cellStyle name="Calculation 2 76" xfId="324"/>
    <cellStyle name="Calculation 2 76 2" xfId="6115"/>
    <cellStyle name="Calculation 2 76 2 2" xfId="10610"/>
    <cellStyle name="Calculation 2 76 2 3" xfId="16915"/>
    <cellStyle name="Calculation 2 76 2 3 2" xfId="29216"/>
    <cellStyle name="Calculation 2 76 2 4" xfId="29217"/>
    <cellStyle name="Calculation 2 76 2 5" xfId="29218"/>
    <cellStyle name="Calculation 2 76 2 6" xfId="29219"/>
    <cellStyle name="Calculation 2 76 3" xfId="8123"/>
    <cellStyle name="Calculation 2 76 4" xfId="16916"/>
    <cellStyle name="Calculation 2 76 4 2" xfId="29220"/>
    <cellStyle name="Calculation 2 76 5" xfId="29221"/>
    <cellStyle name="Calculation 2 76 6" xfId="29222"/>
    <cellStyle name="Calculation 2 76 7" xfId="29223"/>
    <cellStyle name="Calculation 2 77" xfId="325"/>
    <cellStyle name="Calculation 2 77 2" xfId="6116"/>
    <cellStyle name="Calculation 2 77 2 2" xfId="10611"/>
    <cellStyle name="Calculation 2 77 2 3" xfId="16917"/>
    <cellStyle name="Calculation 2 77 2 3 2" xfId="29224"/>
    <cellStyle name="Calculation 2 77 2 4" xfId="29225"/>
    <cellStyle name="Calculation 2 77 2 5" xfId="29226"/>
    <cellStyle name="Calculation 2 77 2 6" xfId="29227"/>
    <cellStyle name="Calculation 2 77 3" xfId="8124"/>
    <cellStyle name="Calculation 2 77 4" xfId="16918"/>
    <cellStyle name="Calculation 2 77 4 2" xfId="29228"/>
    <cellStyle name="Calculation 2 77 5" xfId="29229"/>
    <cellStyle name="Calculation 2 77 6" xfId="29230"/>
    <cellStyle name="Calculation 2 77 7" xfId="29231"/>
    <cellStyle name="Calculation 2 78" xfId="326"/>
    <cellStyle name="Calculation 2 78 2" xfId="6117"/>
    <cellStyle name="Calculation 2 78 2 2" xfId="10612"/>
    <cellStyle name="Calculation 2 78 2 3" xfId="16919"/>
    <cellStyle name="Calculation 2 78 2 3 2" xfId="29232"/>
    <cellStyle name="Calculation 2 78 2 4" xfId="29233"/>
    <cellStyle name="Calculation 2 78 2 5" xfId="29234"/>
    <cellStyle name="Calculation 2 78 2 6" xfId="29235"/>
    <cellStyle name="Calculation 2 78 3" xfId="8125"/>
    <cellStyle name="Calculation 2 78 4" xfId="16920"/>
    <cellStyle name="Calculation 2 78 4 2" xfId="29236"/>
    <cellStyle name="Calculation 2 78 5" xfId="29237"/>
    <cellStyle name="Calculation 2 78 6" xfId="29238"/>
    <cellStyle name="Calculation 2 78 7" xfId="29239"/>
    <cellStyle name="Calculation 2 79" xfId="327"/>
    <cellStyle name="Calculation 2 79 2" xfId="6118"/>
    <cellStyle name="Calculation 2 79 2 2" xfId="10613"/>
    <cellStyle name="Calculation 2 79 2 3" xfId="16921"/>
    <cellStyle name="Calculation 2 79 2 3 2" xfId="29240"/>
    <cellStyle name="Calculation 2 79 2 4" xfId="29241"/>
    <cellStyle name="Calculation 2 79 2 5" xfId="29242"/>
    <cellStyle name="Calculation 2 79 2 6" xfId="29243"/>
    <cellStyle name="Calculation 2 79 3" xfId="8126"/>
    <cellStyle name="Calculation 2 79 4" xfId="16922"/>
    <cellStyle name="Calculation 2 79 4 2" xfId="29244"/>
    <cellStyle name="Calculation 2 79 5" xfId="29245"/>
    <cellStyle name="Calculation 2 79 6" xfId="29246"/>
    <cellStyle name="Calculation 2 79 7" xfId="29247"/>
    <cellStyle name="Calculation 2 8" xfId="328"/>
    <cellStyle name="Calculation 2 8 2" xfId="6119"/>
    <cellStyle name="Calculation 2 8 2 2" xfId="10614"/>
    <cellStyle name="Calculation 2 8 2 3" xfId="16923"/>
    <cellStyle name="Calculation 2 8 2 3 2" xfId="29248"/>
    <cellStyle name="Calculation 2 8 2 4" xfId="29249"/>
    <cellStyle name="Calculation 2 8 2 5" xfId="29250"/>
    <cellStyle name="Calculation 2 8 2 6" xfId="29251"/>
    <cellStyle name="Calculation 2 8 3" xfId="8127"/>
    <cellStyle name="Calculation 2 8 4" xfId="16924"/>
    <cellStyle name="Calculation 2 8 4 2" xfId="29252"/>
    <cellStyle name="Calculation 2 8 5" xfId="29253"/>
    <cellStyle name="Calculation 2 8 6" xfId="29254"/>
    <cellStyle name="Calculation 2 8 7" xfId="29255"/>
    <cellStyle name="Calculation 2 80" xfId="6120"/>
    <cellStyle name="Calculation 2 80 2" xfId="10537"/>
    <cellStyle name="Calculation 2 80 3" xfId="16925"/>
    <cellStyle name="Calculation 2 80 3 2" xfId="29256"/>
    <cellStyle name="Calculation 2 80 4" xfId="29257"/>
    <cellStyle name="Calculation 2 80 5" xfId="29258"/>
    <cellStyle name="Calculation 2 80 6" xfId="29259"/>
    <cellStyle name="Calculation 2 81" xfId="8050"/>
    <cellStyle name="Calculation 2 82" xfId="16926"/>
    <cellStyle name="Calculation 2 82 2" xfId="29260"/>
    <cellStyle name="Calculation 2 83" xfId="29261"/>
    <cellStyle name="Calculation 2 84" xfId="29262"/>
    <cellStyle name="Calculation 2 85" xfId="29263"/>
    <cellStyle name="Calculation 2 9" xfId="329"/>
    <cellStyle name="Calculation 2 9 2" xfId="6121"/>
    <cellStyle name="Calculation 2 9 2 2" xfId="10615"/>
    <cellStyle name="Calculation 2 9 2 3" xfId="16927"/>
    <cellStyle name="Calculation 2 9 2 3 2" xfId="29264"/>
    <cellStyle name="Calculation 2 9 2 4" xfId="29265"/>
    <cellStyle name="Calculation 2 9 2 5" xfId="29266"/>
    <cellStyle name="Calculation 2 9 2 6" xfId="29267"/>
    <cellStyle name="Calculation 2 9 3" xfId="8128"/>
    <cellStyle name="Calculation 2 9 4" xfId="16928"/>
    <cellStyle name="Calculation 2 9 4 2" xfId="29268"/>
    <cellStyle name="Calculation 2 9 5" xfId="29269"/>
    <cellStyle name="Calculation 2 9 6" xfId="29270"/>
    <cellStyle name="Calculation 2 9 7" xfId="29271"/>
    <cellStyle name="Calculation 20" xfId="16929"/>
    <cellStyle name="Calculation 20 2" xfId="29272"/>
    <cellStyle name="Calculation 21" xfId="29273"/>
    <cellStyle name="Calculation 22" xfId="29274"/>
    <cellStyle name="Calculation 23" xfId="29275"/>
    <cellStyle name="Calculation 3" xfId="330"/>
    <cellStyle name="Calculation 3 2" xfId="6122"/>
    <cellStyle name="Calculation 3 2 2" xfId="10616"/>
    <cellStyle name="Calculation 3 2 3" xfId="16930"/>
    <cellStyle name="Calculation 3 2 3 2" xfId="29276"/>
    <cellStyle name="Calculation 3 2 4" xfId="29277"/>
    <cellStyle name="Calculation 3 2 5" xfId="29278"/>
    <cellStyle name="Calculation 3 2 6" xfId="29279"/>
    <cellStyle name="Calculation 3 3" xfId="8129"/>
    <cellStyle name="Calculation 3 4" xfId="16931"/>
    <cellStyle name="Calculation 3 4 2" xfId="29280"/>
    <cellStyle name="Calculation 3 5" xfId="29281"/>
    <cellStyle name="Calculation 3 6" xfId="29282"/>
    <cellStyle name="Calculation 3 7" xfId="29283"/>
    <cellStyle name="Calculation 4" xfId="331"/>
    <cellStyle name="Calculation 4 2" xfId="6123"/>
    <cellStyle name="Calculation 4 2 2" xfId="10617"/>
    <cellStyle name="Calculation 4 2 3" xfId="16932"/>
    <cellStyle name="Calculation 4 2 3 2" xfId="29284"/>
    <cellStyle name="Calculation 4 2 4" xfId="29285"/>
    <cellStyle name="Calculation 4 2 5" xfId="29286"/>
    <cellStyle name="Calculation 4 2 6" xfId="29287"/>
    <cellStyle name="Calculation 4 3" xfId="8130"/>
    <cellStyle name="Calculation 4 4" xfId="16933"/>
    <cellStyle name="Calculation 4 4 2" xfId="29288"/>
    <cellStyle name="Calculation 4 5" xfId="29289"/>
    <cellStyle name="Calculation 4 6" xfId="29290"/>
    <cellStyle name="Calculation 4 7" xfId="29291"/>
    <cellStyle name="Calculation 5" xfId="332"/>
    <cellStyle name="Calculation 5 2" xfId="6124"/>
    <cellStyle name="Calculation 5 2 2" xfId="10618"/>
    <cellStyle name="Calculation 5 2 3" xfId="16934"/>
    <cellStyle name="Calculation 5 2 3 2" xfId="29292"/>
    <cellStyle name="Calculation 5 2 4" xfId="29293"/>
    <cellStyle name="Calculation 5 2 5" xfId="29294"/>
    <cellStyle name="Calculation 5 2 6" xfId="29295"/>
    <cellStyle name="Calculation 5 3" xfId="8131"/>
    <cellStyle name="Calculation 5 4" xfId="16935"/>
    <cellStyle name="Calculation 5 4 2" xfId="29296"/>
    <cellStyle name="Calculation 5 5" xfId="29297"/>
    <cellStyle name="Calculation 5 6" xfId="29298"/>
    <cellStyle name="Calculation 5 7" xfId="29299"/>
    <cellStyle name="Calculation 6" xfId="333"/>
    <cellStyle name="Calculation 6 2" xfId="6125"/>
    <cellStyle name="Calculation 6 2 2" xfId="10619"/>
    <cellStyle name="Calculation 6 2 3" xfId="16936"/>
    <cellStyle name="Calculation 6 2 3 2" xfId="29300"/>
    <cellStyle name="Calculation 6 2 4" xfId="29301"/>
    <cellStyle name="Calculation 6 2 5" xfId="29302"/>
    <cellStyle name="Calculation 6 2 6" xfId="29303"/>
    <cellStyle name="Calculation 6 3" xfId="8132"/>
    <cellStyle name="Calculation 6 4" xfId="16937"/>
    <cellStyle name="Calculation 6 4 2" xfId="29304"/>
    <cellStyle name="Calculation 6 5" xfId="29305"/>
    <cellStyle name="Calculation 6 6" xfId="29306"/>
    <cellStyle name="Calculation 6 7" xfId="29307"/>
    <cellStyle name="Calculation 7" xfId="334"/>
    <cellStyle name="Calculation 7 2" xfId="6126"/>
    <cellStyle name="Calculation 7 2 2" xfId="10620"/>
    <cellStyle name="Calculation 7 2 3" xfId="16938"/>
    <cellStyle name="Calculation 7 2 3 2" xfId="29308"/>
    <cellStyle name="Calculation 7 2 4" xfId="29309"/>
    <cellStyle name="Calculation 7 2 5" xfId="29310"/>
    <cellStyle name="Calculation 7 2 6" xfId="29311"/>
    <cellStyle name="Calculation 7 3" xfId="8133"/>
    <cellStyle name="Calculation 7 4" xfId="16939"/>
    <cellStyle name="Calculation 7 4 2" xfId="29312"/>
    <cellStyle name="Calculation 7 5" xfId="29313"/>
    <cellStyle name="Calculation 7 6" xfId="29314"/>
    <cellStyle name="Calculation 7 7" xfId="29315"/>
    <cellStyle name="Calculation 8" xfId="335"/>
    <cellStyle name="Calculation 8 2" xfId="6127"/>
    <cellStyle name="Calculation 8 2 2" xfId="10621"/>
    <cellStyle name="Calculation 8 2 3" xfId="16940"/>
    <cellStyle name="Calculation 8 2 3 2" xfId="29316"/>
    <cellStyle name="Calculation 8 2 4" xfId="29317"/>
    <cellStyle name="Calculation 8 2 5" xfId="29318"/>
    <cellStyle name="Calculation 8 2 6" xfId="29319"/>
    <cellStyle name="Calculation 8 3" xfId="8134"/>
    <cellStyle name="Calculation 8 4" xfId="16941"/>
    <cellStyle name="Calculation 8 4 2" xfId="29320"/>
    <cellStyle name="Calculation 8 5" xfId="29321"/>
    <cellStyle name="Calculation 8 6" xfId="29322"/>
    <cellStyle name="Calculation 8 7" xfId="29323"/>
    <cellStyle name="Calculation 9" xfId="336"/>
    <cellStyle name="Calculation 9 2" xfId="6128"/>
    <cellStyle name="Calculation 9 2 2" xfId="10622"/>
    <cellStyle name="Calculation 9 2 3" xfId="16942"/>
    <cellStyle name="Calculation 9 2 3 2" xfId="29324"/>
    <cellStyle name="Calculation 9 2 4" xfId="29325"/>
    <cellStyle name="Calculation 9 2 5" xfId="29326"/>
    <cellStyle name="Calculation 9 2 6" xfId="29327"/>
    <cellStyle name="Calculation 9 3" xfId="8135"/>
    <cellStyle name="Calculation 9 4" xfId="16943"/>
    <cellStyle name="Calculation 9 4 2" xfId="29328"/>
    <cellStyle name="Calculation 9 5" xfId="29329"/>
    <cellStyle name="Calculation 9 6" xfId="29330"/>
    <cellStyle name="Calculation 9 7" xfId="29331"/>
    <cellStyle name="Check Cell" xfId="337"/>
    <cellStyle name="Comma 2" xfId="338"/>
    <cellStyle name="Comma 2 2" xfId="6129"/>
    <cellStyle name="Comma 2 3" xfId="39999"/>
    <cellStyle name="Comma 3" xfId="40000"/>
    <cellStyle name="Controlecel 2" xfId="339"/>
    <cellStyle name="Controlecel 3" xfId="340"/>
    <cellStyle name="Currency 2" xfId="6130"/>
    <cellStyle name="Currency 3" xfId="5840"/>
    <cellStyle name="Euro" xfId="341"/>
    <cellStyle name="Euro 2" xfId="342"/>
    <cellStyle name="Euro 2 2" xfId="2265"/>
    <cellStyle name="Euro 3" xfId="2246"/>
    <cellStyle name="Euro 3 2" xfId="2247"/>
    <cellStyle name="Euro 3 3" xfId="2248"/>
    <cellStyle name="Euro 3 3 2" xfId="2249"/>
    <cellStyle name="Euro 4" xfId="2250"/>
    <cellStyle name="Euro 4 2" xfId="2251"/>
    <cellStyle name="Euro 5" xfId="2252"/>
    <cellStyle name="Euro 6" xfId="2253"/>
    <cellStyle name="Euro 7" xfId="2263"/>
    <cellStyle name="Explanatory Text" xfId="343"/>
    <cellStyle name="Gekoppelde cel 2" xfId="344"/>
    <cellStyle name="Gekoppelde cel 2 2" xfId="16944"/>
    <cellStyle name="Gekoppelde cel 2 3" xfId="29332"/>
    <cellStyle name="Gekoppelde cel 3" xfId="345"/>
    <cellStyle name="Gekoppelde cel 3 2" xfId="16945"/>
    <cellStyle name="Gekoppelde cel 3 3" xfId="29333"/>
    <cellStyle name="Goed 2" xfId="346"/>
    <cellStyle name="Goed 3" xfId="347"/>
    <cellStyle name="Goed 4" xfId="39931"/>
    <cellStyle name="Good" xfId="348"/>
    <cellStyle name="Heading 1" xfId="349"/>
    <cellStyle name="Heading 2" xfId="350"/>
    <cellStyle name="Heading 3" xfId="351"/>
    <cellStyle name="Heading 3 2" xfId="8136"/>
    <cellStyle name="Heading 3 3" xfId="16946"/>
    <cellStyle name="Heading 4" xfId="352"/>
    <cellStyle name="Hyperlink 2" xfId="2254"/>
    <cellStyle name="Input" xfId="353"/>
    <cellStyle name="Input 10" xfId="354"/>
    <cellStyle name="Input 10 2" xfId="6131"/>
    <cellStyle name="Input 10 2 2" xfId="10624"/>
    <cellStyle name="Input 10 2 3" xfId="16947"/>
    <cellStyle name="Input 10 2 3 2" xfId="29334"/>
    <cellStyle name="Input 10 2 4" xfId="29335"/>
    <cellStyle name="Input 10 2 5" xfId="29336"/>
    <cellStyle name="Input 10 2 6" xfId="29337"/>
    <cellStyle name="Input 10 3" xfId="8138"/>
    <cellStyle name="Input 10 4" xfId="16948"/>
    <cellStyle name="Input 10 4 2" xfId="29338"/>
    <cellStyle name="Input 10 5" xfId="29339"/>
    <cellStyle name="Input 10 6" xfId="29340"/>
    <cellStyle name="Input 10 7" xfId="29341"/>
    <cellStyle name="Input 11" xfId="355"/>
    <cellStyle name="Input 11 2" xfId="6132"/>
    <cellStyle name="Input 11 2 2" xfId="10625"/>
    <cellStyle name="Input 11 2 3" xfId="16949"/>
    <cellStyle name="Input 11 2 3 2" xfId="29342"/>
    <cellStyle name="Input 11 2 4" xfId="29343"/>
    <cellStyle name="Input 11 2 5" xfId="29344"/>
    <cellStyle name="Input 11 2 6" xfId="29345"/>
    <cellStyle name="Input 11 3" xfId="8139"/>
    <cellStyle name="Input 11 4" xfId="16950"/>
    <cellStyle name="Input 11 4 2" xfId="29346"/>
    <cellStyle name="Input 11 5" xfId="29347"/>
    <cellStyle name="Input 11 6" xfId="29348"/>
    <cellStyle name="Input 11 7" xfId="29349"/>
    <cellStyle name="Input 12" xfId="356"/>
    <cellStyle name="Input 12 2" xfId="6133"/>
    <cellStyle name="Input 12 2 2" xfId="10626"/>
    <cellStyle name="Input 12 2 3" xfId="16951"/>
    <cellStyle name="Input 12 2 3 2" xfId="29350"/>
    <cellStyle name="Input 12 2 4" xfId="29351"/>
    <cellStyle name="Input 12 2 5" xfId="29352"/>
    <cellStyle name="Input 12 2 6" xfId="29353"/>
    <cellStyle name="Input 12 3" xfId="8140"/>
    <cellStyle name="Input 12 4" xfId="16952"/>
    <cellStyle name="Input 12 4 2" xfId="29354"/>
    <cellStyle name="Input 12 5" xfId="29355"/>
    <cellStyle name="Input 12 6" xfId="29356"/>
    <cellStyle name="Input 12 7" xfId="29357"/>
    <cellStyle name="Input 13" xfId="357"/>
    <cellStyle name="Input 13 2" xfId="6134"/>
    <cellStyle name="Input 13 2 2" xfId="10627"/>
    <cellStyle name="Input 13 2 3" xfId="16953"/>
    <cellStyle name="Input 13 2 3 2" xfId="29358"/>
    <cellStyle name="Input 13 2 4" xfId="29359"/>
    <cellStyle name="Input 13 2 5" xfId="29360"/>
    <cellStyle name="Input 13 2 6" xfId="29361"/>
    <cellStyle name="Input 13 3" xfId="8141"/>
    <cellStyle name="Input 13 4" xfId="16954"/>
    <cellStyle name="Input 13 4 2" xfId="29362"/>
    <cellStyle name="Input 13 5" xfId="29363"/>
    <cellStyle name="Input 13 6" xfId="29364"/>
    <cellStyle name="Input 13 7" xfId="29365"/>
    <cellStyle name="Input 14" xfId="358"/>
    <cellStyle name="Input 14 2" xfId="6135"/>
    <cellStyle name="Input 14 2 2" xfId="10628"/>
    <cellStyle name="Input 14 2 3" xfId="16955"/>
    <cellStyle name="Input 14 2 3 2" xfId="29366"/>
    <cellStyle name="Input 14 2 4" xfId="29367"/>
    <cellStyle name="Input 14 2 5" xfId="29368"/>
    <cellStyle name="Input 14 2 6" xfId="29369"/>
    <cellStyle name="Input 14 3" xfId="8142"/>
    <cellStyle name="Input 14 4" xfId="16956"/>
    <cellStyle name="Input 14 4 2" xfId="29370"/>
    <cellStyle name="Input 14 5" xfId="29371"/>
    <cellStyle name="Input 14 6" xfId="29372"/>
    <cellStyle name="Input 14 7" xfId="29373"/>
    <cellStyle name="Input 15" xfId="359"/>
    <cellStyle name="Input 15 2" xfId="6136"/>
    <cellStyle name="Input 15 2 2" xfId="10629"/>
    <cellStyle name="Input 15 2 3" xfId="16957"/>
    <cellStyle name="Input 15 2 3 2" xfId="29374"/>
    <cellStyle name="Input 15 2 4" xfId="29375"/>
    <cellStyle name="Input 15 2 5" xfId="29376"/>
    <cellStyle name="Input 15 2 6" xfId="29377"/>
    <cellStyle name="Input 15 3" xfId="8143"/>
    <cellStyle name="Input 15 4" xfId="16958"/>
    <cellStyle name="Input 15 4 2" xfId="29378"/>
    <cellStyle name="Input 15 5" xfId="29379"/>
    <cellStyle name="Input 15 6" xfId="29380"/>
    <cellStyle name="Input 15 7" xfId="29381"/>
    <cellStyle name="Input 16" xfId="360"/>
    <cellStyle name="Input 16 2" xfId="6137"/>
    <cellStyle name="Input 16 2 2" xfId="10630"/>
    <cellStyle name="Input 16 2 3" xfId="16959"/>
    <cellStyle name="Input 16 2 3 2" xfId="29382"/>
    <cellStyle name="Input 16 2 4" xfId="29383"/>
    <cellStyle name="Input 16 2 5" xfId="29384"/>
    <cellStyle name="Input 16 2 6" xfId="29385"/>
    <cellStyle name="Input 16 3" xfId="8144"/>
    <cellStyle name="Input 16 4" xfId="16960"/>
    <cellStyle name="Input 16 4 2" xfId="29386"/>
    <cellStyle name="Input 16 5" xfId="29387"/>
    <cellStyle name="Input 16 6" xfId="29388"/>
    <cellStyle name="Input 16 7" xfId="29389"/>
    <cellStyle name="Input 17" xfId="361"/>
    <cellStyle name="Input 17 2" xfId="6138"/>
    <cellStyle name="Input 17 2 2" xfId="10631"/>
    <cellStyle name="Input 17 2 3" xfId="16961"/>
    <cellStyle name="Input 17 2 3 2" xfId="29390"/>
    <cellStyle name="Input 17 2 4" xfId="29391"/>
    <cellStyle name="Input 17 2 5" xfId="29392"/>
    <cellStyle name="Input 17 2 6" xfId="29393"/>
    <cellStyle name="Input 17 3" xfId="8145"/>
    <cellStyle name="Input 17 4" xfId="16962"/>
    <cellStyle name="Input 17 4 2" xfId="29394"/>
    <cellStyle name="Input 17 5" xfId="29395"/>
    <cellStyle name="Input 17 6" xfId="29396"/>
    <cellStyle name="Input 17 7" xfId="29397"/>
    <cellStyle name="Input 18" xfId="6139"/>
    <cellStyle name="Input 18 2" xfId="10623"/>
    <cellStyle name="Input 18 3" xfId="16963"/>
    <cellStyle name="Input 18 3 2" xfId="29398"/>
    <cellStyle name="Input 18 4" xfId="29399"/>
    <cellStyle name="Input 18 5" xfId="29400"/>
    <cellStyle name="Input 18 6" xfId="29401"/>
    <cellStyle name="Input 19" xfId="8137"/>
    <cellStyle name="Input 2" xfId="362"/>
    <cellStyle name="Input 2 10" xfId="363"/>
    <cellStyle name="Input 2 10 2" xfId="6140"/>
    <cellStyle name="Input 2 10 2 2" xfId="10633"/>
    <cellStyle name="Input 2 10 2 3" xfId="16964"/>
    <cellStyle name="Input 2 10 2 3 2" xfId="29402"/>
    <cellStyle name="Input 2 10 2 4" xfId="29403"/>
    <cellStyle name="Input 2 10 2 5" xfId="29404"/>
    <cellStyle name="Input 2 10 2 6" xfId="29405"/>
    <cellStyle name="Input 2 10 3" xfId="8147"/>
    <cellStyle name="Input 2 10 4" xfId="16965"/>
    <cellStyle name="Input 2 10 4 2" xfId="29406"/>
    <cellStyle name="Input 2 10 5" xfId="29407"/>
    <cellStyle name="Input 2 10 6" xfId="29408"/>
    <cellStyle name="Input 2 10 7" xfId="29409"/>
    <cellStyle name="Input 2 11" xfId="364"/>
    <cellStyle name="Input 2 11 2" xfId="6141"/>
    <cellStyle name="Input 2 11 2 2" xfId="10634"/>
    <cellStyle name="Input 2 11 2 3" xfId="16966"/>
    <cellStyle name="Input 2 11 2 3 2" xfId="29410"/>
    <cellStyle name="Input 2 11 2 4" xfId="29411"/>
    <cellStyle name="Input 2 11 2 5" xfId="29412"/>
    <cellStyle name="Input 2 11 2 6" xfId="29413"/>
    <cellStyle name="Input 2 11 3" xfId="8148"/>
    <cellStyle name="Input 2 11 4" xfId="16967"/>
    <cellStyle name="Input 2 11 4 2" xfId="29414"/>
    <cellStyle name="Input 2 11 5" xfId="29415"/>
    <cellStyle name="Input 2 11 6" xfId="29416"/>
    <cellStyle name="Input 2 11 7" xfId="29417"/>
    <cellStyle name="Input 2 12" xfId="365"/>
    <cellStyle name="Input 2 12 2" xfId="6142"/>
    <cellStyle name="Input 2 12 2 2" xfId="10635"/>
    <cellStyle name="Input 2 12 2 3" xfId="16968"/>
    <cellStyle name="Input 2 12 2 3 2" xfId="29418"/>
    <cellStyle name="Input 2 12 2 4" xfId="29419"/>
    <cellStyle name="Input 2 12 2 5" xfId="29420"/>
    <cellStyle name="Input 2 12 2 6" xfId="29421"/>
    <cellStyle name="Input 2 12 3" xfId="8149"/>
    <cellStyle name="Input 2 12 4" xfId="16969"/>
    <cellStyle name="Input 2 12 4 2" xfId="29422"/>
    <cellStyle name="Input 2 12 5" xfId="29423"/>
    <cellStyle name="Input 2 12 6" xfId="29424"/>
    <cellStyle name="Input 2 12 7" xfId="29425"/>
    <cellStyle name="Input 2 13" xfId="366"/>
    <cellStyle name="Input 2 13 2" xfId="6143"/>
    <cellStyle name="Input 2 13 2 2" xfId="10636"/>
    <cellStyle name="Input 2 13 2 3" xfId="16970"/>
    <cellStyle name="Input 2 13 2 3 2" xfId="29426"/>
    <cellStyle name="Input 2 13 2 4" xfId="29427"/>
    <cellStyle name="Input 2 13 2 5" xfId="29428"/>
    <cellStyle name="Input 2 13 2 6" xfId="29429"/>
    <cellStyle name="Input 2 13 3" xfId="8150"/>
    <cellStyle name="Input 2 13 4" xfId="16971"/>
    <cellStyle name="Input 2 13 4 2" xfId="29430"/>
    <cellStyle name="Input 2 13 5" xfId="29431"/>
    <cellStyle name="Input 2 13 6" xfId="29432"/>
    <cellStyle name="Input 2 13 7" xfId="29433"/>
    <cellStyle name="Input 2 14" xfId="367"/>
    <cellStyle name="Input 2 14 2" xfId="6144"/>
    <cellStyle name="Input 2 14 2 2" xfId="10637"/>
    <cellStyle name="Input 2 14 2 3" xfId="16972"/>
    <cellStyle name="Input 2 14 2 3 2" xfId="29434"/>
    <cellStyle name="Input 2 14 2 4" xfId="29435"/>
    <cellStyle name="Input 2 14 2 5" xfId="29436"/>
    <cellStyle name="Input 2 14 2 6" xfId="29437"/>
    <cellStyle name="Input 2 14 3" xfId="8151"/>
    <cellStyle name="Input 2 14 4" xfId="16973"/>
    <cellStyle name="Input 2 14 4 2" xfId="29438"/>
    <cellStyle name="Input 2 14 5" xfId="29439"/>
    <cellStyle name="Input 2 14 6" xfId="29440"/>
    <cellStyle name="Input 2 14 7" xfId="29441"/>
    <cellStyle name="Input 2 15" xfId="368"/>
    <cellStyle name="Input 2 15 2" xfId="6145"/>
    <cellStyle name="Input 2 15 2 2" xfId="10638"/>
    <cellStyle name="Input 2 15 2 3" xfId="16974"/>
    <cellStyle name="Input 2 15 2 3 2" xfId="29442"/>
    <cellStyle name="Input 2 15 2 4" xfId="29443"/>
    <cellStyle name="Input 2 15 2 5" xfId="29444"/>
    <cellStyle name="Input 2 15 2 6" xfId="29445"/>
    <cellStyle name="Input 2 15 3" xfId="8152"/>
    <cellStyle name="Input 2 15 4" xfId="16975"/>
    <cellStyle name="Input 2 15 4 2" xfId="29446"/>
    <cellStyle name="Input 2 15 5" xfId="29447"/>
    <cellStyle name="Input 2 15 6" xfId="29448"/>
    <cellStyle name="Input 2 15 7" xfId="29449"/>
    <cellStyle name="Input 2 16" xfId="369"/>
    <cellStyle name="Input 2 16 2" xfId="6146"/>
    <cellStyle name="Input 2 16 2 2" xfId="10639"/>
    <cellStyle name="Input 2 16 2 3" xfId="16976"/>
    <cellStyle name="Input 2 16 2 3 2" xfId="29450"/>
    <cellStyle name="Input 2 16 2 4" xfId="29451"/>
    <cellStyle name="Input 2 16 2 5" xfId="29452"/>
    <cellStyle name="Input 2 16 2 6" xfId="29453"/>
    <cellStyle name="Input 2 16 3" xfId="8153"/>
    <cellStyle name="Input 2 16 4" xfId="16977"/>
    <cellStyle name="Input 2 16 4 2" xfId="29454"/>
    <cellStyle name="Input 2 16 5" xfId="29455"/>
    <cellStyle name="Input 2 16 6" xfId="29456"/>
    <cellStyle name="Input 2 16 7" xfId="29457"/>
    <cellStyle name="Input 2 17" xfId="370"/>
    <cellStyle name="Input 2 17 2" xfId="6147"/>
    <cellStyle name="Input 2 17 2 2" xfId="10640"/>
    <cellStyle name="Input 2 17 2 3" xfId="16978"/>
    <cellStyle name="Input 2 17 2 3 2" xfId="29458"/>
    <cellStyle name="Input 2 17 2 4" xfId="29459"/>
    <cellStyle name="Input 2 17 2 5" xfId="29460"/>
    <cellStyle name="Input 2 17 2 6" xfId="29461"/>
    <cellStyle name="Input 2 17 3" xfId="8154"/>
    <cellStyle name="Input 2 17 4" xfId="16979"/>
    <cellStyle name="Input 2 17 4 2" xfId="29462"/>
    <cellStyle name="Input 2 17 5" xfId="29463"/>
    <cellStyle name="Input 2 17 6" xfId="29464"/>
    <cellStyle name="Input 2 17 7" xfId="29465"/>
    <cellStyle name="Input 2 18" xfId="371"/>
    <cellStyle name="Input 2 18 2" xfId="6148"/>
    <cellStyle name="Input 2 18 2 2" xfId="10641"/>
    <cellStyle name="Input 2 18 2 3" xfId="16980"/>
    <cellStyle name="Input 2 18 2 3 2" xfId="29466"/>
    <cellStyle name="Input 2 18 2 4" xfId="29467"/>
    <cellStyle name="Input 2 18 2 5" xfId="29468"/>
    <cellStyle name="Input 2 18 2 6" xfId="29469"/>
    <cellStyle name="Input 2 18 3" xfId="8155"/>
    <cellStyle name="Input 2 18 4" xfId="16981"/>
    <cellStyle name="Input 2 18 4 2" xfId="29470"/>
    <cellStyle name="Input 2 18 5" xfId="29471"/>
    <cellStyle name="Input 2 18 6" xfId="29472"/>
    <cellStyle name="Input 2 18 7" xfId="29473"/>
    <cellStyle name="Input 2 19" xfId="372"/>
    <cellStyle name="Input 2 19 2" xfId="6149"/>
    <cellStyle name="Input 2 19 2 2" xfId="10642"/>
    <cellStyle name="Input 2 19 2 3" xfId="16982"/>
    <cellStyle name="Input 2 19 2 3 2" xfId="29474"/>
    <cellStyle name="Input 2 19 2 4" xfId="29475"/>
    <cellStyle name="Input 2 19 2 5" xfId="29476"/>
    <cellStyle name="Input 2 19 2 6" xfId="29477"/>
    <cellStyle name="Input 2 19 3" xfId="8156"/>
    <cellStyle name="Input 2 19 4" xfId="16983"/>
    <cellStyle name="Input 2 19 4 2" xfId="29478"/>
    <cellStyle name="Input 2 19 5" xfId="29479"/>
    <cellStyle name="Input 2 19 6" xfId="29480"/>
    <cellStyle name="Input 2 19 7" xfId="29481"/>
    <cellStyle name="Input 2 2" xfId="373"/>
    <cellStyle name="Input 2 2 2" xfId="6150"/>
    <cellStyle name="Input 2 2 2 2" xfId="10643"/>
    <cellStyle name="Input 2 2 2 3" xfId="16984"/>
    <cellStyle name="Input 2 2 2 3 2" xfId="29482"/>
    <cellStyle name="Input 2 2 2 4" xfId="29483"/>
    <cellStyle name="Input 2 2 2 5" xfId="29484"/>
    <cellStyle name="Input 2 2 2 6" xfId="29485"/>
    <cellStyle name="Input 2 2 3" xfId="8157"/>
    <cellStyle name="Input 2 2 4" xfId="16985"/>
    <cellStyle name="Input 2 2 4 2" xfId="29486"/>
    <cellStyle name="Input 2 2 5" xfId="29487"/>
    <cellStyle name="Input 2 2 6" xfId="29488"/>
    <cellStyle name="Input 2 2 7" xfId="29489"/>
    <cellStyle name="Input 2 20" xfId="374"/>
    <cellStyle name="Input 2 20 2" xfId="6151"/>
    <cellStyle name="Input 2 20 2 2" xfId="10644"/>
    <cellStyle name="Input 2 20 2 3" xfId="16986"/>
    <cellStyle name="Input 2 20 2 3 2" xfId="29490"/>
    <cellStyle name="Input 2 20 2 4" xfId="29491"/>
    <cellStyle name="Input 2 20 2 5" xfId="29492"/>
    <cellStyle name="Input 2 20 2 6" xfId="29493"/>
    <cellStyle name="Input 2 20 3" xfId="8158"/>
    <cellStyle name="Input 2 20 4" xfId="16987"/>
    <cellStyle name="Input 2 20 4 2" xfId="29494"/>
    <cellStyle name="Input 2 20 5" xfId="29495"/>
    <cellStyle name="Input 2 20 6" xfId="29496"/>
    <cellStyle name="Input 2 20 7" xfId="29497"/>
    <cellStyle name="Input 2 21" xfId="375"/>
    <cellStyle name="Input 2 21 2" xfId="6152"/>
    <cellStyle name="Input 2 21 2 2" xfId="10645"/>
    <cellStyle name="Input 2 21 2 3" xfId="16988"/>
    <cellStyle name="Input 2 21 2 3 2" xfId="29498"/>
    <cellStyle name="Input 2 21 2 4" xfId="29499"/>
    <cellStyle name="Input 2 21 2 5" xfId="29500"/>
    <cellStyle name="Input 2 21 2 6" xfId="29501"/>
    <cellStyle name="Input 2 21 3" xfId="8159"/>
    <cellStyle name="Input 2 21 4" xfId="16989"/>
    <cellStyle name="Input 2 21 4 2" xfId="29502"/>
    <cellStyle name="Input 2 21 5" xfId="29503"/>
    <cellStyle name="Input 2 21 6" xfId="29504"/>
    <cellStyle name="Input 2 21 7" xfId="29505"/>
    <cellStyle name="Input 2 22" xfId="376"/>
    <cellStyle name="Input 2 22 2" xfId="6153"/>
    <cellStyle name="Input 2 22 2 2" xfId="10646"/>
    <cellStyle name="Input 2 22 2 3" xfId="16990"/>
    <cellStyle name="Input 2 22 2 3 2" xfId="29506"/>
    <cellStyle name="Input 2 22 2 4" xfId="29507"/>
    <cellStyle name="Input 2 22 2 5" xfId="29508"/>
    <cellStyle name="Input 2 22 2 6" xfId="29509"/>
    <cellStyle name="Input 2 22 3" xfId="8160"/>
    <cellStyle name="Input 2 22 4" xfId="16991"/>
    <cellStyle name="Input 2 22 4 2" xfId="29510"/>
    <cellStyle name="Input 2 22 5" xfId="29511"/>
    <cellStyle name="Input 2 22 6" xfId="29512"/>
    <cellStyle name="Input 2 22 7" xfId="29513"/>
    <cellStyle name="Input 2 23" xfId="377"/>
    <cellStyle name="Input 2 23 2" xfId="6154"/>
    <cellStyle name="Input 2 23 2 2" xfId="10647"/>
    <cellStyle name="Input 2 23 2 3" xfId="16992"/>
    <cellStyle name="Input 2 23 2 3 2" xfId="29514"/>
    <cellStyle name="Input 2 23 2 4" xfId="29515"/>
    <cellStyle name="Input 2 23 2 5" xfId="29516"/>
    <cellStyle name="Input 2 23 2 6" xfId="29517"/>
    <cellStyle name="Input 2 23 3" xfId="8161"/>
    <cellStyle name="Input 2 23 4" xfId="16993"/>
    <cellStyle name="Input 2 23 4 2" xfId="29518"/>
    <cellStyle name="Input 2 23 5" xfId="29519"/>
    <cellStyle name="Input 2 23 6" xfId="29520"/>
    <cellStyle name="Input 2 23 7" xfId="29521"/>
    <cellStyle name="Input 2 24" xfId="378"/>
    <cellStyle name="Input 2 24 2" xfId="6155"/>
    <cellStyle name="Input 2 24 2 2" xfId="10648"/>
    <cellStyle name="Input 2 24 2 3" xfId="16994"/>
    <cellStyle name="Input 2 24 2 3 2" xfId="29522"/>
    <cellStyle name="Input 2 24 2 4" xfId="29523"/>
    <cellStyle name="Input 2 24 2 5" xfId="29524"/>
    <cellStyle name="Input 2 24 2 6" xfId="29525"/>
    <cellStyle name="Input 2 24 3" xfId="8162"/>
    <cellStyle name="Input 2 24 4" xfId="16995"/>
    <cellStyle name="Input 2 24 4 2" xfId="29526"/>
    <cellStyle name="Input 2 24 5" xfId="29527"/>
    <cellStyle name="Input 2 24 6" xfId="29528"/>
    <cellStyle name="Input 2 24 7" xfId="29529"/>
    <cellStyle name="Input 2 25" xfId="379"/>
    <cellStyle name="Input 2 25 2" xfId="6156"/>
    <cellStyle name="Input 2 25 2 2" xfId="10649"/>
    <cellStyle name="Input 2 25 2 3" xfId="16996"/>
    <cellStyle name="Input 2 25 2 3 2" xfId="29530"/>
    <cellStyle name="Input 2 25 2 4" xfId="29531"/>
    <cellStyle name="Input 2 25 2 5" xfId="29532"/>
    <cellStyle name="Input 2 25 2 6" xfId="29533"/>
    <cellStyle name="Input 2 25 3" xfId="8163"/>
    <cellStyle name="Input 2 25 4" xfId="16997"/>
    <cellStyle name="Input 2 25 4 2" xfId="29534"/>
    <cellStyle name="Input 2 25 5" xfId="29535"/>
    <cellStyle name="Input 2 25 6" xfId="29536"/>
    <cellStyle name="Input 2 25 7" xfId="29537"/>
    <cellStyle name="Input 2 26" xfId="380"/>
    <cellStyle name="Input 2 26 2" xfId="6157"/>
    <cellStyle name="Input 2 26 2 2" xfId="10650"/>
    <cellStyle name="Input 2 26 2 3" xfId="16998"/>
    <cellStyle name="Input 2 26 2 3 2" xfId="29538"/>
    <cellStyle name="Input 2 26 2 4" xfId="29539"/>
    <cellStyle name="Input 2 26 2 5" xfId="29540"/>
    <cellStyle name="Input 2 26 2 6" xfId="29541"/>
    <cellStyle name="Input 2 26 3" xfId="8164"/>
    <cellStyle name="Input 2 26 4" xfId="16999"/>
    <cellStyle name="Input 2 26 4 2" xfId="29542"/>
    <cellStyle name="Input 2 26 5" xfId="29543"/>
    <cellStyle name="Input 2 26 6" xfId="29544"/>
    <cellStyle name="Input 2 26 7" xfId="29545"/>
    <cellStyle name="Input 2 27" xfId="381"/>
    <cellStyle name="Input 2 27 2" xfId="6158"/>
    <cellStyle name="Input 2 27 2 2" xfId="10651"/>
    <cellStyle name="Input 2 27 2 3" xfId="17000"/>
    <cellStyle name="Input 2 27 2 3 2" xfId="29546"/>
    <cellStyle name="Input 2 27 2 4" xfId="29547"/>
    <cellStyle name="Input 2 27 2 5" xfId="29548"/>
    <cellStyle name="Input 2 27 2 6" xfId="29549"/>
    <cellStyle name="Input 2 27 3" xfId="8165"/>
    <cellStyle name="Input 2 27 4" xfId="17001"/>
    <cellStyle name="Input 2 27 4 2" xfId="29550"/>
    <cellStyle name="Input 2 27 5" xfId="29551"/>
    <cellStyle name="Input 2 27 6" xfId="29552"/>
    <cellStyle name="Input 2 27 7" xfId="29553"/>
    <cellStyle name="Input 2 28" xfId="382"/>
    <cellStyle name="Input 2 28 2" xfId="6159"/>
    <cellStyle name="Input 2 28 2 2" xfId="10652"/>
    <cellStyle name="Input 2 28 2 3" xfId="17002"/>
    <cellStyle name="Input 2 28 2 3 2" xfId="29554"/>
    <cellStyle name="Input 2 28 2 4" xfId="29555"/>
    <cellStyle name="Input 2 28 2 5" xfId="29556"/>
    <cellStyle name="Input 2 28 2 6" xfId="29557"/>
    <cellStyle name="Input 2 28 3" xfId="8166"/>
    <cellStyle name="Input 2 28 4" xfId="17003"/>
    <cellStyle name="Input 2 28 4 2" xfId="29558"/>
    <cellStyle name="Input 2 28 5" xfId="29559"/>
    <cellStyle name="Input 2 28 6" xfId="29560"/>
    <cellStyle name="Input 2 28 7" xfId="29561"/>
    <cellStyle name="Input 2 29" xfId="383"/>
    <cellStyle name="Input 2 29 2" xfId="6160"/>
    <cellStyle name="Input 2 29 2 2" xfId="10653"/>
    <cellStyle name="Input 2 29 2 3" xfId="17004"/>
    <cellStyle name="Input 2 29 2 3 2" xfId="29562"/>
    <cellStyle name="Input 2 29 2 4" xfId="29563"/>
    <cellStyle name="Input 2 29 2 5" xfId="29564"/>
    <cellStyle name="Input 2 29 2 6" xfId="29565"/>
    <cellStyle name="Input 2 29 3" xfId="8167"/>
    <cellStyle name="Input 2 29 4" xfId="17005"/>
    <cellStyle name="Input 2 29 4 2" xfId="29566"/>
    <cellStyle name="Input 2 29 5" xfId="29567"/>
    <cellStyle name="Input 2 29 6" xfId="29568"/>
    <cellStyle name="Input 2 29 7" xfId="29569"/>
    <cellStyle name="Input 2 3" xfId="384"/>
    <cellStyle name="Input 2 3 2" xfId="6161"/>
    <cellStyle name="Input 2 3 2 2" xfId="10654"/>
    <cellStyle name="Input 2 3 2 3" xfId="17006"/>
    <cellStyle name="Input 2 3 2 3 2" xfId="29570"/>
    <cellStyle name="Input 2 3 2 4" xfId="29571"/>
    <cellStyle name="Input 2 3 2 5" xfId="29572"/>
    <cellStyle name="Input 2 3 2 6" xfId="29573"/>
    <cellStyle name="Input 2 3 3" xfId="8168"/>
    <cellStyle name="Input 2 3 4" xfId="17007"/>
    <cellStyle name="Input 2 3 4 2" xfId="29574"/>
    <cellStyle name="Input 2 3 5" xfId="29575"/>
    <cellStyle name="Input 2 3 6" xfId="29576"/>
    <cellStyle name="Input 2 3 7" xfId="29577"/>
    <cellStyle name="Input 2 30" xfId="385"/>
    <cellStyle name="Input 2 30 2" xfId="6162"/>
    <cellStyle name="Input 2 30 2 2" xfId="10655"/>
    <cellStyle name="Input 2 30 2 3" xfId="17008"/>
    <cellStyle name="Input 2 30 2 3 2" xfId="29578"/>
    <cellStyle name="Input 2 30 2 4" xfId="29579"/>
    <cellStyle name="Input 2 30 2 5" xfId="29580"/>
    <cellStyle name="Input 2 30 2 6" xfId="29581"/>
    <cellStyle name="Input 2 30 3" xfId="8169"/>
    <cellStyle name="Input 2 30 4" xfId="17009"/>
    <cellStyle name="Input 2 30 4 2" xfId="29582"/>
    <cellStyle name="Input 2 30 5" xfId="29583"/>
    <cellStyle name="Input 2 30 6" xfId="29584"/>
    <cellStyle name="Input 2 30 7" xfId="29585"/>
    <cellStyle name="Input 2 31" xfId="386"/>
    <cellStyle name="Input 2 31 2" xfId="6163"/>
    <cellStyle name="Input 2 31 2 2" xfId="10656"/>
    <cellStyle name="Input 2 31 2 3" xfId="17010"/>
    <cellStyle name="Input 2 31 2 3 2" xfId="29586"/>
    <cellStyle name="Input 2 31 2 4" xfId="29587"/>
    <cellStyle name="Input 2 31 2 5" xfId="29588"/>
    <cellStyle name="Input 2 31 2 6" xfId="29589"/>
    <cellStyle name="Input 2 31 3" xfId="8170"/>
    <cellStyle name="Input 2 31 4" xfId="17011"/>
    <cellStyle name="Input 2 31 4 2" xfId="29590"/>
    <cellStyle name="Input 2 31 5" xfId="29591"/>
    <cellStyle name="Input 2 31 6" xfId="29592"/>
    <cellStyle name="Input 2 31 7" xfId="29593"/>
    <cellStyle name="Input 2 32" xfId="387"/>
    <cellStyle name="Input 2 32 2" xfId="6164"/>
    <cellStyle name="Input 2 32 2 2" xfId="10657"/>
    <cellStyle name="Input 2 32 2 3" xfId="17012"/>
    <cellStyle name="Input 2 32 2 3 2" xfId="29594"/>
    <cellStyle name="Input 2 32 2 4" xfId="29595"/>
    <cellStyle name="Input 2 32 2 5" xfId="29596"/>
    <cellStyle name="Input 2 32 2 6" xfId="29597"/>
    <cellStyle name="Input 2 32 3" xfId="8171"/>
    <cellStyle name="Input 2 32 4" xfId="17013"/>
    <cellStyle name="Input 2 32 4 2" xfId="29598"/>
    <cellStyle name="Input 2 32 5" xfId="29599"/>
    <cellStyle name="Input 2 32 6" xfId="29600"/>
    <cellStyle name="Input 2 32 7" xfId="29601"/>
    <cellStyle name="Input 2 33" xfId="388"/>
    <cellStyle name="Input 2 33 2" xfId="6165"/>
    <cellStyle name="Input 2 33 2 2" xfId="10658"/>
    <cellStyle name="Input 2 33 2 3" xfId="17014"/>
    <cellStyle name="Input 2 33 2 3 2" xfId="29602"/>
    <cellStyle name="Input 2 33 2 4" xfId="29603"/>
    <cellStyle name="Input 2 33 2 5" xfId="29604"/>
    <cellStyle name="Input 2 33 2 6" xfId="29605"/>
    <cellStyle name="Input 2 33 3" xfId="8172"/>
    <cellStyle name="Input 2 33 4" xfId="17015"/>
    <cellStyle name="Input 2 33 4 2" xfId="29606"/>
    <cellStyle name="Input 2 33 5" xfId="29607"/>
    <cellStyle name="Input 2 33 6" xfId="29608"/>
    <cellStyle name="Input 2 33 7" xfId="29609"/>
    <cellStyle name="Input 2 34" xfId="389"/>
    <cellStyle name="Input 2 34 2" xfId="6166"/>
    <cellStyle name="Input 2 34 2 2" xfId="10659"/>
    <cellStyle name="Input 2 34 2 3" xfId="17016"/>
    <cellStyle name="Input 2 34 2 3 2" xfId="29610"/>
    <cellStyle name="Input 2 34 2 4" xfId="29611"/>
    <cellStyle name="Input 2 34 2 5" xfId="29612"/>
    <cellStyle name="Input 2 34 2 6" xfId="29613"/>
    <cellStyle name="Input 2 34 3" xfId="8173"/>
    <cellStyle name="Input 2 34 4" xfId="17017"/>
    <cellStyle name="Input 2 34 4 2" xfId="29614"/>
    <cellStyle name="Input 2 34 5" xfId="29615"/>
    <cellStyle name="Input 2 34 6" xfId="29616"/>
    <cellStyle name="Input 2 34 7" xfId="29617"/>
    <cellStyle name="Input 2 35" xfId="390"/>
    <cellStyle name="Input 2 35 2" xfId="6167"/>
    <cellStyle name="Input 2 35 2 2" xfId="10660"/>
    <cellStyle name="Input 2 35 2 3" xfId="17018"/>
    <cellStyle name="Input 2 35 2 3 2" xfId="29618"/>
    <cellStyle name="Input 2 35 2 4" xfId="29619"/>
    <cellStyle name="Input 2 35 2 5" xfId="29620"/>
    <cellStyle name="Input 2 35 2 6" xfId="29621"/>
    <cellStyle name="Input 2 35 3" xfId="8174"/>
    <cellStyle name="Input 2 35 4" xfId="17019"/>
    <cellStyle name="Input 2 35 4 2" xfId="29622"/>
    <cellStyle name="Input 2 35 5" xfId="29623"/>
    <cellStyle name="Input 2 35 6" xfId="29624"/>
    <cellStyle name="Input 2 35 7" xfId="29625"/>
    <cellStyle name="Input 2 36" xfId="391"/>
    <cellStyle name="Input 2 36 2" xfId="6168"/>
    <cellStyle name="Input 2 36 2 2" xfId="10661"/>
    <cellStyle name="Input 2 36 2 3" xfId="17020"/>
    <cellStyle name="Input 2 36 2 3 2" xfId="29626"/>
    <cellStyle name="Input 2 36 2 4" xfId="29627"/>
    <cellStyle name="Input 2 36 2 5" xfId="29628"/>
    <cellStyle name="Input 2 36 2 6" xfId="29629"/>
    <cellStyle name="Input 2 36 3" xfId="8175"/>
    <cellStyle name="Input 2 36 4" xfId="17021"/>
    <cellStyle name="Input 2 36 4 2" xfId="29630"/>
    <cellStyle name="Input 2 36 5" xfId="29631"/>
    <cellStyle name="Input 2 36 6" xfId="29632"/>
    <cellStyle name="Input 2 36 7" xfId="29633"/>
    <cellStyle name="Input 2 37" xfId="392"/>
    <cellStyle name="Input 2 37 2" xfId="6169"/>
    <cellStyle name="Input 2 37 2 2" xfId="10662"/>
    <cellStyle name="Input 2 37 2 3" xfId="17022"/>
    <cellStyle name="Input 2 37 2 3 2" xfId="29634"/>
    <cellStyle name="Input 2 37 2 4" xfId="29635"/>
    <cellStyle name="Input 2 37 2 5" xfId="29636"/>
    <cellStyle name="Input 2 37 2 6" xfId="29637"/>
    <cellStyle name="Input 2 37 3" xfId="8176"/>
    <cellStyle name="Input 2 37 4" xfId="17023"/>
    <cellStyle name="Input 2 37 4 2" xfId="29638"/>
    <cellStyle name="Input 2 37 5" xfId="29639"/>
    <cellStyle name="Input 2 37 6" xfId="29640"/>
    <cellStyle name="Input 2 37 7" xfId="29641"/>
    <cellStyle name="Input 2 38" xfId="393"/>
    <cellStyle name="Input 2 38 2" xfId="6170"/>
    <cellStyle name="Input 2 38 2 2" xfId="10663"/>
    <cellStyle name="Input 2 38 2 3" xfId="17024"/>
    <cellStyle name="Input 2 38 2 3 2" xfId="29642"/>
    <cellStyle name="Input 2 38 2 4" xfId="29643"/>
    <cellStyle name="Input 2 38 2 5" xfId="29644"/>
    <cellStyle name="Input 2 38 2 6" xfId="29645"/>
    <cellStyle name="Input 2 38 3" xfId="8177"/>
    <cellStyle name="Input 2 38 4" xfId="17025"/>
    <cellStyle name="Input 2 38 4 2" xfId="29646"/>
    <cellStyle name="Input 2 38 5" xfId="29647"/>
    <cellStyle name="Input 2 38 6" xfId="29648"/>
    <cellStyle name="Input 2 38 7" xfId="29649"/>
    <cellStyle name="Input 2 39" xfId="394"/>
    <cellStyle name="Input 2 39 2" xfId="6171"/>
    <cellStyle name="Input 2 39 2 2" xfId="10664"/>
    <cellStyle name="Input 2 39 2 3" xfId="17026"/>
    <cellStyle name="Input 2 39 2 3 2" xfId="29650"/>
    <cellStyle name="Input 2 39 2 4" xfId="29651"/>
    <cellStyle name="Input 2 39 2 5" xfId="29652"/>
    <cellStyle name="Input 2 39 2 6" xfId="29653"/>
    <cellStyle name="Input 2 39 3" xfId="8178"/>
    <cellStyle name="Input 2 39 4" xfId="17027"/>
    <cellStyle name="Input 2 39 4 2" xfId="29654"/>
    <cellStyle name="Input 2 39 5" xfId="29655"/>
    <cellStyle name="Input 2 39 6" xfId="29656"/>
    <cellStyle name="Input 2 39 7" xfId="29657"/>
    <cellStyle name="Input 2 4" xfId="395"/>
    <cellStyle name="Input 2 4 2" xfId="6172"/>
    <cellStyle name="Input 2 4 2 2" xfId="10665"/>
    <cellStyle name="Input 2 4 2 3" xfId="17028"/>
    <cellStyle name="Input 2 4 2 3 2" xfId="29658"/>
    <cellStyle name="Input 2 4 2 4" xfId="29659"/>
    <cellStyle name="Input 2 4 2 5" xfId="29660"/>
    <cellStyle name="Input 2 4 2 6" xfId="29661"/>
    <cellStyle name="Input 2 4 3" xfId="8179"/>
    <cellStyle name="Input 2 4 4" xfId="17029"/>
    <cellStyle name="Input 2 4 4 2" xfId="29662"/>
    <cellStyle name="Input 2 4 5" xfId="29663"/>
    <cellStyle name="Input 2 4 6" xfId="29664"/>
    <cellStyle name="Input 2 4 7" xfId="29665"/>
    <cellStyle name="Input 2 40" xfId="396"/>
    <cellStyle name="Input 2 40 2" xfId="6173"/>
    <cellStyle name="Input 2 40 2 2" xfId="10666"/>
    <cellStyle name="Input 2 40 2 3" xfId="17030"/>
    <cellStyle name="Input 2 40 2 3 2" xfId="29666"/>
    <cellStyle name="Input 2 40 2 4" xfId="29667"/>
    <cellStyle name="Input 2 40 2 5" xfId="29668"/>
    <cellStyle name="Input 2 40 2 6" xfId="29669"/>
    <cellStyle name="Input 2 40 3" xfId="8180"/>
    <cellStyle name="Input 2 40 4" xfId="17031"/>
    <cellStyle name="Input 2 40 4 2" xfId="29670"/>
    <cellStyle name="Input 2 40 5" xfId="29671"/>
    <cellStyle name="Input 2 40 6" xfId="29672"/>
    <cellStyle name="Input 2 40 7" xfId="29673"/>
    <cellStyle name="Input 2 41" xfId="397"/>
    <cellStyle name="Input 2 41 2" xfId="6174"/>
    <cellStyle name="Input 2 41 2 2" xfId="10667"/>
    <cellStyle name="Input 2 41 2 3" xfId="17032"/>
    <cellStyle name="Input 2 41 2 3 2" xfId="29674"/>
    <cellStyle name="Input 2 41 2 4" xfId="29675"/>
    <cellStyle name="Input 2 41 2 5" xfId="29676"/>
    <cellStyle name="Input 2 41 2 6" xfId="29677"/>
    <cellStyle name="Input 2 41 3" xfId="8181"/>
    <cellStyle name="Input 2 41 4" xfId="17033"/>
    <cellStyle name="Input 2 41 4 2" xfId="29678"/>
    <cellStyle name="Input 2 41 5" xfId="29679"/>
    <cellStyle name="Input 2 41 6" xfId="29680"/>
    <cellStyle name="Input 2 41 7" xfId="29681"/>
    <cellStyle name="Input 2 42" xfId="398"/>
    <cellStyle name="Input 2 42 2" xfId="6175"/>
    <cellStyle name="Input 2 42 2 2" xfId="10668"/>
    <cellStyle name="Input 2 42 2 3" xfId="17034"/>
    <cellStyle name="Input 2 42 2 3 2" xfId="29682"/>
    <cellStyle name="Input 2 42 2 4" xfId="29683"/>
    <cellStyle name="Input 2 42 2 5" xfId="29684"/>
    <cellStyle name="Input 2 42 2 6" xfId="29685"/>
    <cellStyle name="Input 2 42 3" xfId="8182"/>
    <cellStyle name="Input 2 42 4" xfId="17035"/>
    <cellStyle name="Input 2 42 4 2" xfId="29686"/>
    <cellStyle name="Input 2 42 5" xfId="29687"/>
    <cellStyle name="Input 2 42 6" xfId="29688"/>
    <cellStyle name="Input 2 42 7" xfId="29689"/>
    <cellStyle name="Input 2 43" xfId="399"/>
    <cellStyle name="Input 2 43 2" xfId="6176"/>
    <cellStyle name="Input 2 43 2 2" xfId="10669"/>
    <cellStyle name="Input 2 43 2 3" xfId="17036"/>
    <cellStyle name="Input 2 43 2 3 2" xfId="29690"/>
    <cellStyle name="Input 2 43 2 4" xfId="29691"/>
    <cellStyle name="Input 2 43 2 5" xfId="29692"/>
    <cellStyle name="Input 2 43 2 6" xfId="29693"/>
    <cellStyle name="Input 2 43 3" xfId="8183"/>
    <cellStyle name="Input 2 43 4" xfId="17037"/>
    <cellStyle name="Input 2 43 4 2" xfId="29694"/>
    <cellStyle name="Input 2 43 5" xfId="29695"/>
    <cellStyle name="Input 2 43 6" xfId="29696"/>
    <cellStyle name="Input 2 43 7" xfId="29697"/>
    <cellStyle name="Input 2 44" xfId="400"/>
    <cellStyle name="Input 2 44 2" xfId="6177"/>
    <cellStyle name="Input 2 44 2 2" xfId="10670"/>
    <cellStyle name="Input 2 44 2 3" xfId="17038"/>
    <cellStyle name="Input 2 44 2 3 2" xfId="29698"/>
    <cellStyle name="Input 2 44 2 4" xfId="29699"/>
    <cellStyle name="Input 2 44 2 5" xfId="29700"/>
    <cellStyle name="Input 2 44 2 6" xfId="29701"/>
    <cellStyle name="Input 2 44 3" xfId="8184"/>
    <cellStyle name="Input 2 44 4" xfId="17039"/>
    <cellStyle name="Input 2 44 4 2" xfId="29702"/>
    <cellStyle name="Input 2 44 5" xfId="29703"/>
    <cellStyle name="Input 2 44 6" xfId="29704"/>
    <cellStyle name="Input 2 44 7" xfId="29705"/>
    <cellStyle name="Input 2 45" xfId="401"/>
    <cellStyle name="Input 2 45 2" xfId="6178"/>
    <cellStyle name="Input 2 45 2 2" xfId="10671"/>
    <cellStyle name="Input 2 45 2 3" xfId="17040"/>
    <cellStyle name="Input 2 45 2 3 2" xfId="29706"/>
    <cellStyle name="Input 2 45 2 4" xfId="29707"/>
    <cellStyle name="Input 2 45 2 5" xfId="29708"/>
    <cellStyle name="Input 2 45 2 6" xfId="29709"/>
    <cellStyle name="Input 2 45 3" xfId="8185"/>
    <cellStyle name="Input 2 45 4" xfId="17041"/>
    <cellStyle name="Input 2 45 4 2" xfId="29710"/>
    <cellStyle name="Input 2 45 5" xfId="29711"/>
    <cellStyle name="Input 2 45 6" xfId="29712"/>
    <cellStyle name="Input 2 45 7" xfId="29713"/>
    <cellStyle name="Input 2 46" xfId="402"/>
    <cellStyle name="Input 2 46 2" xfId="6179"/>
    <cellStyle name="Input 2 46 2 2" xfId="10672"/>
    <cellStyle name="Input 2 46 2 3" xfId="17042"/>
    <cellStyle name="Input 2 46 2 3 2" xfId="29714"/>
    <cellStyle name="Input 2 46 2 4" xfId="29715"/>
    <cellStyle name="Input 2 46 2 5" xfId="29716"/>
    <cellStyle name="Input 2 46 2 6" xfId="29717"/>
    <cellStyle name="Input 2 46 3" xfId="8186"/>
    <cellStyle name="Input 2 46 4" xfId="17043"/>
    <cellStyle name="Input 2 46 4 2" xfId="29718"/>
    <cellStyle name="Input 2 46 5" xfId="29719"/>
    <cellStyle name="Input 2 46 6" xfId="29720"/>
    <cellStyle name="Input 2 46 7" xfId="29721"/>
    <cellStyle name="Input 2 47" xfId="403"/>
    <cellStyle name="Input 2 47 2" xfId="6180"/>
    <cellStyle name="Input 2 47 2 2" xfId="10673"/>
    <cellStyle name="Input 2 47 2 3" xfId="17044"/>
    <cellStyle name="Input 2 47 2 3 2" xfId="29722"/>
    <cellStyle name="Input 2 47 2 4" xfId="29723"/>
    <cellStyle name="Input 2 47 2 5" xfId="29724"/>
    <cellStyle name="Input 2 47 2 6" xfId="29725"/>
    <cellStyle name="Input 2 47 3" xfId="8187"/>
    <cellStyle name="Input 2 47 4" xfId="17045"/>
    <cellStyle name="Input 2 47 4 2" xfId="29726"/>
    <cellStyle name="Input 2 47 5" xfId="29727"/>
    <cellStyle name="Input 2 47 6" xfId="29728"/>
    <cellStyle name="Input 2 47 7" xfId="29729"/>
    <cellStyle name="Input 2 48" xfId="404"/>
    <cellStyle name="Input 2 48 2" xfId="6181"/>
    <cellStyle name="Input 2 48 2 2" xfId="10674"/>
    <cellStyle name="Input 2 48 2 3" xfId="17046"/>
    <cellStyle name="Input 2 48 2 3 2" xfId="29730"/>
    <cellStyle name="Input 2 48 2 4" xfId="29731"/>
    <cellStyle name="Input 2 48 2 5" xfId="29732"/>
    <cellStyle name="Input 2 48 2 6" xfId="29733"/>
    <cellStyle name="Input 2 48 3" xfId="8188"/>
    <cellStyle name="Input 2 48 4" xfId="17047"/>
    <cellStyle name="Input 2 48 4 2" xfId="29734"/>
    <cellStyle name="Input 2 48 5" xfId="29735"/>
    <cellStyle name="Input 2 48 6" xfId="29736"/>
    <cellStyle name="Input 2 48 7" xfId="29737"/>
    <cellStyle name="Input 2 49" xfId="405"/>
    <cellStyle name="Input 2 49 2" xfId="6182"/>
    <cellStyle name="Input 2 49 2 2" xfId="10675"/>
    <cellStyle name="Input 2 49 2 3" xfId="17048"/>
    <cellStyle name="Input 2 49 2 3 2" xfId="29738"/>
    <cellStyle name="Input 2 49 2 4" xfId="29739"/>
    <cellStyle name="Input 2 49 2 5" xfId="29740"/>
    <cellStyle name="Input 2 49 2 6" xfId="29741"/>
    <cellStyle name="Input 2 49 3" xfId="8189"/>
    <cellStyle name="Input 2 49 4" xfId="17049"/>
    <cellStyle name="Input 2 49 4 2" xfId="29742"/>
    <cellStyle name="Input 2 49 5" xfId="29743"/>
    <cellStyle name="Input 2 49 6" xfId="29744"/>
    <cellStyle name="Input 2 49 7" xfId="29745"/>
    <cellStyle name="Input 2 5" xfId="406"/>
    <cellStyle name="Input 2 5 2" xfId="6183"/>
    <cellStyle name="Input 2 5 2 2" xfId="10676"/>
    <cellStyle name="Input 2 5 2 3" xfId="17050"/>
    <cellStyle name="Input 2 5 2 3 2" xfId="29746"/>
    <cellStyle name="Input 2 5 2 4" xfId="29747"/>
    <cellStyle name="Input 2 5 2 5" xfId="29748"/>
    <cellStyle name="Input 2 5 2 6" xfId="29749"/>
    <cellStyle name="Input 2 5 3" xfId="8190"/>
    <cellStyle name="Input 2 5 4" xfId="17051"/>
    <cellStyle name="Input 2 5 4 2" xfId="29750"/>
    <cellStyle name="Input 2 5 5" xfId="29751"/>
    <cellStyle name="Input 2 5 6" xfId="29752"/>
    <cellStyle name="Input 2 5 7" xfId="29753"/>
    <cellStyle name="Input 2 50" xfId="407"/>
    <cellStyle name="Input 2 50 2" xfId="6184"/>
    <cellStyle name="Input 2 50 2 2" xfId="10677"/>
    <cellStyle name="Input 2 50 2 3" xfId="17052"/>
    <cellStyle name="Input 2 50 2 3 2" xfId="29754"/>
    <cellStyle name="Input 2 50 2 4" xfId="29755"/>
    <cellStyle name="Input 2 50 2 5" xfId="29756"/>
    <cellStyle name="Input 2 50 2 6" xfId="29757"/>
    <cellStyle name="Input 2 50 3" xfId="8191"/>
    <cellStyle name="Input 2 50 4" xfId="17053"/>
    <cellStyle name="Input 2 50 4 2" xfId="29758"/>
    <cellStyle name="Input 2 50 5" xfId="29759"/>
    <cellStyle name="Input 2 50 6" xfId="29760"/>
    <cellStyle name="Input 2 50 7" xfId="29761"/>
    <cellStyle name="Input 2 51" xfId="408"/>
    <cellStyle name="Input 2 51 2" xfId="6185"/>
    <cellStyle name="Input 2 51 2 2" xfId="10678"/>
    <cellStyle name="Input 2 51 2 3" xfId="17054"/>
    <cellStyle name="Input 2 51 2 3 2" xfId="29762"/>
    <cellStyle name="Input 2 51 2 4" xfId="29763"/>
    <cellStyle name="Input 2 51 2 5" xfId="29764"/>
    <cellStyle name="Input 2 51 2 6" xfId="29765"/>
    <cellStyle name="Input 2 51 3" xfId="8192"/>
    <cellStyle name="Input 2 51 4" xfId="17055"/>
    <cellStyle name="Input 2 51 4 2" xfId="29766"/>
    <cellStyle name="Input 2 51 5" xfId="29767"/>
    <cellStyle name="Input 2 51 6" xfId="29768"/>
    <cellStyle name="Input 2 51 7" xfId="29769"/>
    <cellStyle name="Input 2 52" xfId="409"/>
    <cellStyle name="Input 2 52 2" xfId="6186"/>
    <cellStyle name="Input 2 52 2 2" xfId="10679"/>
    <cellStyle name="Input 2 52 2 3" xfId="17056"/>
    <cellStyle name="Input 2 52 2 3 2" xfId="29770"/>
    <cellStyle name="Input 2 52 2 4" xfId="29771"/>
    <cellStyle name="Input 2 52 2 5" xfId="29772"/>
    <cellStyle name="Input 2 52 2 6" xfId="29773"/>
    <cellStyle name="Input 2 52 3" xfId="8193"/>
    <cellStyle name="Input 2 52 4" xfId="17057"/>
    <cellStyle name="Input 2 52 4 2" xfId="29774"/>
    <cellStyle name="Input 2 52 5" xfId="29775"/>
    <cellStyle name="Input 2 52 6" xfId="29776"/>
    <cellStyle name="Input 2 52 7" xfId="29777"/>
    <cellStyle name="Input 2 53" xfId="410"/>
    <cellStyle name="Input 2 53 2" xfId="6187"/>
    <cellStyle name="Input 2 53 2 2" xfId="10680"/>
    <cellStyle name="Input 2 53 2 3" xfId="17058"/>
    <cellStyle name="Input 2 53 2 3 2" xfId="29778"/>
    <cellStyle name="Input 2 53 2 4" xfId="29779"/>
    <cellStyle name="Input 2 53 2 5" xfId="29780"/>
    <cellStyle name="Input 2 53 2 6" xfId="29781"/>
    <cellStyle name="Input 2 53 3" xfId="8194"/>
    <cellStyle name="Input 2 53 4" xfId="17059"/>
    <cellStyle name="Input 2 53 4 2" xfId="29782"/>
    <cellStyle name="Input 2 53 5" xfId="29783"/>
    <cellStyle name="Input 2 53 6" xfId="29784"/>
    <cellStyle name="Input 2 53 7" xfId="29785"/>
    <cellStyle name="Input 2 54" xfId="411"/>
    <cellStyle name="Input 2 54 2" xfId="6188"/>
    <cellStyle name="Input 2 54 2 2" xfId="10681"/>
    <cellStyle name="Input 2 54 2 3" xfId="17060"/>
    <cellStyle name="Input 2 54 2 3 2" xfId="29786"/>
    <cellStyle name="Input 2 54 2 4" xfId="29787"/>
    <cellStyle name="Input 2 54 2 5" xfId="29788"/>
    <cellStyle name="Input 2 54 2 6" xfId="29789"/>
    <cellStyle name="Input 2 54 3" xfId="8195"/>
    <cellStyle name="Input 2 54 4" xfId="17061"/>
    <cellStyle name="Input 2 54 4 2" xfId="29790"/>
    <cellStyle name="Input 2 54 5" xfId="29791"/>
    <cellStyle name="Input 2 54 6" xfId="29792"/>
    <cellStyle name="Input 2 54 7" xfId="29793"/>
    <cellStyle name="Input 2 55" xfId="412"/>
    <cellStyle name="Input 2 55 2" xfId="6189"/>
    <cellStyle name="Input 2 55 2 2" xfId="10682"/>
    <cellStyle name="Input 2 55 2 3" xfId="17062"/>
    <cellStyle name="Input 2 55 2 3 2" xfId="29794"/>
    <cellStyle name="Input 2 55 2 4" xfId="29795"/>
    <cellStyle name="Input 2 55 2 5" xfId="29796"/>
    <cellStyle name="Input 2 55 2 6" xfId="29797"/>
    <cellStyle name="Input 2 55 3" xfId="8196"/>
    <cellStyle name="Input 2 55 4" xfId="17063"/>
    <cellStyle name="Input 2 55 4 2" xfId="29798"/>
    <cellStyle name="Input 2 55 5" xfId="29799"/>
    <cellStyle name="Input 2 55 6" xfId="29800"/>
    <cellStyle name="Input 2 55 7" xfId="29801"/>
    <cellStyle name="Input 2 56" xfId="413"/>
    <cellStyle name="Input 2 56 2" xfId="6190"/>
    <cellStyle name="Input 2 56 2 2" xfId="10683"/>
    <cellStyle name="Input 2 56 2 3" xfId="17064"/>
    <cellStyle name="Input 2 56 2 3 2" xfId="29802"/>
    <cellStyle name="Input 2 56 2 4" xfId="29803"/>
    <cellStyle name="Input 2 56 2 5" xfId="29804"/>
    <cellStyle name="Input 2 56 2 6" xfId="29805"/>
    <cellStyle name="Input 2 56 3" xfId="8197"/>
    <cellStyle name="Input 2 56 4" xfId="17065"/>
    <cellStyle name="Input 2 56 4 2" xfId="29806"/>
    <cellStyle name="Input 2 56 5" xfId="29807"/>
    <cellStyle name="Input 2 56 6" xfId="29808"/>
    <cellStyle name="Input 2 56 7" xfId="29809"/>
    <cellStyle name="Input 2 57" xfId="414"/>
    <cellStyle name="Input 2 57 2" xfId="6191"/>
    <cellStyle name="Input 2 57 2 2" xfId="10684"/>
    <cellStyle name="Input 2 57 2 3" xfId="17066"/>
    <cellStyle name="Input 2 57 2 3 2" xfId="29810"/>
    <cellStyle name="Input 2 57 2 4" xfId="29811"/>
    <cellStyle name="Input 2 57 2 5" xfId="29812"/>
    <cellStyle name="Input 2 57 2 6" xfId="29813"/>
    <cellStyle name="Input 2 57 3" xfId="8198"/>
    <cellStyle name="Input 2 57 4" xfId="17067"/>
    <cellStyle name="Input 2 57 4 2" xfId="29814"/>
    <cellStyle name="Input 2 57 5" xfId="29815"/>
    <cellStyle name="Input 2 57 6" xfId="29816"/>
    <cellStyle name="Input 2 57 7" xfId="29817"/>
    <cellStyle name="Input 2 58" xfId="415"/>
    <cellStyle name="Input 2 58 2" xfId="6192"/>
    <cellStyle name="Input 2 58 2 2" xfId="10685"/>
    <cellStyle name="Input 2 58 2 3" xfId="17068"/>
    <cellStyle name="Input 2 58 2 3 2" xfId="29818"/>
    <cellStyle name="Input 2 58 2 4" xfId="29819"/>
    <cellStyle name="Input 2 58 2 5" xfId="29820"/>
    <cellStyle name="Input 2 58 2 6" xfId="29821"/>
    <cellStyle name="Input 2 58 3" xfId="8199"/>
    <cellStyle name="Input 2 58 4" xfId="17069"/>
    <cellStyle name="Input 2 58 4 2" xfId="29822"/>
    <cellStyle name="Input 2 58 5" xfId="29823"/>
    <cellStyle name="Input 2 58 6" xfId="29824"/>
    <cellStyle name="Input 2 58 7" xfId="29825"/>
    <cellStyle name="Input 2 59" xfId="416"/>
    <cellStyle name="Input 2 59 2" xfId="6193"/>
    <cellStyle name="Input 2 59 2 2" xfId="10686"/>
    <cellStyle name="Input 2 59 2 3" xfId="17070"/>
    <cellStyle name="Input 2 59 2 3 2" xfId="29826"/>
    <cellStyle name="Input 2 59 2 4" xfId="29827"/>
    <cellStyle name="Input 2 59 2 5" xfId="29828"/>
    <cellStyle name="Input 2 59 2 6" xfId="29829"/>
    <cellStyle name="Input 2 59 3" xfId="8200"/>
    <cellStyle name="Input 2 59 4" xfId="17071"/>
    <cellStyle name="Input 2 59 4 2" xfId="29830"/>
    <cellStyle name="Input 2 59 5" xfId="29831"/>
    <cellStyle name="Input 2 59 6" xfId="29832"/>
    <cellStyle name="Input 2 59 7" xfId="29833"/>
    <cellStyle name="Input 2 6" xfId="417"/>
    <cellStyle name="Input 2 6 2" xfId="6194"/>
    <cellStyle name="Input 2 6 2 2" xfId="10687"/>
    <cellStyle name="Input 2 6 2 3" xfId="17072"/>
    <cellStyle name="Input 2 6 2 3 2" xfId="29834"/>
    <cellStyle name="Input 2 6 2 4" xfId="29835"/>
    <cellStyle name="Input 2 6 2 5" xfId="29836"/>
    <cellStyle name="Input 2 6 2 6" xfId="29837"/>
    <cellStyle name="Input 2 6 3" xfId="8201"/>
    <cellStyle name="Input 2 6 4" xfId="17073"/>
    <cellStyle name="Input 2 6 4 2" xfId="29838"/>
    <cellStyle name="Input 2 6 5" xfId="29839"/>
    <cellStyle name="Input 2 6 6" xfId="29840"/>
    <cellStyle name="Input 2 6 7" xfId="29841"/>
    <cellStyle name="Input 2 60" xfId="418"/>
    <cellStyle name="Input 2 60 2" xfId="6195"/>
    <cellStyle name="Input 2 60 2 2" xfId="10688"/>
    <cellStyle name="Input 2 60 2 3" xfId="17074"/>
    <cellStyle name="Input 2 60 2 3 2" xfId="29842"/>
    <cellStyle name="Input 2 60 2 4" xfId="29843"/>
    <cellStyle name="Input 2 60 2 5" xfId="29844"/>
    <cellStyle name="Input 2 60 2 6" xfId="29845"/>
    <cellStyle name="Input 2 60 3" xfId="8202"/>
    <cellStyle name="Input 2 60 4" xfId="17075"/>
    <cellStyle name="Input 2 60 4 2" xfId="29846"/>
    <cellStyle name="Input 2 60 5" xfId="29847"/>
    <cellStyle name="Input 2 60 6" xfId="29848"/>
    <cellStyle name="Input 2 60 7" xfId="29849"/>
    <cellStyle name="Input 2 61" xfId="419"/>
    <cellStyle name="Input 2 61 2" xfId="6196"/>
    <cellStyle name="Input 2 61 2 2" xfId="10689"/>
    <cellStyle name="Input 2 61 2 3" xfId="17076"/>
    <cellStyle name="Input 2 61 2 3 2" xfId="29850"/>
    <cellStyle name="Input 2 61 2 4" xfId="29851"/>
    <cellStyle name="Input 2 61 2 5" xfId="29852"/>
    <cellStyle name="Input 2 61 2 6" xfId="29853"/>
    <cellStyle name="Input 2 61 3" xfId="8203"/>
    <cellStyle name="Input 2 61 4" xfId="17077"/>
    <cellStyle name="Input 2 61 4 2" xfId="29854"/>
    <cellStyle name="Input 2 61 5" xfId="29855"/>
    <cellStyle name="Input 2 61 6" xfId="29856"/>
    <cellStyle name="Input 2 61 7" xfId="29857"/>
    <cellStyle name="Input 2 62" xfId="420"/>
    <cellStyle name="Input 2 62 2" xfId="6197"/>
    <cellStyle name="Input 2 62 2 2" xfId="10690"/>
    <cellStyle name="Input 2 62 2 3" xfId="17078"/>
    <cellStyle name="Input 2 62 2 3 2" xfId="29858"/>
    <cellStyle name="Input 2 62 2 4" xfId="29859"/>
    <cellStyle name="Input 2 62 2 5" xfId="29860"/>
    <cellStyle name="Input 2 62 2 6" xfId="29861"/>
    <cellStyle name="Input 2 62 3" xfId="8204"/>
    <cellStyle name="Input 2 62 4" xfId="17079"/>
    <cellStyle name="Input 2 62 4 2" xfId="29862"/>
    <cellStyle name="Input 2 62 5" xfId="29863"/>
    <cellStyle name="Input 2 62 6" xfId="29864"/>
    <cellStyle name="Input 2 62 7" xfId="29865"/>
    <cellStyle name="Input 2 63" xfId="421"/>
    <cellStyle name="Input 2 63 2" xfId="6198"/>
    <cellStyle name="Input 2 63 2 2" xfId="10691"/>
    <cellStyle name="Input 2 63 2 3" xfId="17080"/>
    <cellStyle name="Input 2 63 2 3 2" xfId="29866"/>
    <cellStyle name="Input 2 63 2 4" xfId="29867"/>
    <cellStyle name="Input 2 63 2 5" xfId="29868"/>
    <cellStyle name="Input 2 63 2 6" xfId="29869"/>
    <cellStyle name="Input 2 63 3" xfId="8205"/>
    <cellStyle name="Input 2 63 4" xfId="17081"/>
    <cellStyle name="Input 2 63 4 2" xfId="29870"/>
    <cellStyle name="Input 2 63 5" xfId="29871"/>
    <cellStyle name="Input 2 63 6" xfId="29872"/>
    <cellStyle name="Input 2 63 7" xfId="29873"/>
    <cellStyle name="Input 2 64" xfId="422"/>
    <cellStyle name="Input 2 64 2" xfId="6199"/>
    <cellStyle name="Input 2 64 2 2" xfId="10692"/>
    <cellStyle name="Input 2 64 2 3" xfId="17082"/>
    <cellStyle name="Input 2 64 2 3 2" xfId="29874"/>
    <cellStyle name="Input 2 64 2 4" xfId="29875"/>
    <cellStyle name="Input 2 64 2 5" xfId="29876"/>
    <cellStyle name="Input 2 64 2 6" xfId="29877"/>
    <cellStyle name="Input 2 64 3" xfId="8206"/>
    <cellStyle name="Input 2 64 4" xfId="17083"/>
    <cellStyle name="Input 2 64 4 2" xfId="29878"/>
    <cellStyle name="Input 2 64 5" xfId="29879"/>
    <cellStyle name="Input 2 64 6" xfId="29880"/>
    <cellStyle name="Input 2 64 7" xfId="29881"/>
    <cellStyle name="Input 2 65" xfId="423"/>
    <cellStyle name="Input 2 65 2" xfId="6200"/>
    <cellStyle name="Input 2 65 2 2" xfId="10693"/>
    <cellStyle name="Input 2 65 2 3" xfId="17084"/>
    <cellStyle name="Input 2 65 2 3 2" xfId="29882"/>
    <cellStyle name="Input 2 65 2 4" xfId="29883"/>
    <cellStyle name="Input 2 65 2 5" xfId="29884"/>
    <cellStyle name="Input 2 65 2 6" xfId="29885"/>
    <cellStyle name="Input 2 65 3" xfId="8207"/>
    <cellStyle name="Input 2 65 4" xfId="17085"/>
    <cellStyle name="Input 2 65 4 2" xfId="29886"/>
    <cellStyle name="Input 2 65 5" xfId="29887"/>
    <cellStyle name="Input 2 65 6" xfId="29888"/>
    <cellStyle name="Input 2 65 7" xfId="29889"/>
    <cellStyle name="Input 2 66" xfId="424"/>
    <cellStyle name="Input 2 66 2" xfId="6201"/>
    <cellStyle name="Input 2 66 2 2" xfId="10694"/>
    <cellStyle name="Input 2 66 2 3" xfId="17086"/>
    <cellStyle name="Input 2 66 2 3 2" xfId="29890"/>
    <cellStyle name="Input 2 66 2 4" xfId="29891"/>
    <cellStyle name="Input 2 66 2 5" xfId="29892"/>
    <cellStyle name="Input 2 66 2 6" xfId="29893"/>
    <cellStyle name="Input 2 66 3" xfId="8208"/>
    <cellStyle name="Input 2 66 4" xfId="17087"/>
    <cellStyle name="Input 2 66 4 2" xfId="29894"/>
    <cellStyle name="Input 2 66 5" xfId="29895"/>
    <cellStyle name="Input 2 66 6" xfId="29896"/>
    <cellStyle name="Input 2 66 7" xfId="29897"/>
    <cellStyle name="Input 2 67" xfId="425"/>
    <cellStyle name="Input 2 67 2" xfId="6202"/>
    <cellStyle name="Input 2 67 2 2" xfId="10695"/>
    <cellStyle name="Input 2 67 2 3" xfId="17088"/>
    <cellStyle name="Input 2 67 2 3 2" xfId="29898"/>
    <cellStyle name="Input 2 67 2 4" xfId="29899"/>
    <cellStyle name="Input 2 67 2 5" xfId="29900"/>
    <cellStyle name="Input 2 67 2 6" xfId="29901"/>
    <cellStyle name="Input 2 67 3" xfId="8209"/>
    <cellStyle name="Input 2 67 4" xfId="17089"/>
    <cellStyle name="Input 2 67 4 2" xfId="29902"/>
    <cellStyle name="Input 2 67 5" xfId="29903"/>
    <cellStyle name="Input 2 67 6" xfId="29904"/>
    <cellStyle name="Input 2 67 7" xfId="29905"/>
    <cellStyle name="Input 2 68" xfId="426"/>
    <cellStyle name="Input 2 68 2" xfId="6203"/>
    <cellStyle name="Input 2 68 2 2" xfId="10696"/>
    <cellStyle name="Input 2 68 2 3" xfId="17090"/>
    <cellStyle name="Input 2 68 2 3 2" xfId="29906"/>
    <cellStyle name="Input 2 68 2 4" xfId="29907"/>
    <cellStyle name="Input 2 68 2 5" xfId="29908"/>
    <cellStyle name="Input 2 68 2 6" xfId="29909"/>
    <cellStyle name="Input 2 68 3" xfId="8210"/>
    <cellStyle name="Input 2 68 4" xfId="17091"/>
    <cellStyle name="Input 2 68 4 2" xfId="29910"/>
    <cellStyle name="Input 2 68 5" xfId="29911"/>
    <cellStyle name="Input 2 68 6" xfId="29912"/>
    <cellStyle name="Input 2 68 7" xfId="29913"/>
    <cellStyle name="Input 2 69" xfId="427"/>
    <cellStyle name="Input 2 69 2" xfId="6204"/>
    <cellStyle name="Input 2 69 2 2" xfId="10697"/>
    <cellStyle name="Input 2 69 2 3" xfId="17092"/>
    <cellStyle name="Input 2 69 2 3 2" xfId="29914"/>
    <cellStyle name="Input 2 69 2 4" xfId="29915"/>
    <cellStyle name="Input 2 69 2 5" xfId="29916"/>
    <cellStyle name="Input 2 69 2 6" xfId="29917"/>
    <cellStyle name="Input 2 69 3" xfId="8211"/>
    <cellStyle name="Input 2 69 4" xfId="17093"/>
    <cellStyle name="Input 2 69 4 2" xfId="29918"/>
    <cellStyle name="Input 2 69 5" xfId="29919"/>
    <cellStyle name="Input 2 69 6" xfId="29920"/>
    <cellStyle name="Input 2 69 7" xfId="29921"/>
    <cellStyle name="Input 2 7" xfId="428"/>
    <cellStyle name="Input 2 7 2" xfId="6205"/>
    <cellStyle name="Input 2 7 2 2" xfId="10698"/>
    <cellStyle name="Input 2 7 2 3" xfId="17094"/>
    <cellStyle name="Input 2 7 2 3 2" xfId="29922"/>
    <cellStyle name="Input 2 7 2 4" xfId="29923"/>
    <cellStyle name="Input 2 7 2 5" xfId="29924"/>
    <cellStyle name="Input 2 7 2 6" xfId="29925"/>
    <cellStyle name="Input 2 7 3" xfId="8212"/>
    <cellStyle name="Input 2 7 4" xfId="17095"/>
    <cellStyle name="Input 2 7 4 2" xfId="29926"/>
    <cellStyle name="Input 2 7 5" xfId="29927"/>
    <cellStyle name="Input 2 7 6" xfId="29928"/>
    <cellStyle name="Input 2 7 7" xfId="29929"/>
    <cellStyle name="Input 2 70" xfId="429"/>
    <cellStyle name="Input 2 70 2" xfId="6206"/>
    <cellStyle name="Input 2 70 2 2" xfId="10699"/>
    <cellStyle name="Input 2 70 2 3" xfId="17096"/>
    <cellStyle name="Input 2 70 2 3 2" xfId="29930"/>
    <cellStyle name="Input 2 70 2 4" xfId="29931"/>
    <cellStyle name="Input 2 70 2 5" xfId="29932"/>
    <cellStyle name="Input 2 70 2 6" xfId="29933"/>
    <cellStyle name="Input 2 70 3" xfId="8213"/>
    <cellStyle name="Input 2 70 4" xfId="17097"/>
    <cellStyle name="Input 2 70 4 2" xfId="29934"/>
    <cellStyle name="Input 2 70 5" xfId="29935"/>
    <cellStyle name="Input 2 70 6" xfId="29936"/>
    <cellStyle name="Input 2 70 7" xfId="29937"/>
    <cellStyle name="Input 2 71" xfId="430"/>
    <cellStyle name="Input 2 71 2" xfId="6207"/>
    <cellStyle name="Input 2 71 2 2" xfId="10700"/>
    <cellStyle name="Input 2 71 2 3" xfId="17098"/>
    <cellStyle name="Input 2 71 2 3 2" xfId="29938"/>
    <cellStyle name="Input 2 71 2 4" xfId="29939"/>
    <cellStyle name="Input 2 71 2 5" xfId="29940"/>
    <cellStyle name="Input 2 71 2 6" xfId="29941"/>
    <cellStyle name="Input 2 71 3" xfId="8214"/>
    <cellStyle name="Input 2 71 4" xfId="17099"/>
    <cellStyle name="Input 2 71 4 2" xfId="29942"/>
    <cellStyle name="Input 2 71 5" xfId="29943"/>
    <cellStyle name="Input 2 71 6" xfId="29944"/>
    <cellStyle name="Input 2 71 7" xfId="29945"/>
    <cellStyle name="Input 2 72" xfId="431"/>
    <cellStyle name="Input 2 72 2" xfId="6208"/>
    <cellStyle name="Input 2 72 2 2" xfId="10701"/>
    <cellStyle name="Input 2 72 2 3" xfId="17100"/>
    <cellStyle name="Input 2 72 2 3 2" xfId="29946"/>
    <cellStyle name="Input 2 72 2 4" xfId="29947"/>
    <cellStyle name="Input 2 72 2 5" xfId="29948"/>
    <cellStyle name="Input 2 72 2 6" xfId="29949"/>
    <cellStyle name="Input 2 72 3" xfId="8215"/>
    <cellStyle name="Input 2 72 4" xfId="17101"/>
    <cellStyle name="Input 2 72 4 2" xfId="29950"/>
    <cellStyle name="Input 2 72 5" xfId="29951"/>
    <cellStyle name="Input 2 72 6" xfId="29952"/>
    <cellStyle name="Input 2 72 7" xfId="29953"/>
    <cellStyle name="Input 2 73" xfId="432"/>
    <cellStyle name="Input 2 73 2" xfId="6209"/>
    <cellStyle name="Input 2 73 2 2" xfId="10702"/>
    <cellStyle name="Input 2 73 2 3" xfId="17102"/>
    <cellStyle name="Input 2 73 2 3 2" xfId="29954"/>
    <cellStyle name="Input 2 73 2 4" xfId="29955"/>
    <cellStyle name="Input 2 73 2 5" xfId="29956"/>
    <cellStyle name="Input 2 73 2 6" xfId="29957"/>
    <cellStyle name="Input 2 73 3" xfId="8216"/>
    <cellStyle name="Input 2 73 4" xfId="17103"/>
    <cellStyle name="Input 2 73 4 2" xfId="29958"/>
    <cellStyle name="Input 2 73 5" xfId="29959"/>
    <cellStyle name="Input 2 73 6" xfId="29960"/>
    <cellStyle name="Input 2 73 7" xfId="29961"/>
    <cellStyle name="Input 2 74" xfId="433"/>
    <cellStyle name="Input 2 74 2" xfId="6210"/>
    <cellStyle name="Input 2 74 2 2" xfId="10703"/>
    <cellStyle name="Input 2 74 2 3" xfId="17104"/>
    <cellStyle name="Input 2 74 2 3 2" xfId="29962"/>
    <cellStyle name="Input 2 74 2 4" xfId="29963"/>
    <cellStyle name="Input 2 74 2 5" xfId="29964"/>
    <cellStyle name="Input 2 74 2 6" xfId="29965"/>
    <cellStyle name="Input 2 74 3" xfId="8217"/>
    <cellStyle name="Input 2 74 4" xfId="17105"/>
    <cellStyle name="Input 2 74 4 2" xfId="29966"/>
    <cellStyle name="Input 2 74 5" xfId="29967"/>
    <cellStyle name="Input 2 74 6" xfId="29968"/>
    <cellStyle name="Input 2 74 7" xfId="29969"/>
    <cellStyle name="Input 2 75" xfId="434"/>
    <cellStyle name="Input 2 75 2" xfId="6211"/>
    <cellStyle name="Input 2 75 2 2" xfId="10704"/>
    <cellStyle name="Input 2 75 2 3" xfId="17106"/>
    <cellStyle name="Input 2 75 2 3 2" xfId="29970"/>
    <cellStyle name="Input 2 75 2 4" xfId="29971"/>
    <cellStyle name="Input 2 75 2 5" xfId="29972"/>
    <cellStyle name="Input 2 75 2 6" xfId="29973"/>
    <cellStyle name="Input 2 75 3" xfId="8218"/>
    <cellStyle name="Input 2 75 4" xfId="17107"/>
    <cellStyle name="Input 2 75 4 2" xfId="29974"/>
    <cellStyle name="Input 2 75 5" xfId="29975"/>
    <cellStyle name="Input 2 75 6" xfId="29976"/>
    <cellStyle name="Input 2 75 7" xfId="29977"/>
    <cellStyle name="Input 2 76" xfId="435"/>
    <cellStyle name="Input 2 76 2" xfId="6212"/>
    <cellStyle name="Input 2 76 2 2" xfId="10705"/>
    <cellStyle name="Input 2 76 2 3" xfId="17108"/>
    <cellStyle name="Input 2 76 2 3 2" xfId="29978"/>
    <cellStyle name="Input 2 76 2 4" xfId="29979"/>
    <cellStyle name="Input 2 76 2 5" xfId="29980"/>
    <cellStyle name="Input 2 76 2 6" xfId="29981"/>
    <cellStyle name="Input 2 76 3" xfId="8219"/>
    <cellStyle name="Input 2 76 4" xfId="17109"/>
    <cellStyle name="Input 2 76 4 2" xfId="29982"/>
    <cellStyle name="Input 2 76 5" xfId="29983"/>
    <cellStyle name="Input 2 76 6" xfId="29984"/>
    <cellStyle name="Input 2 76 7" xfId="29985"/>
    <cellStyle name="Input 2 77" xfId="436"/>
    <cellStyle name="Input 2 77 2" xfId="6213"/>
    <cellStyle name="Input 2 77 2 2" xfId="10706"/>
    <cellStyle name="Input 2 77 2 3" xfId="17110"/>
    <cellStyle name="Input 2 77 2 3 2" xfId="29986"/>
    <cellStyle name="Input 2 77 2 4" xfId="29987"/>
    <cellStyle name="Input 2 77 2 5" xfId="29988"/>
    <cellStyle name="Input 2 77 2 6" xfId="29989"/>
    <cellStyle name="Input 2 77 3" xfId="8220"/>
    <cellStyle name="Input 2 77 4" xfId="17111"/>
    <cellStyle name="Input 2 77 4 2" xfId="29990"/>
    <cellStyle name="Input 2 77 5" xfId="29991"/>
    <cellStyle name="Input 2 77 6" xfId="29992"/>
    <cellStyle name="Input 2 77 7" xfId="29993"/>
    <cellStyle name="Input 2 78" xfId="437"/>
    <cellStyle name="Input 2 78 2" xfId="6214"/>
    <cellStyle name="Input 2 78 2 2" xfId="10707"/>
    <cellStyle name="Input 2 78 2 3" xfId="17112"/>
    <cellStyle name="Input 2 78 2 3 2" xfId="29994"/>
    <cellStyle name="Input 2 78 2 4" xfId="29995"/>
    <cellStyle name="Input 2 78 2 5" xfId="29996"/>
    <cellStyle name="Input 2 78 2 6" xfId="29997"/>
    <cellStyle name="Input 2 78 3" xfId="8221"/>
    <cellStyle name="Input 2 78 4" xfId="17113"/>
    <cellStyle name="Input 2 78 4 2" xfId="29998"/>
    <cellStyle name="Input 2 78 5" xfId="29999"/>
    <cellStyle name="Input 2 78 6" xfId="30000"/>
    <cellStyle name="Input 2 78 7" xfId="30001"/>
    <cellStyle name="Input 2 79" xfId="438"/>
    <cellStyle name="Input 2 79 2" xfId="6215"/>
    <cellStyle name="Input 2 79 2 2" xfId="10708"/>
    <cellStyle name="Input 2 79 2 3" xfId="17114"/>
    <cellStyle name="Input 2 79 2 3 2" xfId="30002"/>
    <cellStyle name="Input 2 79 2 4" xfId="30003"/>
    <cellStyle name="Input 2 79 2 5" xfId="30004"/>
    <cellStyle name="Input 2 79 2 6" xfId="30005"/>
    <cellStyle name="Input 2 79 3" xfId="8222"/>
    <cellStyle name="Input 2 79 4" xfId="17115"/>
    <cellStyle name="Input 2 79 4 2" xfId="30006"/>
    <cellStyle name="Input 2 79 5" xfId="30007"/>
    <cellStyle name="Input 2 79 6" xfId="30008"/>
    <cellStyle name="Input 2 79 7" xfId="30009"/>
    <cellStyle name="Input 2 8" xfId="439"/>
    <cellStyle name="Input 2 8 2" xfId="6216"/>
    <cellStyle name="Input 2 8 2 2" xfId="10709"/>
    <cellStyle name="Input 2 8 2 3" xfId="17116"/>
    <cellStyle name="Input 2 8 2 3 2" xfId="30010"/>
    <cellStyle name="Input 2 8 2 4" xfId="30011"/>
    <cellStyle name="Input 2 8 2 5" xfId="30012"/>
    <cellStyle name="Input 2 8 2 6" xfId="30013"/>
    <cellStyle name="Input 2 8 3" xfId="8223"/>
    <cellStyle name="Input 2 8 4" xfId="17117"/>
    <cellStyle name="Input 2 8 4 2" xfId="30014"/>
    <cellStyle name="Input 2 8 5" xfId="30015"/>
    <cellStyle name="Input 2 8 6" xfId="30016"/>
    <cellStyle name="Input 2 8 7" xfId="30017"/>
    <cellStyle name="Input 2 80" xfId="6217"/>
    <cellStyle name="Input 2 80 2" xfId="10632"/>
    <cellStyle name="Input 2 80 3" xfId="17118"/>
    <cellStyle name="Input 2 80 3 2" xfId="30018"/>
    <cellStyle name="Input 2 80 4" xfId="30019"/>
    <cellStyle name="Input 2 80 5" xfId="30020"/>
    <cellStyle name="Input 2 80 6" xfId="30021"/>
    <cellStyle name="Input 2 81" xfId="8146"/>
    <cellStyle name="Input 2 82" xfId="17119"/>
    <cellStyle name="Input 2 82 2" xfId="30022"/>
    <cellStyle name="Input 2 83" xfId="30023"/>
    <cellStyle name="Input 2 84" xfId="30024"/>
    <cellStyle name="Input 2 85" xfId="30025"/>
    <cellStyle name="Input 2 9" xfId="440"/>
    <cellStyle name="Input 2 9 2" xfId="6218"/>
    <cellStyle name="Input 2 9 2 2" xfId="10710"/>
    <cellStyle name="Input 2 9 2 3" xfId="17120"/>
    <cellStyle name="Input 2 9 2 3 2" xfId="30026"/>
    <cellStyle name="Input 2 9 2 4" xfId="30027"/>
    <cellStyle name="Input 2 9 2 5" xfId="30028"/>
    <cellStyle name="Input 2 9 2 6" xfId="30029"/>
    <cellStyle name="Input 2 9 3" xfId="8224"/>
    <cellStyle name="Input 2 9 4" xfId="17121"/>
    <cellStyle name="Input 2 9 4 2" xfId="30030"/>
    <cellStyle name="Input 2 9 5" xfId="30031"/>
    <cellStyle name="Input 2 9 6" xfId="30032"/>
    <cellStyle name="Input 2 9 7" xfId="30033"/>
    <cellStyle name="Input 20" xfId="17122"/>
    <cellStyle name="Input 20 2" xfId="30034"/>
    <cellStyle name="Input 21" xfId="30035"/>
    <cellStyle name="Input 22" xfId="30036"/>
    <cellStyle name="Input 23" xfId="30037"/>
    <cellStyle name="Input 3" xfId="441"/>
    <cellStyle name="Input 3 2" xfId="6219"/>
    <cellStyle name="Input 3 2 2" xfId="10711"/>
    <cellStyle name="Input 3 2 3" xfId="17123"/>
    <cellStyle name="Input 3 2 3 2" xfId="30038"/>
    <cellStyle name="Input 3 2 4" xfId="30039"/>
    <cellStyle name="Input 3 2 5" xfId="30040"/>
    <cellStyle name="Input 3 2 6" xfId="30041"/>
    <cellStyle name="Input 3 3" xfId="8225"/>
    <cellStyle name="Input 3 4" xfId="17124"/>
    <cellStyle name="Input 3 4 2" xfId="30042"/>
    <cellStyle name="Input 3 5" xfId="30043"/>
    <cellStyle name="Input 3 6" xfId="30044"/>
    <cellStyle name="Input 3 7" xfId="30045"/>
    <cellStyle name="Input 4" xfId="442"/>
    <cellStyle name="Input 4 2" xfId="6220"/>
    <cellStyle name="Input 4 2 2" xfId="10712"/>
    <cellStyle name="Input 4 2 3" xfId="17125"/>
    <cellStyle name="Input 4 2 3 2" xfId="30046"/>
    <cellStyle name="Input 4 2 4" xfId="30047"/>
    <cellStyle name="Input 4 2 5" xfId="30048"/>
    <cellStyle name="Input 4 2 6" xfId="30049"/>
    <cellStyle name="Input 4 3" xfId="8226"/>
    <cellStyle name="Input 4 4" xfId="17126"/>
    <cellStyle name="Input 4 4 2" xfId="30050"/>
    <cellStyle name="Input 4 5" xfId="30051"/>
    <cellStyle name="Input 4 6" xfId="30052"/>
    <cellStyle name="Input 4 7" xfId="30053"/>
    <cellStyle name="Input 5" xfId="443"/>
    <cellStyle name="Input 5 2" xfId="6221"/>
    <cellStyle name="Input 5 2 2" xfId="10713"/>
    <cellStyle name="Input 5 2 3" xfId="17127"/>
    <cellStyle name="Input 5 2 3 2" xfId="30054"/>
    <cellStyle name="Input 5 2 4" xfId="30055"/>
    <cellStyle name="Input 5 2 5" xfId="30056"/>
    <cellStyle name="Input 5 2 6" xfId="30057"/>
    <cellStyle name="Input 5 3" xfId="8227"/>
    <cellStyle name="Input 5 4" xfId="17128"/>
    <cellStyle name="Input 5 4 2" xfId="30058"/>
    <cellStyle name="Input 5 5" xfId="30059"/>
    <cellStyle name="Input 5 6" xfId="30060"/>
    <cellStyle name="Input 5 7" xfId="30061"/>
    <cellStyle name="Input 6" xfId="444"/>
    <cellStyle name="Input 6 2" xfId="6222"/>
    <cellStyle name="Input 6 2 2" xfId="10714"/>
    <cellStyle name="Input 6 2 3" xfId="17129"/>
    <cellStyle name="Input 6 2 3 2" xfId="30062"/>
    <cellStyle name="Input 6 2 4" xfId="30063"/>
    <cellStyle name="Input 6 2 5" xfId="30064"/>
    <cellStyle name="Input 6 2 6" xfId="30065"/>
    <cellStyle name="Input 6 3" xfId="8228"/>
    <cellStyle name="Input 6 4" xfId="17130"/>
    <cellStyle name="Input 6 4 2" xfId="30066"/>
    <cellStyle name="Input 6 5" xfId="30067"/>
    <cellStyle name="Input 6 6" xfId="30068"/>
    <cellStyle name="Input 6 7" xfId="30069"/>
    <cellStyle name="Input 7" xfId="445"/>
    <cellStyle name="Input 7 2" xfId="6223"/>
    <cellStyle name="Input 7 2 2" xfId="10715"/>
    <cellStyle name="Input 7 2 3" xfId="17131"/>
    <cellStyle name="Input 7 2 3 2" xfId="30070"/>
    <cellStyle name="Input 7 2 4" xfId="30071"/>
    <cellStyle name="Input 7 2 5" xfId="30072"/>
    <cellStyle name="Input 7 2 6" xfId="30073"/>
    <cellStyle name="Input 7 3" xfId="8229"/>
    <cellStyle name="Input 7 4" xfId="17132"/>
    <cellStyle name="Input 7 4 2" xfId="30074"/>
    <cellStyle name="Input 7 5" xfId="30075"/>
    <cellStyle name="Input 7 6" xfId="30076"/>
    <cellStyle name="Input 7 7" xfId="30077"/>
    <cellStyle name="Input 8" xfId="446"/>
    <cellStyle name="Input 8 2" xfId="6224"/>
    <cellStyle name="Input 8 2 2" xfId="10716"/>
    <cellStyle name="Input 8 2 3" xfId="17133"/>
    <cellStyle name="Input 8 2 3 2" xfId="30078"/>
    <cellStyle name="Input 8 2 4" xfId="30079"/>
    <cellStyle name="Input 8 2 5" xfId="30080"/>
    <cellStyle name="Input 8 2 6" xfId="30081"/>
    <cellStyle name="Input 8 3" xfId="8230"/>
    <cellStyle name="Input 8 4" xfId="17134"/>
    <cellStyle name="Input 8 4 2" xfId="30082"/>
    <cellStyle name="Input 8 5" xfId="30083"/>
    <cellStyle name="Input 8 6" xfId="30084"/>
    <cellStyle name="Input 8 7" xfId="30085"/>
    <cellStyle name="Input 9" xfId="447"/>
    <cellStyle name="Input 9 2" xfId="6225"/>
    <cellStyle name="Input 9 2 2" xfId="10717"/>
    <cellStyle name="Input 9 2 3" xfId="17135"/>
    <cellStyle name="Input 9 2 3 2" xfId="30086"/>
    <cellStyle name="Input 9 2 4" xfId="30087"/>
    <cellStyle name="Input 9 2 5" xfId="30088"/>
    <cellStyle name="Input 9 2 6" xfId="30089"/>
    <cellStyle name="Input 9 3" xfId="8231"/>
    <cellStyle name="Input 9 4" xfId="17136"/>
    <cellStyle name="Input 9 4 2" xfId="30090"/>
    <cellStyle name="Input 9 5" xfId="30091"/>
    <cellStyle name="Input 9 6" xfId="30092"/>
    <cellStyle name="Input 9 7" xfId="30093"/>
    <cellStyle name="Invoer 2" xfId="448"/>
    <cellStyle name="Invoer 2 10" xfId="449"/>
    <cellStyle name="Invoer 2 10 2" xfId="6226"/>
    <cellStyle name="Invoer 2 10 2 2" xfId="10719"/>
    <cellStyle name="Invoer 2 10 2 3" xfId="17137"/>
    <cellStyle name="Invoer 2 10 2 3 2" xfId="30094"/>
    <cellStyle name="Invoer 2 10 2 4" xfId="30095"/>
    <cellStyle name="Invoer 2 10 2 5" xfId="30096"/>
    <cellStyle name="Invoer 2 10 2 6" xfId="30097"/>
    <cellStyle name="Invoer 2 10 3" xfId="8233"/>
    <cellStyle name="Invoer 2 10 4" xfId="17138"/>
    <cellStyle name="Invoer 2 10 4 2" xfId="30098"/>
    <cellStyle name="Invoer 2 10 5" xfId="30099"/>
    <cellStyle name="Invoer 2 10 6" xfId="30100"/>
    <cellStyle name="Invoer 2 10 7" xfId="30101"/>
    <cellStyle name="Invoer 2 11" xfId="450"/>
    <cellStyle name="Invoer 2 11 2" xfId="6227"/>
    <cellStyle name="Invoer 2 11 2 2" xfId="10720"/>
    <cellStyle name="Invoer 2 11 2 3" xfId="17139"/>
    <cellStyle name="Invoer 2 11 2 3 2" xfId="30102"/>
    <cellStyle name="Invoer 2 11 2 4" xfId="30103"/>
    <cellStyle name="Invoer 2 11 2 5" xfId="30104"/>
    <cellStyle name="Invoer 2 11 2 6" xfId="30105"/>
    <cellStyle name="Invoer 2 11 3" xfId="8234"/>
    <cellStyle name="Invoer 2 11 4" xfId="17140"/>
    <cellStyle name="Invoer 2 11 4 2" xfId="30106"/>
    <cellStyle name="Invoer 2 11 5" xfId="30107"/>
    <cellStyle name="Invoer 2 11 6" xfId="30108"/>
    <cellStyle name="Invoer 2 11 7" xfId="30109"/>
    <cellStyle name="Invoer 2 12" xfId="451"/>
    <cellStyle name="Invoer 2 12 2" xfId="6228"/>
    <cellStyle name="Invoer 2 12 2 2" xfId="10721"/>
    <cellStyle name="Invoer 2 12 2 3" xfId="17141"/>
    <cellStyle name="Invoer 2 12 2 3 2" xfId="30110"/>
    <cellStyle name="Invoer 2 12 2 4" xfId="30111"/>
    <cellStyle name="Invoer 2 12 2 5" xfId="30112"/>
    <cellStyle name="Invoer 2 12 2 6" xfId="30113"/>
    <cellStyle name="Invoer 2 12 3" xfId="8235"/>
    <cellStyle name="Invoer 2 12 4" xfId="17142"/>
    <cellStyle name="Invoer 2 12 4 2" xfId="30114"/>
    <cellStyle name="Invoer 2 12 5" xfId="30115"/>
    <cellStyle name="Invoer 2 12 6" xfId="30116"/>
    <cellStyle name="Invoer 2 12 7" xfId="30117"/>
    <cellStyle name="Invoer 2 13" xfId="452"/>
    <cellStyle name="Invoer 2 13 2" xfId="6229"/>
    <cellStyle name="Invoer 2 13 2 2" xfId="10722"/>
    <cellStyle name="Invoer 2 13 2 3" xfId="17143"/>
    <cellStyle name="Invoer 2 13 2 3 2" xfId="30118"/>
    <cellStyle name="Invoer 2 13 2 4" xfId="30119"/>
    <cellStyle name="Invoer 2 13 2 5" xfId="30120"/>
    <cellStyle name="Invoer 2 13 2 6" xfId="30121"/>
    <cellStyle name="Invoer 2 13 3" xfId="8236"/>
    <cellStyle name="Invoer 2 13 4" xfId="17144"/>
    <cellStyle name="Invoer 2 13 4 2" xfId="30122"/>
    <cellStyle name="Invoer 2 13 5" xfId="30123"/>
    <cellStyle name="Invoer 2 13 6" xfId="30124"/>
    <cellStyle name="Invoer 2 13 7" xfId="30125"/>
    <cellStyle name="Invoer 2 14" xfId="453"/>
    <cellStyle name="Invoer 2 14 2" xfId="6230"/>
    <cellStyle name="Invoer 2 14 2 2" xfId="10723"/>
    <cellStyle name="Invoer 2 14 2 3" xfId="17145"/>
    <cellStyle name="Invoer 2 14 2 3 2" xfId="30126"/>
    <cellStyle name="Invoer 2 14 2 4" xfId="30127"/>
    <cellStyle name="Invoer 2 14 2 5" xfId="30128"/>
    <cellStyle name="Invoer 2 14 2 6" xfId="30129"/>
    <cellStyle name="Invoer 2 14 3" xfId="8237"/>
    <cellStyle name="Invoer 2 14 4" xfId="17146"/>
    <cellStyle name="Invoer 2 14 4 2" xfId="30130"/>
    <cellStyle name="Invoer 2 14 5" xfId="30131"/>
    <cellStyle name="Invoer 2 14 6" xfId="30132"/>
    <cellStyle name="Invoer 2 14 7" xfId="30133"/>
    <cellStyle name="Invoer 2 15" xfId="454"/>
    <cellStyle name="Invoer 2 15 2" xfId="6231"/>
    <cellStyle name="Invoer 2 15 2 2" xfId="10724"/>
    <cellStyle name="Invoer 2 15 2 3" xfId="17147"/>
    <cellStyle name="Invoer 2 15 2 3 2" xfId="30134"/>
    <cellStyle name="Invoer 2 15 2 4" xfId="30135"/>
    <cellStyle name="Invoer 2 15 2 5" xfId="30136"/>
    <cellStyle name="Invoer 2 15 2 6" xfId="30137"/>
    <cellStyle name="Invoer 2 15 3" xfId="8238"/>
    <cellStyle name="Invoer 2 15 4" xfId="17148"/>
    <cellStyle name="Invoer 2 15 4 2" xfId="30138"/>
    <cellStyle name="Invoer 2 15 5" xfId="30139"/>
    <cellStyle name="Invoer 2 15 6" xfId="30140"/>
    <cellStyle name="Invoer 2 15 7" xfId="30141"/>
    <cellStyle name="Invoer 2 16" xfId="455"/>
    <cellStyle name="Invoer 2 16 2" xfId="6232"/>
    <cellStyle name="Invoer 2 16 2 2" xfId="10725"/>
    <cellStyle name="Invoer 2 16 2 3" xfId="17149"/>
    <cellStyle name="Invoer 2 16 2 3 2" xfId="30142"/>
    <cellStyle name="Invoer 2 16 2 4" xfId="30143"/>
    <cellStyle name="Invoer 2 16 2 5" xfId="30144"/>
    <cellStyle name="Invoer 2 16 2 6" xfId="30145"/>
    <cellStyle name="Invoer 2 16 3" xfId="8239"/>
    <cellStyle name="Invoer 2 16 4" xfId="17150"/>
    <cellStyle name="Invoer 2 16 4 2" xfId="30146"/>
    <cellStyle name="Invoer 2 16 5" xfId="30147"/>
    <cellStyle name="Invoer 2 16 6" xfId="30148"/>
    <cellStyle name="Invoer 2 16 7" xfId="30149"/>
    <cellStyle name="Invoer 2 17" xfId="456"/>
    <cellStyle name="Invoer 2 17 2" xfId="6233"/>
    <cellStyle name="Invoer 2 17 2 2" xfId="10726"/>
    <cellStyle name="Invoer 2 17 2 3" xfId="17151"/>
    <cellStyle name="Invoer 2 17 2 3 2" xfId="30150"/>
    <cellStyle name="Invoer 2 17 2 4" xfId="30151"/>
    <cellStyle name="Invoer 2 17 2 5" xfId="30152"/>
    <cellStyle name="Invoer 2 17 2 6" xfId="30153"/>
    <cellStyle name="Invoer 2 17 3" xfId="8240"/>
    <cellStyle name="Invoer 2 17 4" xfId="17152"/>
    <cellStyle name="Invoer 2 17 4 2" xfId="30154"/>
    <cellStyle name="Invoer 2 17 5" xfId="30155"/>
    <cellStyle name="Invoer 2 17 6" xfId="30156"/>
    <cellStyle name="Invoer 2 17 7" xfId="30157"/>
    <cellStyle name="Invoer 2 18" xfId="6234"/>
    <cellStyle name="Invoer 2 18 2" xfId="10718"/>
    <cellStyle name="Invoer 2 18 3" xfId="17153"/>
    <cellStyle name="Invoer 2 18 3 2" xfId="30158"/>
    <cellStyle name="Invoer 2 18 4" xfId="30159"/>
    <cellStyle name="Invoer 2 18 5" xfId="30160"/>
    <cellStyle name="Invoer 2 18 6" xfId="30161"/>
    <cellStyle name="Invoer 2 19" xfId="8232"/>
    <cellStyle name="Invoer 2 2" xfId="457"/>
    <cellStyle name="Invoer 2 2 10" xfId="458"/>
    <cellStyle name="Invoer 2 2 10 2" xfId="6235"/>
    <cellStyle name="Invoer 2 2 10 2 2" xfId="10728"/>
    <cellStyle name="Invoer 2 2 10 2 3" xfId="17154"/>
    <cellStyle name="Invoer 2 2 10 2 3 2" xfId="30162"/>
    <cellStyle name="Invoer 2 2 10 2 4" xfId="30163"/>
    <cellStyle name="Invoer 2 2 10 2 5" xfId="30164"/>
    <cellStyle name="Invoer 2 2 10 2 6" xfId="30165"/>
    <cellStyle name="Invoer 2 2 10 3" xfId="8242"/>
    <cellStyle name="Invoer 2 2 10 4" xfId="17155"/>
    <cellStyle name="Invoer 2 2 10 4 2" xfId="30166"/>
    <cellStyle name="Invoer 2 2 10 5" xfId="30167"/>
    <cellStyle name="Invoer 2 2 10 6" xfId="30168"/>
    <cellStyle name="Invoer 2 2 10 7" xfId="30169"/>
    <cellStyle name="Invoer 2 2 11" xfId="459"/>
    <cellStyle name="Invoer 2 2 11 2" xfId="6236"/>
    <cellStyle name="Invoer 2 2 11 2 2" xfId="10729"/>
    <cellStyle name="Invoer 2 2 11 2 3" xfId="17156"/>
    <cellStyle name="Invoer 2 2 11 2 3 2" xfId="30170"/>
    <cellStyle name="Invoer 2 2 11 2 4" xfId="30171"/>
    <cellStyle name="Invoer 2 2 11 2 5" xfId="30172"/>
    <cellStyle name="Invoer 2 2 11 2 6" xfId="30173"/>
    <cellStyle name="Invoer 2 2 11 3" xfId="8243"/>
    <cellStyle name="Invoer 2 2 11 4" xfId="17157"/>
    <cellStyle name="Invoer 2 2 11 4 2" xfId="30174"/>
    <cellStyle name="Invoer 2 2 11 5" xfId="30175"/>
    <cellStyle name="Invoer 2 2 11 6" xfId="30176"/>
    <cellStyle name="Invoer 2 2 11 7" xfId="30177"/>
    <cellStyle name="Invoer 2 2 12" xfId="460"/>
    <cellStyle name="Invoer 2 2 12 2" xfId="6237"/>
    <cellStyle name="Invoer 2 2 12 2 2" xfId="10730"/>
    <cellStyle name="Invoer 2 2 12 2 3" xfId="17158"/>
    <cellStyle name="Invoer 2 2 12 2 3 2" xfId="30178"/>
    <cellStyle name="Invoer 2 2 12 2 4" xfId="30179"/>
    <cellStyle name="Invoer 2 2 12 2 5" xfId="30180"/>
    <cellStyle name="Invoer 2 2 12 2 6" xfId="30181"/>
    <cellStyle name="Invoer 2 2 12 3" xfId="8244"/>
    <cellStyle name="Invoer 2 2 12 4" xfId="17159"/>
    <cellStyle name="Invoer 2 2 12 4 2" xfId="30182"/>
    <cellStyle name="Invoer 2 2 12 5" xfId="30183"/>
    <cellStyle name="Invoer 2 2 12 6" xfId="30184"/>
    <cellStyle name="Invoer 2 2 12 7" xfId="30185"/>
    <cellStyle name="Invoer 2 2 13" xfId="461"/>
    <cellStyle name="Invoer 2 2 13 2" xfId="6238"/>
    <cellStyle name="Invoer 2 2 13 2 2" xfId="10731"/>
    <cellStyle name="Invoer 2 2 13 2 3" xfId="17160"/>
    <cellStyle name="Invoer 2 2 13 2 3 2" xfId="30186"/>
    <cellStyle name="Invoer 2 2 13 2 4" xfId="30187"/>
    <cellStyle name="Invoer 2 2 13 2 5" xfId="30188"/>
    <cellStyle name="Invoer 2 2 13 2 6" xfId="30189"/>
    <cellStyle name="Invoer 2 2 13 3" xfId="8245"/>
    <cellStyle name="Invoer 2 2 13 4" xfId="17161"/>
    <cellStyle name="Invoer 2 2 13 4 2" xfId="30190"/>
    <cellStyle name="Invoer 2 2 13 5" xfId="30191"/>
    <cellStyle name="Invoer 2 2 13 6" xfId="30192"/>
    <cellStyle name="Invoer 2 2 13 7" xfId="30193"/>
    <cellStyle name="Invoer 2 2 14" xfId="462"/>
    <cellStyle name="Invoer 2 2 14 2" xfId="6239"/>
    <cellStyle name="Invoer 2 2 14 2 2" xfId="10732"/>
    <cellStyle name="Invoer 2 2 14 2 3" xfId="17162"/>
    <cellStyle name="Invoer 2 2 14 2 3 2" xfId="30194"/>
    <cellStyle name="Invoer 2 2 14 2 4" xfId="30195"/>
    <cellStyle name="Invoer 2 2 14 2 5" xfId="30196"/>
    <cellStyle name="Invoer 2 2 14 2 6" xfId="30197"/>
    <cellStyle name="Invoer 2 2 14 3" xfId="8246"/>
    <cellStyle name="Invoer 2 2 14 4" xfId="17163"/>
    <cellStyle name="Invoer 2 2 14 4 2" xfId="30198"/>
    <cellStyle name="Invoer 2 2 14 5" xfId="30199"/>
    <cellStyle name="Invoer 2 2 14 6" xfId="30200"/>
    <cellStyle name="Invoer 2 2 14 7" xfId="30201"/>
    <cellStyle name="Invoer 2 2 15" xfId="463"/>
    <cellStyle name="Invoer 2 2 15 2" xfId="6240"/>
    <cellStyle name="Invoer 2 2 15 2 2" xfId="10733"/>
    <cellStyle name="Invoer 2 2 15 2 3" xfId="17164"/>
    <cellStyle name="Invoer 2 2 15 2 3 2" xfId="30202"/>
    <cellStyle name="Invoer 2 2 15 2 4" xfId="30203"/>
    <cellStyle name="Invoer 2 2 15 2 5" xfId="30204"/>
    <cellStyle name="Invoer 2 2 15 2 6" xfId="30205"/>
    <cellStyle name="Invoer 2 2 15 3" xfId="8247"/>
    <cellStyle name="Invoer 2 2 15 4" xfId="17165"/>
    <cellStyle name="Invoer 2 2 15 4 2" xfId="30206"/>
    <cellStyle name="Invoer 2 2 15 5" xfId="30207"/>
    <cellStyle name="Invoer 2 2 15 6" xfId="30208"/>
    <cellStyle name="Invoer 2 2 15 7" xfId="30209"/>
    <cellStyle name="Invoer 2 2 16" xfId="464"/>
    <cellStyle name="Invoer 2 2 16 2" xfId="6241"/>
    <cellStyle name="Invoer 2 2 16 2 2" xfId="10734"/>
    <cellStyle name="Invoer 2 2 16 2 3" xfId="17166"/>
    <cellStyle name="Invoer 2 2 16 2 3 2" xfId="30210"/>
    <cellStyle name="Invoer 2 2 16 2 4" xfId="30211"/>
    <cellStyle name="Invoer 2 2 16 2 5" xfId="30212"/>
    <cellStyle name="Invoer 2 2 16 2 6" xfId="30213"/>
    <cellStyle name="Invoer 2 2 16 3" xfId="8248"/>
    <cellStyle name="Invoer 2 2 16 4" xfId="17167"/>
    <cellStyle name="Invoer 2 2 16 4 2" xfId="30214"/>
    <cellStyle name="Invoer 2 2 16 5" xfId="30215"/>
    <cellStyle name="Invoer 2 2 16 6" xfId="30216"/>
    <cellStyle name="Invoer 2 2 16 7" xfId="30217"/>
    <cellStyle name="Invoer 2 2 17" xfId="465"/>
    <cellStyle name="Invoer 2 2 17 2" xfId="6242"/>
    <cellStyle name="Invoer 2 2 17 2 2" xfId="10735"/>
    <cellStyle name="Invoer 2 2 17 2 3" xfId="17168"/>
    <cellStyle name="Invoer 2 2 17 2 3 2" xfId="30218"/>
    <cellStyle name="Invoer 2 2 17 2 4" xfId="30219"/>
    <cellStyle name="Invoer 2 2 17 2 5" xfId="30220"/>
    <cellStyle name="Invoer 2 2 17 2 6" xfId="30221"/>
    <cellStyle name="Invoer 2 2 17 3" xfId="8249"/>
    <cellStyle name="Invoer 2 2 17 4" xfId="17169"/>
    <cellStyle name="Invoer 2 2 17 4 2" xfId="30222"/>
    <cellStyle name="Invoer 2 2 17 5" xfId="30223"/>
    <cellStyle name="Invoer 2 2 17 6" xfId="30224"/>
    <cellStyle name="Invoer 2 2 17 7" xfId="30225"/>
    <cellStyle name="Invoer 2 2 18" xfId="466"/>
    <cellStyle name="Invoer 2 2 18 2" xfId="6243"/>
    <cellStyle name="Invoer 2 2 18 2 2" xfId="10736"/>
    <cellStyle name="Invoer 2 2 18 2 3" xfId="17170"/>
    <cellStyle name="Invoer 2 2 18 2 3 2" xfId="30226"/>
    <cellStyle name="Invoer 2 2 18 2 4" xfId="30227"/>
    <cellStyle name="Invoer 2 2 18 2 5" xfId="30228"/>
    <cellStyle name="Invoer 2 2 18 2 6" xfId="30229"/>
    <cellStyle name="Invoer 2 2 18 3" xfId="8250"/>
    <cellStyle name="Invoer 2 2 18 4" xfId="17171"/>
    <cellStyle name="Invoer 2 2 18 4 2" xfId="30230"/>
    <cellStyle name="Invoer 2 2 18 5" xfId="30231"/>
    <cellStyle name="Invoer 2 2 18 6" xfId="30232"/>
    <cellStyle name="Invoer 2 2 18 7" xfId="30233"/>
    <cellStyle name="Invoer 2 2 19" xfId="467"/>
    <cellStyle name="Invoer 2 2 19 2" xfId="6244"/>
    <cellStyle name="Invoer 2 2 19 2 2" xfId="10737"/>
    <cellStyle name="Invoer 2 2 19 2 3" xfId="17172"/>
    <cellStyle name="Invoer 2 2 19 2 3 2" xfId="30234"/>
    <cellStyle name="Invoer 2 2 19 2 4" xfId="30235"/>
    <cellStyle name="Invoer 2 2 19 2 5" xfId="30236"/>
    <cellStyle name="Invoer 2 2 19 2 6" xfId="30237"/>
    <cellStyle name="Invoer 2 2 19 3" xfId="8251"/>
    <cellStyle name="Invoer 2 2 19 4" xfId="17173"/>
    <cellStyle name="Invoer 2 2 19 4 2" xfId="30238"/>
    <cellStyle name="Invoer 2 2 19 5" xfId="30239"/>
    <cellStyle name="Invoer 2 2 19 6" xfId="30240"/>
    <cellStyle name="Invoer 2 2 19 7" xfId="30241"/>
    <cellStyle name="Invoer 2 2 2" xfId="468"/>
    <cellStyle name="Invoer 2 2 2 2" xfId="6245"/>
    <cellStyle name="Invoer 2 2 2 2 2" xfId="10738"/>
    <cellStyle name="Invoer 2 2 2 2 3" xfId="17174"/>
    <cellStyle name="Invoer 2 2 2 2 3 2" xfId="30242"/>
    <cellStyle name="Invoer 2 2 2 2 4" xfId="30243"/>
    <cellStyle name="Invoer 2 2 2 2 5" xfId="30244"/>
    <cellStyle name="Invoer 2 2 2 2 6" xfId="30245"/>
    <cellStyle name="Invoer 2 2 2 3" xfId="8252"/>
    <cellStyle name="Invoer 2 2 2 4" xfId="17175"/>
    <cellStyle name="Invoer 2 2 2 4 2" xfId="30246"/>
    <cellStyle name="Invoer 2 2 2 5" xfId="30247"/>
    <cellStyle name="Invoer 2 2 2 6" xfId="30248"/>
    <cellStyle name="Invoer 2 2 2 7" xfId="30249"/>
    <cellStyle name="Invoer 2 2 20" xfId="469"/>
    <cellStyle name="Invoer 2 2 20 2" xfId="6246"/>
    <cellStyle name="Invoer 2 2 20 2 2" xfId="10739"/>
    <cellStyle name="Invoer 2 2 20 2 3" xfId="17176"/>
    <cellStyle name="Invoer 2 2 20 2 3 2" xfId="30250"/>
    <cellStyle name="Invoer 2 2 20 2 4" xfId="30251"/>
    <cellStyle name="Invoer 2 2 20 2 5" xfId="30252"/>
    <cellStyle name="Invoer 2 2 20 2 6" xfId="30253"/>
    <cellStyle name="Invoer 2 2 20 3" xfId="8253"/>
    <cellStyle name="Invoer 2 2 20 4" xfId="17177"/>
    <cellStyle name="Invoer 2 2 20 4 2" xfId="30254"/>
    <cellStyle name="Invoer 2 2 20 5" xfId="30255"/>
    <cellStyle name="Invoer 2 2 20 6" xfId="30256"/>
    <cellStyle name="Invoer 2 2 20 7" xfId="30257"/>
    <cellStyle name="Invoer 2 2 21" xfId="470"/>
    <cellStyle name="Invoer 2 2 21 2" xfId="6247"/>
    <cellStyle name="Invoer 2 2 21 2 2" xfId="10740"/>
    <cellStyle name="Invoer 2 2 21 2 3" xfId="17178"/>
    <cellStyle name="Invoer 2 2 21 2 3 2" xfId="30258"/>
    <cellStyle name="Invoer 2 2 21 2 4" xfId="30259"/>
    <cellStyle name="Invoer 2 2 21 2 5" xfId="30260"/>
    <cellStyle name="Invoer 2 2 21 2 6" xfId="30261"/>
    <cellStyle name="Invoer 2 2 21 3" xfId="8254"/>
    <cellStyle name="Invoer 2 2 21 4" xfId="17179"/>
    <cellStyle name="Invoer 2 2 21 4 2" xfId="30262"/>
    <cellStyle name="Invoer 2 2 21 5" xfId="30263"/>
    <cellStyle name="Invoer 2 2 21 6" xfId="30264"/>
    <cellStyle name="Invoer 2 2 21 7" xfId="30265"/>
    <cellStyle name="Invoer 2 2 22" xfId="471"/>
    <cellStyle name="Invoer 2 2 22 2" xfId="6248"/>
    <cellStyle name="Invoer 2 2 22 2 2" xfId="10741"/>
    <cellStyle name="Invoer 2 2 22 2 3" xfId="17180"/>
    <cellStyle name="Invoer 2 2 22 2 3 2" xfId="30266"/>
    <cellStyle name="Invoer 2 2 22 2 4" xfId="30267"/>
    <cellStyle name="Invoer 2 2 22 2 5" xfId="30268"/>
    <cellStyle name="Invoer 2 2 22 2 6" xfId="30269"/>
    <cellStyle name="Invoer 2 2 22 3" xfId="8255"/>
    <cellStyle name="Invoer 2 2 22 4" xfId="17181"/>
    <cellStyle name="Invoer 2 2 22 4 2" xfId="30270"/>
    <cellStyle name="Invoer 2 2 22 5" xfId="30271"/>
    <cellStyle name="Invoer 2 2 22 6" xfId="30272"/>
    <cellStyle name="Invoer 2 2 22 7" xfId="30273"/>
    <cellStyle name="Invoer 2 2 23" xfId="472"/>
    <cellStyle name="Invoer 2 2 23 2" xfId="6249"/>
    <cellStyle name="Invoer 2 2 23 2 2" xfId="10742"/>
    <cellStyle name="Invoer 2 2 23 2 3" xfId="17182"/>
    <cellStyle name="Invoer 2 2 23 2 3 2" xfId="30274"/>
    <cellStyle name="Invoer 2 2 23 2 4" xfId="30275"/>
    <cellStyle name="Invoer 2 2 23 2 5" xfId="30276"/>
    <cellStyle name="Invoer 2 2 23 2 6" xfId="30277"/>
    <cellStyle name="Invoer 2 2 23 3" xfId="8256"/>
    <cellStyle name="Invoer 2 2 23 4" xfId="17183"/>
    <cellStyle name="Invoer 2 2 23 4 2" xfId="30278"/>
    <cellStyle name="Invoer 2 2 23 5" xfId="30279"/>
    <cellStyle name="Invoer 2 2 23 6" xfId="30280"/>
    <cellStyle name="Invoer 2 2 23 7" xfId="30281"/>
    <cellStyle name="Invoer 2 2 24" xfId="473"/>
    <cellStyle name="Invoer 2 2 24 2" xfId="6250"/>
    <cellStyle name="Invoer 2 2 24 2 2" xfId="10743"/>
    <cellStyle name="Invoer 2 2 24 2 3" xfId="17184"/>
    <cellStyle name="Invoer 2 2 24 2 3 2" xfId="30282"/>
    <cellStyle name="Invoer 2 2 24 2 4" xfId="30283"/>
    <cellStyle name="Invoer 2 2 24 2 5" xfId="30284"/>
    <cellStyle name="Invoer 2 2 24 2 6" xfId="30285"/>
    <cellStyle name="Invoer 2 2 24 3" xfId="8257"/>
    <cellStyle name="Invoer 2 2 24 4" xfId="17185"/>
    <cellStyle name="Invoer 2 2 24 4 2" xfId="30286"/>
    <cellStyle name="Invoer 2 2 24 5" xfId="30287"/>
    <cellStyle name="Invoer 2 2 24 6" xfId="30288"/>
    <cellStyle name="Invoer 2 2 24 7" xfId="30289"/>
    <cellStyle name="Invoer 2 2 25" xfId="474"/>
    <cellStyle name="Invoer 2 2 25 2" xfId="6251"/>
    <cellStyle name="Invoer 2 2 25 2 2" xfId="10744"/>
    <cellStyle name="Invoer 2 2 25 2 3" xfId="17186"/>
    <cellStyle name="Invoer 2 2 25 2 3 2" xfId="30290"/>
    <cellStyle name="Invoer 2 2 25 2 4" xfId="30291"/>
    <cellStyle name="Invoer 2 2 25 2 5" xfId="30292"/>
    <cellStyle name="Invoer 2 2 25 2 6" xfId="30293"/>
    <cellStyle name="Invoer 2 2 25 3" xfId="8258"/>
    <cellStyle name="Invoer 2 2 25 4" xfId="17187"/>
    <cellStyle name="Invoer 2 2 25 4 2" xfId="30294"/>
    <cellStyle name="Invoer 2 2 25 5" xfId="30295"/>
    <cellStyle name="Invoer 2 2 25 6" xfId="30296"/>
    <cellStyle name="Invoer 2 2 25 7" xfId="30297"/>
    <cellStyle name="Invoer 2 2 26" xfId="475"/>
    <cellStyle name="Invoer 2 2 26 2" xfId="6252"/>
    <cellStyle name="Invoer 2 2 26 2 2" xfId="10745"/>
    <cellStyle name="Invoer 2 2 26 2 3" xfId="17188"/>
    <cellStyle name="Invoer 2 2 26 2 3 2" xfId="30298"/>
    <cellStyle name="Invoer 2 2 26 2 4" xfId="30299"/>
    <cellStyle name="Invoer 2 2 26 2 5" xfId="30300"/>
    <cellStyle name="Invoer 2 2 26 2 6" xfId="30301"/>
    <cellStyle name="Invoer 2 2 26 3" xfId="8259"/>
    <cellStyle name="Invoer 2 2 26 4" xfId="17189"/>
    <cellStyle name="Invoer 2 2 26 4 2" xfId="30302"/>
    <cellStyle name="Invoer 2 2 26 5" xfId="30303"/>
    <cellStyle name="Invoer 2 2 26 6" xfId="30304"/>
    <cellStyle name="Invoer 2 2 26 7" xfId="30305"/>
    <cellStyle name="Invoer 2 2 27" xfId="476"/>
    <cellStyle name="Invoer 2 2 27 2" xfId="6253"/>
    <cellStyle name="Invoer 2 2 27 2 2" xfId="10746"/>
    <cellStyle name="Invoer 2 2 27 2 3" xfId="17190"/>
    <cellStyle name="Invoer 2 2 27 2 3 2" xfId="30306"/>
    <cellStyle name="Invoer 2 2 27 2 4" xfId="30307"/>
    <cellStyle name="Invoer 2 2 27 2 5" xfId="30308"/>
    <cellStyle name="Invoer 2 2 27 2 6" xfId="30309"/>
    <cellStyle name="Invoer 2 2 27 3" xfId="8260"/>
    <cellStyle name="Invoer 2 2 27 4" xfId="17191"/>
    <cellStyle name="Invoer 2 2 27 4 2" xfId="30310"/>
    <cellStyle name="Invoer 2 2 27 5" xfId="30311"/>
    <cellStyle name="Invoer 2 2 27 6" xfId="30312"/>
    <cellStyle name="Invoer 2 2 27 7" xfId="30313"/>
    <cellStyle name="Invoer 2 2 28" xfId="477"/>
    <cellStyle name="Invoer 2 2 28 2" xfId="6254"/>
    <cellStyle name="Invoer 2 2 28 2 2" xfId="10747"/>
    <cellStyle name="Invoer 2 2 28 2 3" xfId="17192"/>
    <cellStyle name="Invoer 2 2 28 2 3 2" xfId="30314"/>
    <cellStyle name="Invoer 2 2 28 2 4" xfId="30315"/>
    <cellStyle name="Invoer 2 2 28 2 5" xfId="30316"/>
    <cellStyle name="Invoer 2 2 28 2 6" xfId="30317"/>
    <cellStyle name="Invoer 2 2 28 3" xfId="8261"/>
    <cellStyle name="Invoer 2 2 28 4" xfId="17193"/>
    <cellStyle name="Invoer 2 2 28 4 2" xfId="30318"/>
    <cellStyle name="Invoer 2 2 28 5" xfId="30319"/>
    <cellStyle name="Invoer 2 2 28 6" xfId="30320"/>
    <cellStyle name="Invoer 2 2 28 7" xfId="30321"/>
    <cellStyle name="Invoer 2 2 29" xfId="478"/>
    <cellStyle name="Invoer 2 2 29 2" xfId="6255"/>
    <cellStyle name="Invoer 2 2 29 2 2" xfId="10748"/>
    <cellStyle name="Invoer 2 2 29 2 3" xfId="17194"/>
    <cellStyle name="Invoer 2 2 29 2 3 2" xfId="30322"/>
    <cellStyle name="Invoer 2 2 29 2 4" xfId="30323"/>
    <cellStyle name="Invoer 2 2 29 2 5" xfId="30324"/>
    <cellStyle name="Invoer 2 2 29 2 6" xfId="30325"/>
    <cellStyle name="Invoer 2 2 29 3" xfId="8262"/>
    <cellStyle name="Invoer 2 2 29 4" xfId="17195"/>
    <cellStyle name="Invoer 2 2 29 4 2" xfId="30326"/>
    <cellStyle name="Invoer 2 2 29 5" xfId="30327"/>
    <cellStyle name="Invoer 2 2 29 6" xfId="30328"/>
    <cellStyle name="Invoer 2 2 29 7" xfId="30329"/>
    <cellStyle name="Invoer 2 2 3" xfId="479"/>
    <cellStyle name="Invoer 2 2 3 2" xfId="6256"/>
    <cellStyle name="Invoer 2 2 3 2 2" xfId="10749"/>
    <cellStyle name="Invoer 2 2 3 2 3" xfId="17196"/>
    <cellStyle name="Invoer 2 2 3 2 3 2" xfId="30330"/>
    <cellStyle name="Invoer 2 2 3 2 4" xfId="30331"/>
    <cellStyle name="Invoer 2 2 3 2 5" xfId="30332"/>
    <cellStyle name="Invoer 2 2 3 2 6" xfId="30333"/>
    <cellStyle name="Invoer 2 2 3 3" xfId="8263"/>
    <cellStyle name="Invoer 2 2 3 4" xfId="17197"/>
    <cellStyle name="Invoer 2 2 3 4 2" xfId="30334"/>
    <cellStyle name="Invoer 2 2 3 5" xfId="30335"/>
    <cellStyle name="Invoer 2 2 3 6" xfId="30336"/>
    <cellStyle name="Invoer 2 2 3 7" xfId="30337"/>
    <cellStyle name="Invoer 2 2 30" xfId="480"/>
    <cellStyle name="Invoer 2 2 30 2" xfId="6257"/>
    <cellStyle name="Invoer 2 2 30 2 2" xfId="10750"/>
    <cellStyle name="Invoer 2 2 30 2 3" xfId="17198"/>
    <cellStyle name="Invoer 2 2 30 2 3 2" xfId="30338"/>
    <cellStyle name="Invoer 2 2 30 2 4" xfId="30339"/>
    <cellStyle name="Invoer 2 2 30 2 5" xfId="30340"/>
    <cellStyle name="Invoer 2 2 30 2 6" xfId="30341"/>
    <cellStyle name="Invoer 2 2 30 3" xfId="8264"/>
    <cellStyle name="Invoer 2 2 30 4" xfId="17199"/>
    <cellStyle name="Invoer 2 2 30 4 2" xfId="30342"/>
    <cellStyle name="Invoer 2 2 30 5" xfId="30343"/>
    <cellStyle name="Invoer 2 2 30 6" xfId="30344"/>
    <cellStyle name="Invoer 2 2 30 7" xfId="30345"/>
    <cellStyle name="Invoer 2 2 31" xfId="481"/>
    <cellStyle name="Invoer 2 2 31 2" xfId="6258"/>
    <cellStyle name="Invoer 2 2 31 2 2" xfId="10751"/>
    <cellStyle name="Invoer 2 2 31 2 3" xfId="17200"/>
    <cellStyle name="Invoer 2 2 31 2 3 2" xfId="30346"/>
    <cellStyle name="Invoer 2 2 31 2 4" xfId="30347"/>
    <cellStyle name="Invoer 2 2 31 2 5" xfId="30348"/>
    <cellStyle name="Invoer 2 2 31 2 6" xfId="30349"/>
    <cellStyle name="Invoer 2 2 31 3" xfId="8265"/>
    <cellStyle name="Invoer 2 2 31 4" xfId="17201"/>
    <cellStyle name="Invoer 2 2 31 4 2" xfId="30350"/>
    <cellStyle name="Invoer 2 2 31 5" xfId="30351"/>
    <cellStyle name="Invoer 2 2 31 6" xfId="30352"/>
    <cellStyle name="Invoer 2 2 31 7" xfId="30353"/>
    <cellStyle name="Invoer 2 2 32" xfId="482"/>
    <cellStyle name="Invoer 2 2 32 2" xfId="6259"/>
    <cellStyle name="Invoer 2 2 32 2 2" xfId="10752"/>
    <cellStyle name="Invoer 2 2 32 2 3" xfId="17202"/>
    <cellStyle name="Invoer 2 2 32 2 3 2" xfId="30354"/>
    <cellStyle name="Invoer 2 2 32 2 4" xfId="30355"/>
    <cellStyle name="Invoer 2 2 32 2 5" xfId="30356"/>
    <cellStyle name="Invoer 2 2 32 2 6" xfId="30357"/>
    <cellStyle name="Invoer 2 2 32 3" xfId="8266"/>
    <cellStyle name="Invoer 2 2 32 4" xfId="17203"/>
    <cellStyle name="Invoer 2 2 32 4 2" xfId="30358"/>
    <cellStyle name="Invoer 2 2 32 5" xfId="30359"/>
    <cellStyle name="Invoer 2 2 32 6" xfId="30360"/>
    <cellStyle name="Invoer 2 2 32 7" xfId="30361"/>
    <cellStyle name="Invoer 2 2 33" xfId="483"/>
    <cellStyle name="Invoer 2 2 33 2" xfId="6260"/>
    <cellStyle name="Invoer 2 2 33 2 2" xfId="10753"/>
    <cellStyle name="Invoer 2 2 33 2 3" xfId="17204"/>
    <cellStyle name="Invoer 2 2 33 2 3 2" xfId="30362"/>
    <cellStyle name="Invoer 2 2 33 2 4" xfId="30363"/>
    <cellStyle name="Invoer 2 2 33 2 5" xfId="30364"/>
    <cellStyle name="Invoer 2 2 33 2 6" xfId="30365"/>
    <cellStyle name="Invoer 2 2 33 3" xfId="8267"/>
    <cellStyle name="Invoer 2 2 33 4" xfId="17205"/>
    <cellStyle name="Invoer 2 2 33 4 2" xfId="30366"/>
    <cellStyle name="Invoer 2 2 33 5" xfId="30367"/>
    <cellStyle name="Invoer 2 2 33 6" xfId="30368"/>
    <cellStyle name="Invoer 2 2 33 7" xfId="30369"/>
    <cellStyle name="Invoer 2 2 34" xfId="484"/>
    <cellStyle name="Invoer 2 2 34 2" xfId="6261"/>
    <cellStyle name="Invoer 2 2 34 2 2" xfId="10754"/>
    <cellStyle name="Invoer 2 2 34 2 3" xfId="17206"/>
    <cellStyle name="Invoer 2 2 34 2 3 2" xfId="30370"/>
    <cellStyle name="Invoer 2 2 34 2 4" xfId="30371"/>
    <cellStyle name="Invoer 2 2 34 2 5" xfId="30372"/>
    <cellStyle name="Invoer 2 2 34 2 6" xfId="30373"/>
    <cellStyle name="Invoer 2 2 34 3" xfId="8268"/>
    <cellStyle name="Invoer 2 2 34 4" xfId="17207"/>
    <cellStyle name="Invoer 2 2 34 4 2" xfId="30374"/>
    <cellStyle name="Invoer 2 2 34 5" xfId="30375"/>
    <cellStyle name="Invoer 2 2 34 6" xfId="30376"/>
    <cellStyle name="Invoer 2 2 34 7" xfId="30377"/>
    <cellStyle name="Invoer 2 2 35" xfId="485"/>
    <cellStyle name="Invoer 2 2 35 2" xfId="6262"/>
    <cellStyle name="Invoer 2 2 35 2 2" xfId="10755"/>
    <cellStyle name="Invoer 2 2 35 2 3" xfId="17208"/>
    <cellStyle name="Invoer 2 2 35 2 3 2" xfId="30378"/>
    <cellStyle name="Invoer 2 2 35 2 4" xfId="30379"/>
    <cellStyle name="Invoer 2 2 35 2 5" xfId="30380"/>
    <cellStyle name="Invoer 2 2 35 2 6" xfId="30381"/>
    <cellStyle name="Invoer 2 2 35 3" xfId="8269"/>
    <cellStyle name="Invoer 2 2 35 4" xfId="17209"/>
    <cellStyle name="Invoer 2 2 35 4 2" xfId="30382"/>
    <cellStyle name="Invoer 2 2 35 5" xfId="30383"/>
    <cellStyle name="Invoer 2 2 35 6" xfId="30384"/>
    <cellStyle name="Invoer 2 2 35 7" xfId="30385"/>
    <cellStyle name="Invoer 2 2 36" xfId="486"/>
    <cellStyle name="Invoer 2 2 36 2" xfId="6263"/>
    <cellStyle name="Invoer 2 2 36 2 2" xfId="10756"/>
    <cellStyle name="Invoer 2 2 36 2 3" xfId="17210"/>
    <cellStyle name="Invoer 2 2 36 2 3 2" xfId="30386"/>
    <cellStyle name="Invoer 2 2 36 2 4" xfId="30387"/>
    <cellStyle name="Invoer 2 2 36 2 5" xfId="30388"/>
    <cellStyle name="Invoer 2 2 36 2 6" xfId="30389"/>
    <cellStyle name="Invoer 2 2 36 3" xfId="8270"/>
    <cellStyle name="Invoer 2 2 36 4" xfId="17211"/>
    <cellStyle name="Invoer 2 2 36 4 2" xfId="30390"/>
    <cellStyle name="Invoer 2 2 36 5" xfId="30391"/>
    <cellStyle name="Invoer 2 2 36 6" xfId="30392"/>
    <cellStyle name="Invoer 2 2 36 7" xfId="30393"/>
    <cellStyle name="Invoer 2 2 37" xfId="487"/>
    <cellStyle name="Invoer 2 2 37 2" xfId="6264"/>
    <cellStyle name="Invoer 2 2 37 2 2" xfId="10757"/>
    <cellStyle name="Invoer 2 2 37 2 3" xfId="17212"/>
    <cellStyle name="Invoer 2 2 37 2 3 2" xfId="30394"/>
    <cellStyle name="Invoer 2 2 37 2 4" xfId="30395"/>
    <cellStyle name="Invoer 2 2 37 2 5" xfId="30396"/>
    <cellStyle name="Invoer 2 2 37 2 6" xfId="30397"/>
    <cellStyle name="Invoer 2 2 37 3" xfId="8271"/>
    <cellStyle name="Invoer 2 2 37 4" xfId="17213"/>
    <cellStyle name="Invoer 2 2 37 4 2" xfId="30398"/>
    <cellStyle name="Invoer 2 2 37 5" xfId="30399"/>
    <cellStyle name="Invoer 2 2 37 6" xfId="30400"/>
    <cellStyle name="Invoer 2 2 37 7" xfId="30401"/>
    <cellStyle name="Invoer 2 2 38" xfId="488"/>
    <cellStyle name="Invoer 2 2 38 2" xfId="6265"/>
    <cellStyle name="Invoer 2 2 38 2 2" xfId="10758"/>
    <cellStyle name="Invoer 2 2 38 2 3" xfId="17214"/>
    <cellStyle name="Invoer 2 2 38 2 3 2" xfId="30402"/>
    <cellStyle name="Invoer 2 2 38 2 4" xfId="30403"/>
    <cellStyle name="Invoer 2 2 38 2 5" xfId="30404"/>
    <cellStyle name="Invoer 2 2 38 2 6" xfId="30405"/>
    <cellStyle name="Invoer 2 2 38 3" xfId="8272"/>
    <cellStyle name="Invoer 2 2 38 4" xfId="17215"/>
    <cellStyle name="Invoer 2 2 38 4 2" xfId="30406"/>
    <cellStyle name="Invoer 2 2 38 5" xfId="30407"/>
    <cellStyle name="Invoer 2 2 38 6" xfId="30408"/>
    <cellStyle name="Invoer 2 2 38 7" xfId="30409"/>
    <cellStyle name="Invoer 2 2 39" xfId="489"/>
    <cellStyle name="Invoer 2 2 39 2" xfId="6266"/>
    <cellStyle name="Invoer 2 2 39 2 2" xfId="10759"/>
    <cellStyle name="Invoer 2 2 39 2 3" xfId="17216"/>
    <cellStyle name="Invoer 2 2 39 2 3 2" xfId="30410"/>
    <cellStyle name="Invoer 2 2 39 2 4" xfId="30411"/>
    <cellStyle name="Invoer 2 2 39 2 5" xfId="30412"/>
    <cellStyle name="Invoer 2 2 39 2 6" xfId="30413"/>
    <cellStyle name="Invoer 2 2 39 3" xfId="8273"/>
    <cellStyle name="Invoer 2 2 39 4" xfId="17217"/>
    <cellStyle name="Invoer 2 2 39 4 2" xfId="30414"/>
    <cellStyle name="Invoer 2 2 39 5" xfId="30415"/>
    <cellStyle name="Invoer 2 2 39 6" xfId="30416"/>
    <cellStyle name="Invoer 2 2 39 7" xfId="30417"/>
    <cellStyle name="Invoer 2 2 4" xfId="490"/>
    <cellStyle name="Invoer 2 2 4 2" xfId="6267"/>
    <cellStyle name="Invoer 2 2 4 2 2" xfId="10760"/>
    <cellStyle name="Invoer 2 2 4 2 3" xfId="17218"/>
    <cellStyle name="Invoer 2 2 4 2 3 2" xfId="30418"/>
    <cellStyle name="Invoer 2 2 4 2 4" xfId="30419"/>
    <cellStyle name="Invoer 2 2 4 2 5" xfId="30420"/>
    <cellStyle name="Invoer 2 2 4 2 6" xfId="30421"/>
    <cellStyle name="Invoer 2 2 4 3" xfId="8274"/>
    <cellStyle name="Invoer 2 2 4 4" xfId="17219"/>
    <cellStyle name="Invoer 2 2 4 4 2" xfId="30422"/>
    <cellStyle name="Invoer 2 2 4 5" xfId="30423"/>
    <cellStyle name="Invoer 2 2 4 6" xfId="30424"/>
    <cellStyle name="Invoer 2 2 4 7" xfId="30425"/>
    <cellStyle name="Invoer 2 2 40" xfId="491"/>
    <cellStyle name="Invoer 2 2 40 2" xfId="6268"/>
    <cellStyle name="Invoer 2 2 40 2 2" xfId="10761"/>
    <cellStyle name="Invoer 2 2 40 2 3" xfId="17220"/>
    <cellStyle name="Invoer 2 2 40 2 3 2" xfId="30426"/>
    <cellStyle name="Invoer 2 2 40 2 4" xfId="30427"/>
    <cellStyle name="Invoer 2 2 40 2 5" xfId="30428"/>
    <cellStyle name="Invoer 2 2 40 2 6" xfId="30429"/>
    <cellStyle name="Invoer 2 2 40 3" xfId="8275"/>
    <cellStyle name="Invoer 2 2 40 4" xfId="17221"/>
    <cellStyle name="Invoer 2 2 40 4 2" xfId="30430"/>
    <cellStyle name="Invoer 2 2 40 5" xfId="30431"/>
    <cellStyle name="Invoer 2 2 40 6" xfId="30432"/>
    <cellStyle name="Invoer 2 2 40 7" xfId="30433"/>
    <cellStyle name="Invoer 2 2 41" xfId="492"/>
    <cellStyle name="Invoer 2 2 41 2" xfId="6269"/>
    <cellStyle name="Invoer 2 2 41 2 2" xfId="10762"/>
    <cellStyle name="Invoer 2 2 41 2 3" xfId="17222"/>
    <cellStyle name="Invoer 2 2 41 2 3 2" xfId="30434"/>
    <cellStyle name="Invoer 2 2 41 2 4" xfId="30435"/>
    <cellStyle name="Invoer 2 2 41 2 5" xfId="30436"/>
    <cellStyle name="Invoer 2 2 41 2 6" xfId="30437"/>
    <cellStyle name="Invoer 2 2 41 3" xfId="8276"/>
    <cellStyle name="Invoer 2 2 41 4" xfId="17223"/>
    <cellStyle name="Invoer 2 2 41 4 2" xfId="30438"/>
    <cellStyle name="Invoer 2 2 41 5" xfId="30439"/>
    <cellStyle name="Invoer 2 2 41 6" xfId="30440"/>
    <cellStyle name="Invoer 2 2 41 7" xfId="30441"/>
    <cellStyle name="Invoer 2 2 42" xfId="493"/>
    <cellStyle name="Invoer 2 2 42 2" xfId="6270"/>
    <cellStyle name="Invoer 2 2 42 2 2" xfId="10763"/>
    <cellStyle name="Invoer 2 2 42 2 3" xfId="17224"/>
    <cellStyle name="Invoer 2 2 42 2 3 2" xfId="30442"/>
    <cellStyle name="Invoer 2 2 42 2 4" xfId="30443"/>
    <cellStyle name="Invoer 2 2 42 2 5" xfId="30444"/>
    <cellStyle name="Invoer 2 2 42 2 6" xfId="30445"/>
    <cellStyle name="Invoer 2 2 42 3" xfId="8277"/>
    <cellStyle name="Invoer 2 2 42 4" xfId="17225"/>
    <cellStyle name="Invoer 2 2 42 4 2" xfId="30446"/>
    <cellStyle name="Invoer 2 2 42 5" xfId="30447"/>
    <cellStyle name="Invoer 2 2 42 6" xfId="30448"/>
    <cellStyle name="Invoer 2 2 42 7" xfId="30449"/>
    <cellStyle name="Invoer 2 2 43" xfId="494"/>
    <cellStyle name="Invoer 2 2 43 2" xfId="6271"/>
    <cellStyle name="Invoer 2 2 43 2 2" xfId="10764"/>
    <cellStyle name="Invoer 2 2 43 2 3" xfId="17226"/>
    <cellStyle name="Invoer 2 2 43 2 3 2" xfId="30450"/>
    <cellStyle name="Invoer 2 2 43 2 4" xfId="30451"/>
    <cellStyle name="Invoer 2 2 43 2 5" xfId="30452"/>
    <cellStyle name="Invoer 2 2 43 2 6" xfId="30453"/>
    <cellStyle name="Invoer 2 2 43 3" xfId="8278"/>
    <cellStyle name="Invoer 2 2 43 4" xfId="17227"/>
    <cellStyle name="Invoer 2 2 43 4 2" xfId="30454"/>
    <cellStyle name="Invoer 2 2 43 5" xfId="30455"/>
    <cellStyle name="Invoer 2 2 43 6" xfId="30456"/>
    <cellStyle name="Invoer 2 2 43 7" xfId="30457"/>
    <cellStyle name="Invoer 2 2 44" xfId="495"/>
    <cellStyle name="Invoer 2 2 44 2" xfId="6272"/>
    <cellStyle name="Invoer 2 2 44 2 2" xfId="10765"/>
    <cellStyle name="Invoer 2 2 44 2 3" xfId="17228"/>
    <cellStyle name="Invoer 2 2 44 2 3 2" xfId="30458"/>
    <cellStyle name="Invoer 2 2 44 2 4" xfId="30459"/>
    <cellStyle name="Invoer 2 2 44 2 5" xfId="30460"/>
    <cellStyle name="Invoer 2 2 44 2 6" xfId="30461"/>
    <cellStyle name="Invoer 2 2 44 3" xfId="8279"/>
    <cellStyle name="Invoer 2 2 44 4" xfId="17229"/>
    <cellStyle name="Invoer 2 2 44 4 2" xfId="30462"/>
    <cellStyle name="Invoer 2 2 44 5" xfId="30463"/>
    <cellStyle name="Invoer 2 2 44 6" xfId="30464"/>
    <cellStyle name="Invoer 2 2 44 7" xfId="30465"/>
    <cellStyle name="Invoer 2 2 45" xfId="496"/>
    <cellStyle name="Invoer 2 2 45 2" xfId="6273"/>
    <cellStyle name="Invoer 2 2 45 2 2" xfId="10766"/>
    <cellStyle name="Invoer 2 2 45 2 3" xfId="17230"/>
    <cellStyle name="Invoer 2 2 45 2 3 2" xfId="30466"/>
    <cellStyle name="Invoer 2 2 45 2 4" xfId="30467"/>
    <cellStyle name="Invoer 2 2 45 2 5" xfId="30468"/>
    <cellStyle name="Invoer 2 2 45 2 6" xfId="30469"/>
    <cellStyle name="Invoer 2 2 45 3" xfId="8280"/>
    <cellStyle name="Invoer 2 2 45 4" xfId="17231"/>
    <cellStyle name="Invoer 2 2 45 4 2" xfId="30470"/>
    <cellStyle name="Invoer 2 2 45 5" xfId="30471"/>
    <cellStyle name="Invoer 2 2 45 6" xfId="30472"/>
    <cellStyle name="Invoer 2 2 45 7" xfId="30473"/>
    <cellStyle name="Invoer 2 2 46" xfId="497"/>
    <cellStyle name="Invoer 2 2 46 2" xfId="6274"/>
    <cellStyle name="Invoer 2 2 46 2 2" xfId="10767"/>
    <cellStyle name="Invoer 2 2 46 2 3" xfId="17232"/>
    <cellStyle name="Invoer 2 2 46 2 3 2" xfId="30474"/>
    <cellStyle name="Invoer 2 2 46 2 4" xfId="30475"/>
    <cellStyle name="Invoer 2 2 46 2 5" xfId="30476"/>
    <cellStyle name="Invoer 2 2 46 2 6" xfId="30477"/>
    <cellStyle name="Invoer 2 2 46 3" xfId="8281"/>
    <cellStyle name="Invoer 2 2 46 4" xfId="17233"/>
    <cellStyle name="Invoer 2 2 46 4 2" xfId="30478"/>
    <cellStyle name="Invoer 2 2 46 5" xfId="30479"/>
    <cellStyle name="Invoer 2 2 46 6" xfId="30480"/>
    <cellStyle name="Invoer 2 2 46 7" xfId="30481"/>
    <cellStyle name="Invoer 2 2 47" xfId="498"/>
    <cellStyle name="Invoer 2 2 47 2" xfId="6275"/>
    <cellStyle name="Invoer 2 2 47 2 2" xfId="10768"/>
    <cellStyle name="Invoer 2 2 47 2 3" xfId="17234"/>
    <cellStyle name="Invoer 2 2 47 2 3 2" xfId="30482"/>
    <cellStyle name="Invoer 2 2 47 2 4" xfId="30483"/>
    <cellStyle name="Invoer 2 2 47 2 5" xfId="30484"/>
    <cellStyle name="Invoer 2 2 47 2 6" xfId="30485"/>
    <cellStyle name="Invoer 2 2 47 3" xfId="8282"/>
    <cellStyle name="Invoer 2 2 47 4" xfId="17235"/>
    <cellStyle name="Invoer 2 2 47 4 2" xfId="30486"/>
    <cellStyle name="Invoer 2 2 47 5" xfId="30487"/>
    <cellStyle name="Invoer 2 2 47 6" xfId="30488"/>
    <cellStyle name="Invoer 2 2 47 7" xfId="30489"/>
    <cellStyle name="Invoer 2 2 48" xfId="499"/>
    <cellStyle name="Invoer 2 2 48 2" xfId="6276"/>
    <cellStyle name="Invoer 2 2 48 2 2" xfId="10769"/>
    <cellStyle name="Invoer 2 2 48 2 3" xfId="17236"/>
    <cellStyle name="Invoer 2 2 48 2 3 2" xfId="30490"/>
    <cellStyle name="Invoer 2 2 48 2 4" xfId="30491"/>
    <cellStyle name="Invoer 2 2 48 2 5" xfId="30492"/>
    <cellStyle name="Invoer 2 2 48 2 6" xfId="30493"/>
    <cellStyle name="Invoer 2 2 48 3" xfId="8283"/>
    <cellStyle name="Invoer 2 2 48 4" xfId="17237"/>
    <cellStyle name="Invoer 2 2 48 4 2" xfId="30494"/>
    <cellStyle name="Invoer 2 2 48 5" xfId="30495"/>
    <cellStyle name="Invoer 2 2 48 6" xfId="30496"/>
    <cellStyle name="Invoer 2 2 48 7" xfId="30497"/>
    <cellStyle name="Invoer 2 2 49" xfId="500"/>
    <cellStyle name="Invoer 2 2 49 2" xfId="6277"/>
    <cellStyle name="Invoer 2 2 49 2 2" xfId="10770"/>
    <cellStyle name="Invoer 2 2 49 2 3" xfId="17238"/>
    <cellStyle name="Invoer 2 2 49 2 3 2" xfId="30498"/>
    <cellStyle name="Invoer 2 2 49 2 4" xfId="30499"/>
    <cellStyle name="Invoer 2 2 49 2 5" xfId="30500"/>
    <cellStyle name="Invoer 2 2 49 2 6" xfId="30501"/>
    <cellStyle name="Invoer 2 2 49 3" xfId="8284"/>
    <cellStyle name="Invoer 2 2 49 4" xfId="17239"/>
    <cellStyle name="Invoer 2 2 49 4 2" xfId="30502"/>
    <cellStyle name="Invoer 2 2 49 5" xfId="30503"/>
    <cellStyle name="Invoer 2 2 49 6" xfId="30504"/>
    <cellStyle name="Invoer 2 2 49 7" xfId="30505"/>
    <cellStyle name="Invoer 2 2 5" xfId="501"/>
    <cellStyle name="Invoer 2 2 5 2" xfId="6278"/>
    <cellStyle name="Invoer 2 2 5 2 2" xfId="10771"/>
    <cellStyle name="Invoer 2 2 5 2 3" xfId="17240"/>
    <cellStyle name="Invoer 2 2 5 2 3 2" xfId="30506"/>
    <cellStyle name="Invoer 2 2 5 2 4" xfId="30507"/>
    <cellStyle name="Invoer 2 2 5 2 5" xfId="30508"/>
    <cellStyle name="Invoer 2 2 5 2 6" xfId="30509"/>
    <cellStyle name="Invoer 2 2 5 3" xfId="8285"/>
    <cellStyle name="Invoer 2 2 5 4" xfId="17241"/>
    <cellStyle name="Invoer 2 2 5 4 2" xfId="30510"/>
    <cellStyle name="Invoer 2 2 5 5" xfId="30511"/>
    <cellStyle name="Invoer 2 2 5 6" xfId="30512"/>
    <cellStyle name="Invoer 2 2 5 7" xfId="30513"/>
    <cellStyle name="Invoer 2 2 50" xfId="502"/>
    <cellStyle name="Invoer 2 2 50 2" xfId="6279"/>
    <cellStyle name="Invoer 2 2 50 2 2" xfId="10772"/>
    <cellStyle name="Invoer 2 2 50 2 3" xfId="17242"/>
    <cellStyle name="Invoer 2 2 50 2 3 2" xfId="30514"/>
    <cellStyle name="Invoer 2 2 50 2 4" xfId="30515"/>
    <cellStyle name="Invoer 2 2 50 2 5" xfId="30516"/>
    <cellStyle name="Invoer 2 2 50 2 6" xfId="30517"/>
    <cellStyle name="Invoer 2 2 50 3" xfId="8286"/>
    <cellStyle name="Invoer 2 2 50 4" xfId="17243"/>
    <cellStyle name="Invoer 2 2 50 4 2" xfId="30518"/>
    <cellStyle name="Invoer 2 2 50 5" xfId="30519"/>
    <cellStyle name="Invoer 2 2 50 6" xfId="30520"/>
    <cellStyle name="Invoer 2 2 50 7" xfId="30521"/>
    <cellStyle name="Invoer 2 2 51" xfId="503"/>
    <cellStyle name="Invoer 2 2 51 2" xfId="6280"/>
    <cellStyle name="Invoer 2 2 51 2 2" xfId="10773"/>
    <cellStyle name="Invoer 2 2 51 2 3" xfId="17244"/>
    <cellStyle name="Invoer 2 2 51 2 3 2" xfId="30522"/>
    <cellStyle name="Invoer 2 2 51 2 4" xfId="30523"/>
    <cellStyle name="Invoer 2 2 51 2 5" xfId="30524"/>
    <cellStyle name="Invoer 2 2 51 2 6" xfId="30525"/>
    <cellStyle name="Invoer 2 2 51 3" xfId="8287"/>
    <cellStyle name="Invoer 2 2 51 4" xfId="17245"/>
    <cellStyle name="Invoer 2 2 51 4 2" xfId="30526"/>
    <cellStyle name="Invoer 2 2 51 5" xfId="30527"/>
    <cellStyle name="Invoer 2 2 51 6" xfId="30528"/>
    <cellStyle name="Invoer 2 2 51 7" xfId="30529"/>
    <cellStyle name="Invoer 2 2 52" xfId="504"/>
    <cellStyle name="Invoer 2 2 52 2" xfId="6281"/>
    <cellStyle name="Invoer 2 2 52 2 2" xfId="10774"/>
    <cellStyle name="Invoer 2 2 52 2 3" xfId="17246"/>
    <cellStyle name="Invoer 2 2 52 2 3 2" xfId="30530"/>
    <cellStyle name="Invoer 2 2 52 2 4" xfId="30531"/>
    <cellStyle name="Invoer 2 2 52 2 5" xfId="30532"/>
    <cellStyle name="Invoer 2 2 52 2 6" xfId="30533"/>
    <cellStyle name="Invoer 2 2 52 3" xfId="8288"/>
    <cellStyle name="Invoer 2 2 52 4" xfId="17247"/>
    <cellStyle name="Invoer 2 2 52 4 2" xfId="30534"/>
    <cellStyle name="Invoer 2 2 52 5" xfId="30535"/>
    <cellStyle name="Invoer 2 2 52 6" xfId="30536"/>
    <cellStyle name="Invoer 2 2 52 7" xfId="30537"/>
    <cellStyle name="Invoer 2 2 53" xfId="505"/>
    <cellStyle name="Invoer 2 2 53 2" xfId="6282"/>
    <cellStyle name="Invoer 2 2 53 2 2" xfId="10775"/>
    <cellStyle name="Invoer 2 2 53 2 3" xfId="17248"/>
    <cellStyle name="Invoer 2 2 53 2 3 2" xfId="30538"/>
    <cellStyle name="Invoer 2 2 53 2 4" xfId="30539"/>
    <cellStyle name="Invoer 2 2 53 2 5" xfId="30540"/>
    <cellStyle name="Invoer 2 2 53 2 6" xfId="30541"/>
    <cellStyle name="Invoer 2 2 53 3" xfId="8289"/>
    <cellStyle name="Invoer 2 2 53 4" xfId="17249"/>
    <cellStyle name="Invoer 2 2 53 4 2" xfId="30542"/>
    <cellStyle name="Invoer 2 2 53 5" xfId="30543"/>
    <cellStyle name="Invoer 2 2 53 6" xfId="30544"/>
    <cellStyle name="Invoer 2 2 53 7" xfId="30545"/>
    <cellStyle name="Invoer 2 2 54" xfId="506"/>
    <cellStyle name="Invoer 2 2 54 2" xfId="6283"/>
    <cellStyle name="Invoer 2 2 54 2 2" xfId="10776"/>
    <cellStyle name="Invoer 2 2 54 2 3" xfId="17250"/>
    <cellStyle name="Invoer 2 2 54 2 3 2" xfId="30546"/>
    <cellStyle name="Invoer 2 2 54 2 4" xfId="30547"/>
    <cellStyle name="Invoer 2 2 54 2 5" xfId="30548"/>
    <cellStyle name="Invoer 2 2 54 2 6" xfId="30549"/>
    <cellStyle name="Invoer 2 2 54 3" xfId="8290"/>
    <cellStyle name="Invoer 2 2 54 4" xfId="17251"/>
    <cellStyle name="Invoer 2 2 54 4 2" xfId="30550"/>
    <cellStyle name="Invoer 2 2 54 5" xfId="30551"/>
    <cellStyle name="Invoer 2 2 54 6" xfId="30552"/>
    <cellStyle name="Invoer 2 2 54 7" xfId="30553"/>
    <cellStyle name="Invoer 2 2 55" xfId="507"/>
    <cellStyle name="Invoer 2 2 55 2" xfId="6284"/>
    <cellStyle name="Invoer 2 2 55 2 2" xfId="10777"/>
    <cellStyle name="Invoer 2 2 55 2 3" xfId="17252"/>
    <cellStyle name="Invoer 2 2 55 2 3 2" xfId="30554"/>
    <cellStyle name="Invoer 2 2 55 2 4" xfId="30555"/>
    <cellStyle name="Invoer 2 2 55 2 5" xfId="30556"/>
    <cellStyle name="Invoer 2 2 55 2 6" xfId="30557"/>
    <cellStyle name="Invoer 2 2 55 3" xfId="8291"/>
    <cellStyle name="Invoer 2 2 55 4" xfId="17253"/>
    <cellStyle name="Invoer 2 2 55 4 2" xfId="30558"/>
    <cellStyle name="Invoer 2 2 55 5" xfId="30559"/>
    <cellStyle name="Invoer 2 2 55 6" xfId="30560"/>
    <cellStyle name="Invoer 2 2 55 7" xfId="30561"/>
    <cellStyle name="Invoer 2 2 56" xfId="508"/>
    <cellStyle name="Invoer 2 2 56 2" xfId="6285"/>
    <cellStyle name="Invoer 2 2 56 2 2" xfId="10778"/>
    <cellStyle name="Invoer 2 2 56 2 3" xfId="17254"/>
    <cellStyle name="Invoer 2 2 56 2 3 2" xfId="30562"/>
    <cellStyle name="Invoer 2 2 56 2 4" xfId="30563"/>
    <cellStyle name="Invoer 2 2 56 2 5" xfId="30564"/>
    <cellStyle name="Invoer 2 2 56 2 6" xfId="30565"/>
    <cellStyle name="Invoer 2 2 56 3" xfId="8292"/>
    <cellStyle name="Invoer 2 2 56 4" xfId="17255"/>
    <cellStyle name="Invoer 2 2 56 4 2" xfId="30566"/>
    <cellStyle name="Invoer 2 2 56 5" xfId="30567"/>
    <cellStyle name="Invoer 2 2 56 6" xfId="30568"/>
    <cellStyle name="Invoer 2 2 56 7" xfId="30569"/>
    <cellStyle name="Invoer 2 2 57" xfId="509"/>
    <cellStyle name="Invoer 2 2 57 2" xfId="6286"/>
    <cellStyle name="Invoer 2 2 57 2 2" xfId="10779"/>
    <cellStyle name="Invoer 2 2 57 2 3" xfId="17256"/>
    <cellStyle name="Invoer 2 2 57 2 3 2" xfId="30570"/>
    <cellStyle name="Invoer 2 2 57 2 4" xfId="30571"/>
    <cellStyle name="Invoer 2 2 57 2 5" xfId="30572"/>
    <cellStyle name="Invoer 2 2 57 2 6" xfId="30573"/>
    <cellStyle name="Invoer 2 2 57 3" xfId="8293"/>
    <cellStyle name="Invoer 2 2 57 4" xfId="17257"/>
    <cellStyle name="Invoer 2 2 57 4 2" xfId="30574"/>
    <cellStyle name="Invoer 2 2 57 5" xfId="30575"/>
    <cellStyle name="Invoer 2 2 57 6" xfId="30576"/>
    <cellStyle name="Invoer 2 2 57 7" xfId="30577"/>
    <cellStyle name="Invoer 2 2 58" xfId="510"/>
    <cellStyle name="Invoer 2 2 58 2" xfId="6287"/>
    <cellStyle name="Invoer 2 2 58 2 2" xfId="10780"/>
    <cellStyle name="Invoer 2 2 58 2 3" xfId="17258"/>
    <cellStyle name="Invoer 2 2 58 2 3 2" xfId="30578"/>
    <cellStyle name="Invoer 2 2 58 2 4" xfId="30579"/>
    <cellStyle name="Invoer 2 2 58 2 5" xfId="30580"/>
    <cellStyle name="Invoer 2 2 58 2 6" xfId="30581"/>
    <cellStyle name="Invoer 2 2 58 3" xfId="8294"/>
    <cellStyle name="Invoer 2 2 58 4" xfId="17259"/>
    <cellStyle name="Invoer 2 2 58 4 2" xfId="30582"/>
    <cellStyle name="Invoer 2 2 58 5" xfId="30583"/>
    <cellStyle name="Invoer 2 2 58 6" xfId="30584"/>
    <cellStyle name="Invoer 2 2 58 7" xfId="30585"/>
    <cellStyle name="Invoer 2 2 59" xfId="511"/>
    <cellStyle name="Invoer 2 2 59 2" xfId="6288"/>
    <cellStyle name="Invoer 2 2 59 2 2" xfId="10781"/>
    <cellStyle name="Invoer 2 2 59 2 3" xfId="17260"/>
    <cellStyle name="Invoer 2 2 59 2 3 2" xfId="30586"/>
    <cellStyle name="Invoer 2 2 59 2 4" xfId="30587"/>
    <cellStyle name="Invoer 2 2 59 2 5" xfId="30588"/>
    <cellStyle name="Invoer 2 2 59 2 6" xfId="30589"/>
    <cellStyle name="Invoer 2 2 59 3" xfId="8295"/>
    <cellStyle name="Invoer 2 2 59 4" xfId="17261"/>
    <cellStyle name="Invoer 2 2 59 4 2" xfId="30590"/>
    <cellStyle name="Invoer 2 2 59 5" xfId="30591"/>
    <cellStyle name="Invoer 2 2 59 6" xfId="30592"/>
    <cellStyle name="Invoer 2 2 59 7" xfId="30593"/>
    <cellStyle name="Invoer 2 2 6" xfId="512"/>
    <cellStyle name="Invoer 2 2 6 2" xfId="6289"/>
    <cellStyle name="Invoer 2 2 6 2 2" xfId="10782"/>
    <cellStyle name="Invoer 2 2 6 2 3" xfId="17262"/>
    <cellStyle name="Invoer 2 2 6 2 3 2" xfId="30594"/>
    <cellStyle name="Invoer 2 2 6 2 4" xfId="30595"/>
    <cellStyle name="Invoer 2 2 6 2 5" xfId="30596"/>
    <cellStyle name="Invoer 2 2 6 2 6" xfId="30597"/>
    <cellStyle name="Invoer 2 2 6 3" xfId="8296"/>
    <cellStyle name="Invoer 2 2 6 4" xfId="17263"/>
    <cellStyle name="Invoer 2 2 6 4 2" xfId="30598"/>
    <cellStyle name="Invoer 2 2 6 5" xfId="30599"/>
    <cellStyle name="Invoer 2 2 6 6" xfId="30600"/>
    <cellStyle name="Invoer 2 2 6 7" xfId="30601"/>
    <cellStyle name="Invoer 2 2 60" xfId="513"/>
    <cellStyle name="Invoer 2 2 60 2" xfId="6290"/>
    <cellStyle name="Invoer 2 2 60 2 2" xfId="10783"/>
    <cellStyle name="Invoer 2 2 60 2 3" xfId="17264"/>
    <cellStyle name="Invoer 2 2 60 2 3 2" xfId="30602"/>
    <cellStyle name="Invoer 2 2 60 2 4" xfId="30603"/>
    <cellStyle name="Invoer 2 2 60 2 5" xfId="30604"/>
    <cellStyle name="Invoer 2 2 60 2 6" xfId="30605"/>
    <cellStyle name="Invoer 2 2 60 3" xfId="8297"/>
    <cellStyle name="Invoer 2 2 60 4" xfId="17265"/>
    <cellStyle name="Invoer 2 2 60 4 2" xfId="30606"/>
    <cellStyle name="Invoer 2 2 60 5" xfId="30607"/>
    <cellStyle name="Invoer 2 2 60 6" xfId="30608"/>
    <cellStyle name="Invoer 2 2 60 7" xfId="30609"/>
    <cellStyle name="Invoer 2 2 61" xfId="514"/>
    <cellStyle name="Invoer 2 2 61 2" xfId="6291"/>
    <cellStyle name="Invoer 2 2 61 2 2" xfId="10784"/>
    <cellStyle name="Invoer 2 2 61 2 3" xfId="17266"/>
    <cellStyle name="Invoer 2 2 61 2 3 2" xfId="30610"/>
    <cellStyle name="Invoer 2 2 61 2 4" xfId="30611"/>
    <cellStyle name="Invoer 2 2 61 2 5" xfId="30612"/>
    <cellStyle name="Invoer 2 2 61 2 6" xfId="30613"/>
    <cellStyle name="Invoer 2 2 61 3" xfId="8298"/>
    <cellStyle name="Invoer 2 2 61 4" xfId="17267"/>
    <cellStyle name="Invoer 2 2 61 4 2" xfId="30614"/>
    <cellStyle name="Invoer 2 2 61 5" xfId="30615"/>
    <cellStyle name="Invoer 2 2 61 6" xfId="30616"/>
    <cellStyle name="Invoer 2 2 61 7" xfId="30617"/>
    <cellStyle name="Invoer 2 2 62" xfId="515"/>
    <cellStyle name="Invoer 2 2 62 2" xfId="6292"/>
    <cellStyle name="Invoer 2 2 62 2 2" xfId="10785"/>
    <cellStyle name="Invoer 2 2 62 2 3" xfId="17268"/>
    <cellStyle name="Invoer 2 2 62 2 3 2" xfId="30618"/>
    <cellStyle name="Invoer 2 2 62 2 4" xfId="30619"/>
    <cellStyle name="Invoer 2 2 62 2 5" xfId="30620"/>
    <cellStyle name="Invoer 2 2 62 2 6" xfId="30621"/>
    <cellStyle name="Invoer 2 2 62 3" xfId="8299"/>
    <cellStyle name="Invoer 2 2 62 4" xfId="17269"/>
    <cellStyle name="Invoer 2 2 62 4 2" xfId="30622"/>
    <cellStyle name="Invoer 2 2 62 5" xfId="30623"/>
    <cellStyle name="Invoer 2 2 62 6" xfId="30624"/>
    <cellStyle name="Invoer 2 2 62 7" xfId="30625"/>
    <cellStyle name="Invoer 2 2 63" xfId="516"/>
    <cellStyle name="Invoer 2 2 63 2" xfId="6293"/>
    <cellStyle name="Invoer 2 2 63 2 2" xfId="10786"/>
    <cellStyle name="Invoer 2 2 63 2 3" xfId="17270"/>
    <cellStyle name="Invoer 2 2 63 2 3 2" xfId="30626"/>
    <cellStyle name="Invoer 2 2 63 2 4" xfId="30627"/>
    <cellStyle name="Invoer 2 2 63 2 5" xfId="30628"/>
    <cellStyle name="Invoer 2 2 63 2 6" xfId="30629"/>
    <cellStyle name="Invoer 2 2 63 3" xfId="8300"/>
    <cellStyle name="Invoer 2 2 63 4" xfId="17271"/>
    <cellStyle name="Invoer 2 2 63 4 2" xfId="30630"/>
    <cellStyle name="Invoer 2 2 63 5" xfId="30631"/>
    <cellStyle name="Invoer 2 2 63 6" xfId="30632"/>
    <cellStyle name="Invoer 2 2 63 7" xfId="30633"/>
    <cellStyle name="Invoer 2 2 64" xfId="517"/>
    <cellStyle name="Invoer 2 2 64 2" xfId="6294"/>
    <cellStyle name="Invoer 2 2 64 2 2" xfId="10787"/>
    <cellStyle name="Invoer 2 2 64 2 3" xfId="17272"/>
    <cellStyle name="Invoer 2 2 64 2 3 2" xfId="30634"/>
    <cellStyle name="Invoer 2 2 64 2 4" xfId="30635"/>
    <cellStyle name="Invoer 2 2 64 2 5" xfId="30636"/>
    <cellStyle name="Invoer 2 2 64 2 6" xfId="30637"/>
    <cellStyle name="Invoer 2 2 64 3" xfId="8301"/>
    <cellStyle name="Invoer 2 2 64 4" xfId="17273"/>
    <cellStyle name="Invoer 2 2 64 4 2" xfId="30638"/>
    <cellStyle name="Invoer 2 2 64 5" xfId="30639"/>
    <cellStyle name="Invoer 2 2 64 6" xfId="30640"/>
    <cellStyle name="Invoer 2 2 64 7" xfId="30641"/>
    <cellStyle name="Invoer 2 2 65" xfId="518"/>
    <cellStyle name="Invoer 2 2 65 2" xfId="6295"/>
    <cellStyle name="Invoer 2 2 65 2 2" xfId="10788"/>
    <cellStyle name="Invoer 2 2 65 2 3" xfId="17274"/>
    <cellStyle name="Invoer 2 2 65 2 3 2" xfId="30642"/>
    <cellStyle name="Invoer 2 2 65 2 4" xfId="30643"/>
    <cellStyle name="Invoer 2 2 65 2 5" xfId="30644"/>
    <cellStyle name="Invoer 2 2 65 2 6" xfId="30645"/>
    <cellStyle name="Invoer 2 2 65 3" xfId="8302"/>
    <cellStyle name="Invoer 2 2 65 4" xfId="17275"/>
    <cellStyle name="Invoer 2 2 65 4 2" xfId="30646"/>
    <cellStyle name="Invoer 2 2 65 5" xfId="30647"/>
    <cellStyle name="Invoer 2 2 65 6" xfId="30648"/>
    <cellStyle name="Invoer 2 2 65 7" xfId="30649"/>
    <cellStyle name="Invoer 2 2 66" xfId="519"/>
    <cellStyle name="Invoer 2 2 66 2" xfId="6296"/>
    <cellStyle name="Invoer 2 2 66 2 2" xfId="10789"/>
    <cellStyle name="Invoer 2 2 66 2 3" xfId="17276"/>
    <cellStyle name="Invoer 2 2 66 2 3 2" xfId="30650"/>
    <cellStyle name="Invoer 2 2 66 2 4" xfId="30651"/>
    <cellStyle name="Invoer 2 2 66 2 5" xfId="30652"/>
    <cellStyle name="Invoer 2 2 66 2 6" xfId="30653"/>
    <cellStyle name="Invoer 2 2 66 3" xfId="8303"/>
    <cellStyle name="Invoer 2 2 66 4" xfId="17277"/>
    <cellStyle name="Invoer 2 2 66 4 2" xfId="30654"/>
    <cellStyle name="Invoer 2 2 66 5" xfId="30655"/>
    <cellStyle name="Invoer 2 2 66 6" xfId="30656"/>
    <cellStyle name="Invoer 2 2 66 7" xfId="30657"/>
    <cellStyle name="Invoer 2 2 67" xfId="520"/>
    <cellStyle name="Invoer 2 2 67 2" xfId="6297"/>
    <cellStyle name="Invoer 2 2 67 2 2" xfId="10790"/>
    <cellStyle name="Invoer 2 2 67 2 3" xfId="17278"/>
    <cellStyle name="Invoer 2 2 67 2 3 2" xfId="30658"/>
    <cellStyle name="Invoer 2 2 67 2 4" xfId="30659"/>
    <cellStyle name="Invoer 2 2 67 2 5" xfId="30660"/>
    <cellStyle name="Invoer 2 2 67 2 6" xfId="30661"/>
    <cellStyle name="Invoer 2 2 67 3" xfId="8304"/>
    <cellStyle name="Invoer 2 2 67 4" xfId="17279"/>
    <cellStyle name="Invoer 2 2 67 4 2" xfId="30662"/>
    <cellStyle name="Invoer 2 2 67 5" xfId="30663"/>
    <cellStyle name="Invoer 2 2 67 6" xfId="30664"/>
    <cellStyle name="Invoer 2 2 67 7" xfId="30665"/>
    <cellStyle name="Invoer 2 2 68" xfId="521"/>
    <cellStyle name="Invoer 2 2 68 2" xfId="6298"/>
    <cellStyle name="Invoer 2 2 68 2 2" xfId="10791"/>
    <cellStyle name="Invoer 2 2 68 2 3" xfId="17280"/>
    <cellStyle name="Invoer 2 2 68 2 3 2" xfId="30666"/>
    <cellStyle name="Invoer 2 2 68 2 4" xfId="30667"/>
    <cellStyle name="Invoer 2 2 68 2 5" xfId="30668"/>
    <cellStyle name="Invoer 2 2 68 2 6" xfId="30669"/>
    <cellStyle name="Invoer 2 2 68 3" xfId="8305"/>
    <cellStyle name="Invoer 2 2 68 4" xfId="17281"/>
    <cellStyle name="Invoer 2 2 68 4 2" xfId="30670"/>
    <cellStyle name="Invoer 2 2 68 5" xfId="30671"/>
    <cellStyle name="Invoer 2 2 68 6" xfId="30672"/>
    <cellStyle name="Invoer 2 2 68 7" xfId="30673"/>
    <cellStyle name="Invoer 2 2 69" xfId="522"/>
    <cellStyle name="Invoer 2 2 69 2" xfId="6299"/>
    <cellStyle name="Invoer 2 2 69 2 2" xfId="10792"/>
    <cellStyle name="Invoer 2 2 69 2 3" xfId="17282"/>
    <cellStyle name="Invoer 2 2 69 2 3 2" xfId="30674"/>
    <cellStyle name="Invoer 2 2 69 2 4" xfId="30675"/>
    <cellStyle name="Invoer 2 2 69 2 5" xfId="30676"/>
    <cellStyle name="Invoer 2 2 69 2 6" xfId="30677"/>
    <cellStyle name="Invoer 2 2 69 3" xfId="8306"/>
    <cellStyle name="Invoer 2 2 69 4" xfId="17283"/>
    <cellStyle name="Invoer 2 2 69 4 2" xfId="30678"/>
    <cellStyle name="Invoer 2 2 69 5" xfId="30679"/>
    <cellStyle name="Invoer 2 2 69 6" xfId="30680"/>
    <cellStyle name="Invoer 2 2 69 7" xfId="30681"/>
    <cellStyle name="Invoer 2 2 7" xfId="523"/>
    <cellStyle name="Invoer 2 2 7 2" xfId="6300"/>
    <cellStyle name="Invoer 2 2 7 2 2" xfId="10793"/>
    <cellStyle name="Invoer 2 2 7 2 3" xfId="17284"/>
    <cellStyle name="Invoer 2 2 7 2 3 2" xfId="30682"/>
    <cellStyle name="Invoer 2 2 7 2 4" xfId="30683"/>
    <cellStyle name="Invoer 2 2 7 2 5" xfId="30684"/>
    <cellStyle name="Invoer 2 2 7 2 6" xfId="30685"/>
    <cellStyle name="Invoer 2 2 7 3" xfId="8307"/>
    <cellStyle name="Invoer 2 2 7 4" xfId="17285"/>
    <cellStyle name="Invoer 2 2 7 4 2" xfId="30686"/>
    <cellStyle name="Invoer 2 2 7 5" xfId="30687"/>
    <cellStyle name="Invoer 2 2 7 6" xfId="30688"/>
    <cellStyle name="Invoer 2 2 7 7" xfId="30689"/>
    <cellStyle name="Invoer 2 2 70" xfId="524"/>
    <cellStyle name="Invoer 2 2 70 2" xfId="6301"/>
    <cellStyle name="Invoer 2 2 70 2 2" xfId="10794"/>
    <cellStyle name="Invoer 2 2 70 2 3" xfId="17286"/>
    <cellStyle name="Invoer 2 2 70 2 3 2" xfId="30690"/>
    <cellStyle name="Invoer 2 2 70 2 4" xfId="30691"/>
    <cellStyle name="Invoer 2 2 70 2 5" xfId="30692"/>
    <cellStyle name="Invoer 2 2 70 2 6" xfId="30693"/>
    <cellStyle name="Invoer 2 2 70 3" xfId="8308"/>
    <cellStyle name="Invoer 2 2 70 4" xfId="17287"/>
    <cellStyle name="Invoer 2 2 70 4 2" xfId="30694"/>
    <cellStyle name="Invoer 2 2 70 5" xfId="30695"/>
    <cellStyle name="Invoer 2 2 70 6" xfId="30696"/>
    <cellStyle name="Invoer 2 2 70 7" xfId="30697"/>
    <cellStyle name="Invoer 2 2 71" xfId="525"/>
    <cellStyle name="Invoer 2 2 71 2" xfId="6302"/>
    <cellStyle name="Invoer 2 2 71 2 2" xfId="10795"/>
    <cellStyle name="Invoer 2 2 71 2 3" xfId="17288"/>
    <cellStyle name="Invoer 2 2 71 2 3 2" xfId="30698"/>
    <cellStyle name="Invoer 2 2 71 2 4" xfId="30699"/>
    <cellStyle name="Invoer 2 2 71 2 5" xfId="30700"/>
    <cellStyle name="Invoer 2 2 71 2 6" xfId="30701"/>
    <cellStyle name="Invoer 2 2 71 3" xfId="8309"/>
    <cellStyle name="Invoer 2 2 71 4" xfId="17289"/>
    <cellStyle name="Invoer 2 2 71 4 2" xfId="30702"/>
    <cellStyle name="Invoer 2 2 71 5" xfId="30703"/>
    <cellStyle name="Invoer 2 2 71 6" xfId="30704"/>
    <cellStyle name="Invoer 2 2 71 7" xfId="30705"/>
    <cellStyle name="Invoer 2 2 72" xfId="526"/>
    <cellStyle name="Invoer 2 2 72 2" xfId="6303"/>
    <cellStyle name="Invoer 2 2 72 2 2" xfId="10796"/>
    <cellStyle name="Invoer 2 2 72 2 3" xfId="17290"/>
    <cellStyle name="Invoer 2 2 72 2 3 2" xfId="30706"/>
    <cellStyle name="Invoer 2 2 72 2 4" xfId="30707"/>
    <cellStyle name="Invoer 2 2 72 2 5" xfId="30708"/>
    <cellStyle name="Invoer 2 2 72 2 6" xfId="30709"/>
    <cellStyle name="Invoer 2 2 72 3" xfId="8310"/>
    <cellStyle name="Invoer 2 2 72 4" xfId="17291"/>
    <cellStyle name="Invoer 2 2 72 4 2" xfId="30710"/>
    <cellStyle name="Invoer 2 2 72 5" xfId="30711"/>
    <cellStyle name="Invoer 2 2 72 6" xfId="30712"/>
    <cellStyle name="Invoer 2 2 72 7" xfId="30713"/>
    <cellStyle name="Invoer 2 2 73" xfId="527"/>
    <cellStyle name="Invoer 2 2 73 2" xfId="6304"/>
    <cellStyle name="Invoer 2 2 73 2 2" xfId="10797"/>
    <cellStyle name="Invoer 2 2 73 2 3" xfId="17292"/>
    <cellStyle name="Invoer 2 2 73 2 3 2" xfId="30714"/>
    <cellStyle name="Invoer 2 2 73 2 4" xfId="30715"/>
    <cellStyle name="Invoer 2 2 73 2 5" xfId="30716"/>
    <cellStyle name="Invoer 2 2 73 2 6" xfId="30717"/>
    <cellStyle name="Invoer 2 2 73 3" xfId="8311"/>
    <cellStyle name="Invoer 2 2 73 4" xfId="17293"/>
    <cellStyle name="Invoer 2 2 73 4 2" xfId="30718"/>
    <cellStyle name="Invoer 2 2 73 5" xfId="30719"/>
    <cellStyle name="Invoer 2 2 73 6" xfId="30720"/>
    <cellStyle name="Invoer 2 2 73 7" xfId="30721"/>
    <cellStyle name="Invoer 2 2 74" xfId="528"/>
    <cellStyle name="Invoer 2 2 74 2" xfId="6305"/>
    <cellStyle name="Invoer 2 2 74 2 2" xfId="10798"/>
    <cellStyle name="Invoer 2 2 74 2 3" xfId="17294"/>
    <cellStyle name="Invoer 2 2 74 2 3 2" xfId="30722"/>
    <cellStyle name="Invoer 2 2 74 2 4" xfId="30723"/>
    <cellStyle name="Invoer 2 2 74 2 5" xfId="30724"/>
    <cellStyle name="Invoer 2 2 74 2 6" xfId="30725"/>
    <cellStyle name="Invoer 2 2 74 3" xfId="8312"/>
    <cellStyle name="Invoer 2 2 74 4" xfId="17295"/>
    <cellStyle name="Invoer 2 2 74 4 2" xfId="30726"/>
    <cellStyle name="Invoer 2 2 74 5" xfId="30727"/>
    <cellStyle name="Invoer 2 2 74 6" xfId="30728"/>
    <cellStyle name="Invoer 2 2 74 7" xfId="30729"/>
    <cellStyle name="Invoer 2 2 75" xfId="529"/>
    <cellStyle name="Invoer 2 2 75 2" xfId="6306"/>
    <cellStyle name="Invoer 2 2 75 2 2" xfId="10799"/>
    <cellStyle name="Invoer 2 2 75 2 3" xfId="17296"/>
    <cellStyle name="Invoer 2 2 75 2 3 2" xfId="30730"/>
    <cellStyle name="Invoer 2 2 75 2 4" xfId="30731"/>
    <cellStyle name="Invoer 2 2 75 2 5" xfId="30732"/>
    <cellStyle name="Invoer 2 2 75 2 6" xfId="30733"/>
    <cellStyle name="Invoer 2 2 75 3" xfId="8313"/>
    <cellStyle name="Invoer 2 2 75 4" xfId="17297"/>
    <cellStyle name="Invoer 2 2 75 4 2" xfId="30734"/>
    <cellStyle name="Invoer 2 2 75 5" xfId="30735"/>
    <cellStyle name="Invoer 2 2 75 6" xfId="30736"/>
    <cellStyle name="Invoer 2 2 75 7" xfId="30737"/>
    <cellStyle name="Invoer 2 2 76" xfId="530"/>
    <cellStyle name="Invoer 2 2 76 2" xfId="6307"/>
    <cellStyle name="Invoer 2 2 76 2 2" xfId="10800"/>
    <cellStyle name="Invoer 2 2 76 2 3" xfId="17298"/>
    <cellStyle name="Invoer 2 2 76 2 3 2" xfId="30738"/>
    <cellStyle name="Invoer 2 2 76 2 4" xfId="30739"/>
    <cellStyle name="Invoer 2 2 76 2 5" xfId="30740"/>
    <cellStyle name="Invoer 2 2 76 2 6" xfId="30741"/>
    <cellStyle name="Invoer 2 2 76 3" xfId="8314"/>
    <cellStyle name="Invoer 2 2 76 4" xfId="17299"/>
    <cellStyle name="Invoer 2 2 76 4 2" xfId="30742"/>
    <cellStyle name="Invoer 2 2 76 5" xfId="30743"/>
    <cellStyle name="Invoer 2 2 76 6" xfId="30744"/>
    <cellStyle name="Invoer 2 2 76 7" xfId="30745"/>
    <cellStyle name="Invoer 2 2 77" xfId="531"/>
    <cellStyle name="Invoer 2 2 77 2" xfId="6308"/>
    <cellStyle name="Invoer 2 2 77 2 2" xfId="10801"/>
    <cellStyle name="Invoer 2 2 77 2 3" xfId="17300"/>
    <cellStyle name="Invoer 2 2 77 2 3 2" xfId="30746"/>
    <cellStyle name="Invoer 2 2 77 2 4" xfId="30747"/>
    <cellStyle name="Invoer 2 2 77 2 5" xfId="30748"/>
    <cellStyle name="Invoer 2 2 77 2 6" xfId="30749"/>
    <cellStyle name="Invoer 2 2 77 3" xfId="8315"/>
    <cellStyle name="Invoer 2 2 77 4" xfId="17301"/>
    <cellStyle name="Invoer 2 2 77 4 2" xfId="30750"/>
    <cellStyle name="Invoer 2 2 77 5" xfId="30751"/>
    <cellStyle name="Invoer 2 2 77 6" xfId="30752"/>
    <cellStyle name="Invoer 2 2 77 7" xfId="30753"/>
    <cellStyle name="Invoer 2 2 78" xfId="532"/>
    <cellStyle name="Invoer 2 2 78 2" xfId="6309"/>
    <cellStyle name="Invoer 2 2 78 2 2" xfId="10802"/>
    <cellStyle name="Invoer 2 2 78 2 3" xfId="17302"/>
    <cellStyle name="Invoer 2 2 78 2 3 2" xfId="30754"/>
    <cellStyle name="Invoer 2 2 78 2 4" xfId="30755"/>
    <cellStyle name="Invoer 2 2 78 2 5" xfId="30756"/>
    <cellStyle name="Invoer 2 2 78 2 6" xfId="30757"/>
    <cellStyle name="Invoer 2 2 78 3" xfId="8316"/>
    <cellStyle name="Invoer 2 2 78 4" xfId="17303"/>
    <cellStyle name="Invoer 2 2 78 4 2" xfId="30758"/>
    <cellStyle name="Invoer 2 2 78 5" xfId="30759"/>
    <cellStyle name="Invoer 2 2 78 6" xfId="30760"/>
    <cellStyle name="Invoer 2 2 78 7" xfId="30761"/>
    <cellStyle name="Invoer 2 2 79" xfId="533"/>
    <cellStyle name="Invoer 2 2 79 2" xfId="6310"/>
    <cellStyle name="Invoer 2 2 79 2 2" xfId="10803"/>
    <cellStyle name="Invoer 2 2 79 2 3" xfId="17304"/>
    <cellStyle name="Invoer 2 2 79 2 3 2" xfId="30762"/>
    <cellStyle name="Invoer 2 2 79 2 4" xfId="30763"/>
    <cellStyle name="Invoer 2 2 79 2 5" xfId="30764"/>
    <cellStyle name="Invoer 2 2 79 2 6" xfId="30765"/>
    <cellStyle name="Invoer 2 2 79 3" xfId="8317"/>
    <cellStyle name="Invoer 2 2 79 4" xfId="17305"/>
    <cellStyle name="Invoer 2 2 79 4 2" xfId="30766"/>
    <cellStyle name="Invoer 2 2 79 5" xfId="30767"/>
    <cellStyle name="Invoer 2 2 79 6" xfId="30768"/>
    <cellStyle name="Invoer 2 2 79 7" xfId="30769"/>
    <cellStyle name="Invoer 2 2 8" xfId="534"/>
    <cellStyle name="Invoer 2 2 8 2" xfId="6311"/>
    <cellStyle name="Invoer 2 2 8 2 2" xfId="10804"/>
    <cellStyle name="Invoer 2 2 8 2 3" xfId="17306"/>
    <cellStyle name="Invoer 2 2 8 2 3 2" xfId="30770"/>
    <cellStyle name="Invoer 2 2 8 2 4" xfId="30771"/>
    <cellStyle name="Invoer 2 2 8 2 5" xfId="30772"/>
    <cellStyle name="Invoer 2 2 8 2 6" xfId="30773"/>
    <cellStyle name="Invoer 2 2 8 3" xfId="8318"/>
    <cellStyle name="Invoer 2 2 8 4" xfId="17307"/>
    <cellStyle name="Invoer 2 2 8 4 2" xfId="30774"/>
    <cellStyle name="Invoer 2 2 8 5" xfId="30775"/>
    <cellStyle name="Invoer 2 2 8 6" xfId="30776"/>
    <cellStyle name="Invoer 2 2 8 7" xfId="30777"/>
    <cellStyle name="Invoer 2 2 80" xfId="6312"/>
    <cellStyle name="Invoer 2 2 80 2" xfId="10727"/>
    <cellStyle name="Invoer 2 2 80 3" xfId="17308"/>
    <cellStyle name="Invoer 2 2 80 3 2" xfId="30778"/>
    <cellStyle name="Invoer 2 2 80 4" xfId="30779"/>
    <cellStyle name="Invoer 2 2 80 5" xfId="30780"/>
    <cellStyle name="Invoer 2 2 80 6" xfId="30781"/>
    <cellStyle name="Invoer 2 2 81" xfId="8241"/>
    <cellStyle name="Invoer 2 2 82" xfId="17309"/>
    <cellStyle name="Invoer 2 2 82 2" xfId="30782"/>
    <cellStyle name="Invoer 2 2 83" xfId="30783"/>
    <cellStyle name="Invoer 2 2 84" xfId="30784"/>
    <cellStyle name="Invoer 2 2 85" xfId="30785"/>
    <cellStyle name="Invoer 2 2 9" xfId="535"/>
    <cellStyle name="Invoer 2 2 9 2" xfId="6313"/>
    <cellStyle name="Invoer 2 2 9 2 2" xfId="10805"/>
    <cellStyle name="Invoer 2 2 9 2 3" xfId="17310"/>
    <cellStyle name="Invoer 2 2 9 2 3 2" xfId="30786"/>
    <cellStyle name="Invoer 2 2 9 2 4" xfId="30787"/>
    <cellStyle name="Invoer 2 2 9 2 5" xfId="30788"/>
    <cellStyle name="Invoer 2 2 9 2 6" xfId="30789"/>
    <cellStyle name="Invoer 2 2 9 3" xfId="8319"/>
    <cellStyle name="Invoer 2 2 9 4" xfId="17311"/>
    <cellStyle name="Invoer 2 2 9 4 2" xfId="30790"/>
    <cellStyle name="Invoer 2 2 9 5" xfId="30791"/>
    <cellStyle name="Invoer 2 2 9 6" xfId="30792"/>
    <cellStyle name="Invoer 2 2 9 7" xfId="30793"/>
    <cellStyle name="Invoer 2 20" xfId="17312"/>
    <cellStyle name="Invoer 2 20 2" xfId="30794"/>
    <cellStyle name="Invoer 2 21" xfId="30795"/>
    <cellStyle name="Invoer 2 22" xfId="30796"/>
    <cellStyle name="Invoer 2 23" xfId="30797"/>
    <cellStyle name="Invoer 2 3" xfId="536"/>
    <cellStyle name="Invoer 2 3 2" xfId="6314"/>
    <cellStyle name="Invoer 2 3 2 2" xfId="10806"/>
    <cellStyle name="Invoer 2 3 2 3" xfId="17313"/>
    <cellStyle name="Invoer 2 3 2 3 2" xfId="30798"/>
    <cellStyle name="Invoer 2 3 2 4" xfId="30799"/>
    <cellStyle name="Invoer 2 3 2 5" xfId="30800"/>
    <cellStyle name="Invoer 2 3 2 6" xfId="30801"/>
    <cellStyle name="Invoer 2 3 3" xfId="8320"/>
    <cellStyle name="Invoer 2 3 4" xfId="17314"/>
    <cellStyle name="Invoer 2 3 4 2" xfId="30802"/>
    <cellStyle name="Invoer 2 3 5" xfId="30803"/>
    <cellStyle name="Invoer 2 3 6" xfId="30804"/>
    <cellStyle name="Invoer 2 3 7" xfId="30805"/>
    <cellStyle name="Invoer 2 4" xfId="537"/>
    <cellStyle name="Invoer 2 4 2" xfId="6315"/>
    <cellStyle name="Invoer 2 4 2 2" xfId="10807"/>
    <cellStyle name="Invoer 2 4 2 3" xfId="17315"/>
    <cellStyle name="Invoer 2 4 2 3 2" xfId="30806"/>
    <cellStyle name="Invoer 2 4 2 4" xfId="30807"/>
    <cellStyle name="Invoer 2 4 2 5" xfId="30808"/>
    <cellStyle name="Invoer 2 4 2 6" xfId="30809"/>
    <cellStyle name="Invoer 2 4 3" xfId="8321"/>
    <cellStyle name="Invoer 2 4 4" xfId="17316"/>
    <cellStyle name="Invoer 2 4 4 2" xfId="30810"/>
    <cellStyle name="Invoer 2 4 5" xfId="30811"/>
    <cellStyle name="Invoer 2 4 6" xfId="30812"/>
    <cellStyle name="Invoer 2 4 7" xfId="30813"/>
    <cellStyle name="Invoer 2 5" xfId="538"/>
    <cellStyle name="Invoer 2 5 2" xfId="6316"/>
    <cellStyle name="Invoer 2 5 2 2" xfId="10808"/>
    <cellStyle name="Invoer 2 5 2 3" xfId="17317"/>
    <cellStyle name="Invoer 2 5 2 3 2" xfId="30814"/>
    <cellStyle name="Invoer 2 5 2 4" xfId="30815"/>
    <cellStyle name="Invoer 2 5 2 5" xfId="30816"/>
    <cellStyle name="Invoer 2 5 2 6" xfId="30817"/>
    <cellStyle name="Invoer 2 5 3" xfId="8322"/>
    <cellStyle name="Invoer 2 5 4" xfId="17318"/>
    <cellStyle name="Invoer 2 5 4 2" xfId="30818"/>
    <cellStyle name="Invoer 2 5 5" xfId="30819"/>
    <cellStyle name="Invoer 2 5 6" xfId="30820"/>
    <cellStyle name="Invoer 2 5 7" xfId="30821"/>
    <cellStyle name="Invoer 2 6" xfId="539"/>
    <cellStyle name="Invoer 2 6 2" xfId="6317"/>
    <cellStyle name="Invoer 2 6 2 2" xfId="10809"/>
    <cellStyle name="Invoer 2 6 2 3" xfId="17319"/>
    <cellStyle name="Invoer 2 6 2 3 2" xfId="30822"/>
    <cellStyle name="Invoer 2 6 2 4" xfId="30823"/>
    <cellStyle name="Invoer 2 6 2 5" xfId="30824"/>
    <cellStyle name="Invoer 2 6 2 6" xfId="30825"/>
    <cellStyle name="Invoer 2 6 3" xfId="8323"/>
    <cellStyle name="Invoer 2 6 4" xfId="17320"/>
    <cellStyle name="Invoer 2 6 4 2" xfId="30826"/>
    <cellStyle name="Invoer 2 6 5" xfId="30827"/>
    <cellStyle name="Invoer 2 6 6" xfId="30828"/>
    <cellStyle name="Invoer 2 6 7" xfId="30829"/>
    <cellStyle name="Invoer 2 7" xfId="540"/>
    <cellStyle name="Invoer 2 7 2" xfId="6318"/>
    <cellStyle name="Invoer 2 7 2 2" xfId="10810"/>
    <cellStyle name="Invoer 2 7 2 3" xfId="17321"/>
    <cellStyle name="Invoer 2 7 2 3 2" xfId="30830"/>
    <cellStyle name="Invoer 2 7 2 4" xfId="30831"/>
    <cellStyle name="Invoer 2 7 2 5" xfId="30832"/>
    <cellStyle name="Invoer 2 7 2 6" xfId="30833"/>
    <cellStyle name="Invoer 2 7 3" xfId="8324"/>
    <cellStyle name="Invoer 2 7 4" xfId="17322"/>
    <cellStyle name="Invoer 2 7 4 2" xfId="30834"/>
    <cellStyle name="Invoer 2 7 5" xfId="30835"/>
    <cellStyle name="Invoer 2 7 6" xfId="30836"/>
    <cellStyle name="Invoer 2 7 7" xfId="30837"/>
    <cellStyle name="Invoer 2 8" xfId="541"/>
    <cellStyle name="Invoer 2 8 2" xfId="6319"/>
    <cellStyle name="Invoer 2 8 2 2" xfId="10811"/>
    <cellStyle name="Invoer 2 8 2 3" xfId="17323"/>
    <cellStyle name="Invoer 2 8 2 3 2" xfId="30838"/>
    <cellStyle name="Invoer 2 8 2 4" xfId="30839"/>
    <cellStyle name="Invoer 2 8 2 5" xfId="30840"/>
    <cellStyle name="Invoer 2 8 2 6" xfId="30841"/>
    <cellStyle name="Invoer 2 8 3" xfId="8325"/>
    <cellStyle name="Invoer 2 8 4" xfId="17324"/>
    <cellStyle name="Invoer 2 8 4 2" xfId="30842"/>
    <cellStyle name="Invoer 2 8 5" xfId="30843"/>
    <cellStyle name="Invoer 2 8 6" xfId="30844"/>
    <cellStyle name="Invoer 2 8 7" xfId="30845"/>
    <cellStyle name="Invoer 2 9" xfId="542"/>
    <cellStyle name="Invoer 2 9 2" xfId="6320"/>
    <cellStyle name="Invoer 2 9 2 2" xfId="10812"/>
    <cellStyle name="Invoer 2 9 2 3" xfId="17325"/>
    <cellStyle name="Invoer 2 9 2 3 2" xfId="30846"/>
    <cellStyle name="Invoer 2 9 2 4" xfId="30847"/>
    <cellStyle name="Invoer 2 9 2 5" xfId="30848"/>
    <cellStyle name="Invoer 2 9 2 6" xfId="30849"/>
    <cellStyle name="Invoer 2 9 3" xfId="8326"/>
    <cellStyle name="Invoer 2 9 4" xfId="17326"/>
    <cellStyle name="Invoer 2 9 4 2" xfId="30850"/>
    <cellStyle name="Invoer 2 9 5" xfId="30851"/>
    <cellStyle name="Invoer 2 9 6" xfId="30852"/>
    <cellStyle name="Invoer 2 9 7" xfId="30853"/>
    <cellStyle name="Invoer 3" xfId="543"/>
    <cellStyle name="Invoer 3 10" xfId="544"/>
    <cellStyle name="Invoer 3 10 2" xfId="6321"/>
    <cellStyle name="Invoer 3 10 2 2" xfId="10814"/>
    <cellStyle name="Invoer 3 10 2 3" xfId="17327"/>
    <cellStyle name="Invoer 3 10 2 3 2" xfId="30854"/>
    <cellStyle name="Invoer 3 10 2 4" xfId="30855"/>
    <cellStyle name="Invoer 3 10 2 5" xfId="30856"/>
    <cellStyle name="Invoer 3 10 2 6" xfId="30857"/>
    <cellStyle name="Invoer 3 10 3" xfId="8328"/>
    <cellStyle name="Invoer 3 10 4" xfId="17328"/>
    <cellStyle name="Invoer 3 10 4 2" xfId="30858"/>
    <cellStyle name="Invoer 3 10 5" xfId="30859"/>
    <cellStyle name="Invoer 3 10 6" xfId="30860"/>
    <cellStyle name="Invoer 3 10 7" xfId="30861"/>
    <cellStyle name="Invoer 3 11" xfId="545"/>
    <cellStyle name="Invoer 3 11 2" xfId="6322"/>
    <cellStyle name="Invoer 3 11 2 2" xfId="10815"/>
    <cellStyle name="Invoer 3 11 2 3" xfId="17329"/>
    <cellStyle name="Invoer 3 11 2 3 2" xfId="30862"/>
    <cellStyle name="Invoer 3 11 2 4" xfId="30863"/>
    <cellStyle name="Invoer 3 11 2 5" xfId="30864"/>
    <cellStyle name="Invoer 3 11 2 6" xfId="30865"/>
    <cellStyle name="Invoer 3 11 3" xfId="8329"/>
    <cellStyle name="Invoer 3 11 4" xfId="17330"/>
    <cellStyle name="Invoer 3 11 4 2" xfId="30866"/>
    <cellStyle name="Invoer 3 11 5" xfId="30867"/>
    <cellStyle name="Invoer 3 11 6" xfId="30868"/>
    <cellStyle name="Invoer 3 11 7" xfId="30869"/>
    <cellStyle name="Invoer 3 12" xfId="546"/>
    <cellStyle name="Invoer 3 12 2" xfId="6323"/>
    <cellStyle name="Invoer 3 12 2 2" xfId="10816"/>
    <cellStyle name="Invoer 3 12 2 3" xfId="17331"/>
    <cellStyle name="Invoer 3 12 2 3 2" xfId="30870"/>
    <cellStyle name="Invoer 3 12 2 4" xfId="30871"/>
    <cellStyle name="Invoer 3 12 2 5" xfId="30872"/>
    <cellStyle name="Invoer 3 12 2 6" xfId="30873"/>
    <cellStyle name="Invoer 3 12 3" xfId="8330"/>
    <cellStyle name="Invoer 3 12 4" xfId="17332"/>
    <cellStyle name="Invoer 3 12 4 2" xfId="30874"/>
    <cellStyle name="Invoer 3 12 5" xfId="30875"/>
    <cellStyle name="Invoer 3 12 6" xfId="30876"/>
    <cellStyle name="Invoer 3 12 7" xfId="30877"/>
    <cellStyle name="Invoer 3 13" xfId="547"/>
    <cellStyle name="Invoer 3 13 2" xfId="6324"/>
    <cellStyle name="Invoer 3 13 2 2" xfId="10817"/>
    <cellStyle name="Invoer 3 13 2 3" xfId="17333"/>
    <cellStyle name="Invoer 3 13 2 3 2" xfId="30878"/>
    <cellStyle name="Invoer 3 13 2 4" xfId="30879"/>
    <cellStyle name="Invoer 3 13 2 5" xfId="30880"/>
    <cellStyle name="Invoer 3 13 2 6" xfId="30881"/>
    <cellStyle name="Invoer 3 13 3" xfId="8331"/>
    <cellStyle name="Invoer 3 13 4" xfId="17334"/>
    <cellStyle name="Invoer 3 13 4 2" xfId="30882"/>
    <cellStyle name="Invoer 3 13 5" xfId="30883"/>
    <cellStyle name="Invoer 3 13 6" xfId="30884"/>
    <cellStyle name="Invoer 3 13 7" xfId="30885"/>
    <cellStyle name="Invoer 3 14" xfId="548"/>
    <cellStyle name="Invoer 3 14 2" xfId="6325"/>
    <cellStyle name="Invoer 3 14 2 2" xfId="10818"/>
    <cellStyle name="Invoer 3 14 2 3" xfId="17335"/>
    <cellStyle name="Invoer 3 14 2 3 2" xfId="30886"/>
    <cellStyle name="Invoer 3 14 2 4" xfId="30887"/>
    <cellStyle name="Invoer 3 14 2 5" xfId="30888"/>
    <cellStyle name="Invoer 3 14 2 6" xfId="30889"/>
    <cellStyle name="Invoer 3 14 3" xfId="8332"/>
    <cellStyle name="Invoer 3 14 4" xfId="17336"/>
    <cellStyle name="Invoer 3 14 4 2" xfId="30890"/>
    <cellStyle name="Invoer 3 14 5" xfId="30891"/>
    <cellStyle name="Invoer 3 14 6" xfId="30892"/>
    <cellStyle name="Invoer 3 14 7" xfId="30893"/>
    <cellStyle name="Invoer 3 15" xfId="549"/>
    <cellStyle name="Invoer 3 15 2" xfId="6326"/>
    <cellStyle name="Invoer 3 15 2 2" xfId="10819"/>
    <cellStyle name="Invoer 3 15 2 3" xfId="17337"/>
    <cellStyle name="Invoer 3 15 2 3 2" xfId="30894"/>
    <cellStyle name="Invoer 3 15 2 4" xfId="30895"/>
    <cellStyle name="Invoer 3 15 2 5" xfId="30896"/>
    <cellStyle name="Invoer 3 15 2 6" xfId="30897"/>
    <cellStyle name="Invoer 3 15 3" xfId="8333"/>
    <cellStyle name="Invoer 3 15 4" xfId="17338"/>
    <cellStyle name="Invoer 3 15 4 2" xfId="30898"/>
    <cellStyle name="Invoer 3 15 5" xfId="30899"/>
    <cellStyle name="Invoer 3 15 6" xfId="30900"/>
    <cellStyle name="Invoer 3 15 7" xfId="30901"/>
    <cellStyle name="Invoer 3 16" xfId="550"/>
    <cellStyle name="Invoer 3 16 2" xfId="6327"/>
    <cellStyle name="Invoer 3 16 2 2" xfId="10820"/>
    <cellStyle name="Invoer 3 16 2 3" xfId="17339"/>
    <cellStyle name="Invoer 3 16 2 3 2" xfId="30902"/>
    <cellStyle name="Invoer 3 16 2 4" xfId="30903"/>
    <cellStyle name="Invoer 3 16 2 5" xfId="30904"/>
    <cellStyle name="Invoer 3 16 2 6" xfId="30905"/>
    <cellStyle name="Invoer 3 16 3" xfId="8334"/>
    <cellStyle name="Invoer 3 16 4" xfId="17340"/>
    <cellStyle name="Invoer 3 16 4 2" xfId="30906"/>
    <cellStyle name="Invoer 3 16 5" xfId="30907"/>
    <cellStyle name="Invoer 3 16 6" xfId="30908"/>
    <cellStyle name="Invoer 3 16 7" xfId="30909"/>
    <cellStyle name="Invoer 3 17" xfId="551"/>
    <cellStyle name="Invoer 3 17 2" xfId="6328"/>
    <cellStyle name="Invoer 3 17 2 2" xfId="10821"/>
    <cellStyle name="Invoer 3 17 2 3" xfId="17341"/>
    <cellStyle name="Invoer 3 17 2 3 2" xfId="30910"/>
    <cellStyle name="Invoer 3 17 2 4" xfId="30911"/>
    <cellStyle name="Invoer 3 17 2 5" xfId="30912"/>
    <cellStyle name="Invoer 3 17 2 6" xfId="30913"/>
    <cellStyle name="Invoer 3 17 3" xfId="8335"/>
    <cellStyle name="Invoer 3 17 4" xfId="17342"/>
    <cellStyle name="Invoer 3 17 4 2" xfId="30914"/>
    <cellStyle name="Invoer 3 17 5" xfId="30915"/>
    <cellStyle name="Invoer 3 17 6" xfId="30916"/>
    <cellStyle name="Invoer 3 17 7" xfId="30917"/>
    <cellStyle name="Invoer 3 18" xfId="6329"/>
    <cellStyle name="Invoer 3 18 2" xfId="10813"/>
    <cellStyle name="Invoer 3 18 3" xfId="17343"/>
    <cellStyle name="Invoer 3 18 3 2" xfId="30918"/>
    <cellStyle name="Invoer 3 18 4" xfId="30919"/>
    <cellStyle name="Invoer 3 18 5" xfId="30920"/>
    <cellStyle name="Invoer 3 18 6" xfId="30921"/>
    <cellStyle name="Invoer 3 19" xfId="8327"/>
    <cellStyle name="Invoer 3 2" xfId="552"/>
    <cellStyle name="Invoer 3 2 10" xfId="553"/>
    <cellStyle name="Invoer 3 2 10 2" xfId="6330"/>
    <cellStyle name="Invoer 3 2 10 2 2" xfId="10823"/>
    <cellStyle name="Invoer 3 2 10 2 3" xfId="17344"/>
    <cellStyle name="Invoer 3 2 10 2 3 2" xfId="30922"/>
    <cellStyle name="Invoer 3 2 10 2 4" xfId="30923"/>
    <cellStyle name="Invoer 3 2 10 2 5" xfId="30924"/>
    <cellStyle name="Invoer 3 2 10 2 6" xfId="30925"/>
    <cellStyle name="Invoer 3 2 10 3" xfId="8337"/>
    <cellStyle name="Invoer 3 2 10 4" xfId="17345"/>
    <cellStyle name="Invoer 3 2 10 4 2" xfId="30926"/>
    <cellStyle name="Invoer 3 2 10 5" xfId="30927"/>
    <cellStyle name="Invoer 3 2 10 6" xfId="30928"/>
    <cellStyle name="Invoer 3 2 10 7" xfId="30929"/>
    <cellStyle name="Invoer 3 2 11" xfId="554"/>
    <cellStyle name="Invoer 3 2 11 2" xfId="6331"/>
    <cellStyle name="Invoer 3 2 11 2 2" xfId="10824"/>
    <cellStyle name="Invoer 3 2 11 2 3" xfId="17346"/>
    <cellStyle name="Invoer 3 2 11 2 3 2" xfId="30930"/>
    <cellStyle name="Invoer 3 2 11 2 4" xfId="30931"/>
    <cellStyle name="Invoer 3 2 11 2 5" xfId="30932"/>
    <cellStyle name="Invoer 3 2 11 2 6" xfId="30933"/>
    <cellStyle name="Invoer 3 2 11 3" xfId="8338"/>
    <cellStyle name="Invoer 3 2 11 4" xfId="17347"/>
    <cellStyle name="Invoer 3 2 11 4 2" xfId="30934"/>
    <cellStyle name="Invoer 3 2 11 5" xfId="30935"/>
    <cellStyle name="Invoer 3 2 11 6" xfId="30936"/>
    <cellStyle name="Invoer 3 2 11 7" xfId="30937"/>
    <cellStyle name="Invoer 3 2 12" xfId="555"/>
    <cellStyle name="Invoer 3 2 12 2" xfId="6332"/>
    <cellStyle name="Invoer 3 2 12 2 2" xfId="10825"/>
    <cellStyle name="Invoer 3 2 12 2 3" xfId="17348"/>
    <cellStyle name="Invoer 3 2 12 2 3 2" xfId="30938"/>
    <cellStyle name="Invoer 3 2 12 2 4" xfId="30939"/>
    <cellStyle name="Invoer 3 2 12 2 5" xfId="30940"/>
    <cellStyle name="Invoer 3 2 12 2 6" xfId="30941"/>
    <cellStyle name="Invoer 3 2 12 3" xfId="8339"/>
    <cellStyle name="Invoer 3 2 12 4" xfId="17349"/>
    <cellStyle name="Invoer 3 2 12 4 2" xfId="30942"/>
    <cellStyle name="Invoer 3 2 12 5" xfId="30943"/>
    <cellStyle name="Invoer 3 2 12 6" xfId="30944"/>
    <cellStyle name="Invoer 3 2 12 7" xfId="30945"/>
    <cellStyle name="Invoer 3 2 13" xfId="556"/>
    <cellStyle name="Invoer 3 2 13 2" xfId="6333"/>
    <cellStyle name="Invoer 3 2 13 2 2" xfId="10826"/>
    <cellStyle name="Invoer 3 2 13 2 3" xfId="17350"/>
    <cellStyle name="Invoer 3 2 13 2 3 2" xfId="30946"/>
    <cellStyle name="Invoer 3 2 13 2 4" xfId="30947"/>
    <cellStyle name="Invoer 3 2 13 2 5" xfId="30948"/>
    <cellStyle name="Invoer 3 2 13 2 6" xfId="30949"/>
    <cellStyle name="Invoer 3 2 13 3" xfId="8340"/>
    <cellStyle name="Invoer 3 2 13 4" xfId="17351"/>
    <cellStyle name="Invoer 3 2 13 4 2" xfId="30950"/>
    <cellStyle name="Invoer 3 2 13 5" xfId="30951"/>
    <cellStyle name="Invoer 3 2 13 6" xfId="30952"/>
    <cellStyle name="Invoer 3 2 13 7" xfId="30953"/>
    <cellStyle name="Invoer 3 2 14" xfId="557"/>
    <cellStyle name="Invoer 3 2 14 2" xfId="6334"/>
    <cellStyle name="Invoer 3 2 14 2 2" xfId="10827"/>
    <cellStyle name="Invoer 3 2 14 2 3" xfId="17352"/>
    <cellStyle name="Invoer 3 2 14 2 3 2" xfId="30954"/>
    <cellStyle name="Invoer 3 2 14 2 4" xfId="30955"/>
    <cellStyle name="Invoer 3 2 14 2 5" xfId="30956"/>
    <cellStyle name="Invoer 3 2 14 2 6" xfId="30957"/>
    <cellStyle name="Invoer 3 2 14 3" xfId="8341"/>
    <cellStyle name="Invoer 3 2 14 4" xfId="17353"/>
    <cellStyle name="Invoer 3 2 14 4 2" xfId="30958"/>
    <cellStyle name="Invoer 3 2 14 5" xfId="30959"/>
    <cellStyle name="Invoer 3 2 14 6" xfId="30960"/>
    <cellStyle name="Invoer 3 2 14 7" xfId="30961"/>
    <cellStyle name="Invoer 3 2 15" xfId="558"/>
    <cellStyle name="Invoer 3 2 15 2" xfId="6335"/>
    <cellStyle name="Invoer 3 2 15 2 2" xfId="10828"/>
    <cellStyle name="Invoer 3 2 15 2 3" xfId="17354"/>
    <cellStyle name="Invoer 3 2 15 2 3 2" xfId="30962"/>
    <cellStyle name="Invoer 3 2 15 2 4" xfId="30963"/>
    <cellStyle name="Invoer 3 2 15 2 5" xfId="30964"/>
    <cellStyle name="Invoer 3 2 15 2 6" xfId="30965"/>
    <cellStyle name="Invoer 3 2 15 3" xfId="8342"/>
    <cellStyle name="Invoer 3 2 15 4" xfId="17355"/>
    <cellStyle name="Invoer 3 2 15 4 2" xfId="30966"/>
    <cellStyle name="Invoer 3 2 15 5" xfId="30967"/>
    <cellStyle name="Invoer 3 2 15 6" xfId="30968"/>
    <cellStyle name="Invoer 3 2 15 7" xfId="30969"/>
    <cellStyle name="Invoer 3 2 16" xfId="559"/>
    <cellStyle name="Invoer 3 2 16 2" xfId="6336"/>
    <cellStyle name="Invoer 3 2 16 2 2" xfId="10829"/>
    <cellStyle name="Invoer 3 2 16 2 3" xfId="17356"/>
    <cellStyle name="Invoer 3 2 16 2 3 2" xfId="30970"/>
    <cellStyle name="Invoer 3 2 16 2 4" xfId="30971"/>
    <cellStyle name="Invoer 3 2 16 2 5" xfId="30972"/>
    <cellStyle name="Invoer 3 2 16 2 6" xfId="30973"/>
    <cellStyle name="Invoer 3 2 16 3" xfId="8343"/>
    <cellStyle name="Invoer 3 2 16 4" xfId="17357"/>
    <cellStyle name="Invoer 3 2 16 4 2" xfId="30974"/>
    <cellStyle name="Invoer 3 2 16 5" xfId="30975"/>
    <cellStyle name="Invoer 3 2 16 6" xfId="30976"/>
    <cellStyle name="Invoer 3 2 16 7" xfId="30977"/>
    <cellStyle name="Invoer 3 2 17" xfId="560"/>
    <cellStyle name="Invoer 3 2 17 2" xfId="6337"/>
    <cellStyle name="Invoer 3 2 17 2 2" xfId="10830"/>
    <cellStyle name="Invoer 3 2 17 2 3" xfId="17358"/>
    <cellStyle name="Invoer 3 2 17 2 3 2" xfId="30978"/>
    <cellStyle name="Invoer 3 2 17 2 4" xfId="30979"/>
    <cellStyle name="Invoer 3 2 17 2 5" xfId="30980"/>
    <cellStyle name="Invoer 3 2 17 2 6" xfId="30981"/>
    <cellStyle name="Invoer 3 2 17 3" xfId="8344"/>
    <cellStyle name="Invoer 3 2 17 4" xfId="17359"/>
    <cellStyle name="Invoer 3 2 17 4 2" xfId="30982"/>
    <cellStyle name="Invoer 3 2 17 5" xfId="30983"/>
    <cellStyle name="Invoer 3 2 17 6" xfId="30984"/>
    <cellStyle name="Invoer 3 2 17 7" xfId="30985"/>
    <cellStyle name="Invoer 3 2 18" xfId="561"/>
    <cellStyle name="Invoer 3 2 18 2" xfId="6338"/>
    <cellStyle name="Invoer 3 2 18 2 2" xfId="10831"/>
    <cellStyle name="Invoer 3 2 18 2 3" xfId="17360"/>
    <cellStyle name="Invoer 3 2 18 2 3 2" xfId="30986"/>
    <cellStyle name="Invoer 3 2 18 2 4" xfId="30987"/>
    <cellStyle name="Invoer 3 2 18 2 5" xfId="30988"/>
    <cellStyle name="Invoer 3 2 18 2 6" xfId="30989"/>
    <cellStyle name="Invoer 3 2 18 3" xfId="8345"/>
    <cellStyle name="Invoer 3 2 18 4" xfId="17361"/>
    <cellStyle name="Invoer 3 2 18 4 2" xfId="30990"/>
    <cellStyle name="Invoer 3 2 18 5" xfId="30991"/>
    <cellStyle name="Invoer 3 2 18 6" xfId="30992"/>
    <cellStyle name="Invoer 3 2 18 7" xfId="30993"/>
    <cellStyle name="Invoer 3 2 19" xfId="562"/>
    <cellStyle name="Invoer 3 2 19 2" xfId="6339"/>
    <cellStyle name="Invoer 3 2 19 2 2" xfId="10832"/>
    <cellStyle name="Invoer 3 2 19 2 3" xfId="17362"/>
    <cellStyle name="Invoer 3 2 19 2 3 2" xfId="30994"/>
    <cellStyle name="Invoer 3 2 19 2 4" xfId="30995"/>
    <cellStyle name="Invoer 3 2 19 2 5" xfId="30996"/>
    <cellStyle name="Invoer 3 2 19 2 6" xfId="30997"/>
    <cellStyle name="Invoer 3 2 19 3" xfId="8346"/>
    <cellStyle name="Invoer 3 2 19 4" xfId="17363"/>
    <cellStyle name="Invoer 3 2 19 4 2" xfId="30998"/>
    <cellStyle name="Invoer 3 2 19 5" xfId="30999"/>
    <cellStyle name="Invoer 3 2 19 6" xfId="31000"/>
    <cellStyle name="Invoer 3 2 19 7" xfId="31001"/>
    <cellStyle name="Invoer 3 2 2" xfId="563"/>
    <cellStyle name="Invoer 3 2 2 2" xfId="6340"/>
    <cellStyle name="Invoer 3 2 2 2 2" xfId="10833"/>
    <cellStyle name="Invoer 3 2 2 2 3" xfId="17364"/>
    <cellStyle name="Invoer 3 2 2 2 3 2" xfId="31002"/>
    <cellStyle name="Invoer 3 2 2 2 4" xfId="31003"/>
    <cellStyle name="Invoer 3 2 2 2 5" xfId="31004"/>
    <cellStyle name="Invoer 3 2 2 2 6" xfId="31005"/>
    <cellStyle name="Invoer 3 2 2 3" xfId="8347"/>
    <cellStyle name="Invoer 3 2 2 4" xfId="17365"/>
    <cellStyle name="Invoer 3 2 2 4 2" xfId="31006"/>
    <cellStyle name="Invoer 3 2 2 5" xfId="31007"/>
    <cellStyle name="Invoer 3 2 2 6" xfId="31008"/>
    <cellStyle name="Invoer 3 2 2 7" xfId="31009"/>
    <cellStyle name="Invoer 3 2 20" xfId="564"/>
    <cellStyle name="Invoer 3 2 20 2" xfId="6341"/>
    <cellStyle name="Invoer 3 2 20 2 2" xfId="10834"/>
    <cellStyle name="Invoer 3 2 20 2 3" xfId="17366"/>
    <cellStyle name="Invoer 3 2 20 2 3 2" xfId="31010"/>
    <cellStyle name="Invoer 3 2 20 2 4" xfId="31011"/>
    <cellStyle name="Invoer 3 2 20 2 5" xfId="31012"/>
    <cellStyle name="Invoer 3 2 20 2 6" xfId="31013"/>
    <cellStyle name="Invoer 3 2 20 3" xfId="8348"/>
    <cellStyle name="Invoer 3 2 20 4" xfId="17367"/>
    <cellStyle name="Invoer 3 2 20 4 2" xfId="31014"/>
    <cellStyle name="Invoer 3 2 20 5" xfId="31015"/>
    <cellStyle name="Invoer 3 2 20 6" xfId="31016"/>
    <cellStyle name="Invoer 3 2 20 7" xfId="31017"/>
    <cellStyle name="Invoer 3 2 21" xfId="565"/>
    <cellStyle name="Invoer 3 2 21 2" xfId="6342"/>
    <cellStyle name="Invoer 3 2 21 2 2" xfId="10835"/>
    <cellStyle name="Invoer 3 2 21 2 3" xfId="17368"/>
    <cellStyle name="Invoer 3 2 21 2 3 2" xfId="31018"/>
    <cellStyle name="Invoer 3 2 21 2 4" xfId="31019"/>
    <cellStyle name="Invoer 3 2 21 2 5" xfId="31020"/>
    <cellStyle name="Invoer 3 2 21 2 6" xfId="31021"/>
    <cellStyle name="Invoer 3 2 21 3" xfId="8349"/>
    <cellStyle name="Invoer 3 2 21 4" xfId="17369"/>
    <cellStyle name="Invoer 3 2 21 4 2" xfId="31022"/>
    <cellStyle name="Invoer 3 2 21 5" xfId="31023"/>
    <cellStyle name="Invoer 3 2 21 6" xfId="31024"/>
    <cellStyle name="Invoer 3 2 21 7" xfId="31025"/>
    <cellStyle name="Invoer 3 2 22" xfId="566"/>
    <cellStyle name="Invoer 3 2 22 2" xfId="6343"/>
    <cellStyle name="Invoer 3 2 22 2 2" xfId="10836"/>
    <cellStyle name="Invoer 3 2 22 2 3" xfId="17370"/>
    <cellStyle name="Invoer 3 2 22 2 3 2" xfId="31026"/>
    <cellStyle name="Invoer 3 2 22 2 4" xfId="31027"/>
    <cellStyle name="Invoer 3 2 22 2 5" xfId="31028"/>
    <cellStyle name="Invoer 3 2 22 2 6" xfId="31029"/>
    <cellStyle name="Invoer 3 2 22 3" xfId="8350"/>
    <cellStyle name="Invoer 3 2 22 4" xfId="17371"/>
    <cellStyle name="Invoer 3 2 22 4 2" xfId="31030"/>
    <cellStyle name="Invoer 3 2 22 5" xfId="31031"/>
    <cellStyle name="Invoer 3 2 22 6" xfId="31032"/>
    <cellStyle name="Invoer 3 2 22 7" xfId="31033"/>
    <cellStyle name="Invoer 3 2 23" xfId="567"/>
    <cellStyle name="Invoer 3 2 23 2" xfId="6344"/>
    <cellStyle name="Invoer 3 2 23 2 2" xfId="10837"/>
    <cellStyle name="Invoer 3 2 23 2 3" xfId="17372"/>
    <cellStyle name="Invoer 3 2 23 2 3 2" xfId="31034"/>
    <cellStyle name="Invoer 3 2 23 2 4" xfId="31035"/>
    <cellStyle name="Invoer 3 2 23 2 5" xfId="31036"/>
    <cellStyle name="Invoer 3 2 23 2 6" xfId="31037"/>
    <cellStyle name="Invoer 3 2 23 3" xfId="8351"/>
    <cellStyle name="Invoer 3 2 23 4" xfId="17373"/>
    <cellStyle name="Invoer 3 2 23 4 2" xfId="31038"/>
    <cellStyle name="Invoer 3 2 23 5" xfId="31039"/>
    <cellStyle name="Invoer 3 2 23 6" xfId="31040"/>
    <cellStyle name="Invoer 3 2 23 7" xfId="31041"/>
    <cellStyle name="Invoer 3 2 24" xfId="568"/>
    <cellStyle name="Invoer 3 2 24 2" xfId="6345"/>
    <cellStyle name="Invoer 3 2 24 2 2" xfId="10838"/>
    <cellStyle name="Invoer 3 2 24 2 3" xfId="17374"/>
    <cellStyle name="Invoer 3 2 24 2 3 2" xfId="31042"/>
    <cellStyle name="Invoer 3 2 24 2 4" xfId="31043"/>
    <cellStyle name="Invoer 3 2 24 2 5" xfId="31044"/>
    <cellStyle name="Invoer 3 2 24 2 6" xfId="31045"/>
    <cellStyle name="Invoer 3 2 24 3" xfId="8352"/>
    <cellStyle name="Invoer 3 2 24 4" xfId="17375"/>
    <cellStyle name="Invoer 3 2 24 4 2" xfId="31046"/>
    <cellStyle name="Invoer 3 2 24 5" xfId="31047"/>
    <cellStyle name="Invoer 3 2 24 6" xfId="31048"/>
    <cellStyle name="Invoer 3 2 24 7" xfId="31049"/>
    <cellStyle name="Invoer 3 2 25" xfId="569"/>
    <cellStyle name="Invoer 3 2 25 2" xfId="6346"/>
    <cellStyle name="Invoer 3 2 25 2 2" xfId="10839"/>
    <cellStyle name="Invoer 3 2 25 2 3" xfId="17376"/>
    <cellStyle name="Invoer 3 2 25 2 3 2" xfId="31050"/>
    <cellStyle name="Invoer 3 2 25 2 4" xfId="31051"/>
    <cellStyle name="Invoer 3 2 25 2 5" xfId="31052"/>
    <cellStyle name="Invoer 3 2 25 2 6" xfId="31053"/>
    <cellStyle name="Invoer 3 2 25 3" xfId="8353"/>
    <cellStyle name="Invoer 3 2 25 4" xfId="17377"/>
    <cellStyle name="Invoer 3 2 25 4 2" xfId="31054"/>
    <cellStyle name="Invoer 3 2 25 5" xfId="31055"/>
    <cellStyle name="Invoer 3 2 25 6" xfId="31056"/>
    <cellStyle name="Invoer 3 2 25 7" xfId="31057"/>
    <cellStyle name="Invoer 3 2 26" xfId="570"/>
    <cellStyle name="Invoer 3 2 26 2" xfId="6347"/>
    <cellStyle name="Invoer 3 2 26 2 2" xfId="10840"/>
    <cellStyle name="Invoer 3 2 26 2 3" xfId="17378"/>
    <cellStyle name="Invoer 3 2 26 2 3 2" xfId="31058"/>
    <cellStyle name="Invoer 3 2 26 2 4" xfId="31059"/>
    <cellStyle name="Invoer 3 2 26 2 5" xfId="31060"/>
    <cellStyle name="Invoer 3 2 26 2 6" xfId="31061"/>
    <cellStyle name="Invoer 3 2 26 3" xfId="8354"/>
    <cellStyle name="Invoer 3 2 26 4" xfId="17379"/>
    <cellStyle name="Invoer 3 2 26 4 2" xfId="31062"/>
    <cellStyle name="Invoer 3 2 26 5" xfId="31063"/>
    <cellStyle name="Invoer 3 2 26 6" xfId="31064"/>
    <cellStyle name="Invoer 3 2 26 7" xfId="31065"/>
    <cellStyle name="Invoer 3 2 27" xfId="571"/>
    <cellStyle name="Invoer 3 2 27 2" xfId="6348"/>
    <cellStyle name="Invoer 3 2 27 2 2" xfId="10841"/>
    <cellStyle name="Invoer 3 2 27 2 3" xfId="17380"/>
    <cellStyle name="Invoer 3 2 27 2 3 2" xfId="31066"/>
    <cellStyle name="Invoer 3 2 27 2 4" xfId="31067"/>
    <cellStyle name="Invoer 3 2 27 2 5" xfId="31068"/>
    <cellStyle name="Invoer 3 2 27 2 6" xfId="31069"/>
    <cellStyle name="Invoer 3 2 27 3" xfId="8355"/>
    <cellStyle name="Invoer 3 2 27 4" xfId="17381"/>
    <cellStyle name="Invoer 3 2 27 4 2" xfId="31070"/>
    <cellStyle name="Invoer 3 2 27 5" xfId="31071"/>
    <cellStyle name="Invoer 3 2 27 6" xfId="31072"/>
    <cellStyle name="Invoer 3 2 27 7" xfId="31073"/>
    <cellStyle name="Invoer 3 2 28" xfId="572"/>
    <cellStyle name="Invoer 3 2 28 2" xfId="6349"/>
    <cellStyle name="Invoer 3 2 28 2 2" xfId="10842"/>
    <cellStyle name="Invoer 3 2 28 2 3" xfId="17382"/>
    <cellStyle name="Invoer 3 2 28 2 3 2" xfId="31074"/>
    <cellStyle name="Invoer 3 2 28 2 4" xfId="31075"/>
    <cellStyle name="Invoer 3 2 28 2 5" xfId="31076"/>
    <cellStyle name="Invoer 3 2 28 2 6" xfId="31077"/>
    <cellStyle name="Invoer 3 2 28 3" xfId="8356"/>
    <cellStyle name="Invoer 3 2 28 4" xfId="17383"/>
    <cellStyle name="Invoer 3 2 28 4 2" xfId="31078"/>
    <cellStyle name="Invoer 3 2 28 5" xfId="31079"/>
    <cellStyle name="Invoer 3 2 28 6" xfId="31080"/>
    <cellStyle name="Invoer 3 2 28 7" xfId="31081"/>
    <cellStyle name="Invoer 3 2 29" xfId="573"/>
    <cellStyle name="Invoer 3 2 29 2" xfId="6350"/>
    <cellStyle name="Invoer 3 2 29 2 2" xfId="10843"/>
    <cellStyle name="Invoer 3 2 29 2 3" xfId="17384"/>
    <cellStyle name="Invoer 3 2 29 2 3 2" xfId="31082"/>
    <cellStyle name="Invoer 3 2 29 2 4" xfId="31083"/>
    <cellStyle name="Invoer 3 2 29 2 5" xfId="31084"/>
    <cellStyle name="Invoer 3 2 29 2 6" xfId="31085"/>
    <cellStyle name="Invoer 3 2 29 3" xfId="8357"/>
    <cellStyle name="Invoer 3 2 29 4" xfId="17385"/>
    <cellStyle name="Invoer 3 2 29 4 2" xfId="31086"/>
    <cellStyle name="Invoer 3 2 29 5" xfId="31087"/>
    <cellStyle name="Invoer 3 2 29 6" xfId="31088"/>
    <cellStyle name="Invoer 3 2 29 7" xfId="31089"/>
    <cellStyle name="Invoer 3 2 3" xfId="574"/>
    <cellStyle name="Invoer 3 2 3 2" xfId="6351"/>
    <cellStyle name="Invoer 3 2 3 2 2" xfId="10844"/>
    <cellStyle name="Invoer 3 2 3 2 3" xfId="17386"/>
    <cellStyle name="Invoer 3 2 3 2 3 2" xfId="31090"/>
    <cellStyle name="Invoer 3 2 3 2 4" xfId="31091"/>
    <cellStyle name="Invoer 3 2 3 2 5" xfId="31092"/>
    <cellStyle name="Invoer 3 2 3 2 6" xfId="31093"/>
    <cellStyle name="Invoer 3 2 3 3" xfId="8358"/>
    <cellStyle name="Invoer 3 2 3 4" xfId="17387"/>
    <cellStyle name="Invoer 3 2 3 4 2" xfId="31094"/>
    <cellStyle name="Invoer 3 2 3 5" xfId="31095"/>
    <cellStyle name="Invoer 3 2 3 6" xfId="31096"/>
    <cellStyle name="Invoer 3 2 3 7" xfId="31097"/>
    <cellStyle name="Invoer 3 2 30" xfId="575"/>
    <cellStyle name="Invoer 3 2 30 2" xfId="6352"/>
    <cellStyle name="Invoer 3 2 30 2 2" xfId="10845"/>
    <cellStyle name="Invoer 3 2 30 2 3" xfId="17388"/>
    <cellStyle name="Invoer 3 2 30 2 3 2" xfId="31098"/>
    <cellStyle name="Invoer 3 2 30 2 4" xfId="31099"/>
    <cellStyle name="Invoer 3 2 30 2 5" xfId="31100"/>
    <cellStyle name="Invoer 3 2 30 2 6" xfId="31101"/>
    <cellStyle name="Invoer 3 2 30 3" xfId="8359"/>
    <cellStyle name="Invoer 3 2 30 4" xfId="17389"/>
    <cellStyle name="Invoer 3 2 30 4 2" xfId="31102"/>
    <cellStyle name="Invoer 3 2 30 5" xfId="31103"/>
    <cellStyle name="Invoer 3 2 30 6" xfId="31104"/>
    <cellStyle name="Invoer 3 2 30 7" xfId="31105"/>
    <cellStyle name="Invoer 3 2 31" xfId="576"/>
    <cellStyle name="Invoer 3 2 31 2" xfId="6353"/>
    <cellStyle name="Invoer 3 2 31 2 2" xfId="10846"/>
    <cellStyle name="Invoer 3 2 31 2 3" xfId="17390"/>
    <cellStyle name="Invoer 3 2 31 2 3 2" xfId="31106"/>
    <cellStyle name="Invoer 3 2 31 2 4" xfId="31107"/>
    <cellStyle name="Invoer 3 2 31 2 5" xfId="31108"/>
    <cellStyle name="Invoer 3 2 31 2 6" xfId="31109"/>
    <cellStyle name="Invoer 3 2 31 3" xfId="8360"/>
    <cellStyle name="Invoer 3 2 31 4" xfId="17391"/>
    <cellStyle name="Invoer 3 2 31 4 2" xfId="31110"/>
    <cellStyle name="Invoer 3 2 31 5" xfId="31111"/>
    <cellStyle name="Invoer 3 2 31 6" xfId="31112"/>
    <cellStyle name="Invoer 3 2 31 7" xfId="31113"/>
    <cellStyle name="Invoer 3 2 32" xfId="577"/>
    <cellStyle name="Invoer 3 2 32 2" xfId="6354"/>
    <cellStyle name="Invoer 3 2 32 2 2" xfId="10847"/>
    <cellStyle name="Invoer 3 2 32 2 3" xfId="17392"/>
    <cellStyle name="Invoer 3 2 32 2 3 2" xfId="31114"/>
    <cellStyle name="Invoer 3 2 32 2 4" xfId="31115"/>
    <cellStyle name="Invoer 3 2 32 2 5" xfId="31116"/>
    <cellStyle name="Invoer 3 2 32 2 6" xfId="31117"/>
    <cellStyle name="Invoer 3 2 32 3" xfId="8361"/>
    <cellStyle name="Invoer 3 2 32 4" xfId="17393"/>
    <cellStyle name="Invoer 3 2 32 4 2" xfId="31118"/>
    <cellStyle name="Invoer 3 2 32 5" xfId="31119"/>
    <cellStyle name="Invoer 3 2 32 6" xfId="31120"/>
    <cellStyle name="Invoer 3 2 32 7" xfId="31121"/>
    <cellStyle name="Invoer 3 2 33" xfId="578"/>
    <cellStyle name="Invoer 3 2 33 2" xfId="6355"/>
    <cellStyle name="Invoer 3 2 33 2 2" xfId="10848"/>
    <cellStyle name="Invoer 3 2 33 2 3" xfId="17394"/>
    <cellStyle name="Invoer 3 2 33 2 3 2" xfId="31122"/>
    <cellStyle name="Invoer 3 2 33 2 4" xfId="31123"/>
    <cellStyle name="Invoer 3 2 33 2 5" xfId="31124"/>
    <cellStyle name="Invoer 3 2 33 2 6" xfId="31125"/>
    <cellStyle name="Invoer 3 2 33 3" xfId="8362"/>
    <cellStyle name="Invoer 3 2 33 4" xfId="17395"/>
    <cellStyle name="Invoer 3 2 33 4 2" xfId="31126"/>
    <cellStyle name="Invoer 3 2 33 5" xfId="31127"/>
    <cellStyle name="Invoer 3 2 33 6" xfId="31128"/>
    <cellStyle name="Invoer 3 2 33 7" xfId="31129"/>
    <cellStyle name="Invoer 3 2 34" xfId="579"/>
    <cellStyle name="Invoer 3 2 34 2" xfId="6356"/>
    <cellStyle name="Invoer 3 2 34 2 2" xfId="10849"/>
    <cellStyle name="Invoer 3 2 34 2 3" xfId="17396"/>
    <cellStyle name="Invoer 3 2 34 2 3 2" xfId="31130"/>
    <cellStyle name="Invoer 3 2 34 2 4" xfId="31131"/>
    <cellStyle name="Invoer 3 2 34 2 5" xfId="31132"/>
    <cellStyle name="Invoer 3 2 34 2 6" xfId="31133"/>
    <cellStyle name="Invoer 3 2 34 3" xfId="8363"/>
    <cellStyle name="Invoer 3 2 34 4" xfId="17397"/>
    <cellStyle name="Invoer 3 2 34 4 2" xfId="31134"/>
    <cellStyle name="Invoer 3 2 34 5" xfId="31135"/>
    <cellStyle name="Invoer 3 2 34 6" xfId="31136"/>
    <cellStyle name="Invoer 3 2 34 7" xfId="31137"/>
    <cellStyle name="Invoer 3 2 35" xfId="580"/>
    <cellStyle name="Invoer 3 2 35 2" xfId="6357"/>
    <cellStyle name="Invoer 3 2 35 2 2" xfId="10850"/>
    <cellStyle name="Invoer 3 2 35 2 3" xfId="17398"/>
    <cellStyle name="Invoer 3 2 35 2 3 2" xfId="31138"/>
    <cellStyle name="Invoer 3 2 35 2 4" xfId="31139"/>
    <cellStyle name="Invoer 3 2 35 2 5" xfId="31140"/>
    <cellStyle name="Invoer 3 2 35 2 6" xfId="31141"/>
    <cellStyle name="Invoer 3 2 35 3" xfId="8364"/>
    <cellStyle name="Invoer 3 2 35 4" xfId="17399"/>
    <cellStyle name="Invoer 3 2 35 4 2" xfId="31142"/>
    <cellStyle name="Invoer 3 2 35 5" xfId="31143"/>
    <cellStyle name="Invoer 3 2 35 6" xfId="31144"/>
    <cellStyle name="Invoer 3 2 35 7" xfId="31145"/>
    <cellStyle name="Invoer 3 2 36" xfId="581"/>
    <cellStyle name="Invoer 3 2 36 2" xfId="6358"/>
    <cellStyle name="Invoer 3 2 36 2 2" xfId="10851"/>
    <cellStyle name="Invoer 3 2 36 2 3" xfId="17400"/>
    <cellStyle name="Invoer 3 2 36 2 3 2" xfId="31146"/>
    <cellStyle name="Invoer 3 2 36 2 4" xfId="31147"/>
    <cellStyle name="Invoer 3 2 36 2 5" xfId="31148"/>
    <cellStyle name="Invoer 3 2 36 2 6" xfId="31149"/>
    <cellStyle name="Invoer 3 2 36 3" xfId="8365"/>
    <cellStyle name="Invoer 3 2 36 4" xfId="17401"/>
    <cellStyle name="Invoer 3 2 36 4 2" xfId="31150"/>
    <cellStyle name="Invoer 3 2 36 5" xfId="31151"/>
    <cellStyle name="Invoer 3 2 36 6" xfId="31152"/>
    <cellStyle name="Invoer 3 2 36 7" xfId="31153"/>
    <cellStyle name="Invoer 3 2 37" xfId="582"/>
    <cellStyle name="Invoer 3 2 37 2" xfId="6359"/>
    <cellStyle name="Invoer 3 2 37 2 2" xfId="10852"/>
    <cellStyle name="Invoer 3 2 37 2 3" xfId="17402"/>
    <cellStyle name="Invoer 3 2 37 2 3 2" xfId="31154"/>
    <cellStyle name="Invoer 3 2 37 2 4" xfId="31155"/>
    <cellStyle name="Invoer 3 2 37 2 5" xfId="31156"/>
    <cellStyle name="Invoer 3 2 37 2 6" xfId="31157"/>
    <cellStyle name="Invoer 3 2 37 3" xfId="8366"/>
    <cellStyle name="Invoer 3 2 37 4" xfId="17403"/>
    <cellStyle name="Invoer 3 2 37 4 2" xfId="31158"/>
    <cellStyle name="Invoer 3 2 37 5" xfId="31159"/>
    <cellStyle name="Invoer 3 2 37 6" xfId="31160"/>
    <cellStyle name="Invoer 3 2 37 7" xfId="31161"/>
    <cellStyle name="Invoer 3 2 38" xfId="583"/>
    <cellStyle name="Invoer 3 2 38 2" xfId="6360"/>
    <cellStyle name="Invoer 3 2 38 2 2" xfId="10853"/>
    <cellStyle name="Invoer 3 2 38 2 3" xfId="17404"/>
    <cellStyle name="Invoer 3 2 38 2 3 2" xfId="31162"/>
    <cellStyle name="Invoer 3 2 38 2 4" xfId="31163"/>
    <cellStyle name="Invoer 3 2 38 2 5" xfId="31164"/>
    <cellStyle name="Invoer 3 2 38 2 6" xfId="31165"/>
    <cellStyle name="Invoer 3 2 38 3" xfId="8367"/>
    <cellStyle name="Invoer 3 2 38 4" xfId="17405"/>
    <cellStyle name="Invoer 3 2 38 4 2" xfId="31166"/>
    <cellStyle name="Invoer 3 2 38 5" xfId="31167"/>
    <cellStyle name="Invoer 3 2 38 6" xfId="31168"/>
    <cellStyle name="Invoer 3 2 38 7" xfId="31169"/>
    <cellStyle name="Invoer 3 2 39" xfId="584"/>
    <cellStyle name="Invoer 3 2 39 2" xfId="6361"/>
    <cellStyle name="Invoer 3 2 39 2 2" xfId="10854"/>
    <cellStyle name="Invoer 3 2 39 2 3" xfId="17406"/>
    <cellStyle name="Invoer 3 2 39 2 3 2" xfId="31170"/>
    <cellStyle name="Invoer 3 2 39 2 4" xfId="31171"/>
    <cellStyle name="Invoer 3 2 39 2 5" xfId="31172"/>
    <cellStyle name="Invoer 3 2 39 2 6" xfId="31173"/>
    <cellStyle name="Invoer 3 2 39 3" xfId="8368"/>
    <cellStyle name="Invoer 3 2 39 4" xfId="17407"/>
    <cellStyle name="Invoer 3 2 39 4 2" xfId="31174"/>
    <cellStyle name="Invoer 3 2 39 5" xfId="31175"/>
    <cellStyle name="Invoer 3 2 39 6" xfId="31176"/>
    <cellStyle name="Invoer 3 2 39 7" xfId="31177"/>
    <cellStyle name="Invoer 3 2 4" xfId="585"/>
    <cellStyle name="Invoer 3 2 4 2" xfId="6362"/>
    <cellStyle name="Invoer 3 2 4 2 2" xfId="10855"/>
    <cellStyle name="Invoer 3 2 4 2 3" xfId="17408"/>
    <cellStyle name="Invoer 3 2 4 2 3 2" xfId="31178"/>
    <cellStyle name="Invoer 3 2 4 2 4" xfId="31179"/>
    <cellStyle name="Invoer 3 2 4 2 5" xfId="31180"/>
    <cellStyle name="Invoer 3 2 4 2 6" xfId="31181"/>
    <cellStyle name="Invoer 3 2 4 3" xfId="8369"/>
    <cellStyle name="Invoer 3 2 4 4" xfId="17409"/>
    <cellStyle name="Invoer 3 2 4 4 2" xfId="31182"/>
    <cellStyle name="Invoer 3 2 4 5" xfId="31183"/>
    <cellStyle name="Invoer 3 2 4 6" xfId="31184"/>
    <cellStyle name="Invoer 3 2 4 7" xfId="31185"/>
    <cellStyle name="Invoer 3 2 40" xfId="586"/>
    <cellStyle name="Invoer 3 2 40 2" xfId="6363"/>
    <cellStyle name="Invoer 3 2 40 2 2" xfId="10856"/>
    <cellStyle name="Invoer 3 2 40 2 3" xfId="17410"/>
    <cellStyle name="Invoer 3 2 40 2 3 2" xfId="31186"/>
    <cellStyle name="Invoer 3 2 40 2 4" xfId="31187"/>
    <cellStyle name="Invoer 3 2 40 2 5" xfId="31188"/>
    <cellStyle name="Invoer 3 2 40 2 6" xfId="31189"/>
    <cellStyle name="Invoer 3 2 40 3" xfId="8370"/>
    <cellStyle name="Invoer 3 2 40 4" xfId="17411"/>
    <cellStyle name="Invoer 3 2 40 4 2" xfId="31190"/>
    <cellStyle name="Invoer 3 2 40 5" xfId="31191"/>
    <cellStyle name="Invoer 3 2 40 6" xfId="31192"/>
    <cellStyle name="Invoer 3 2 40 7" xfId="31193"/>
    <cellStyle name="Invoer 3 2 41" xfId="587"/>
    <cellStyle name="Invoer 3 2 41 2" xfId="6364"/>
    <cellStyle name="Invoer 3 2 41 2 2" xfId="10857"/>
    <cellStyle name="Invoer 3 2 41 2 3" xfId="17412"/>
    <cellStyle name="Invoer 3 2 41 2 3 2" xfId="31194"/>
    <cellStyle name="Invoer 3 2 41 2 4" xfId="31195"/>
    <cellStyle name="Invoer 3 2 41 2 5" xfId="31196"/>
    <cellStyle name="Invoer 3 2 41 2 6" xfId="31197"/>
    <cellStyle name="Invoer 3 2 41 3" xfId="8371"/>
    <cellStyle name="Invoer 3 2 41 4" xfId="17413"/>
    <cellStyle name="Invoer 3 2 41 4 2" xfId="31198"/>
    <cellStyle name="Invoer 3 2 41 5" xfId="31199"/>
    <cellStyle name="Invoer 3 2 41 6" xfId="31200"/>
    <cellStyle name="Invoer 3 2 41 7" xfId="31201"/>
    <cellStyle name="Invoer 3 2 42" xfId="588"/>
    <cellStyle name="Invoer 3 2 42 2" xfId="6365"/>
    <cellStyle name="Invoer 3 2 42 2 2" xfId="10858"/>
    <cellStyle name="Invoer 3 2 42 2 3" xfId="17414"/>
    <cellStyle name="Invoer 3 2 42 2 3 2" xfId="31202"/>
    <cellStyle name="Invoer 3 2 42 2 4" xfId="31203"/>
    <cellStyle name="Invoer 3 2 42 2 5" xfId="31204"/>
    <cellStyle name="Invoer 3 2 42 2 6" xfId="31205"/>
    <cellStyle name="Invoer 3 2 42 3" xfId="8372"/>
    <cellStyle name="Invoer 3 2 42 4" xfId="17415"/>
    <cellStyle name="Invoer 3 2 42 4 2" xfId="31206"/>
    <cellStyle name="Invoer 3 2 42 5" xfId="31207"/>
    <cellStyle name="Invoer 3 2 42 6" xfId="31208"/>
    <cellStyle name="Invoer 3 2 42 7" xfId="31209"/>
    <cellStyle name="Invoer 3 2 43" xfId="589"/>
    <cellStyle name="Invoer 3 2 43 2" xfId="6366"/>
    <cellStyle name="Invoer 3 2 43 2 2" xfId="10859"/>
    <cellStyle name="Invoer 3 2 43 2 3" xfId="17416"/>
    <cellStyle name="Invoer 3 2 43 2 3 2" xfId="31210"/>
    <cellStyle name="Invoer 3 2 43 2 4" xfId="31211"/>
    <cellStyle name="Invoer 3 2 43 2 5" xfId="31212"/>
    <cellStyle name="Invoer 3 2 43 2 6" xfId="31213"/>
    <cellStyle name="Invoer 3 2 43 3" xfId="8373"/>
    <cellStyle name="Invoer 3 2 43 4" xfId="17417"/>
    <cellStyle name="Invoer 3 2 43 4 2" xfId="31214"/>
    <cellStyle name="Invoer 3 2 43 5" xfId="31215"/>
    <cellStyle name="Invoer 3 2 43 6" xfId="31216"/>
    <cellStyle name="Invoer 3 2 43 7" xfId="31217"/>
    <cellStyle name="Invoer 3 2 44" xfId="590"/>
    <cellStyle name="Invoer 3 2 44 2" xfId="6367"/>
    <cellStyle name="Invoer 3 2 44 2 2" xfId="10860"/>
    <cellStyle name="Invoer 3 2 44 2 3" xfId="17418"/>
    <cellStyle name="Invoer 3 2 44 2 3 2" xfId="31218"/>
    <cellStyle name="Invoer 3 2 44 2 4" xfId="31219"/>
    <cellStyle name="Invoer 3 2 44 2 5" xfId="31220"/>
    <cellStyle name="Invoer 3 2 44 2 6" xfId="31221"/>
    <cellStyle name="Invoer 3 2 44 3" xfId="8374"/>
    <cellStyle name="Invoer 3 2 44 4" xfId="17419"/>
    <cellStyle name="Invoer 3 2 44 4 2" xfId="31222"/>
    <cellStyle name="Invoer 3 2 44 5" xfId="31223"/>
    <cellStyle name="Invoer 3 2 44 6" xfId="31224"/>
    <cellStyle name="Invoer 3 2 44 7" xfId="31225"/>
    <cellStyle name="Invoer 3 2 45" xfId="591"/>
    <cellStyle name="Invoer 3 2 45 2" xfId="6368"/>
    <cellStyle name="Invoer 3 2 45 2 2" xfId="10861"/>
    <cellStyle name="Invoer 3 2 45 2 3" xfId="17420"/>
    <cellStyle name="Invoer 3 2 45 2 3 2" xfId="31226"/>
    <cellStyle name="Invoer 3 2 45 2 4" xfId="31227"/>
    <cellStyle name="Invoer 3 2 45 2 5" xfId="31228"/>
    <cellStyle name="Invoer 3 2 45 2 6" xfId="31229"/>
    <cellStyle name="Invoer 3 2 45 3" xfId="8375"/>
    <cellStyle name="Invoer 3 2 45 4" xfId="17421"/>
    <cellStyle name="Invoer 3 2 45 4 2" xfId="31230"/>
    <cellStyle name="Invoer 3 2 45 5" xfId="31231"/>
    <cellStyle name="Invoer 3 2 45 6" xfId="31232"/>
    <cellStyle name="Invoer 3 2 45 7" xfId="31233"/>
    <cellStyle name="Invoer 3 2 46" xfId="592"/>
    <cellStyle name="Invoer 3 2 46 2" xfId="6369"/>
    <cellStyle name="Invoer 3 2 46 2 2" xfId="10862"/>
    <cellStyle name="Invoer 3 2 46 2 3" xfId="17422"/>
    <cellStyle name="Invoer 3 2 46 2 3 2" xfId="31234"/>
    <cellStyle name="Invoer 3 2 46 2 4" xfId="31235"/>
    <cellStyle name="Invoer 3 2 46 2 5" xfId="31236"/>
    <cellStyle name="Invoer 3 2 46 2 6" xfId="31237"/>
    <cellStyle name="Invoer 3 2 46 3" xfId="8376"/>
    <cellStyle name="Invoer 3 2 46 4" xfId="17423"/>
    <cellStyle name="Invoer 3 2 46 4 2" xfId="31238"/>
    <cellStyle name="Invoer 3 2 46 5" xfId="31239"/>
    <cellStyle name="Invoer 3 2 46 6" xfId="31240"/>
    <cellStyle name="Invoer 3 2 46 7" xfId="31241"/>
    <cellStyle name="Invoer 3 2 47" xfId="593"/>
    <cellStyle name="Invoer 3 2 47 2" xfId="6370"/>
    <cellStyle name="Invoer 3 2 47 2 2" xfId="10863"/>
    <cellStyle name="Invoer 3 2 47 2 3" xfId="17424"/>
    <cellStyle name="Invoer 3 2 47 2 3 2" xfId="31242"/>
    <cellStyle name="Invoer 3 2 47 2 4" xfId="31243"/>
    <cellStyle name="Invoer 3 2 47 2 5" xfId="31244"/>
    <cellStyle name="Invoer 3 2 47 2 6" xfId="31245"/>
    <cellStyle name="Invoer 3 2 47 3" xfId="8377"/>
    <cellStyle name="Invoer 3 2 47 4" xfId="17425"/>
    <cellStyle name="Invoer 3 2 47 4 2" xfId="31246"/>
    <cellStyle name="Invoer 3 2 47 5" xfId="31247"/>
    <cellStyle name="Invoer 3 2 47 6" xfId="31248"/>
    <cellStyle name="Invoer 3 2 47 7" xfId="31249"/>
    <cellStyle name="Invoer 3 2 48" xfId="594"/>
    <cellStyle name="Invoer 3 2 48 2" xfId="6371"/>
    <cellStyle name="Invoer 3 2 48 2 2" xfId="10864"/>
    <cellStyle name="Invoer 3 2 48 2 3" xfId="17426"/>
    <cellStyle name="Invoer 3 2 48 2 3 2" xfId="31250"/>
    <cellStyle name="Invoer 3 2 48 2 4" xfId="31251"/>
    <cellStyle name="Invoer 3 2 48 2 5" xfId="31252"/>
    <cellStyle name="Invoer 3 2 48 2 6" xfId="31253"/>
    <cellStyle name="Invoer 3 2 48 3" xfId="8378"/>
    <cellStyle name="Invoer 3 2 48 4" xfId="17427"/>
    <cellStyle name="Invoer 3 2 48 4 2" xfId="31254"/>
    <cellStyle name="Invoer 3 2 48 5" xfId="31255"/>
    <cellStyle name="Invoer 3 2 48 6" xfId="31256"/>
    <cellStyle name="Invoer 3 2 48 7" xfId="31257"/>
    <cellStyle name="Invoer 3 2 49" xfId="595"/>
    <cellStyle name="Invoer 3 2 49 2" xfId="6372"/>
    <cellStyle name="Invoer 3 2 49 2 2" xfId="10865"/>
    <cellStyle name="Invoer 3 2 49 2 3" xfId="17428"/>
    <cellStyle name="Invoer 3 2 49 2 3 2" xfId="31258"/>
    <cellStyle name="Invoer 3 2 49 2 4" xfId="31259"/>
    <cellStyle name="Invoer 3 2 49 2 5" xfId="31260"/>
    <cellStyle name="Invoer 3 2 49 2 6" xfId="31261"/>
    <cellStyle name="Invoer 3 2 49 3" xfId="8379"/>
    <cellStyle name="Invoer 3 2 49 4" xfId="17429"/>
    <cellStyle name="Invoer 3 2 49 4 2" xfId="31262"/>
    <cellStyle name="Invoer 3 2 49 5" xfId="31263"/>
    <cellStyle name="Invoer 3 2 49 6" xfId="31264"/>
    <cellStyle name="Invoer 3 2 49 7" xfId="31265"/>
    <cellStyle name="Invoer 3 2 5" xfId="596"/>
    <cellStyle name="Invoer 3 2 5 2" xfId="6373"/>
    <cellStyle name="Invoer 3 2 5 2 2" xfId="10866"/>
    <cellStyle name="Invoer 3 2 5 2 3" xfId="17430"/>
    <cellStyle name="Invoer 3 2 5 2 3 2" xfId="31266"/>
    <cellStyle name="Invoer 3 2 5 2 4" xfId="31267"/>
    <cellStyle name="Invoer 3 2 5 2 5" xfId="31268"/>
    <cellStyle name="Invoer 3 2 5 2 6" xfId="31269"/>
    <cellStyle name="Invoer 3 2 5 3" xfId="8380"/>
    <cellStyle name="Invoer 3 2 5 4" xfId="17431"/>
    <cellStyle name="Invoer 3 2 5 4 2" xfId="31270"/>
    <cellStyle name="Invoer 3 2 5 5" xfId="31271"/>
    <cellStyle name="Invoer 3 2 5 6" xfId="31272"/>
    <cellStyle name="Invoer 3 2 5 7" xfId="31273"/>
    <cellStyle name="Invoer 3 2 50" xfId="597"/>
    <cellStyle name="Invoer 3 2 50 2" xfId="6374"/>
    <cellStyle name="Invoer 3 2 50 2 2" xfId="10867"/>
    <cellStyle name="Invoer 3 2 50 2 3" xfId="17432"/>
    <cellStyle name="Invoer 3 2 50 2 3 2" xfId="31274"/>
    <cellStyle name="Invoer 3 2 50 2 4" xfId="31275"/>
    <cellStyle name="Invoer 3 2 50 2 5" xfId="31276"/>
    <cellStyle name="Invoer 3 2 50 2 6" xfId="31277"/>
    <cellStyle name="Invoer 3 2 50 3" xfId="8381"/>
    <cellStyle name="Invoer 3 2 50 4" xfId="17433"/>
    <cellStyle name="Invoer 3 2 50 4 2" xfId="31278"/>
    <cellStyle name="Invoer 3 2 50 5" xfId="31279"/>
    <cellStyle name="Invoer 3 2 50 6" xfId="31280"/>
    <cellStyle name="Invoer 3 2 50 7" xfId="31281"/>
    <cellStyle name="Invoer 3 2 51" xfId="598"/>
    <cellStyle name="Invoer 3 2 51 2" xfId="6375"/>
    <cellStyle name="Invoer 3 2 51 2 2" xfId="10868"/>
    <cellStyle name="Invoer 3 2 51 2 3" xfId="17434"/>
    <cellStyle name="Invoer 3 2 51 2 3 2" xfId="31282"/>
    <cellStyle name="Invoer 3 2 51 2 4" xfId="31283"/>
    <cellStyle name="Invoer 3 2 51 2 5" xfId="31284"/>
    <cellStyle name="Invoer 3 2 51 2 6" xfId="31285"/>
    <cellStyle name="Invoer 3 2 51 3" xfId="8382"/>
    <cellStyle name="Invoer 3 2 51 4" xfId="17435"/>
    <cellStyle name="Invoer 3 2 51 4 2" xfId="31286"/>
    <cellStyle name="Invoer 3 2 51 5" xfId="31287"/>
    <cellStyle name="Invoer 3 2 51 6" xfId="31288"/>
    <cellStyle name="Invoer 3 2 51 7" xfId="31289"/>
    <cellStyle name="Invoer 3 2 52" xfId="599"/>
    <cellStyle name="Invoer 3 2 52 2" xfId="6376"/>
    <cellStyle name="Invoer 3 2 52 2 2" xfId="10869"/>
    <cellStyle name="Invoer 3 2 52 2 3" xfId="17436"/>
    <cellStyle name="Invoer 3 2 52 2 3 2" xfId="31290"/>
    <cellStyle name="Invoer 3 2 52 2 4" xfId="31291"/>
    <cellStyle name="Invoer 3 2 52 2 5" xfId="31292"/>
    <cellStyle name="Invoer 3 2 52 2 6" xfId="31293"/>
    <cellStyle name="Invoer 3 2 52 3" xfId="8383"/>
    <cellStyle name="Invoer 3 2 52 4" xfId="17437"/>
    <cellStyle name="Invoer 3 2 52 4 2" xfId="31294"/>
    <cellStyle name="Invoer 3 2 52 5" xfId="31295"/>
    <cellStyle name="Invoer 3 2 52 6" xfId="31296"/>
    <cellStyle name="Invoer 3 2 52 7" xfId="31297"/>
    <cellStyle name="Invoer 3 2 53" xfId="600"/>
    <cellStyle name="Invoer 3 2 53 2" xfId="6377"/>
    <cellStyle name="Invoer 3 2 53 2 2" xfId="10870"/>
    <cellStyle name="Invoer 3 2 53 2 3" xfId="17438"/>
    <cellStyle name="Invoer 3 2 53 2 3 2" xfId="31298"/>
    <cellStyle name="Invoer 3 2 53 2 4" xfId="31299"/>
    <cellStyle name="Invoer 3 2 53 2 5" xfId="31300"/>
    <cellStyle name="Invoer 3 2 53 2 6" xfId="31301"/>
    <cellStyle name="Invoer 3 2 53 3" xfId="8384"/>
    <cellStyle name="Invoer 3 2 53 4" xfId="17439"/>
    <cellStyle name="Invoer 3 2 53 4 2" xfId="31302"/>
    <cellStyle name="Invoer 3 2 53 5" xfId="31303"/>
    <cellStyle name="Invoer 3 2 53 6" xfId="31304"/>
    <cellStyle name="Invoer 3 2 53 7" xfId="31305"/>
    <cellStyle name="Invoer 3 2 54" xfId="601"/>
    <cellStyle name="Invoer 3 2 54 2" xfId="6378"/>
    <cellStyle name="Invoer 3 2 54 2 2" xfId="10871"/>
    <cellStyle name="Invoer 3 2 54 2 3" xfId="17440"/>
    <cellStyle name="Invoer 3 2 54 2 3 2" xfId="31306"/>
    <cellStyle name="Invoer 3 2 54 2 4" xfId="31307"/>
    <cellStyle name="Invoer 3 2 54 2 5" xfId="31308"/>
    <cellStyle name="Invoer 3 2 54 2 6" xfId="31309"/>
    <cellStyle name="Invoer 3 2 54 3" xfId="8385"/>
    <cellStyle name="Invoer 3 2 54 4" xfId="17441"/>
    <cellStyle name="Invoer 3 2 54 4 2" xfId="31310"/>
    <cellStyle name="Invoer 3 2 54 5" xfId="31311"/>
    <cellStyle name="Invoer 3 2 54 6" xfId="31312"/>
    <cellStyle name="Invoer 3 2 54 7" xfId="31313"/>
    <cellStyle name="Invoer 3 2 55" xfId="602"/>
    <cellStyle name="Invoer 3 2 55 2" xfId="6379"/>
    <cellStyle name="Invoer 3 2 55 2 2" xfId="10872"/>
    <cellStyle name="Invoer 3 2 55 2 3" xfId="17442"/>
    <cellStyle name="Invoer 3 2 55 2 3 2" xfId="31314"/>
    <cellStyle name="Invoer 3 2 55 2 4" xfId="31315"/>
    <cellStyle name="Invoer 3 2 55 2 5" xfId="31316"/>
    <cellStyle name="Invoer 3 2 55 2 6" xfId="31317"/>
    <cellStyle name="Invoer 3 2 55 3" xfId="8386"/>
    <cellStyle name="Invoer 3 2 55 4" xfId="17443"/>
    <cellStyle name="Invoer 3 2 55 4 2" xfId="31318"/>
    <cellStyle name="Invoer 3 2 55 5" xfId="31319"/>
    <cellStyle name="Invoer 3 2 55 6" xfId="31320"/>
    <cellStyle name="Invoer 3 2 55 7" xfId="31321"/>
    <cellStyle name="Invoer 3 2 56" xfId="603"/>
    <cellStyle name="Invoer 3 2 56 2" xfId="6380"/>
    <cellStyle name="Invoer 3 2 56 2 2" xfId="10873"/>
    <cellStyle name="Invoer 3 2 56 2 3" xfId="17444"/>
    <cellStyle name="Invoer 3 2 56 2 3 2" xfId="31322"/>
    <cellStyle name="Invoer 3 2 56 2 4" xfId="31323"/>
    <cellStyle name="Invoer 3 2 56 2 5" xfId="31324"/>
    <cellStyle name="Invoer 3 2 56 2 6" xfId="31325"/>
    <cellStyle name="Invoer 3 2 56 3" xfId="8387"/>
    <cellStyle name="Invoer 3 2 56 4" xfId="17445"/>
    <cellStyle name="Invoer 3 2 56 4 2" xfId="31326"/>
    <cellStyle name="Invoer 3 2 56 5" xfId="31327"/>
    <cellStyle name="Invoer 3 2 56 6" xfId="31328"/>
    <cellStyle name="Invoer 3 2 56 7" xfId="31329"/>
    <cellStyle name="Invoer 3 2 57" xfId="604"/>
    <cellStyle name="Invoer 3 2 57 2" xfId="6381"/>
    <cellStyle name="Invoer 3 2 57 2 2" xfId="10874"/>
    <cellStyle name="Invoer 3 2 57 2 3" xfId="17446"/>
    <cellStyle name="Invoer 3 2 57 2 3 2" xfId="31330"/>
    <cellStyle name="Invoer 3 2 57 2 4" xfId="31331"/>
    <cellStyle name="Invoer 3 2 57 2 5" xfId="31332"/>
    <cellStyle name="Invoer 3 2 57 2 6" xfId="31333"/>
    <cellStyle name="Invoer 3 2 57 3" xfId="8388"/>
    <cellStyle name="Invoer 3 2 57 4" xfId="17447"/>
    <cellStyle name="Invoer 3 2 57 4 2" xfId="31334"/>
    <cellStyle name="Invoer 3 2 57 5" xfId="31335"/>
    <cellStyle name="Invoer 3 2 57 6" xfId="31336"/>
    <cellStyle name="Invoer 3 2 57 7" xfId="31337"/>
    <cellStyle name="Invoer 3 2 58" xfId="605"/>
    <cellStyle name="Invoer 3 2 58 2" xfId="6382"/>
    <cellStyle name="Invoer 3 2 58 2 2" xfId="10875"/>
    <cellStyle name="Invoer 3 2 58 2 3" xfId="17448"/>
    <cellStyle name="Invoer 3 2 58 2 3 2" xfId="31338"/>
    <cellStyle name="Invoer 3 2 58 2 4" xfId="31339"/>
    <cellStyle name="Invoer 3 2 58 2 5" xfId="31340"/>
    <cellStyle name="Invoer 3 2 58 2 6" xfId="31341"/>
    <cellStyle name="Invoer 3 2 58 3" xfId="8389"/>
    <cellStyle name="Invoer 3 2 58 4" xfId="17449"/>
    <cellStyle name="Invoer 3 2 58 4 2" xfId="31342"/>
    <cellStyle name="Invoer 3 2 58 5" xfId="31343"/>
    <cellStyle name="Invoer 3 2 58 6" xfId="31344"/>
    <cellStyle name="Invoer 3 2 58 7" xfId="31345"/>
    <cellStyle name="Invoer 3 2 59" xfId="606"/>
    <cellStyle name="Invoer 3 2 59 2" xfId="6383"/>
    <cellStyle name="Invoer 3 2 59 2 2" xfId="10876"/>
    <cellStyle name="Invoer 3 2 59 2 3" xfId="17450"/>
    <cellStyle name="Invoer 3 2 59 2 3 2" xfId="31346"/>
    <cellStyle name="Invoer 3 2 59 2 4" xfId="31347"/>
    <cellStyle name="Invoer 3 2 59 2 5" xfId="31348"/>
    <cellStyle name="Invoer 3 2 59 2 6" xfId="31349"/>
    <cellStyle name="Invoer 3 2 59 3" xfId="8390"/>
    <cellStyle name="Invoer 3 2 59 4" xfId="17451"/>
    <cellStyle name="Invoer 3 2 59 4 2" xfId="31350"/>
    <cellStyle name="Invoer 3 2 59 5" xfId="31351"/>
    <cellStyle name="Invoer 3 2 59 6" xfId="31352"/>
    <cellStyle name="Invoer 3 2 59 7" xfId="31353"/>
    <cellStyle name="Invoer 3 2 6" xfId="607"/>
    <cellStyle name="Invoer 3 2 6 2" xfId="6384"/>
    <cellStyle name="Invoer 3 2 6 2 2" xfId="10877"/>
    <cellStyle name="Invoer 3 2 6 2 3" xfId="17452"/>
    <cellStyle name="Invoer 3 2 6 2 3 2" xfId="31354"/>
    <cellStyle name="Invoer 3 2 6 2 4" xfId="31355"/>
    <cellStyle name="Invoer 3 2 6 2 5" xfId="31356"/>
    <cellStyle name="Invoer 3 2 6 2 6" xfId="31357"/>
    <cellStyle name="Invoer 3 2 6 3" xfId="8391"/>
    <cellStyle name="Invoer 3 2 6 4" xfId="17453"/>
    <cellStyle name="Invoer 3 2 6 4 2" xfId="31358"/>
    <cellStyle name="Invoer 3 2 6 5" xfId="31359"/>
    <cellStyle name="Invoer 3 2 6 6" xfId="31360"/>
    <cellStyle name="Invoer 3 2 6 7" xfId="31361"/>
    <cellStyle name="Invoer 3 2 60" xfId="608"/>
    <cellStyle name="Invoer 3 2 60 2" xfId="6385"/>
    <cellStyle name="Invoer 3 2 60 2 2" xfId="10878"/>
    <cellStyle name="Invoer 3 2 60 2 3" xfId="17454"/>
    <cellStyle name="Invoer 3 2 60 2 3 2" xfId="31362"/>
    <cellStyle name="Invoer 3 2 60 2 4" xfId="31363"/>
    <cellStyle name="Invoer 3 2 60 2 5" xfId="31364"/>
    <cellStyle name="Invoer 3 2 60 2 6" xfId="31365"/>
    <cellStyle name="Invoer 3 2 60 3" xfId="8392"/>
    <cellStyle name="Invoer 3 2 60 4" xfId="17455"/>
    <cellStyle name="Invoer 3 2 60 4 2" xfId="31366"/>
    <cellStyle name="Invoer 3 2 60 5" xfId="31367"/>
    <cellStyle name="Invoer 3 2 60 6" xfId="31368"/>
    <cellStyle name="Invoer 3 2 60 7" xfId="31369"/>
    <cellStyle name="Invoer 3 2 61" xfId="609"/>
    <cellStyle name="Invoer 3 2 61 2" xfId="6386"/>
    <cellStyle name="Invoer 3 2 61 2 2" xfId="10879"/>
    <cellStyle name="Invoer 3 2 61 2 3" xfId="17456"/>
    <cellStyle name="Invoer 3 2 61 2 3 2" xfId="31370"/>
    <cellStyle name="Invoer 3 2 61 2 4" xfId="31371"/>
    <cellStyle name="Invoer 3 2 61 2 5" xfId="31372"/>
    <cellStyle name="Invoer 3 2 61 2 6" xfId="31373"/>
    <cellStyle name="Invoer 3 2 61 3" xfId="8393"/>
    <cellStyle name="Invoer 3 2 61 4" xfId="17457"/>
    <cellStyle name="Invoer 3 2 61 4 2" xfId="31374"/>
    <cellStyle name="Invoer 3 2 61 5" xfId="31375"/>
    <cellStyle name="Invoer 3 2 61 6" xfId="31376"/>
    <cellStyle name="Invoer 3 2 61 7" xfId="31377"/>
    <cellStyle name="Invoer 3 2 62" xfId="610"/>
    <cellStyle name="Invoer 3 2 62 2" xfId="6387"/>
    <cellStyle name="Invoer 3 2 62 2 2" xfId="10880"/>
    <cellStyle name="Invoer 3 2 62 2 3" xfId="17458"/>
    <cellStyle name="Invoer 3 2 62 2 3 2" xfId="31378"/>
    <cellStyle name="Invoer 3 2 62 2 4" xfId="31379"/>
    <cellStyle name="Invoer 3 2 62 2 5" xfId="31380"/>
    <cellStyle name="Invoer 3 2 62 2 6" xfId="31381"/>
    <cellStyle name="Invoer 3 2 62 3" xfId="8394"/>
    <cellStyle name="Invoer 3 2 62 4" xfId="17459"/>
    <cellStyle name="Invoer 3 2 62 4 2" xfId="31382"/>
    <cellStyle name="Invoer 3 2 62 5" xfId="31383"/>
    <cellStyle name="Invoer 3 2 62 6" xfId="31384"/>
    <cellStyle name="Invoer 3 2 62 7" xfId="31385"/>
    <cellStyle name="Invoer 3 2 63" xfId="611"/>
    <cellStyle name="Invoer 3 2 63 2" xfId="6388"/>
    <cellStyle name="Invoer 3 2 63 2 2" xfId="10881"/>
    <cellStyle name="Invoer 3 2 63 2 3" xfId="17460"/>
    <cellStyle name="Invoer 3 2 63 2 3 2" xfId="31386"/>
    <cellStyle name="Invoer 3 2 63 2 4" xfId="31387"/>
    <cellStyle name="Invoer 3 2 63 2 5" xfId="31388"/>
    <cellStyle name="Invoer 3 2 63 2 6" xfId="31389"/>
    <cellStyle name="Invoer 3 2 63 3" xfId="8395"/>
    <cellStyle name="Invoer 3 2 63 4" xfId="17461"/>
    <cellStyle name="Invoer 3 2 63 4 2" xfId="31390"/>
    <cellStyle name="Invoer 3 2 63 5" xfId="31391"/>
    <cellStyle name="Invoer 3 2 63 6" xfId="31392"/>
    <cellStyle name="Invoer 3 2 63 7" xfId="31393"/>
    <cellStyle name="Invoer 3 2 64" xfId="612"/>
    <cellStyle name="Invoer 3 2 64 2" xfId="6389"/>
    <cellStyle name="Invoer 3 2 64 2 2" xfId="10882"/>
    <cellStyle name="Invoer 3 2 64 2 3" xfId="17462"/>
    <cellStyle name="Invoer 3 2 64 2 3 2" xfId="31394"/>
    <cellStyle name="Invoer 3 2 64 2 4" xfId="31395"/>
    <cellStyle name="Invoer 3 2 64 2 5" xfId="31396"/>
    <cellStyle name="Invoer 3 2 64 2 6" xfId="31397"/>
    <cellStyle name="Invoer 3 2 64 3" xfId="8396"/>
    <cellStyle name="Invoer 3 2 64 4" xfId="17463"/>
    <cellStyle name="Invoer 3 2 64 4 2" xfId="31398"/>
    <cellStyle name="Invoer 3 2 64 5" xfId="31399"/>
    <cellStyle name="Invoer 3 2 64 6" xfId="31400"/>
    <cellStyle name="Invoer 3 2 64 7" xfId="31401"/>
    <cellStyle name="Invoer 3 2 65" xfId="613"/>
    <cellStyle name="Invoer 3 2 65 2" xfId="6390"/>
    <cellStyle name="Invoer 3 2 65 2 2" xfId="10883"/>
    <cellStyle name="Invoer 3 2 65 2 3" xfId="17464"/>
    <cellStyle name="Invoer 3 2 65 2 3 2" xfId="31402"/>
    <cellStyle name="Invoer 3 2 65 2 4" xfId="31403"/>
    <cellStyle name="Invoer 3 2 65 2 5" xfId="31404"/>
    <cellStyle name="Invoer 3 2 65 2 6" xfId="31405"/>
    <cellStyle name="Invoer 3 2 65 3" xfId="8397"/>
    <cellStyle name="Invoer 3 2 65 4" xfId="17465"/>
    <cellStyle name="Invoer 3 2 65 4 2" xfId="31406"/>
    <cellStyle name="Invoer 3 2 65 5" xfId="31407"/>
    <cellStyle name="Invoer 3 2 65 6" xfId="31408"/>
    <cellStyle name="Invoer 3 2 65 7" xfId="31409"/>
    <cellStyle name="Invoer 3 2 66" xfId="614"/>
    <cellStyle name="Invoer 3 2 66 2" xfId="6391"/>
    <cellStyle name="Invoer 3 2 66 2 2" xfId="10884"/>
    <cellStyle name="Invoer 3 2 66 2 3" xfId="17466"/>
    <cellStyle name="Invoer 3 2 66 2 3 2" xfId="31410"/>
    <cellStyle name="Invoer 3 2 66 2 4" xfId="31411"/>
    <cellStyle name="Invoer 3 2 66 2 5" xfId="31412"/>
    <cellStyle name="Invoer 3 2 66 2 6" xfId="31413"/>
    <cellStyle name="Invoer 3 2 66 3" xfId="8398"/>
    <cellStyle name="Invoer 3 2 66 4" xfId="17467"/>
    <cellStyle name="Invoer 3 2 66 4 2" xfId="31414"/>
    <cellStyle name="Invoer 3 2 66 5" xfId="31415"/>
    <cellStyle name="Invoer 3 2 66 6" xfId="31416"/>
    <cellStyle name="Invoer 3 2 66 7" xfId="31417"/>
    <cellStyle name="Invoer 3 2 67" xfId="615"/>
    <cellStyle name="Invoer 3 2 67 2" xfId="6392"/>
    <cellStyle name="Invoer 3 2 67 2 2" xfId="10885"/>
    <cellStyle name="Invoer 3 2 67 2 3" xfId="17468"/>
    <cellStyle name="Invoer 3 2 67 2 3 2" xfId="31418"/>
    <cellStyle name="Invoer 3 2 67 2 4" xfId="31419"/>
    <cellStyle name="Invoer 3 2 67 2 5" xfId="31420"/>
    <cellStyle name="Invoer 3 2 67 2 6" xfId="31421"/>
    <cellStyle name="Invoer 3 2 67 3" xfId="8399"/>
    <cellStyle name="Invoer 3 2 67 4" xfId="17469"/>
    <cellStyle name="Invoer 3 2 67 4 2" xfId="31422"/>
    <cellStyle name="Invoer 3 2 67 5" xfId="31423"/>
    <cellStyle name="Invoer 3 2 67 6" xfId="31424"/>
    <cellStyle name="Invoer 3 2 67 7" xfId="31425"/>
    <cellStyle name="Invoer 3 2 68" xfId="616"/>
    <cellStyle name="Invoer 3 2 68 2" xfId="6393"/>
    <cellStyle name="Invoer 3 2 68 2 2" xfId="10886"/>
    <cellStyle name="Invoer 3 2 68 2 3" xfId="17470"/>
    <cellStyle name="Invoer 3 2 68 2 3 2" xfId="31426"/>
    <cellStyle name="Invoer 3 2 68 2 4" xfId="31427"/>
    <cellStyle name="Invoer 3 2 68 2 5" xfId="31428"/>
    <cellStyle name="Invoer 3 2 68 2 6" xfId="31429"/>
    <cellStyle name="Invoer 3 2 68 3" xfId="8400"/>
    <cellStyle name="Invoer 3 2 68 4" xfId="17471"/>
    <cellStyle name="Invoer 3 2 68 4 2" xfId="31430"/>
    <cellStyle name="Invoer 3 2 68 5" xfId="31431"/>
    <cellStyle name="Invoer 3 2 68 6" xfId="31432"/>
    <cellStyle name="Invoer 3 2 68 7" xfId="31433"/>
    <cellStyle name="Invoer 3 2 69" xfId="617"/>
    <cellStyle name="Invoer 3 2 69 2" xfId="6394"/>
    <cellStyle name="Invoer 3 2 69 2 2" xfId="10887"/>
    <cellStyle name="Invoer 3 2 69 2 3" xfId="17472"/>
    <cellStyle name="Invoer 3 2 69 2 3 2" xfId="31434"/>
    <cellStyle name="Invoer 3 2 69 2 4" xfId="31435"/>
    <cellStyle name="Invoer 3 2 69 2 5" xfId="31436"/>
    <cellStyle name="Invoer 3 2 69 2 6" xfId="31437"/>
    <cellStyle name="Invoer 3 2 69 3" xfId="8401"/>
    <cellStyle name="Invoer 3 2 69 4" xfId="17473"/>
    <cellStyle name="Invoer 3 2 69 4 2" xfId="31438"/>
    <cellStyle name="Invoer 3 2 69 5" xfId="31439"/>
    <cellStyle name="Invoer 3 2 69 6" xfId="31440"/>
    <cellStyle name="Invoer 3 2 69 7" xfId="31441"/>
    <cellStyle name="Invoer 3 2 7" xfId="618"/>
    <cellStyle name="Invoer 3 2 7 2" xfId="6395"/>
    <cellStyle name="Invoer 3 2 7 2 2" xfId="10888"/>
    <cellStyle name="Invoer 3 2 7 2 3" xfId="17474"/>
    <cellStyle name="Invoer 3 2 7 2 3 2" xfId="31442"/>
    <cellStyle name="Invoer 3 2 7 2 4" xfId="31443"/>
    <cellStyle name="Invoer 3 2 7 2 5" xfId="31444"/>
    <cellStyle name="Invoer 3 2 7 2 6" xfId="31445"/>
    <cellStyle name="Invoer 3 2 7 3" xfId="8402"/>
    <cellStyle name="Invoer 3 2 7 4" xfId="17475"/>
    <cellStyle name="Invoer 3 2 7 4 2" xfId="31446"/>
    <cellStyle name="Invoer 3 2 7 5" xfId="31447"/>
    <cellStyle name="Invoer 3 2 7 6" xfId="31448"/>
    <cellStyle name="Invoer 3 2 7 7" xfId="31449"/>
    <cellStyle name="Invoer 3 2 70" xfId="619"/>
    <cellStyle name="Invoer 3 2 70 2" xfId="6396"/>
    <cellStyle name="Invoer 3 2 70 2 2" xfId="10889"/>
    <cellStyle name="Invoer 3 2 70 2 3" xfId="17476"/>
    <cellStyle name="Invoer 3 2 70 2 3 2" xfId="31450"/>
    <cellStyle name="Invoer 3 2 70 2 4" xfId="31451"/>
    <cellStyle name="Invoer 3 2 70 2 5" xfId="31452"/>
    <cellStyle name="Invoer 3 2 70 2 6" xfId="31453"/>
    <cellStyle name="Invoer 3 2 70 3" xfId="8403"/>
    <cellStyle name="Invoer 3 2 70 4" xfId="17477"/>
    <cellStyle name="Invoer 3 2 70 4 2" xfId="31454"/>
    <cellStyle name="Invoer 3 2 70 5" xfId="31455"/>
    <cellStyle name="Invoer 3 2 70 6" xfId="31456"/>
    <cellStyle name="Invoer 3 2 70 7" xfId="31457"/>
    <cellStyle name="Invoer 3 2 71" xfId="620"/>
    <cellStyle name="Invoer 3 2 71 2" xfId="6397"/>
    <cellStyle name="Invoer 3 2 71 2 2" xfId="10890"/>
    <cellStyle name="Invoer 3 2 71 2 3" xfId="17478"/>
    <cellStyle name="Invoer 3 2 71 2 3 2" xfId="31458"/>
    <cellStyle name="Invoer 3 2 71 2 4" xfId="31459"/>
    <cellStyle name="Invoer 3 2 71 2 5" xfId="31460"/>
    <cellStyle name="Invoer 3 2 71 2 6" xfId="31461"/>
    <cellStyle name="Invoer 3 2 71 3" xfId="8404"/>
    <cellStyle name="Invoer 3 2 71 4" xfId="17479"/>
    <cellStyle name="Invoer 3 2 71 4 2" xfId="31462"/>
    <cellStyle name="Invoer 3 2 71 5" xfId="31463"/>
    <cellStyle name="Invoer 3 2 71 6" xfId="31464"/>
    <cellStyle name="Invoer 3 2 71 7" xfId="31465"/>
    <cellStyle name="Invoer 3 2 72" xfId="621"/>
    <cellStyle name="Invoer 3 2 72 2" xfId="6398"/>
    <cellStyle name="Invoer 3 2 72 2 2" xfId="10891"/>
    <cellStyle name="Invoer 3 2 72 2 3" xfId="17480"/>
    <cellStyle name="Invoer 3 2 72 2 3 2" xfId="31466"/>
    <cellStyle name="Invoer 3 2 72 2 4" xfId="31467"/>
    <cellStyle name="Invoer 3 2 72 2 5" xfId="31468"/>
    <cellStyle name="Invoer 3 2 72 2 6" xfId="31469"/>
    <cellStyle name="Invoer 3 2 72 3" xfId="8405"/>
    <cellStyle name="Invoer 3 2 72 4" xfId="17481"/>
    <cellStyle name="Invoer 3 2 72 4 2" xfId="31470"/>
    <cellStyle name="Invoer 3 2 72 5" xfId="31471"/>
    <cellStyle name="Invoer 3 2 72 6" xfId="31472"/>
    <cellStyle name="Invoer 3 2 72 7" xfId="31473"/>
    <cellStyle name="Invoer 3 2 73" xfId="622"/>
    <cellStyle name="Invoer 3 2 73 2" xfId="6399"/>
    <cellStyle name="Invoer 3 2 73 2 2" xfId="10892"/>
    <cellStyle name="Invoer 3 2 73 2 3" xfId="17482"/>
    <cellStyle name="Invoer 3 2 73 2 3 2" xfId="31474"/>
    <cellStyle name="Invoer 3 2 73 2 4" xfId="31475"/>
    <cellStyle name="Invoer 3 2 73 2 5" xfId="31476"/>
    <cellStyle name="Invoer 3 2 73 2 6" xfId="31477"/>
    <cellStyle name="Invoer 3 2 73 3" xfId="8406"/>
    <cellStyle name="Invoer 3 2 73 4" xfId="17483"/>
    <cellStyle name="Invoer 3 2 73 4 2" xfId="31478"/>
    <cellStyle name="Invoer 3 2 73 5" xfId="31479"/>
    <cellStyle name="Invoer 3 2 73 6" xfId="31480"/>
    <cellStyle name="Invoer 3 2 73 7" xfId="31481"/>
    <cellStyle name="Invoer 3 2 74" xfId="623"/>
    <cellStyle name="Invoer 3 2 74 2" xfId="6400"/>
    <cellStyle name="Invoer 3 2 74 2 2" xfId="10893"/>
    <cellStyle name="Invoer 3 2 74 2 3" xfId="17484"/>
    <cellStyle name="Invoer 3 2 74 2 3 2" xfId="31482"/>
    <cellStyle name="Invoer 3 2 74 2 4" xfId="31483"/>
    <cellStyle name="Invoer 3 2 74 2 5" xfId="31484"/>
    <cellStyle name="Invoer 3 2 74 2 6" xfId="31485"/>
    <cellStyle name="Invoer 3 2 74 3" xfId="8407"/>
    <cellStyle name="Invoer 3 2 74 4" xfId="17485"/>
    <cellStyle name="Invoer 3 2 74 4 2" xfId="31486"/>
    <cellStyle name="Invoer 3 2 74 5" xfId="31487"/>
    <cellStyle name="Invoer 3 2 74 6" xfId="31488"/>
    <cellStyle name="Invoer 3 2 74 7" xfId="31489"/>
    <cellStyle name="Invoer 3 2 75" xfId="624"/>
    <cellStyle name="Invoer 3 2 75 2" xfId="6401"/>
    <cellStyle name="Invoer 3 2 75 2 2" xfId="10894"/>
    <cellStyle name="Invoer 3 2 75 2 3" xfId="17486"/>
    <cellStyle name="Invoer 3 2 75 2 3 2" xfId="31490"/>
    <cellStyle name="Invoer 3 2 75 2 4" xfId="31491"/>
    <cellStyle name="Invoer 3 2 75 2 5" xfId="31492"/>
    <cellStyle name="Invoer 3 2 75 2 6" xfId="31493"/>
    <cellStyle name="Invoer 3 2 75 3" xfId="8408"/>
    <cellStyle name="Invoer 3 2 75 4" xfId="17487"/>
    <cellStyle name="Invoer 3 2 75 4 2" xfId="31494"/>
    <cellStyle name="Invoer 3 2 75 5" xfId="31495"/>
    <cellStyle name="Invoer 3 2 75 6" xfId="31496"/>
    <cellStyle name="Invoer 3 2 75 7" xfId="31497"/>
    <cellStyle name="Invoer 3 2 76" xfId="625"/>
    <cellStyle name="Invoer 3 2 76 2" xfId="6402"/>
    <cellStyle name="Invoer 3 2 76 2 2" xfId="10895"/>
    <cellStyle name="Invoer 3 2 76 2 3" xfId="17488"/>
    <cellStyle name="Invoer 3 2 76 2 3 2" xfId="31498"/>
    <cellStyle name="Invoer 3 2 76 2 4" xfId="31499"/>
    <cellStyle name="Invoer 3 2 76 2 5" xfId="31500"/>
    <cellStyle name="Invoer 3 2 76 2 6" xfId="31501"/>
    <cellStyle name="Invoer 3 2 76 3" xfId="8409"/>
    <cellStyle name="Invoer 3 2 76 4" xfId="17489"/>
    <cellStyle name="Invoer 3 2 76 4 2" xfId="31502"/>
    <cellStyle name="Invoer 3 2 76 5" xfId="31503"/>
    <cellStyle name="Invoer 3 2 76 6" xfId="31504"/>
    <cellStyle name="Invoer 3 2 76 7" xfId="31505"/>
    <cellStyle name="Invoer 3 2 77" xfId="626"/>
    <cellStyle name="Invoer 3 2 77 2" xfId="6403"/>
    <cellStyle name="Invoer 3 2 77 2 2" xfId="10896"/>
    <cellStyle name="Invoer 3 2 77 2 3" xfId="17490"/>
    <cellStyle name="Invoer 3 2 77 2 3 2" xfId="31506"/>
    <cellStyle name="Invoer 3 2 77 2 4" xfId="31507"/>
    <cellStyle name="Invoer 3 2 77 2 5" xfId="31508"/>
    <cellStyle name="Invoer 3 2 77 2 6" xfId="31509"/>
    <cellStyle name="Invoer 3 2 77 3" xfId="8410"/>
    <cellStyle name="Invoer 3 2 77 4" xfId="17491"/>
    <cellStyle name="Invoer 3 2 77 4 2" xfId="31510"/>
    <cellStyle name="Invoer 3 2 77 5" xfId="31511"/>
    <cellStyle name="Invoer 3 2 77 6" xfId="31512"/>
    <cellStyle name="Invoer 3 2 77 7" xfId="31513"/>
    <cellStyle name="Invoer 3 2 78" xfId="627"/>
    <cellStyle name="Invoer 3 2 78 2" xfId="6404"/>
    <cellStyle name="Invoer 3 2 78 2 2" xfId="10897"/>
    <cellStyle name="Invoer 3 2 78 2 3" xfId="17492"/>
    <cellStyle name="Invoer 3 2 78 2 3 2" xfId="31514"/>
    <cellStyle name="Invoer 3 2 78 2 4" xfId="31515"/>
    <cellStyle name="Invoer 3 2 78 2 5" xfId="31516"/>
    <cellStyle name="Invoer 3 2 78 2 6" xfId="31517"/>
    <cellStyle name="Invoer 3 2 78 3" xfId="8411"/>
    <cellStyle name="Invoer 3 2 78 4" xfId="17493"/>
    <cellStyle name="Invoer 3 2 78 4 2" xfId="31518"/>
    <cellStyle name="Invoer 3 2 78 5" xfId="31519"/>
    <cellStyle name="Invoer 3 2 78 6" xfId="31520"/>
    <cellStyle name="Invoer 3 2 78 7" xfId="31521"/>
    <cellStyle name="Invoer 3 2 79" xfId="628"/>
    <cellStyle name="Invoer 3 2 79 2" xfId="6405"/>
    <cellStyle name="Invoer 3 2 79 2 2" xfId="10898"/>
    <cellStyle name="Invoer 3 2 79 2 3" xfId="17494"/>
    <cellStyle name="Invoer 3 2 79 2 3 2" xfId="31522"/>
    <cellStyle name="Invoer 3 2 79 2 4" xfId="31523"/>
    <cellStyle name="Invoer 3 2 79 2 5" xfId="31524"/>
    <cellStyle name="Invoer 3 2 79 2 6" xfId="31525"/>
    <cellStyle name="Invoer 3 2 79 3" xfId="8412"/>
    <cellStyle name="Invoer 3 2 79 4" xfId="17495"/>
    <cellStyle name="Invoer 3 2 79 4 2" xfId="31526"/>
    <cellStyle name="Invoer 3 2 79 5" xfId="31527"/>
    <cellStyle name="Invoer 3 2 79 6" xfId="31528"/>
    <cellStyle name="Invoer 3 2 79 7" xfId="31529"/>
    <cellStyle name="Invoer 3 2 8" xfId="629"/>
    <cellStyle name="Invoer 3 2 8 2" xfId="6406"/>
    <cellStyle name="Invoer 3 2 8 2 2" xfId="10899"/>
    <cellStyle name="Invoer 3 2 8 2 3" xfId="17496"/>
    <cellStyle name="Invoer 3 2 8 2 3 2" xfId="31530"/>
    <cellStyle name="Invoer 3 2 8 2 4" xfId="31531"/>
    <cellStyle name="Invoer 3 2 8 2 5" xfId="31532"/>
    <cellStyle name="Invoer 3 2 8 2 6" xfId="31533"/>
    <cellStyle name="Invoer 3 2 8 3" xfId="8413"/>
    <cellStyle name="Invoer 3 2 8 4" xfId="17497"/>
    <cellStyle name="Invoer 3 2 8 4 2" xfId="31534"/>
    <cellStyle name="Invoer 3 2 8 5" xfId="31535"/>
    <cellStyle name="Invoer 3 2 8 6" xfId="31536"/>
    <cellStyle name="Invoer 3 2 8 7" xfId="31537"/>
    <cellStyle name="Invoer 3 2 80" xfId="6407"/>
    <cellStyle name="Invoer 3 2 80 2" xfId="10822"/>
    <cellStyle name="Invoer 3 2 80 3" xfId="17498"/>
    <cellStyle name="Invoer 3 2 80 3 2" xfId="31538"/>
    <cellStyle name="Invoer 3 2 80 4" xfId="31539"/>
    <cellStyle name="Invoer 3 2 80 5" xfId="31540"/>
    <cellStyle name="Invoer 3 2 80 6" xfId="31541"/>
    <cellStyle name="Invoer 3 2 81" xfId="8336"/>
    <cellStyle name="Invoer 3 2 82" xfId="17499"/>
    <cellStyle name="Invoer 3 2 82 2" xfId="31542"/>
    <cellStyle name="Invoer 3 2 83" xfId="31543"/>
    <cellStyle name="Invoer 3 2 84" xfId="31544"/>
    <cellStyle name="Invoer 3 2 85" xfId="31545"/>
    <cellStyle name="Invoer 3 2 9" xfId="630"/>
    <cellStyle name="Invoer 3 2 9 2" xfId="6408"/>
    <cellStyle name="Invoer 3 2 9 2 2" xfId="10900"/>
    <cellStyle name="Invoer 3 2 9 2 3" xfId="17500"/>
    <cellStyle name="Invoer 3 2 9 2 3 2" xfId="31546"/>
    <cellStyle name="Invoer 3 2 9 2 4" xfId="31547"/>
    <cellStyle name="Invoer 3 2 9 2 5" xfId="31548"/>
    <cellStyle name="Invoer 3 2 9 2 6" xfId="31549"/>
    <cellStyle name="Invoer 3 2 9 3" xfId="8414"/>
    <cellStyle name="Invoer 3 2 9 4" xfId="17501"/>
    <cellStyle name="Invoer 3 2 9 4 2" xfId="31550"/>
    <cellStyle name="Invoer 3 2 9 5" xfId="31551"/>
    <cellStyle name="Invoer 3 2 9 6" xfId="31552"/>
    <cellStyle name="Invoer 3 2 9 7" xfId="31553"/>
    <cellStyle name="Invoer 3 20" xfId="17502"/>
    <cellStyle name="Invoer 3 20 2" xfId="31554"/>
    <cellStyle name="Invoer 3 21" xfId="31555"/>
    <cellStyle name="Invoer 3 22" xfId="31556"/>
    <cellStyle name="Invoer 3 23" xfId="31557"/>
    <cellStyle name="Invoer 3 3" xfId="631"/>
    <cellStyle name="Invoer 3 3 2" xfId="6409"/>
    <cellStyle name="Invoer 3 3 2 2" xfId="10901"/>
    <cellStyle name="Invoer 3 3 2 3" xfId="17503"/>
    <cellStyle name="Invoer 3 3 2 3 2" xfId="31558"/>
    <cellStyle name="Invoer 3 3 2 4" xfId="31559"/>
    <cellStyle name="Invoer 3 3 2 5" xfId="31560"/>
    <cellStyle name="Invoer 3 3 2 6" xfId="31561"/>
    <cellStyle name="Invoer 3 3 3" xfId="8415"/>
    <cellStyle name="Invoer 3 3 4" xfId="17504"/>
    <cellStyle name="Invoer 3 3 4 2" xfId="31562"/>
    <cellStyle name="Invoer 3 3 5" xfId="31563"/>
    <cellStyle name="Invoer 3 3 6" xfId="31564"/>
    <cellStyle name="Invoer 3 3 7" xfId="31565"/>
    <cellStyle name="Invoer 3 4" xfId="632"/>
    <cellStyle name="Invoer 3 4 2" xfId="6410"/>
    <cellStyle name="Invoer 3 4 2 2" xfId="10902"/>
    <cellStyle name="Invoer 3 4 2 3" xfId="17505"/>
    <cellStyle name="Invoer 3 4 2 3 2" xfId="31566"/>
    <cellStyle name="Invoer 3 4 2 4" xfId="31567"/>
    <cellStyle name="Invoer 3 4 2 5" xfId="31568"/>
    <cellStyle name="Invoer 3 4 2 6" xfId="31569"/>
    <cellStyle name="Invoer 3 4 3" xfId="8416"/>
    <cellStyle name="Invoer 3 4 4" xfId="17506"/>
    <cellStyle name="Invoer 3 4 4 2" xfId="31570"/>
    <cellStyle name="Invoer 3 4 5" xfId="31571"/>
    <cellStyle name="Invoer 3 4 6" xfId="31572"/>
    <cellStyle name="Invoer 3 4 7" xfId="31573"/>
    <cellStyle name="Invoer 3 5" xfId="633"/>
    <cellStyle name="Invoer 3 5 2" xfId="6411"/>
    <cellStyle name="Invoer 3 5 2 2" xfId="10903"/>
    <cellStyle name="Invoer 3 5 2 3" xfId="17507"/>
    <cellStyle name="Invoer 3 5 2 3 2" xfId="31574"/>
    <cellStyle name="Invoer 3 5 2 4" xfId="31575"/>
    <cellStyle name="Invoer 3 5 2 5" xfId="31576"/>
    <cellStyle name="Invoer 3 5 2 6" xfId="31577"/>
    <cellStyle name="Invoer 3 5 3" xfId="8417"/>
    <cellStyle name="Invoer 3 5 4" xfId="17508"/>
    <cellStyle name="Invoer 3 5 4 2" xfId="31578"/>
    <cellStyle name="Invoer 3 5 5" xfId="31579"/>
    <cellStyle name="Invoer 3 5 6" xfId="31580"/>
    <cellStyle name="Invoer 3 5 7" xfId="31581"/>
    <cellStyle name="Invoer 3 6" xfId="634"/>
    <cellStyle name="Invoer 3 6 2" xfId="6412"/>
    <cellStyle name="Invoer 3 6 2 2" xfId="10904"/>
    <cellStyle name="Invoer 3 6 2 3" xfId="17509"/>
    <cellStyle name="Invoer 3 6 2 3 2" xfId="31582"/>
    <cellStyle name="Invoer 3 6 2 4" xfId="31583"/>
    <cellStyle name="Invoer 3 6 2 5" xfId="31584"/>
    <cellStyle name="Invoer 3 6 2 6" xfId="31585"/>
    <cellStyle name="Invoer 3 6 3" xfId="8418"/>
    <cellStyle name="Invoer 3 6 4" xfId="17510"/>
    <cellStyle name="Invoer 3 6 4 2" xfId="31586"/>
    <cellStyle name="Invoer 3 6 5" xfId="31587"/>
    <cellStyle name="Invoer 3 6 6" xfId="31588"/>
    <cellStyle name="Invoer 3 6 7" xfId="31589"/>
    <cellStyle name="Invoer 3 7" xfId="635"/>
    <cellStyle name="Invoer 3 7 2" xfId="6413"/>
    <cellStyle name="Invoer 3 7 2 2" xfId="10905"/>
    <cellStyle name="Invoer 3 7 2 3" xfId="17511"/>
    <cellStyle name="Invoer 3 7 2 3 2" xfId="31590"/>
    <cellStyle name="Invoer 3 7 2 4" xfId="31591"/>
    <cellStyle name="Invoer 3 7 2 5" xfId="31592"/>
    <cellStyle name="Invoer 3 7 2 6" xfId="31593"/>
    <cellStyle name="Invoer 3 7 3" xfId="8419"/>
    <cellStyle name="Invoer 3 7 4" xfId="17512"/>
    <cellStyle name="Invoer 3 7 4 2" xfId="31594"/>
    <cellStyle name="Invoer 3 7 5" xfId="31595"/>
    <cellStyle name="Invoer 3 7 6" xfId="31596"/>
    <cellStyle name="Invoer 3 7 7" xfId="31597"/>
    <cellStyle name="Invoer 3 8" xfId="636"/>
    <cellStyle name="Invoer 3 8 2" xfId="6414"/>
    <cellStyle name="Invoer 3 8 2 2" xfId="10906"/>
    <cellStyle name="Invoer 3 8 2 3" xfId="17513"/>
    <cellStyle name="Invoer 3 8 2 3 2" xfId="31598"/>
    <cellStyle name="Invoer 3 8 2 4" xfId="31599"/>
    <cellStyle name="Invoer 3 8 2 5" xfId="31600"/>
    <cellStyle name="Invoer 3 8 2 6" xfId="31601"/>
    <cellStyle name="Invoer 3 8 3" xfId="8420"/>
    <cellStyle name="Invoer 3 8 4" xfId="17514"/>
    <cellStyle name="Invoer 3 8 4 2" xfId="31602"/>
    <cellStyle name="Invoer 3 8 5" xfId="31603"/>
    <cellStyle name="Invoer 3 8 6" xfId="31604"/>
    <cellStyle name="Invoer 3 8 7" xfId="31605"/>
    <cellStyle name="Invoer 3 9" xfId="637"/>
    <cellStyle name="Invoer 3 9 2" xfId="6415"/>
    <cellStyle name="Invoer 3 9 2 2" xfId="10907"/>
    <cellStyle name="Invoer 3 9 2 3" xfId="17515"/>
    <cellStyle name="Invoer 3 9 2 3 2" xfId="31606"/>
    <cellStyle name="Invoer 3 9 2 4" xfId="31607"/>
    <cellStyle name="Invoer 3 9 2 5" xfId="31608"/>
    <cellStyle name="Invoer 3 9 2 6" xfId="31609"/>
    <cellStyle name="Invoer 3 9 3" xfId="8421"/>
    <cellStyle name="Invoer 3 9 4" xfId="17516"/>
    <cellStyle name="Invoer 3 9 4 2" xfId="31610"/>
    <cellStyle name="Invoer 3 9 5" xfId="31611"/>
    <cellStyle name="Invoer 3 9 6" xfId="31612"/>
    <cellStyle name="Invoer 3 9 7" xfId="31613"/>
    <cellStyle name="Komma" xfId="638" builtinId="3"/>
    <cellStyle name="Komma 10" xfId="5838"/>
    <cellStyle name="Komma 10 2" xfId="6416"/>
    <cellStyle name="Komma 10 2 2" xfId="12168"/>
    <cellStyle name="Komma 10 2 2 2" xfId="17517"/>
    <cellStyle name="Komma 10 2 3" xfId="17518"/>
    <cellStyle name="Komma 10 3" xfId="10332"/>
    <cellStyle name="Komma 10 3 2" xfId="17519"/>
    <cellStyle name="Komma 10 4" xfId="17520"/>
    <cellStyle name="Komma 11" xfId="5841"/>
    <cellStyle name="Komma 11 2" xfId="10337"/>
    <cellStyle name="Komma 11 3" xfId="31614"/>
    <cellStyle name="Komma 11 3 2" xfId="39933"/>
    <cellStyle name="Komma 11 4" xfId="31615"/>
    <cellStyle name="Komma 12" xfId="7701"/>
    <cellStyle name="Komma 13" xfId="17521"/>
    <cellStyle name="Komma 14" xfId="17522"/>
    <cellStyle name="Komma 15" xfId="27050"/>
    <cellStyle name="Komma 15 2" xfId="39923"/>
    <cellStyle name="Komma 16" xfId="39919"/>
    <cellStyle name="Komma 17" xfId="40001"/>
    <cellStyle name="Komma 18" xfId="40006"/>
    <cellStyle name="Komma 19" xfId="39936"/>
    <cellStyle name="Komma 2" xfId="639"/>
    <cellStyle name="Komma 2 2" xfId="640"/>
    <cellStyle name="Komma 2 2 2" xfId="1746"/>
    <cellStyle name="Komma 2 2 3" xfId="2266"/>
    <cellStyle name="Komma 2 3" xfId="6417"/>
    <cellStyle name="Komma 2 3 2" xfId="39938"/>
    <cellStyle name="Komma 20" xfId="40009"/>
    <cellStyle name="Komma 21" xfId="40013"/>
    <cellStyle name="Komma 22" xfId="40016"/>
    <cellStyle name="Komma 3" xfId="641"/>
    <cellStyle name="Komma 3 2" xfId="6418"/>
    <cellStyle name="Komma 3 2 2" xfId="39939"/>
    <cellStyle name="Komma 4" xfId="642"/>
    <cellStyle name="Komma 4 2" xfId="2255"/>
    <cellStyle name="Komma 5" xfId="643"/>
    <cellStyle name="Komma 5 2" xfId="644"/>
    <cellStyle name="Komma 5 2 10" xfId="3804"/>
    <cellStyle name="Komma 5 2 10 2" xfId="12602"/>
    <cellStyle name="Komma 5 2 10 2 2" xfId="17523"/>
    <cellStyle name="Komma 5 2 10 3" xfId="17524"/>
    <cellStyle name="Komma 5 2 10 4" xfId="39934"/>
    <cellStyle name="Komma 5 2 11" xfId="6419"/>
    <cellStyle name="Komma 5 2 11 2" xfId="10908"/>
    <cellStyle name="Komma 5 2 11 2 2" xfId="17525"/>
    <cellStyle name="Komma 5 2 11 3" xfId="17526"/>
    <cellStyle name="Komma 5 2 12" xfId="7702"/>
    <cellStyle name="Komma 5 2 12 2" xfId="17527"/>
    <cellStyle name="Komma 5 2 13" xfId="17528"/>
    <cellStyle name="Komma 5 2 2" xfId="1748"/>
    <cellStyle name="Komma 5 2 2 10" xfId="8422"/>
    <cellStyle name="Komma 5 2 2 10 2" xfId="17529"/>
    <cellStyle name="Komma 5 2 2 11" xfId="17530"/>
    <cellStyle name="Komma 5 2 2 2" xfId="1795"/>
    <cellStyle name="Komma 5 2 2 2 2" xfId="1921"/>
    <cellStyle name="Komma 5 2 2 2 2 2" xfId="2173"/>
    <cellStyle name="Komma 5 2 2 2 2 2 2" xfId="2717"/>
    <cellStyle name="Komma 5 2 2 2 2 2 2 2" xfId="3734"/>
    <cellStyle name="Komma 5 2 2 2 2 2 2 2 2" xfId="5768"/>
    <cellStyle name="Komma 5 2 2 2 2 2 2 2 2 2" xfId="12604"/>
    <cellStyle name="Komma 5 2 2 2 2 2 2 2 2 2 2" xfId="17531"/>
    <cellStyle name="Komma 5 2 2 2 2 2 2 2 2 3" xfId="17532"/>
    <cellStyle name="Komma 5 2 2 2 2 2 2 2 3" xfId="12603"/>
    <cellStyle name="Komma 5 2 2 2 2 2 2 2 3 2" xfId="17533"/>
    <cellStyle name="Komma 5 2 2 2 2 2 2 2 4" xfId="17534"/>
    <cellStyle name="Komma 5 2 2 2 2 2 2 3" xfId="4751"/>
    <cellStyle name="Komma 5 2 2 2 2 2 2 3 2" xfId="12605"/>
    <cellStyle name="Komma 5 2 2 2 2 2 2 3 2 2" xfId="17535"/>
    <cellStyle name="Komma 5 2 2 2 2 2 2 3 3" xfId="17536"/>
    <cellStyle name="Komma 5 2 2 2 2 2 2 4" xfId="6420"/>
    <cellStyle name="Komma 5 2 2 2 2 2 2 4 2" xfId="12153"/>
    <cellStyle name="Komma 5 2 2 2 2 2 2 4 2 2" xfId="17537"/>
    <cellStyle name="Komma 5 2 2 2 2 2 2 4 3" xfId="17538"/>
    <cellStyle name="Komma 5 2 2 2 2 2 2 5" xfId="8426"/>
    <cellStyle name="Komma 5 2 2 2 2 2 2 5 2" xfId="17539"/>
    <cellStyle name="Komma 5 2 2 2 2 2 2 6" xfId="17540"/>
    <cellStyle name="Komma 5 2 2 2 2 2 3" xfId="3221"/>
    <cellStyle name="Komma 5 2 2 2 2 2 3 2" xfId="5255"/>
    <cellStyle name="Komma 5 2 2 2 2 2 3 2 2" xfId="12607"/>
    <cellStyle name="Komma 5 2 2 2 2 2 3 2 2 2" xfId="17541"/>
    <cellStyle name="Komma 5 2 2 2 2 2 3 2 3" xfId="17542"/>
    <cellStyle name="Komma 5 2 2 2 2 2 3 3" xfId="12606"/>
    <cellStyle name="Komma 5 2 2 2 2 2 3 3 2" xfId="17543"/>
    <cellStyle name="Komma 5 2 2 2 2 2 3 4" xfId="17544"/>
    <cellStyle name="Komma 5 2 2 2 2 2 4" xfId="4238"/>
    <cellStyle name="Komma 5 2 2 2 2 2 4 2" xfId="12608"/>
    <cellStyle name="Komma 5 2 2 2 2 2 4 2 2" xfId="17545"/>
    <cellStyle name="Komma 5 2 2 2 2 2 4 3" xfId="17546"/>
    <cellStyle name="Komma 5 2 2 2 2 2 5" xfId="6421"/>
    <cellStyle name="Komma 5 2 2 2 2 2 5 2" xfId="12038"/>
    <cellStyle name="Komma 5 2 2 2 2 2 5 2 2" xfId="17547"/>
    <cellStyle name="Komma 5 2 2 2 2 2 5 3" xfId="17548"/>
    <cellStyle name="Komma 5 2 2 2 2 2 6" xfId="8425"/>
    <cellStyle name="Komma 5 2 2 2 2 2 6 2" xfId="17549"/>
    <cellStyle name="Komma 5 2 2 2 2 2 7" xfId="17550"/>
    <cellStyle name="Komma 5 2 2 2 2 3" xfId="2465"/>
    <cellStyle name="Komma 5 2 2 2 2 3 2" xfId="3482"/>
    <cellStyle name="Komma 5 2 2 2 2 3 2 2" xfId="5516"/>
    <cellStyle name="Komma 5 2 2 2 2 3 2 2 2" xfId="12610"/>
    <cellStyle name="Komma 5 2 2 2 2 3 2 2 2 2" xfId="17551"/>
    <cellStyle name="Komma 5 2 2 2 2 3 2 2 3" xfId="17552"/>
    <cellStyle name="Komma 5 2 2 2 2 3 2 3" xfId="12609"/>
    <cellStyle name="Komma 5 2 2 2 2 3 2 3 2" xfId="17553"/>
    <cellStyle name="Komma 5 2 2 2 2 3 2 4" xfId="17554"/>
    <cellStyle name="Komma 5 2 2 2 2 3 3" xfId="4499"/>
    <cellStyle name="Komma 5 2 2 2 2 3 3 2" xfId="12611"/>
    <cellStyle name="Komma 5 2 2 2 2 3 3 2 2" xfId="17555"/>
    <cellStyle name="Komma 5 2 2 2 2 3 3 3" xfId="17556"/>
    <cellStyle name="Komma 5 2 2 2 2 3 4" xfId="6422"/>
    <cellStyle name="Komma 5 2 2 2 2 3 4 2" xfId="12099"/>
    <cellStyle name="Komma 5 2 2 2 2 3 4 2 2" xfId="17557"/>
    <cellStyle name="Komma 5 2 2 2 2 3 4 3" xfId="17558"/>
    <cellStyle name="Komma 5 2 2 2 2 3 5" xfId="8427"/>
    <cellStyle name="Komma 5 2 2 2 2 3 5 2" xfId="17559"/>
    <cellStyle name="Komma 5 2 2 2 2 3 6" xfId="17560"/>
    <cellStyle name="Komma 5 2 2 2 2 4" xfId="2969"/>
    <cellStyle name="Komma 5 2 2 2 2 4 2" xfId="5003"/>
    <cellStyle name="Komma 5 2 2 2 2 4 2 2" xfId="12613"/>
    <cellStyle name="Komma 5 2 2 2 2 4 2 2 2" xfId="17561"/>
    <cellStyle name="Komma 5 2 2 2 2 4 2 3" xfId="17562"/>
    <cellStyle name="Komma 5 2 2 2 2 4 3" xfId="12612"/>
    <cellStyle name="Komma 5 2 2 2 2 4 3 2" xfId="17563"/>
    <cellStyle name="Komma 5 2 2 2 2 4 4" xfId="17564"/>
    <cellStyle name="Komma 5 2 2 2 2 5" xfId="3986"/>
    <cellStyle name="Komma 5 2 2 2 2 5 2" xfId="12614"/>
    <cellStyle name="Komma 5 2 2 2 2 5 2 2" xfId="17565"/>
    <cellStyle name="Komma 5 2 2 2 2 5 3" xfId="17566"/>
    <cellStyle name="Komma 5 2 2 2 2 6" xfId="6423"/>
    <cellStyle name="Komma 5 2 2 2 2 6 2" xfId="11984"/>
    <cellStyle name="Komma 5 2 2 2 2 6 2 2" xfId="17567"/>
    <cellStyle name="Komma 5 2 2 2 2 6 3" xfId="17568"/>
    <cellStyle name="Komma 5 2 2 2 2 7" xfId="8424"/>
    <cellStyle name="Komma 5 2 2 2 2 7 2" xfId="17569"/>
    <cellStyle name="Komma 5 2 2 2 2 8" xfId="17570"/>
    <cellStyle name="Komma 5 2 2 2 3" xfId="2047"/>
    <cellStyle name="Komma 5 2 2 2 3 2" xfId="2591"/>
    <cellStyle name="Komma 5 2 2 2 3 2 2" xfId="3608"/>
    <cellStyle name="Komma 5 2 2 2 3 2 2 2" xfId="5642"/>
    <cellStyle name="Komma 5 2 2 2 3 2 2 2 2" xfId="12616"/>
    <cellStyle name="Komma 5 2 2 2 3 2 2 2 2 2" xfId="17571"/>
    <cellStyle name="Komma 5 2 2 2 3 2 2 2 3" xfId="17572"/>
    <cellStyle name="Komma 5 2 2 2 3 2 2 3" xfId="12615"/>
    <cellStyle name="Komma 5 2 2 2 3 2 2 3 2" xfId="17573"/>
    <cellStyle name="Komma 5 2 2 2 3 2 2 4" xfId="17574"/>
    <cellStyle name="Komma 5 2 2 2 3 2 3" xfId="4625"/>
    <cellStyle name="Komma 5 2 2 2 3 2 3 2" xfId="12617"/>
    <cellStyle name="Komma 5 2 2 2 3 2 3 2 2" xfId="17575"/>
    <cellStyle name="Komma 5 2 2 2 3 2 3 3" xfId="17576"/>
    <cellStyle name="Komma 5 2 2 2 3 2 4" xfId="6424"/>
    <cellStyle name="Komma 5 2 2 2 3 2 4 2" xfId="12126"/>
    <cellStyle name="Komma 5 2 2 2 3 2 4 2 2" xfId="17577"/>
    <cellStyle name="Komma 5 2 2 2 3 2 4 3" xfId="17578"/>
    <cellStyle name="Komma 5 2 2 2 3 2 5" xfId="8429"/>
    <cellStyle name="Komma 5 2 2 2 3 2 5 2" xfId="17579"/>
    <cellStyle name="Komma 5 2 2 2 3 2 6" xfId="17580"/>
    <cellStyle name="Komma 5 2 2 2 3 3" xfId="3095"/>
    <cellStyle name="Komma 5 2 2 2 3 3 2" xfId="5129"/>
    <cellStyle name="Komma 5 2 2 2 3 3 2 2" xfId="12619"/>
    <cellStyle name="Komma 5 2 2 2 3 3 2 2 2" xfId="17581"/>
    <cellStyle name="Komma 5 2 2 2 3 3 2 3" xfId="17582"/>
    <cellStyle name="Komma 5 2 2 2 3 3 3" xfId="12618"/>
    <cellStyle name="Komma 5 2 2 2 3 3 3 2" xfId="17583"/>
    <cellStyle name="Komma 5 2 2 2 3 3 4" xfId="17584"/>
    <cellStyle name="Komma 5 2 2 2 3 4" xfId="4112"/>
    <cellStyle name="Komma 5 2 2 2 3 4 2" xfId="12620"/>
    <cellStyle name="Komma 5 2 2 2 3 4 2 2" xfId="17585"/>
    <cellStyle name="Komma 5 2 2 2 3 4 3" xfId="17586"/>
    <cellStyle name="Komma 5 2 2 2 3 5" xfId="6425"/>
    <cellStyle name="Komma 5 2 2 2 3 5 2" xfId="12011"/>
    <cellStyle name="Komma 5 2 2 2 3 5 2 2" xfId="17587"/>
    <cellStyle name="Komma 5 2 2 2 3 5 3" xfId="17588"/>
    <cellStyle name="Komma 5 2 2 2 3 6" xfId="8428"/>
    <cellStyle name="Komma 5 2 2 2 3 6 2" xfId="17589"/>
    <cellStyle name="Komma 5 2 2 2 3 7" xfId="17590"/>
    <cellStyle name="Komma 5 2 2 2 4" xfId="2339"/>
    <cellStyle name="Komma 5 2 2 2 4 2" xfId="3356"/>
    <cellStyle name="Komma 5 2 2 2 4 2 2" xfId="5390"/>
    <cellStyle name="Komma 5 2 2 2 4 2 2 2" xfId="12622"/>
    <cellStyle name="Komma 5 2 2 2 4 2 2 2 2" xfId="17591"/>
    <cellStyle name="Komma 5 2 2 2 4 2 2 3" xfId="17592"/>
    <cellStyle name="Komma 5 2 2 2 4 2 3" xfId="12621"/>
    <cellStyle name="Komma 5 2 2 2 4 2 3 2" xfId="17593"/>
    <cellStyle name="Komma 5 2 2 2 4 2 4" xfId="17594"/>
    <cellStyle name="Komma 5 2 2 2 4 3" xfId="4373"/>
    <cellStyle name="Komma 5 2 2 2 4 3 2" xfId="12623"/>
    <cellStyle name="Komma 5 2 2 2 4 3 2 2" xfId="17595"/>
    <cellStyle name="Komma 5 2 2 2 4 3 3" xfId="17596"/>
    <cellStyle name="Komma 5 2 2 2 4 4" xfId="6426"/>
    <cellStyle name="Komma 5 2 2 2 4 4 2" xfId="12072"/>
    <cellStyle name="Komma 5 2 2 2 4 4 2 2" xfId="17597"/>
    <cellStyle name="Komma 5 2 2 2 4 4 3" xfId="17598"/>
    <cellStyle name="Komma 5 2 2 2 4 5" xfId="8430"/>
    <cellStyle name="Komma 5 2 2 2 4 5 2" xfId="17599"/>
    <cellStyle name="Komma 5 2 2 2 4 6" xfId="17600"/>
    <cellStyle name="Komma 5 2 2 2 5" xfId="2843"/>
    <cellStyle name="Komma 5 2 2 2 5 2" xfId="4877"/>
    <cellStyle name="Komma 5 2 2 2 5 2 2" xfId="12625"/>
    <cellStyle name="Komma 5 2 2 2 5 2 2 2" xfId="17601"/>
    <cellStyle name="Komma 5 2 2 2 5 2 3" xfId="17602"/>
    <cellStyle name="Komma 5 2 2 2 5 3" xfId="12624"/>
    <cellStyle name="Komma 5 2 2 2 5 3 2" xfId="17603"/>
    <cellStyle name="Komma 5 2 2 2 5 4" xfId="17604"/>
    <cellStyle name="Komma 5 2 2 2 6" xfId="3860"/>
    <cellStyle name="Komma 5 2 2 2 6 2" xfId="12626"/>
    <cellStyle name="Komma 5 2 2 2 6 2 2" xfId="17605"/>
    <cellStyle name="Komma 5 2 2 2 6 3" xfId="17606"/>
    <cellStyle name="Komma 5 2 2 2 7" xfId="6427"/>
    <cellStyle name="Komma 5 2 2 2 7 2" xfId="11957"/>
    <cellStyle name="Komma 5 2 2 2 7 2 2" xfId="17607"/>
    <cellStyle name="Komma 5 2 2 2 7 3" xfId="17608"/>
    <cellStyle name="Komma 5 2 2 2 8" xfId="8423"/>
    <cellStyle name="Komma 5 2 2 2 8 2" xfId="17609"/>
    <cellStyle name="Komma 5 2 2 2 9" xfId="17610"/>
    <cellStyle name="Komma 5 2 2 3" xfId="1837"/>
    <cellStyle name="Komma 5 2 2 3 2" xfId="1963"/>
    <cellStyle name="Komma 5 2 2 3 2 2" xfId="2215"/>
    <cellStyle name="Komma 5 2 2 3 2 2 2" xfId="2759"/>
    <cellStyle name="Komma 5 2 2 3 2 2 2 2" xfId="3776"/>
    <cellStyle name="Komma 5 2 2 3 2 2 2 2 2" xfId="5810"/>
    <cellStyle name="Komma 5 2 2 3 2 2 2 2 2 2" xfId="12628"/>
    <cellStyle name="Komma 5 2 2 3 2 2 2 2 2 2 2" xfId="17611"/>
    <cellStyle name="Komma 5 2 2 3 2 2 2 2 2 3" xfId="17612"/>
    <cellStyle name="Komma 5 2 2 3 2 2 2 2 3" xfId="12627"/>
    <cellStyle name="Komma 5 2 2 3 2 2 2 2 3 2" xfId="17613"/>
    <cellStyle name="Komma 5 2 2 3 2 2 2 2 4" xfId="17614"/>
    <cellStyle name="Komma 5 2 2 3 2 2 2 3" xfId="4793"/>
    <cellStyle name="Komma 5 2 2 3 2 2 2 3 2" xfId="12629"/>
    <cellStyle name="Komma 5 2 2 3 2 2 2 3 2 2" xfId="17615"/>
    <cellStyle name="Komma 5 2 2 3 2 2 2 3 3" xfId="17616"/>
    <cellStyle name="Komma 5 2 2 3 2 2 2 4" xfId="6428"/>
    <cellStyle name="Komma 5 2 2 3 2 2 2 4 2" xfId="12162"/>
    <cellStyle name="Komma 5 2 2 3 2 2 2 4 2 2" xfId="17617"/>
    <cellStyle name="Komma 5 2 2 3 2 2 2 4 3" xfId="17618"/>
    <cellStyle name="Komma 5 2 2 3 2 2 2 5" xfId="8434"/>
    <cellStyle name="Komma 5 2 2 3 2 2 2 5 2" xfId="17619"/>
    <cellStyle name="Komma 5 2 2 3 2 2 2 6" xfId="17620"/>
    <cellStyle name="Komma 5 2 2 3 2 2 3" xfId="3263"/>
    <cellStyle name="Komma 5 2 2 3 2 2 3 2" xfId="5297"/>
    <cellStyle name="Komma 5 2 2 3 2 2 3 2 2" xfId="12631"/>
    <cellStyle name="Komma 5 2 2 3 2 2 3 2 2 2" xfId="17621"/>
    <cellStyle name="Komma 5 2 2 3 2 2 3 2 3" xfId="17622"/>
    <cellStyle name="Komma 5 2 2 3 2 2 3 3" xfId="12630"/>
    <cellStyle name="Komma 5 2 2 3 2 2 3 3 2" xfId="17623"/>
    <cellStyle name="Komma 5 2 2 3 2 2 3 4" xfId="17624"/>
    <cellStyle name="Komma 5 2 2 3 2 2 4" xfId="4280"/>
    <cellStyle name="Komma 5 2 2 3 2 2 4 2" xfId="12632"/>
    <cellStyle name="Komma 5 2 2 3 2 2 4 2 2" xfId="17625"/>
    <cellStyle name="Komma 5 2 2 3 2 2 4 3" xfId="17626"/>
    <cellStyle name="Komma 5 2 2 3 2 2 5" xfId="6429"/>
    <cellStyle name="Komma 5 2 2 3 2 2 5 2" xfId="12047"/>
    <cellStyle name="Komma 5 2 2 3 2 2 5 2 2" xfId="17627"/>
    <cellStyle name="Komma 5 2 2 3 2 2 5 3" xfId="17628"/>
    <cellStyle name="Komma 5 2 2 3 2 2 6" xfId="8433"/>
    <cellStyle name="Komma 5 2 2 3 2 2 6 2" xfId="17629"/>
    <cellStyle name="Komma 5 2 2 3 2 2 7" xfId="17630"/>
    <cellStyle name="Komma 5 2 2 3 2 3" xfId="2507"/>
    <cellStyle name="Komma 5 2 2 3 2 3 2" xfId="3524"/>
    <cellStyle name="Komma 5 2 2 3 2 3 2 2" xfId="5558"/>
    <cellStyle name="Komma 5 2 2 3 2 3 2 2 2" xfId="12634"/>
    <cellStyle name="Komma 5 2 2 3 2 3 2 2 2 2" xfId="17631"/>
    <cellStyle name="Komma 5 2 2 3 2 3 2 2 3" xfId="17632"/>
    <cellStyle name="Komma 5 2 2 3 2 3 2 3" xfId="12633"/>
    <cellStyle name="Komma 5 2 2 3 2 3 2 3 2" xfId="17633"/>
    <cellStyle name="Komma 5 2 2 3 2 3 2 4" xfId="17634"/>
    <cellStyle name="Komma 5 2 2 3 2 3 3" xfId="4541"/>
    <cellStyle name="Komma 5 2 2 3 2 3 3 2" xfId="12635"/>
    <cellStyle name="Komma 5 2 2 3 2 3 3 2 2" xfId="17635"/>
    <cellStyle name="Komma 5 2 2 3 2 3 3 3" xfId="17636"/>
    <cellStyle name="Komma 5 2 2 3 2 3 4" xfId="6430"/>
    <cellStyle name="Komma 5 2 2 3 2 3 4 2" xfId="12108"/>
    <cellStyle name="Komma 5 2 2 3 2 3 4 2 2" xfId="17637"/>
    <cellStyle name="Komma 5 2 2 3 2 3 4 3" xfId="17638"/>
    <cellStyle name="Komma 5 2 2 3 2 3 5" xfId="8435"/>
    <cellStyle name="Komma 5 2 2 3 2 3 5 2" xfId="17639"/>
    <cellStyle name="Komma 5 2 2 3 2 3 6" xfId="17640"/>
    <cellStyle name="Komma 5 2 2 3 2 4" xfId="3011"/>
    <cellStyle name="Komma 5 2 2 3 2 4 2" xfId="5045"/>
    <cellStyle name="Komma 5 2 2 3 2 4 2 2" xfId="12637"/>
    <cellStyle name="Komma 5 2 2 3 2 4 2 2 2" xfId="17641"/>
    <cellStyle name="Komma 5 2 2 3 2 4 2 3" xfId="17642"/>
    <cellStyle name="Komma 5 2 2 3 2 4 3" xfId="12636"/>
    <cellStyle name="Komma 5 2 2 3 2 4 3 2" xfId="17643"/>
    <cellStyle name="Komma 5 2 2 3 2 4 4" xfId="17644"/>
    <cellStyle name="Komma 5 2 2 3 2 5" xfId="4028"/>
    <cellStyle name="Komma 5 2 2 3 2 5 2" xfId="12638"/>
    <cellStyle name="Komma 5 2 2 3 2 5 2 2" xfId="17645"/>
    <cellStyle name="Komma 5 2 2 3 2 5 3" xfId="17646"/>
    <cellStyle name="Komma 5 2 2 3 2 6" xfId="6431"/>
    <cellStyle name="Komma 5 2 2 3 2 6 2" xfId="11993"/>
    <cellStyle name="Komma 5 2 2 3 2 6 2 2" xfId="17647"/>
    <cellStyle name="Komma 5 2 2 3 2 6 3" xfId="17648"/>
    <cellStyle name="Komma 5 2 2 3 2 7" xfId="8432"/>
    <cellStyle name="Komma 5 2 2 3 2 7 2" xfId="17649"/>
    <cellStyle name="Komma 5 2 2 3 2 8" xfId="17650"/>
    <cellStyle name="Komma 5 2 2 3 3" xfId="2089"/>
    <cellStyle name="Komma 5 2 2 3 3 2" xfId="2633"/>
    <cellStyle name="Komma 5 2 2 3 3 2 2" xfId="3650"/>
    <cellStyle name="Komma 5 2 2 3 3 2 2 2" xfId="5684"/>
    <cellStyle name="Komma 5 2 2 3 3 2 2 2 2" xfId="12640"/>
    <cellStyle name="Komma 5 2 2 3 3 2 2 2 2 2" xfId="17651"/>
    <cellStyle name="Komma 5 2 2 3 3 2 2 2 3" xfId="17652"/>
    <cellStyle name="Komma 5 2 2 3 3 2 2 3" xfId="12639"/>
    <cellStyle name="Komma 5 2 2 3 3 2 2 3 2" xfId="17653"/>
    <cellStyle name="Komma 5 2 2 3 3 2 2 4" xfId="17654"/>
    <cellStyle name="Komma 5 2 2 3 3 2 3" xfId="4667"/>
    <cellStyle name="Komma 5 2 2 3 3 2 3 2" xfId="12641"/>
    <cellStyle name="Komma 5 2 2 3 3 2 3 2 2" xfId="17655"/>
    <cellStyle name="Komma 5 2 2 3 3 2 3 3" xfId="17656"/>
    <cellStyle name="Komma 5 2 2 3 3 2 4" xfId="6432"/>
    <cellStyle name="Komma 5 2 2 3 3 2 4 2" xfId="12135"/>
    <cellStyle name="Komma 5 2 2 3 3 2 4 2 2" xfId="17657"/>
    <cellStyle name="Komma 5 2 2 3 3 2 4 3" xfId="17658"/>
    <cellStyle name="Komma 5 2 2 3 3 2 5" xfId="8437"/>
    <cellStyle name="Komma 5 2 2 3 3 2 5 2" xfId="17659"/>
    <cellStyle name="Komma 5 2 2 3 3 2 6" xfId="17660"/>
    <cellStyle name="Komma 5 2 2 3 3 3" xfId="3137"/>
    <cellStyle name="Komma 5 2 2 3 3 3 2" xfId="5171"/>
    <cellStyle name="Komma 5 2 2 3 3 3 2 2" xfId="12643"/>
    <cellStyle name="Komma 5 2 2 3 3 3 2 2 2" xfId="17661"/>
    <cellStyle name="Komma 5 2 2 3 3 3 2 3" xfId="17662"/>
    <cellStyle name="Komma 5 2 2 3 3 3 3" xfId="12642"/>
    <cellStyle name="Komma 5 2 2 3 3 3 3 2" xfId="17663"/>
    <cellStyle name="Komma 5 2 2 3 3 3 4" xfId="17664"/>
    <cellStyle name="Komma 5 2 2 3 3 4" xfId="4154"/>
    <cellStyle name="Komma 5 2 2 3 3 4 2" xfId="12644"/>
    <cellStyle name="Komma 5 2 2 3 3 4 2 2" xfId="17665"/>
    <cellStyle name="Komma 5 2 2 3 3 4 3" xfId="17666"/>
    <cellStyle name="Komma 5 2 2 3 3 5" xfId="6433"/>
    <cellStyle name="Komma 5 2 2 3 3 5 2" xfId="12020"/>
    <cellStyle name="Komma 5 2 2 3 3 5 2 2" xfId="17667"/>
    <cellStyle name="Komma 5 2 2 3 3 5 3" xfId="17668"/>
    <cellStyle name="Komma 5 2 2 3 3 6" xfId="8436"/>
    <cellStyle name="Komma 5 2 2 3 3 6 2" xfId="17669"/>
    <cellStyle name="Komma 5 2 2 3 3 7" xfId="17670"/>
    <cellStyle name="Komma 5 2 2 3 4" xfId="2381"/>
    <cellStyle name="Komma 5 2 2 3 4 2" xfId="3398"/>
    <cellStyle name="Komma 5 2 2 3 4 2 2" xfId="5432"/>
    <cellStyle name="Komma 5 2 2 3 4 2 2 2" xfId="12646"/>
    <cellStyle name="Komma 5 2 2 3 4 2 2 2 2" xfId="17671"/>
    <cellStyle name="Komma 5 2 2 3 4 2 2 3" xfId="17672"/>
    <cellStyle name="Komma 5 2 2 3 4 2 3" xfId="12645"/>
    <cellStyle name="Komma 5 2 2 3 4 2 3 2" xfId="17673"/>
    <cellStyle name="Komma 5 2 2 3 4 2 4" xfId="17674"/>
    <cellStyle name="Komma 5 2 2 3 4 3" xfId="4415"/>
    <cellStyle name="Komma 5 2 2 3 4 3 2" xfId="12647"/>
    <cellStyle name="Komma 5 2 2 3 4 3 2 2" xfId="17675"/>
    <cellStyle name="Komma 5 2 2 3 4 3 3" xfId="17676"/>
    <cellStyle name="Komma 5 2 2 3 4 4" xfId="6434"/>
    <cellStyle name="Komma 5 2 2 3 4 4 2" xfId="12081"/>
    <cellStyle name="Komma 5 2 2 3 4 4 2 2" xfId="17677"/>
    <cellStyle name="Komma 5 2 2 3 4 4 3" xfId="17678"/>
    <cellStyle name="Komma 5 2 2 3 4 5" xfId="8438"/>
    <cellStyle name="Komma 5 2 2 3 4 5 2" xfId="17679"/>
    <cellStyle name="Komma 5 2 2 3 4 6" xfId="17680"/>
    <cellStyle name="Komma 5 2 2 3 5" xfId="2885"/>
    <cellStyle name="Komma 5 2 2 3 5 2" xfId="4919"/>
    <cellStyle name="Komma 5 2 2 3 5 2 2" xfId="12649"/>
    <cellStyle name="Komma 5 2 2 3 5 2 2 2" xfId="17681"/>
    <cellStyle name="Komma 5 2 2 3 5 2 3" xfId="17682"/>
    <cellStyle name="Komma 5 2 2 3 5 3" xfId="12648"/>
    <cellStyle name="Komma 5 2 2 3 5 3 2" xfId="17683"/>
    <cellStyle name="Komma 5 2 2 3 5 4" xfId="17684"/>
    <cellStyle name="Komma 5 2 2 3 6" xfId="3902"/>
    <cellStyle name="Komma 5 2 2 3 6 2" xfId="12650"/>
    <cellStyle name="Komma 5 2 2 3 6 2 2" xfId="17685"/>
    <cellStyle name="Komma 5 2 2 3 6 3" xfId="17686"/>
    <cellStyle name="Komma 5 2 2 3 7" xfId="6435"/>
    <cellStyle name="Komma 5 2 2 3 7 2" xfId="11966"/>
    <cellStyle name="Komma 5 2 2 3 7 2 2" xfId="17687"/>
    <cellStyle name="Komma 5 2 2 3 7 3" xfId="17688"/>
    <cellStyle name="Komma 5 2 2 3 8" xfId="8431"/>
    <cellStyle name="Komma 5 2 2 3 8 2" xfId="17689"/>
    <cellStyle name="Komma 5 2 2 3 9" xfId="17690"/>
    <cellStyle name="Komma 5 2 2 4" xfId="1879"/>
    <cellStyle name="Komma 5 2 2 4 2" xfId="2131"/>
    <cellStyle name="Komma 5 2 2 4 2 2" xfId="2675"/>
    <cellStyle name="Komma 5 2 2 4 2 2 2" xfId="3692"/>
    <cellStyle name="Komma 5 2 2 4 2 2 2 2" xfId="5726"/>
    <cellStyle name="Komma 5 2 2 4 2 2 2 2 2" xfId="12652"/>
    <cellStyle name="Komma 5 2 2 4 2 2 2 2 2 2" xfId="17691"/>
    <cellStyle name="Komma 5 2 2 4 2 2 2 2 3" xfId="17692"/>
    <cellStyle name="Komma 5 2 2 4 2 2 2 3" xfId="12651"/>
    <cellStyle name="Komma 5 2 2 4 2 2 2 3 2" xfId="17693"/>
    <cellStyle name="Komma 5 2 2 4 2 2 2 4" xfId="17694"/>
    <cellStyle name="Komma 5 2 2 4 2 2 3" xfId="4709"/>
    <cellStyle name="Komma 5 2 2 4 2 2 3 2" xfId="12653"/>
    <cellStyle name="Komma 5 2 2 4 2 2 3 2 2" xfId="17695"/>
    <cellStyle name="Komma 5 2 2 4 2 2 3 3" xfId="17696"/>
    <cellStyle name="Komma 5 2 2 4 2 2 4" xfId="6436"/>
    <cellStyle name="Komma 5 2 2 4 2 2 4 2" xfId="12144"/>
    <cellStyle name="Komma 5 2 2 4 2 2 4 2 2" xfId="17697"/>
    <cellStyle name="Komma 5 2 2 4 2 2 4 3" xfId="17698"/>
    <cellStyle name="Komma 5 2 2 4 2 2 5" xfId="8441"/>
    <cellStyle name="Komma 5 2 2 4 2 2 5 2" xfId="17699"/>
    <cellStyle name="Komma 5 2 2 4 2 2 6" xfId="17700"/>
    <cellStyle name="Komma 5 2 2 4 2 3" xfId="3179"/>
    <cellStyle name="Komma 5 2 2 4 2 3 2" xfId="5213"/>
    <cellStyle name="Komma 5 2 2 4 2 3 2 2" xfId="12655"/>
    <cellStyle name="Komma 5 2 2 4 2 3 2 2 2" xfId="17701"/>
    <cellStyle name="Komma 5 2 2 4 2 3 2 3" xfId="17702"/>
    <cellStyle name="Komma 5 2 2 4 2 3 3" xfId="12654"/>
    <cellStyle name="Komma 5 2 2 4 2 3 3 2" xfId="17703"/>
    <cellStyle name="Komma 5 2 2 4 2 3 4" xfId="17704"/>
    <cellStyle name="Komma 5 2 2 4 2 4" xfId="4196"/>
    <cellStyle name="Komma 5 2 2 4 2 4 2" xfId="12656"/>
    <cellStyle name="Komma 5 2 2 4 2 4 2 2" xfId="17705"/>
    <cellStyle name="Komma 5 2 2 4 2 4 3" xfId="17706"/>
    <cellStyle name="Komma 5 2 2 4 2 5" xfId="6437"/>
    <cellStyle name="Komma 5 2 2 4 2 5 2" xfId="12029"/>
    <cellStyle name="Komma 5 2 2 4 2 5 2 2" xfId="17707"/>
    <cellStyle name="Komma 5 2 2 4 2 5 3" xfId="17708"/>
    <cellStyle name="Komma 5 2 2 4 2 6" xfId="8440"/>
    <cellStyle name="Komma 5 2 2 4 2 6 2" xfId="17709"/>
    <cellStyle name="Komma 5 2 2 4 2 7" xfId="17710"/>
    <cellStyle name="Komma 5 2 2 4 3" xfId="2423"/>
    <cellStyle name="Komma 5 2 2 4 3 2" xfId="3440"/>
    <cellStyle name="Komma 5 2 2 4 3 2 2" xfId="5474"/>
    <cellStyle name="Komma 5 2 2 4 3 2 2 2" xfId="12658"/>
    <cellStyle name="Komma 5 2 2 4 3 2 2 2 2" xfId="17711"/>
    <cellStyle name="Komma 5 2 2 4 3 2 2 3" xfId="17712"/>
    <cellStyle name="Komma 5 2 2 4 3 2 3" xfId="12657"/>
    <cellStyle name="Komma 5 2 2 4 3 2 3 2" xfId="17713"/>
    <cellStyle name="Komma 5 2 2 4 3 2 4" xfId="17714"/>
    <cellStyle name="Komma 5 2 2 4 3 3" xfId="4457"/>
    <cellStyle name="Komma 5 2 2 4 3 3 2" xfId="12659"/>
    <cellStyle name="Komma 5 2 2 4 3 3 2 2" xfId="17715"/>
    <cellStyle name="Komma 5 2 2 4 3 3 3" xfId="17716"/>
    <cellStyle name="Komma 5 2 2 4 3 4" xfId="6438"/>
    <cellStyle name="Komma 5 2 2 4 3 4 2" xfId="12090"/>
    <cellStyle name="Komma 5 2 2 4 3 4 2 2" xfId="17717"/>
    <cellStyle name="Komma 5 2 2 4 3 4 3" xfId="17718"/>
    <cellStyle name="Komma 5 2 2 4 3 5" xfId="8442"/>
    <cellStyle name="Komma 5 2 2 4 3 5 2" xfId="17719"/>
    <cellStyle name="Komma 5 2 2 4 3 6" xfId="17720"/>
    <cellStyle name="Komma 5 2 2 4 4" xfId="2927"/>
    <cellStyle name="Komma 5 2 2 4 4 2" xfId="4961"/>
    <cellStyle name="Komma 5 2 2 4 4 2 2" xfId="12661"/>
    <cellStyle name="Komma 5 2 2 4 4 2 2 2" xfId="17721"/>
    <cellStyle name="Komma 5 2 2 4 4 2 3" xfId="17722"/>
    <cellStyle name="Komma 5 2 2 4 4 3" xfId="12660"/>
    <cellStyle name="Komma 5 2 2 4 4 3 2" xfId="17723"/>
    <cellStyle name="Komma 5 2 2 4 4 4" xfId="17724"/>
    <cellStyle name="Komma 5 2 2 4 5" xfId="3944"/>
    <cellStyle name="Komma 5 2 2 4 5 2" xfId="12662"/>
    <cellStyle name="Komma 5 2 2 4 5 2 2" xfId="17725"/>
    <cellStyle name="Komma 5 2 2 4 5 3" xfId="17726"/>
    <cellStyle name="Komma 5 2 2 4 6" xfId="6439"/>
    <cellStyle name="Komma 5 2 2 4 6 2" xfId="11975"/>
    <cellStyle name="Komma 5 2 2 4 6 2 2" xfId="17727"/>
    <cellStyle name="Komma 5 2 2 4 6 3" xfId="17728"/>
    <cellStyle name="Komma 5 2 2 4 7" xfId="8439"/>
    <cellStyle name="Komma 5 2 2 4 7 2" xfId="17729"/>
    <cellStyle name="Komma 5 2 2 4 8" xfId="17730"/>
    <cellStyle name="Komma 5 2 2 5" xfId="2005"/>
    <cellStyle name="Komma 5 2 2 5 2" xfId="2549"/>
    <cellStyle name="Komma 5 2 2 5 2 2" xfId="3566"/>
    <cellStyle name="Komma 5 2 2 5 2 2 2" xfId="5600"/>
    <cellStyle name="Komma 5 2 2 5 2 2 2 2" xfId="12664"/>
    <cellStyle name="Komma 5 2 2 5 2 2 2 2 2" xfId="17731"/>
    <cellStyle name="Komma 5 2 2 5 2 2 2 3" xfId="17732"/>
    <cellStyle name="Komma 5 2 2 5 2 2 3" xfId="12663"/>
    <cellStyle name="Komma 5 2 2 5 2 2 3 2" xfId="17733"/>
    <cellStyle name="Komma 5 2 2 5 2 2 4" xfId="17734"/>
    <cellStyle name="Komma 5 2 2 5 2 3" xfId="4583"/>
    <cellStyle name="Komma 5 2 2 5 2 3 2" xfId="12665"/>
    <cellStyle name="Komma 5 2 2 5 2 3 2 2" xfId="17735"/>
    <cellStyle name="Komma 5 2 2 5 2 3 3" xfId="17736"/>
    <cellStyle name="Komma 5 2 2 5 2 4" xfId="6440"/>
    <cellStyle name="Komma 5 2 2 5 2 4 2" xfId="12117"/>
    <cellStyle name="Komma 5 2 2 5 2 4 2 2" xfId="17737"/>
    <cellStyle name="Komma 5 2 2 5 2 4 3" xfId="17738"/>
    <cellStyle name="Komma 5 2 2 5 2 5" xfId="8444"/>
    <cellStyle name="Komma 5 2 2 5 2 5 2" xfId="17739"/>
    <cellStyle name="Komma 5 2 2 5 2 6" xfId="17740"/>
    <cellStyle name="Komma 5 2 2 5 3" xfId="3053"/>
    <cellStyle name="Komma 5 2 2 5 3 2" xfId="5087"/>
    <cellStyle name="Komma 5 2 2 5 3 2 2" xfId="12667"/>
    <cellStyle name="Komma 5 2 2 5 3 2 2 2" xfId="17741"/>
    <cellStyle name="Komma 5 2 2 5 3 2 3" xfId="17742"/>
    <cellStyle name="Komma 5 2 2 5 3 3" xfId="12666"/>
    <cellStyle name="Komma 5 2 2 5 3 3 2" xfId="17743"/>
    <cellStyle name="Komma 5 2 2 5 3 4" xfId="17744"/>
    <cellStyle name="Komma 5 2 2 5 4" xfId="4070"/>
    <cellStyle name="Komma 5 2 2 5 4 2" xfId="12668"/>
    <cellStyle name="Komma 5 2 2 5 4 2 2" xfId="17745"/>
    <cellStyle name="Komma 5 2 2 5 4 3" xfId="17746"/>
    <cellStyle name="Komma 5 2 2 5 5" xfId="6441"/>
    <cellStyle name="Komma 5 2 2 5 5 2" xfId="12002"/>
    <cellStyle name="Komma 5 2 2 5 5 2 2" xfId="17747"/>
    <cellStyle name="Komma 5 2 2 5 5 3" xfId="17748"/>
    <cellStyle name="Komma 5 2 2 5 6" xfId="8443"/>
    <cellStyle name="Komma 5 2 2 5 6 2" xfId="17749"/>
    <cellStyle name="Komma 5 2 2 5 7" xfId="17750"/>
    <cellStyle name="Komma 5 2 2 6" xfId="2297"/>
    <cellStyle name="Komma 5 2 2 6 2" xfId="3314"/>
    <cellStyle name="Komma 5 2 2 6 2 2" xfId="5348"/>
    <cellStyle name="Komma 5 2 2 6 2 2 2" xfId="12670"/>
    <cellStyle name="Komma 5 2 2 6 2 2 2 2" xfId="17751"/>
    <cellStyle name="Komma 5 2 2 6 2 2 3" xfId="17752"/>
    <cellStyle name="Komma 5 2 2 6 2 3" xfId="12669"/>
    <cellStyle name="Komma 5 2 2 6 2 3 2" xfId="17753"/>
    <cellStyle name="Komma 5 2 2 6 2 4" xfId="17754"/>
    <cellStyle name="Komma 5 2 2 6 3" xfId="4331"/>
    <cellStyle name="Komma 5 2 2 6 3 2" xfId="12671"/>
    <cellStyle name="Komma 5 2 2 6 3 2 2" xfId="17755"/>
    <cellStyle name="Komma 5 2 2 6 3 3" xfId="17756"/>
    <cellStyle name="Komma 5 2 2 6 4" xfId="6442"/>
    <cellStyle name="Komma 5 2 2 6 4 2" xfId="12063"/>
    <cellStyle name="Komma 5 2 2 6 4 2 2" xfId="17757"/>
    <cellStyle name="Komma 5 2 2 6 4 3" xfId="17758"/>
    <cellStyle name="Komma 5 2 2 6 5" xfId="8445"/>
    <cellStyle name="Komma 5 2 2 6 5 2" xfId="17759"/>
    <cellStyle name="Komma 5 2 2 6 6" xfId="17760"/>
    <cellStyle name="Komma 5 2 2 7" xfId="2801"/>
    <cellStyle name="Komma 5 2 2 7 2" xfId="4835"/>
    <cellStyle name="Komma 5 2 2 7 2 2" xfId="12673"/>
    <cellStyle name="Komma 5 2 2 7 2 2 2" xfId="17761"/>
    <cellStyle name="Komma 5 2 2 7 2 3" xfId="17762"/>
    <cellStyle name="Komma 5 2 2 7 3" xfId="12672"/>
    <cellStyle name="Komma 5 2 2 7 3 2" xfId="17763"/>
    <cellStyle name="Komma 5 2 2 7 4" xfId="17764"/>
    <cellStyle name="Komma 5 2 2 8" xfId="3818"/>
    <cellStyle name="Komma 5 2 2 8 2" xfId="12674"/>
    <cellStyle name="Komma 5 2 2 8 2 2" xfId="17765"/>
    <cellStyle name="Komma 5 2 2 8 3" xfId="17766"/>
    <cellStyle name="Komma 5 2 2 9" xfId="6443"/>
    <cellStyle name="Komma 5 2 2 9 2" xfId="11948"/>
    <cellStyle name="Komma 5 2 2 9 2 2" xfId="17767"/>
    <cellStyle name="Komma 5 2 2 9 3" xfId="17768"/>
    <cellStyle name="Komma 5 2 3" xfId="1767"/>
    <cellStyle name="Komma 5 2 3 10" xfId="8446"/>
    <cellStyle name="Komma 5 2 3 10 2" xfId="17769"/>
    <cellStyle name="Komma 5 2 3 11" xfId="17770"/>
    <cellStyle name="Komma 5 2 3 2" xfId="1809"/>
    <cellStyle name="Komma 5 2 3 2 2" xfId="1935"/>
    <cellStyle name="Komma 5 2 3 2 2 2" xfId="2187"/>
    <cellStyle name="Komma 5 2 3 2 2 2 2" xfId="2731"/>
    <cellStyle name="Komma 5 2 3 2 2 2 2 2" xfId="3748"/>
    <cellStyle name="Komma 5 2 3 2 2 2 2 2 2" xfId="5782"/>
    <cellStyle name="Komma 5 2 3 2 2 2 2 2 2 2" xfId="12676"/>
    <cellStyle name="Komma 5 2 3 2 2 2 2 2 2 2 2" xfId="17771"/>
    <cellStyle name="Komma 5 2 3 2 2 2 2 2 2 3" xfId="17772"/>
    <cellStyle name="Komma 5 2 3 2 2 2 2 2 3" xfId="12675"/>
    <cellStyle name="Komma 5 2 3 2 2 2 2 2 3 2" xfId="17773"/>
    <cellStyle name="Komma 5 2 3 2 2 2 2 2 4" xfId="17774"/>
    <cellStyle name="Komma 5 2 3 2 2 2 2 3" xfId="4765"/>
    <cellStyle name="Komma 5 2 3 2 2 2 2 3 2" xfId="12677"/>
    <cellStyle name="Komma 5 2 3 2 2 2 2 3 2 2" xfId="17775"/>
    <cellStyle name="Komma 5 2 3 2 2 2 2 3 3" xfId="17776"/>
    <cellStyle name="Komma 5 2 3 2 2 2 2 4" xfId="6444"/>
    <cellStyle name="Komma 5 2 3 2 2 2 2 4 2" xfId="12156"/>
    <cellStyle name="Komma 5 2 3 2 2 2 2 4 2 2" xfId="17777"/>
    <cellStyle name="Komma 5 2 3 2 2 2 2 4 3" xfId="17778"/>
    <cellStyle name="Komma 5 2 3 2 2 2 2 5" xfId="8450"/>
    <cellStyle name="Komma 5 2 3 2 2 2 2 5 2" xfId="17779"/>
    <cellStyle name="Komma 5 2 3 2 2 2 2 6" xfId="17780"/>
    <cellStyle name="Komma 5 2 3 2 2 2 3" xfId="3235"/>
    <cellStyle name="Komma 5 2 3 2 2 2 3 2" xfId="5269"/>
    <cellStyle name="Komma 5 2 3 2 2 2 3 2 2" xfId="12679"/>
    <cellStyle name="Komma 5 2 3 2 2 2 3 2 2 2" xfId="17781"/>
    <cellStyle name="Komma 5 2 3 2 2 2 3 2 3" xfId="17782"/>
    <cellStyle name="Komma 5 2 3 2 2 2 3 3" xfId="12678"/>
    <cellStyle name="Komma 5 2 3 2 2 2 3 3 2" xfId="17783"/>
    <cellStyle name="Komma 5 2 3 2 2 2 3 4" xfId="17784"/>
    <cellStyle name="Komma 5 2 3 2 2 2 4" xfId="4252"/>
    <cellStyle name="Komma 5 2 3 2 2 2 4 2" xfId="12680"/>
    <cellStyle name="Komma 5 2 3 2 2 2 4 2 2" xfId="17785"/>
    <cellStyle name="Komma 5 2 3 2 2 2 4 3" xfId="17786"/>
    <cellStyle name="Komma 5 2 3 2 2 2 5" xfId="6445"/>
    <cellStyle name="Komma 5 2 3 2 2 2 5 2" xfId="12041"/>
    <cellStyle name="Komma 5 2 3 2 2 2 5 2 2" xfId="17787"/>
    <cellStyle name="Komma 5 2 3 2 2 2 5 3" xfId="17788"/>
    <cellStyle name="Komma 5 2 3 2 2 2 6" xfId="8449"/>
    <cellStyle name="Komma 5 2 3 2 2 2 6 2" xfId="17789"/>
    <cellStyle name="Komma 5 2 3 2 2 2 7" xfId="17790"/>
    <cellStyle name="Komma 5 2 3 2 2 3" xfId="2479"/>
    <cellStyle name="Komma 5 2 3 2 2 3 2" xfId="3496"/>
    <cellStyle name="Komma 5 2 3 2 2 3 2 2" xfId="5530"/>
    <cellStyle name="Komma 5 2 3 2 2 3 2 2 2" xfId="12682"/>
    <cellStyle name="Komma 5 2 3 2 2 3 2 2 2 2" xfId="17791"/>
    <cellStyle name="Komma 5 2 3 2 2 3 2 2 3" xfId="17792"/>
    <cellStyle name="Komma 5 2 3 2 2 3 2 3" xfId="12681"/>
    <cellStyle name="Komma 5 2 3 2 2 3 2 3 2" xfId="17793"/>
    <cellStyle name="Komma 5 2 3 2 2 3 2 4" xfId="17794"/>
    <cellStyle name="Komma 5 2 3 2 2 3 3" xfId="4513"/>
    <cellStyle name="Komma 5 2 3 2 2 3 3 2" xfId="12683"/>
    <cellStyle name="Komma 5 2 3 2 2 3 3 2 2" xfId="17795"/>
    <cellStyle name="Komma 5 2 3 2 2 3 3 3" xfId="17796"/>
    <cellStyle name="Komma 5 2 3 2 2 3 4" xfId="6446"/>
    <cellStyle name="Komma 5 2 3 2 2 3 4 2" xfId="12102"/>
    <cellStyle name="Komma 5 2 3 2 2 3 4 2 2" xfId="17797"/>
    <cellStyle name="Komma 5 2 3 2 2 3 4 3" xfId="17798"/>
    <cellStyle name="Komma 5 2 3 2 2 3 5" xfId="8451"/>
    <cellStyle name="Komma 5 2 3 2 2 3 5 2" xfId="17799"/>
    <cellStyle name="Komma 5 2 3 2 2 3 6" xfId="17800"/>
    <cellStyle name="Komma 5 2 3 2 2 4" xfId="2983"/>
    <cellStyle name="Komma 5 2 3 2 2 4 2" xfId="5017"/>
    <cellStyle name="Komma 5 2 3 2 2 4 2 2" xfId="12685"/>
    <cellStyle name="Komma 5 2 3 2 2 4 2 2 2" xfId="17801"/>
    <cellStyle name="Komma 5 2 3 2 2 4 2 3" xfId="17802"/>
    <cellStyle name="Komma 5 2 3 2 2 4 3" xfId="12684"/>
    <cellStyle name="Komma 5 2 3 2 2 4 3 2" xfId="17803"/>
    <cellStyle name="Komma 5 2 3 2 2 4 4" xfId="17804"/>
    <cellStyle name="Komma 5 2 3 2 2 5" xfId="4000"/>
    <cellStyle name="Komma 5 2 3 2 2 5 2" xfId="12686"/>
    <cellStyle name="Komma 5 2 3 2 2 5 2 2" xfId="17805"/>
    <cellStyle name="Komma 5 2 3 2 2 5 3" xfId="17806"/>
    <cellStyle name="Komma 5 2 3 2 2 6" xfId="6447"/>
    <cellStyle name="Komma 5 2 3 2 2 6 2" xfId="11987"/>
    <cellStyle name="Komma 5 2 3 2 2 6 2 2" xfId="17807"/>
    <cellStyle name="Komma 5 2 3 2 2 6 3" xfId="17808"/>
    <cellStyle name="Komma 5 2 3 2 2 7" xfId="8448"/>
    <cellStyle name="Komma 5 2 3 2 2 7 2" xfId="17809"/>
    <cellStyle name="Komma 5 2 3 2 2 8" xfId="17810"/>
    <cellStyle name="Komma 5 2 3 2 3" xfId="2061"/>
    <cellStyle name="Komma 5 2 3 2 3 2" xfId="2605"/>
    <cellStyle name="Komma 5 2 3 2 3 2 2" xfId="3622"/>
    <cellStyle name="Komma 5 2 3 2 3 2 2 2" xfId="5656"/>
    <cellStyle name="Komma 5 2 3 2 3 2 2 2 2" xfId="12688"/>
    <cellStyle name="Komma 5 2 3 2 3 2 2 2 2 2" xfId="17811"/>
    <cellStyle name="Komma 5 2 3 2 3 2 2 2 3" xfId="17812"/>
    <cellStyle name="Komma 5 2 3 2 3 2 2 3" xfId="12687"/>
    <cellStyle name="Komma 5 2 3 2 3 2 2 3 2" xfId="17813"/>
    <cellStyle name="Komma 5 2 3 2 3 2 2 4" xfId="17814"/>
    <cellStyle name="Komma 5 2 3 2 3 2 3" xfId="4639"/>
    <cellStyle name="Komma 5 2 3 2 3 2 3 2" xfId="12689"/>
    <cellStyle name="Komma 5 2 3 2 3 2 3 2 2" xfId="17815"/>
    <cellStyle name="Komma 5 2 3 2 3 2 3 3" xfId="17816"/>
    <cellStyle name="Komma 5 2 3 2 3 2 4" xfId="6448"/>
    <cellStyle name="Komma 5 2 3 2 3 2 4 2" xfId="12129"/>
    <cellStyle name="Komma 5 2 3 2 3 2 4 2 2" xfId="17817"/>
    <cellStyle name="Komma 5 2 3 2 3 2 4 3" xfId="17818"/>
    <cellStyle name="Komma 5 2 3 2 3 2 5" xfId="8453"/>
    <cellStyle name="Komma 5 2 3 2 3 2 5 2" xfId="17819"/>
    <cellStyle name="Komma 5 2 3 2 3 2 6" xfId="17820"/>
    <cellStyle name="Komma 5 2 3 2 3 3" xfId="3109"/>
    <cellStyle name="Komma 5 2 3 2 3 3 2" xfId="5143"/>
    <cellStyle name="Komma 5 2 3 2 3 3 2 2" xfId="12691"/>
    <cellStyle name="Komma 5 2 3 2 3 3 2 2 2" xfId="17821"/>
    <cellStyle name="Komma 5 2 3 2 3 3 2 3" xfId="17822"/>
    <cellStyle name="Komma 5 2 3 2 3 3 3" xfId="12690"/>
    <cellStyle name="Komma 5 2 3 2 3 3 3 2" xfId="17823"/>
    <cellStyle name="Komma 5 2 3 2 3 3 4" xfId="17824"/>
    <cellStyle name="Komma 5 2 3 2 3 4" xfId="4126"/>
    <cellStyle name="Komma 5 2 3 2 3 4 2" xfId="12692"/>
    <cellStyle name="Komma 5 2 3 2 3 4 2 2" xfId="17825"/>
    <cellStyle name="Komma 5 2 3 2 3 4 3" xfId="17826"/>
    <cellStyle name="Komma 5 2 3 2 3 5" xfId="6449"/>
    <cellStyle name="Komma 5 2 3 2 3 5 2" xfId="12014"/>
    <cellStyle name="Komma 5 2 3 2 3 5 2 2" xfId="17827"/>
    <cellStyle name="Komma 5 2 3 2 3 5 3" xfId="17828"/>
    <cellStyle name="Komma 5 2 3 2 3 6" xfId="8452"/>
    <cellStyle name="Komma 5 2 3 2 3 6 2" xfId="17829"/>
    <cellStyle name="Komma 5 2 3 2 3 7" xfId="17830"/>
    <cellStyle name="Komma 5 2 3 2 4" xfId="2353"/>
    <cellStyle name="Komma 5 2 3 2 4 2" xfId="3370"/>
    <cellStyle name="Komma 5 2 3 2 4 2 2" xfId="5404"/>
    <cellStyle name="Komma 5 2 3 2 4 2 2 2" xfId="12694"/>
    <cellStyle name="Komma 5 2 3 2 4 2 2 2 2" xfId="17831"/>
    <cellStyle name="Komma 5 2 3 2 4 2 2 3" xfId="17832"/>
    <cellStyle name="Komma 5 2 3 2 4 2 3" xfId="12693"/>
    <cellStyle name="Komma 5 2 3 2 4 2 3 2" xfId="17833"/>
    <cellStyle name="Komma 5 2 3 2 4 2 4" xfId="17834"/>
    <cellStyle name="Komma 5 2 3 2 4 3" xfId="4387"/>
    <cellStyle name="Komma 5 2 3 2 4 3 2" xfId="12695"/>
    <cellStyle name="Komma 5 2 3 2 4 3 2 2" xfId="17835"/>
    <cellStyle name="Komma 5 2 3 2 4 3 3" xfId="17836"/>
    <cellStyle name="Komma 5 2 3 2 4 4" xfId="6450"/>
    <cellStyle name="Komma 5 2 3 2 4 4 2" xfId="12075"/>
    <cellStyle name="Komma 5 2 3 2 4 4 2 2" xfId="17837"/>
    <cellStyle name="Komma 5 2 3 2 4 4 3" xfId="17838"/>
    <cellStyle name="Komma 5 2 3 2 4 5" xfId="8454"/>
    <cellStyle name="Komma 5 2 3 2 4 5 2" xfId="17839"/>
    <cellStyle name="Komma 5 2 3 2 4 6" xfId="17840"/>
    <cellStyle name="Komma 5 2 3 2 5" xfId="2857"/>
    <cellStyle name="Komma 5 2 3 2 5 2" xfId="4891"/>
    <cellStyle name="Komma 5 2 3 2 5 2 2" xfId="12697"/>
    <cellStyle name="Komma 5 2 3 2 5 2 2 2" xfId="17841"/>
    <cellStyle name="Komma 5 2 3 2 5 2 3" xfId="17842"/>
    <cellStyle name="Komma 5 2 3 2 5 3" xfId="12696"/>
    <cellStyle name="Komma 5 2 3 2 5 3 2" xfId="17843"/>
    <cellStyle name="Komma 5 2 3 2 5 4" xfId="17844"/>
    <cellStyle name="Komma 5 2 3 2 6" xfId="3874"/>
    <cellStyle name="Komma 5 2 3 2 6 2" xfId="12698"/>
    <cellStyle name="Komma 5 2 3 2 6 2 2" xfId="17845"/>
    <cellStyle name="Komma 5 2 3 2 6 3" xfId="17846"/>
    <cellStyle name="Komma 5 2 3 2 7" xfId="6451"/>
    <cellStyle name="Komma 5 2 3 2 7 2" xfId="11960"/>
    <cellStyle name="Komma 5 2 3 2 7 2 2" xfId="17847"/>
    <cellStyle name="Komma 5 2 3 2 7 3" xfId="17848"/>
    <cellStyle name="Komma 5 2 3 2 8" xfId="8447"/>
    <cellStyle name="Komma 5 2 3 2 8 2" xfId="17849"/>
    <cellStyle name="Komma 5 2 3 2 9" xfId="17850"/>
    <cellStyle name="Komma 5 2 3 3" xfId="1851"/>
    <cellStyle name="Komma 5 2 3 3 2" xfId="1977"/>
    <cellStyle name="Komma 5 2 3 3 2 2" xfId="2229"/>
    <cellStyle name="Komma 5 2 3 3 2 2 2" xfId="2773"/>
    <cellStyle name="Komma 5 2 3 3 2 2 2 2" xfId="3790"/>
    <cellStyle name="Komma 5 2 3 3 2 2 2 2 2" xfId="5824"/>
    <cellStyle name="Komma 5 2 3 3 2 2 2 2 2 2" xfId="12700"/>
    <cellStyle name="Komma 5 2 3 3 2 2 2 2 2 2 2" xfId="17851"/>
    <cellStyle name="Komma 5 2 3 3 2 2 2 2 2 3" xfId="17852"/>
    <cellStyle name="Komma 5 2 3 3 2 2 2 2 3" xfId="12699"/>
    <cellStyle name="Komma 5 2 3 3 2 2 2 2 3 2" xfId="17853"/>
    <cellStyle name="Komma 5 2 3 3 2 2 2 2 4" xfId="17854"/>
    <cellStyle name="Komma 5 2 3 3 2 2 2 3" xfId="4807"/>
    <cellStyle name="Komma 5 2 3 3 2 2 2 3 2" xfId="12701"/>
    <cellStyle name="Komma 5 2 3 3 2 2 2 3 2 2" xfId="17855"/>
    <cellStyle name="Komma 5 2 3 3 2 2 2 3 3" xfId="17856"/>
    <cellStyle name="Komma 5 2 3 3 2 2 2 4" xfId="6452"/>
    <cellStyle name="Komma 5 2 3 3 2 2 2 4 2" xfId="12165"/>
    <cellStyle name="Komma 5 2 3 3 2 2 2 4 2 2" xfId="17857"/>
    <cellStyle name="Komma 5 2 3 3 2 2 2 4 3" xfId="17858"/>
    <cellStyle name="Komma 5 2 3 3 2 2 2 5" xfId="8458"/>
    <cellStyle name="Komma 5 2 3 3 2 2 2 5 2" xfId="17859"/>
    <cellStyle name="Komma 5 2 3 3 2 2 2 6" xfId="17860"/>
    <cellStyle name="Komma 5 2 3 3 2 2 3" xfId="3277"/>
    <cellStyle name="Komma 5 2 3 3 2 2 3 2" xfId="5311"/>
    <cellStyle name="Komma 5 2 3 3 2 2 3 2 2" xfId="12703"/>
    <cellStyle name="Komma 5 2 3 3 2 2 3 2 2 2" xfId="17861"/>
    <cellStyle name="Komma 5 2 3 3 2 2 3 2 3" xfId="17862"/>
    <cellStyle name="Komma 5 2 3 3 2 2 3 3" xfId="12702"/>
    <cellStyle name="Komma 5 2 3 3 2 2 3 3 2" xfId="17863"/>
    <cellStyle name="Komma 5 2 3 3 2 2 3 4" xfId="17864"/>
    <cellStyle name="Komma 5 2 3 3 2 2 4" xfId="4294"/>
    <cellStyle name="Komma 5 2 3 3 2 2 4 2" xfId="12704"/>
    <cellStyle name="Komma 5 2 3 3 2 2 4 2 2" xfId="17865"/>
    <cellStyle name="Komma 5 2 3 3 2 2 4 3" xfId="17866"/>
    <cellStyle name="Komma 5 2 3 3 2 2 5" xfId="6453"/>
    <cellStyle name="Komma 5 2 3 3 2 2 5 2" xfId="12050"/>
    <cellStyle name="Komma 5 2 3 3 2 2 5 2 2" xfId="17867"/>
    <cellStyle name="Komma 5 2 3 3 2 2 5 3" xfId="17868"/>
    <cellStyle name="Komma 5 2 3 3 2 2 6" xfId="8457"/>
    <cellStyle name="Komma 5 2 3 3 2 2 6 2" xfId="17869"/>
    <cellStyle name="Komma 5 2 3 3 2 2 7" xfId="17870"/>
    <cellStyle name="Komma 5 2 3 3 2 3" xfId="2521"/>
    <cellStyle name="Komma 5 2 3 3 2 3 2" xfId="3538"/>
    <cellStyle name="Komma 5 2 3 3 2 3 2 2" xfId="5572"/>
    <cellStyle name="Komma 5 2 3 3 2 3 2 2 2" xfId="12706"/>
    <cellStyle name="Komma 5 2 3 3 2 3 2 2 2 2" xfId="17871"/>
    <cellStyle name="Komma 5 2 3 3 2 3 2 2 3" xfId="17872"/>
    <cellStyle name="Komma 5 2 3 3 2 3 2 3" xfId="12705"/>
    <cellStyle name="Komma 5 2 3 3 2 3 2 3 2" xfId="17873"/>
    <cellStyle name="Komma 5 2 3 3 2 3 2 4" xfId="17874"/>
    <cellStyle name="Komma 5 2 3 3 2 3 3" xfId="4555"/>
    <cellStyle name="Komma 5 2 3 3 2 3 3 2" xfId="12707"/>
    <cellStyle name="Komma 5 2 3 3 2 3 3 2 2" xfId="17875"/>
    <cellStyle name="Komma 5 2 3 3 2 3 3 3" xfId="17876"/>
    <cellStyle name="Komma 5 2 3 3 2 3 4" xfId="6454"/>
    <cellStyle name="Komma 5 2 3 3 2 3 4 2" xfId="12111"/>
    <cellStyle name="Komma 5 2 3 3 2 3 4 2 2" xfId="17877"/>
    <cellStyle name="Komma 5 2 3 3 2 3 4 3" xfId="17878"/>
    <cellStyle name="Komma 5 2 3 3 2 3 5" xfId="8459"/>
    <cellStyle name="Komma 5 2 3 3 2 3 5 2" xfId="17879"/>
    <cellStyle name="Komma 5 2 3 3 2 3 6" xfId="17880"/>
    <cellStyle name="Komma 5 2 3 3 2 4" xfId="3025"/>
    <cellStyle name="Komma 5 2 3 3 2 4 2" xfId="5059"/>
    <cellStyle name="Komma 5 2 3 3 2 4 2 2" xfId="12709"/>
    <cellStyle name="Komma 5 2 3 3 2 4 2 2 2" xfId="17881"/>
    <cellStyle name="Komma 5 2 3 3 2 4 2 3" xfId="17882"/>
    <cellStyle name="Komma 5 2 3 3 2 4 3" xfId="12708"/>
    <cellStyle name="Komma 5 2 3 3 2 4 3 2" xfId="17883"/>
    <cellStyle name="Komma 5 2 3 3 2 4 4" xfId="17884"/>
    <cellStyle name="Komma 5 2 3 3 2 5" xfId="4042"/>
    <cellStyle name="Komma 5 2 3 3 2 5 2" xfId="12710"/>
    <cellStyle name="Komma 5 2 3 3 2 5 2 2" xfId="17885"/>
    <cellStyle name="Komma 5 2 3 3 2 5 3" xfId="17886"/>
    <cellStyle name="Komma 5 2 3 3 2 6" xfId="6455"/>
    <cellStyle name="Komma 5 2 3 3 2 6 2" xfId="11996"/>
    <cellStyle name="Komma 5 2 3 3 2 6 2 2" xfId="17887"/>
    <cellStyle name="Komma 5 2 3 3 2 6 3" xfId="17888"/>
    <cellStyle name="Komma 5 2 3 3 2 7" xfId="8456"/>
    <cellStyle name="Komma 5 2 3 3 2 7 2" xfId="17889"/>
    <cellStyle name="Komma 5 2 3 3 2 8" xfId="17890"/>
    <cellStyle name="Komma 5 2 3 3 3" xfId="2103"/>
    <cellStyle name="Komma 5 2 3 3 3 2" xfId="2647"/>
    <cellStyle name="Komma 5 2 3 3 3 2 2" xfId="3664"/>
    <cellStyle name="Komma 5 2 3 3 3 2 2 2" xfId="5698"/>
    <cellStyle name="Komma 5 2 3 3 3 2 2 2 2" xfId="12712"/>
    <cellStyle name="Komma 5 2 3 3 3 2 2 2 2 2" xfId="17891"/>
    <cellStyle name="Komma 5 2 3 3 3 2 2 2 3" xfId="17892"/>
    <cellStyle name="Komma 5 2 3 3 3 2 2 3" xfId="12711"/>
    <cellStyle name="Komma 5 2 3 3 3 2 2 3 2" xfId="17893"/>
    <cellStyle name="Komma 5 2 3 3 3 2 2 4" xfId="17894"/>
    <cellStyle name="Komma 5 2 3 3 3 2 3" xfId="4681"/>
    <cellStyle name="Komma 5 2 3 3 3 2 3 2" xfId="12713"/>
    <cellStyle name="Komma 5 2 3 3 3 2 3 2 2" xfId="17895"/>
    <cellStyle name="Komma 5 2 3 3 3 2 3 3" xfId="17896"/>
    <cellStyle name="Komma 5 2 3 3 3 2 4" xfId="6456"/>
    <cellStyle name="Komma 5 2 3 3 3 2 4 2" xfId="12138"/>
    <cellStyle name="Komma 5 2 3 3 3 2 4 2 2" xfId="17897"/>
    <cellStyle name="Komma 5 2 3 3 3 2 4 3" xfId="17898"/>
    <cellStyle name="Komma 5 2 3 3 3 2 5" xfId="8461"/>
    <cellStyle name="Komma 5 2 3 3 3 2 5 2" xfId="17899"/>
    <cellStyle name="Komma 5 2 3 3 3 2 6" xfId="17900"/>
    <cellStyle name="Komma 5 2 3 3 3 3" xfId="3151"/>
    <cellStyle name="Komma 5 2 3 3 3 3 2" xfId="5185"/>
    <cellStyle name="Komma 5 2 3 3 3 3 2 2" xfId="12715"/>
    <cellStyle name="Komma 5 2 3 3 3 3 2 2 2" xfId="17901"/>
    <cellStyle name="Komma 5 2 3 3 3 3 2 3" xfId="17902"/>
    <cellStyle name="Komma 5 2 3 3 3 3 3" xfId="12714"/>
    <cellStyle name="Komma 5 2 3 3 3 3 3 2" xfId="17903"/>
    <cellStyle name="Komma 5 2 3 3 3 3 4" xfId="17904"/>
    <cellStyle name="Komma 5 2 3 3 3 4" xfId="4168"/>
    <cellStyle name="Komma 5 2 3 3 3 4 2" xfId="12716"/>
    <cellStyle name="Komma 5 2 3 3 3 4 2 2" xfId="17905"/>
    <cellStyle name="Komma 5 2 3 3 3 4 3" xfId="17906"/>
    <cellStyle name="Komma 5 2 3 3 3 5" xfId="6457"/>
    <cellStyle name="Komma 5 2 3 3 3 5 2" xfId="12023"/>
    <cellStyle name="Komma 5 2 3 3 3 5 2 2" xfId="17907"/>
    <cellStyle name="Komma 5 2 3 3 3 5 3" xfId="17908"/>
    <cellStyle name="Komma 5 2 3 3 3 6" xfId="8460"/>
    <cellStyle name="Komma 5 2 3 3 3 6 2" xfId="17909"/>
    <cellStyle name="Komma 5 2 3 3 3 7" xfId="17910"/>
    <cellStyle name="Komma 5 2 3 3 4" xfId="2395"/>
    <cellStyle name="Komma 5 2 3 3 4 2" xfId="3412"/>
    <cellStyle name="Komma 5 2 3 3 4 2 2" xfId="5446"/>
    <cellStyle name="Komma 5 2 3 3 4 2 2 2" xfId="12718"/>
    <cellStyle name="Komma 5 2 3 3 4 2 2 2 2" xfId="17911"/>
    <cellStyle name="Komma 5 2 3 3 4 2 2 3" xfId="17912"/>
    <cellStyle name="Komma 5 2 3 3 4 2 3" xfId="12717"/>
    <cellStyle name="Komma 5 2 3 3 4 2 3 2" xfId="17913"/>
    <cellStyle name="Komma 5 2 3 3 4 2 4" xfId="17914"/>
    <cellStyle name="Komma 5 2 3 3 4 3" xfId="4429"/>
    <cellStyle name="Komma 5 2 3 3 4 3 2" xfId="12719"/>
    <cellStyle name="Komma 5 2 3 3 4 3 2 2" xfId="17915"/>
    <cellStyle name="Komma 5 2 3 3 4 3 3" xfId="17916"/>
    <cellStyle name="Komma 5 2 3 3 4 4" xfId="6458"/>
    <cellStyle name="Komma 5 2 3 3 4 4 2" xfId="12084"/>
    <cellStyle name="Komma 5 2 3 3 4 4 2 2" xfId="17917"/>
    <cellStyle name="Komma 5 2 3 3 4 4 3" xfId="17918"/>
    <cellStyle name="Komma 5 2 3 3 4 5" xfId="8462"/>
    <cellStyle name="Komma 5 2 3 3 4 5 2" xfId="17919"/>
    <cellStyle name="Komma 5 2 3 3 4 6" xfId="17920"/>
    <cellStyle name="Komma 5 2 3 3 5" xfId="2899"/>
    <cellStyle name="Komma 5 2 3 3 5 2" xfId="4933"/>
    <cellStyle name="Komma 5 2 3 3 5 2 2" xfId="12721"/>
    <cellStyle name="Komma 5 2 3 3 5 2 2 2" xfId="17921"/>
    <cellStyle name="Komma 5 2 3 3 5 2 3" xfId="17922"/>
    <cellStyle name="Komma 5 2 3 3 5 3" xfId="12720"/>
    <cellStyle name="Komma 5 2 3 3 5 3 2" xfId="17923"/>
    <cellStyle name="Komma 5 2 3 3 5 4" xfId="17924"/>
    <cellStyle name="Komma 5 2 3 3 6" xfId="3916"/>
    <cellStyle name="Komma 5 2 3 3 6 2" xfId="12722"/>
    <cellStyle name="Komma 5 2 3 3 6 2 2" xfId="17925"/>
    <cellStyle name="Komma 5 2 3 3 6 3" xfId="17926"/>
    <cellStyle name="Komma 5 2 3 3 7" xfId="6459"/>
    <cellStyle name="Komma 5 2 3 3 7 2" xfId="11969"/>
    <cellStyle name="Komma 5 2 3 3 7 2 2" xfId="17927"/>
    <cellStyle name="Komma 5 2 3 3 7 3" xfId="17928"/>
    <cellStyle name="Komma 5 2 3 3 8" xfId="8455"/>
    <cellStyle name="Komma 5 2 3 3 8 2" xfId="17929"/>
    <cellStyle name="Komma 5 2 3 3 9" xfId="17930"/>
    <cellStyle name="Komma 5 2 3 4" xfId="1893"/>
    <cellStyle name="Komma 5 2 3 4 2" xfId="2145"/>
    <cellStyle name="Komma 5 2 3 4 2 2" xfId="2689"/>
    <cellStyle name="Komma 5 2 3 4 2 2 2" xfId="3706"/>
    <cellStyle name="Komma 5 2 3 4 2 2 2 2" xfId="5740"/>
    <cellStyle name="Komma 5 2 3 4 2 2 2 2 2" xfId="12724"/>
    <cellStyle name="Komma 5 2 3 4 2 2 2 2 2 2" xfId="17931"/>
    <cellStyle name="Komma 5 2 3 4 2 2 2 2 3" xfId="17932"/>
    <cellStyle name="Komma 5 2 3 4 2 2 2 3" xfId="12723"/>
    <cellStyle name="Komma 5 2 3 4 2 2 2 3 2" xfId="17933"/>
    <cellStyle name="Komma 5 2 3 4 2 2 2 4" xfId="17934"/>
    <cellStyle name="Komma 5 2 3 4 2 2 3" xfId="4723"/>
    <cellStyle name="Komma 5 2 3 4 2 2 3 2" xfId="12725"/>
    <cellStyle name="Komma 5 2 3 4 2 2 3 2 2" xfId="17935"/>
    <cellStyle name="Komma 5 2 3 4 2 2 3 3" xfId="17936"/>
    <cellStyle name="Komma 5 2 3 4 2 2 4" xfId="6460"/>
    <cellStyle name="Komma 5 2 3 4 2 2 4 2" xfId="12147"/>
    <cellStyle name="Komma 5 2 3 4 2 2 4 2 2" xfId="17937"/>
    <cellStyle name="Komma 5 2 3 4 2 2 4 3" xfId="17938"/>
    <cellStyle name="Komma 5 2 3 4 2 2 5" xfId="8465"/>
    <cellStyle name="Komma 5 2 3 4 2 2 5 2" xfId="17939"/>
    <cellStyle name="Komma 5 2 3 4 2 2 6" xfId="17940"/>
    <cellStyle name="Komma 5 2 3 4 2 3" xfId="3193"/>
    <cellStyle name="Komma 5 2 3 4 2 3 2" xfId="5227"/>
    <cellStyle name="Komma 5 2 3 4 2 3 2 2" xfId="12727"/>
    <cellStyle name="Komma 5 2 3 4 2 3 2 2 2" xfId="17941"/>
    <cellStyle name="Komma 5 2 3 4 2 3 2 3" xfId="17942"/>
    <cellStyle name="Komma 5 2 3 4 2 3 3" xfId="12726"/>
    <cellStyle name="Komma 5 2 3 4 2 3 3 2" xfId="17943"/>
    <cellStyle name="Komma 5 2 3 4 2 3 4" xfId="17944"/>
    <cellStyle name="Komma 5 2 3 4 2 4" xfId="4210"/>
    <cellStyle name="Komma 5 2 3 4 2 4 2" xfId="12728"/>
    <cellStyle name="Komma 5 2 3 4 2 4 2 2" xfId="17945"/>
    <cellStyle name="Komma 5 2 3 4 2 4 3" xfId="17946"/>
    <cellStyle name="Komma 5 2 3 4 2 5" xfId="6461"/>
    <cellStyle name="Komma 5 2 3 4 2 5 2" xfId="12032"/>
    <cellStyle name="Komma 5 2 3 4 2 5 2 2" xfId="17947"/>
    <cellStyle name="Komma 5 2 3 4 2 5 3" xfId="17948"/>
    <cellStyle name="Komma 5 2 3 4 2 6" xfId="8464"/>
    <cellStyle name="Komma 5 2 3 4 2 6 2" xfId="17949"/>
    <cellStyle name="Komma 5 2 3 4 2 7" xfId="17950"/>
    <cellStyle name="Komma 5 2 3 4 3" xfId="2437"/>
    <cellStyle name="Komma 5 2 3 4 3 2" xfId="3454"/>
    <cellStyle name="Komma 5 2 3 4 3 2 2" xfId="5488"/>
    <cellStyle name="Komma 5 2 3 4 3 2 2 2" xfId="12730"/>
    <cellStyle name="Komma 5 2 3 4 3 2 2 2 2" xfId="17951"/>
    <cellStyle name="Komma 5 2 3 4 3 2 2 3" xfId="17952"/>
    <cellStyle name="Komma 5 2 3 4 3 2 3" xfId="12729"/>
    <cellStyle name="Komma 5 2 3 4 3 2 3 2" xfId="17953"/>
    <cellStyle name="Komma 5 2 3 4 3 2 4" xfId="17954"/>
    <cellStyle name="Komma 5 2 3 4 3 3" xfId="4471"/>
    <cellStyle name="Komma 5 2 3 4 3 3 2" xfId="12731"/>
    <cellStyle name="Komma 5 2 3 4 3 3 2 2" xfId="17955"/>
    <cellStyle name="Komma 5 2 3 4 3 3 3" xfId="17956"/>
    <cellStyle name="Komma 5 2 3 4 3 4" xfId="6462"/>
    <cellStyle name="Komma 5 2 3 4 3 4 2" xfId="12093"/>
    <cellStyle name="Komma 5 2 3 4 3 4 2 2" xfId="17957"/>
    <cellStyle name="Komma 5 2 3 4 3 4 3" xfId="17958"/>
    <cellStyle name="Komma 5 2 3 4 3 5" xfId="8466"/>
    <cellStyle name="Komma 5 2 3 4 3 5 2" xfId="17959"/>
    <cellStyle name="Komma 5 2 3 4 3 6" xfId="17960"/>
    <cellStyle name="Komma 5 2 3 4 4" xfId="2941"/>
    <cellStyle name="Komma 5 2 3 4 4 2" xfId="4975"/>
    <cellStyle name="Komma 5 2 3 4 4 2 2" xfId="12733"/>
    <cellStyle name="Komma 5 2 3 4 4 2 2 2" xfId="17961"/>
    <cellStyle name="Komma 5 2 3 4 4 2 3" xfId="17962"/>
    <cellStyle name="Komma 5 2 3 4 4 3" xfId="12732"/>
    <cellStyle name="Komma 5 2 3 4 4 3 2" xfId="17963"/>
    <cellStyle name="Komma 5 2 3 4 4 4" xfId="17964"/>
    <cellStyle name="Komma 5 2 3 4 5" xfId="3958"/>
    <cellStyle name="Komma 5 2 3 4 5 2" xfId="12734"/>
    <cellStyle name="Komma 5 2 3 4 5 2 2" xfId="17965"/>
    <cellStyle name="Komma 5 2 3 4 5 3" xfId="17966"/>
    <cellStyle name="Komma 5 2 3 4 6" xfId="6463"/>
    <cellStyle name="Komma 5 2 3 4 6 2" xfId="11978"/>
    <cellStyle name="Komma 5 2 3 4 6 2 2" xfId="17967"/>
    <cellStyle name="Komma 5 2 3 4 6 3" xfId="17968"/>
    <cellStyle name="Komma 5 2 3 4 7" xfId="8463"/>
    <cellStyle name="Komma 5 2 3 4 7 2" xfId="17969"/>
    <cellStyle name="Komma 5 2 3 4 8" xfId="17970"/>
    <cellStyle name="Komma 5 2 3 5" xfId="2019"/>
    <cellStyle name="Komma 5 2 3 5 2" xfId="2563"/>
    <cellStyle name="Komma 5 2 3 5 2 2" xfId="3580"/>
    <cellStyle name="Komma 5 2 3 5 2 2 2" xfId="5614"/>
    <cellStyle name="Komma 5 2 3 5 2 2 2 2" xfId="12736"/>
    <cellStyle name="Komma 5 2 3 5 2 2 2 2 2" xfId="17971"/>
    <cellStyle name="Komma 5 2 3 5 2 2 2 3" xfId="17972"/>
    <cellStyle name="Komma 5 2 3 5 2 2 3" xfId="12735"/>
    <cellStyle name="Komma 5 2 3 5 2 2 3 2" xfId="17973"/>
    <cellStyle name="Komma 5 2 3 5 2 2 4" xfId="17974"/>
    <cellStyle name="Komma 5 2 3 5 2 3" xfId="4597"/>
    <cellStyle name="Komma 5 2 3 5 2 3 2" xfId="12737"/>
    <cellStyle name="Komma 5 2 3 5 2 3 2 2" xfId="17975"/>
    <cellStyle name="Komma 5 2 3 5 2 3 3" xfId="17976"/>
    <cellStyle name="Komma 5 2 3 5 2 4" xfId="6464"/>
    <cellStyle name="Komma 5 2 3 5 2 4 2" xfId="12120"/>
    <cellStyle name="Komma 5 2 3 5 2 4 2 2" xfId="17977"/>
    <cellStyle name="Komma 5 2 3 5 2 4 3" xfId="17978"/>
    <cellStyle name="Komma 5 2 3 5 2 5" xfId="8468"/>
    <cellStyle name="Komma 5 2 3 5 2 5 2" xfId="17979"/>
    <cellStyle name="Komma 5 2 3 5 2 6" xfId="17980"/>
    <cellStyle name="Komma 5 2 3 5 3" xfId="3067"/>
    <cellStyle name="Komma 5 2 3 5 3 2" xfId="5101"/>
    <cellStyle name="Komma 5 2 3 5 3 2 2" xfId="12739"/>
    <cellStyle name="Komma 5 2 3 5 3 2 2 2" xfId="17981"/>
    <cellStyle name="Komma 5 2 3 5 3 2 3" xfId="17982"/>
    <cellStyle name="Komma 5 2 3 5 3 3" xfId="12738"/>
    <cellStyle name="Komma 5 2 3 5 3 3 2" xfId="17983"/>
    <cellStyle name="Komma 5 2 3 5 3 4" xfId="17984"/>
    <cellStyle name="Komma 5 2 3 5 4" xfId="4084"/>
    <cellStyle name="Komma 5 2 3 5 4 2" xfId="12740"/>
    <cellStyle name="Komma 5 2 3 5 4 2 2" xfId="17985"/>
    <cellStyle name="Komma 5 2 3 5 4 3" xfId="17986"/>
    <cellStyle name="Komma 5 2 3 5 5" xfId="6465"/>
    <cellStyle name="Komma 5 2 3 5 5 2" xfId="12005"/>
    <cellStyle name="Komma 5 2 3 5 5 2 2" xfId="17987"/>
    <cellStyle name="Komma 5 2 3 5 5 3" xfId="17988"/>
    <cellStyle name="Komma 5 2 3 5 6" xfId="8467"/>
    <cellStyle name="Komma 5 2 3 5 6 2" xfId="17989"/>
    <cellStyle name="Komma 5 2 3 5 7" xfId="17990"/>
    <cellStyle name="Komma 5 2 3 6" xfId="2311"/>
    <cellStyle name="Komma 5 2 3 6 2" xfId="3328"/>
    <cellStyle name="Komma 5 2 3 6 2 2" xfId="5362"/>
    <cellStyle name="Komma 5 2 3 6 2 2 2" xfId="12742"/>
    <cellStyle name="Komma 5 2 3 6 2 2 2 2" xfId="17991"/>
    <cellStyle name="Komma 5 2 3 6 2 2 3" xfId="17992"/>
    <cellStyle name="Komma 5 2 3 6 2 3" xfId="12741"/>
    <cellStyle name="Komma 5 2 3 6 2 3 2" xfId="17993"/>
    <cellStyle name="Komma 5 2 3 6 2 4" xfId="17994"/>
    <cellStyle name="Komma 5 2 3 6 3" xfId="4345"/>
    <cellStyle name="Komma 5 2 3 6 3 2" xfId="12743"/>
    <cellStyle name="Komma 5 2 3 6 3 2 2" xfId="17995"/>
    <cellStyle name="Komma 5 2 3 6 3 3" xfId="17996"/>
    <cellStyle name="Komma 5 2 3 6 4" xfId="6466"/>
    <cellStyle name="Komma 5 2 3 6 4 2" xfId="12066"/>
    <cellStyle name="Komma 5 2 3 6 4 2 2" xfId="17997"/>
    <cellStyle name="Komma 5 2 3 6 4 3" xfId="17998"/>
    <cellStyle name="Komma 5 2 3 6 5" xfId="8469"/>
    <cellStyle name="Komma 5 2 3 6 5 2" xfId="17999"/>
    <cellStyle name="Komma 5 2 3 6 6" xfId="18000"/>
    <cellStyle name="Komma 5 2 3 7" xfId="2815"/>
    <cellStyle name="Komma 5 2 3 7 2" xfId="4849"/>
    <cellStyle name="Komma 5 2 3 7 2 2" xfId="12745"/>
    <cellStyle name="Komma 5 2 3 7 2 2 2" xfId="18001"/>
    <cellStyle name="Komma 5 2 3 7 2 3" xfId="18002"/>
    <cellStyle name="Komma 5 2 3 7 3" xfId="12744"/>
    <cellStyle name="Komma 5 2 3 7 3 2" xfId="18003"/>
    <cellStyle name="Komma 5 2 3 7 4" xfId="18004"/>
    <cellStyle name="Komma 5 2 3 8" xfId="3832"/>
    <cellStyle name="Komma 5 2 3 8 2" xfId="12746"/>
    <cellStyle name="Komma 5 2 3 8 2 2" xfId="18005"/>
    <cellStyle name="Komma 5 2 3 8 3" xfId="18006"/>
    <cellStyle name="Komma 5 2 3 9" xfId="6467"/>
    <cellStyle name="Komma 5 2 3 9 2" xfId="11951"/>
    <cellStyle name="Komma 5 2 3 9 2 2" xfId="18007"/>
    <cellStyle name="Komma 5 2 3 9 3" xfId="18008"/>
    <cellStyle name="Komma 5 2 4" xfId="1781"/>
    <cellStyle name="Komma 5 2 4 2" xfId="1907"/>
    <cellStyle name="Komma 5 2 4 2 2" xfId="2159"/>
    <cellStyle name="Komma 5 2 4 2 2 2" xfId="2703"/>
    <cellStyle name="Komma 5 2 4 2 2 2 2" xfId="3720"/>
    <cellStyle name="Komma 5 2 4 2 2 2 2 2" xfId="5754"/>
    <cellStyle name="Komma 5 2 4 2 2 2 2 2 2" xfId="12748"/>
    <cellStyle name="Komma 5 2 4 2 2 2 2 2 2 2" xfId="18009"/>
    <cellStyle name="Komma 5 2 4 2 2 2 2 2 3" xfId="18010"/>
    <cellStyle name="Komma 5 2 4 2 2 2 2 3" xfId="12747"/>
    <cellStyle name="Komma 5 2 4 2 2 2 2 3 2" xfId="18011"/>
    <cellStyle name="Komma 5 2 4 2 2 2 2 4" xfId="18012"/>
    <cellStyle name="Komma 5 2 4 2 2 2 3" xfId="4737"/>
    <cellStyle name="Komma 5 2 4 2 2 2 3 2" xfId="12749"/>
    <cellStyle name="Komma 5 2 4 2 2 2 3 2 2" xfId="18013"/>
    <cellStyle name="Komma 5 2 4 2 2 2 3 3" xfId="18014"/>
    <cellStyle name="Komma 5 2 4 2 2 2 4" xfId="6468"/>
    <cellStyle name="Komma 5 2 4 2 2 2 4 2" xfId="12150"/>
    <cellStyle name="Komma 5 2 4 2 2 2 4 2 2" xfId="18015"/>
    <cellStyle name="Komma 5 2 4 2 2 2 4 3" xfId="18016"/>
    <cellStyle name="Komma 5 2 4 2 2 2 5" xfId="8473"/>
    <cellStyle name="Komma 5 2 4 2 2 2 5 2" xfId="18017"/>
    <cellStyle name="Komma 5 2 4 2 2 2 6" xfId="18018"/>
    <cellStyle name="Komma 5 2 4 2 2 3" xfId="3207"/>
    <cellStyle name="Komma 5 2 4 2 2 3 2" xfId="5241"/>
    <cellStyle name="Komma 5 2 4 2 2 3 2 2" xfId="12751"/>
    <cellStyle name="Komma 5 2 4 2 2 3 2 2 2" xfId="18019"/>
    <cellStyle name="Komma 5 2 4 2 2 3 2 3" xfId="18020"/>
    <cellStyle name="Komma 5 2 4 2 2 3 3" xfId="12750"/>
    <cellStyle name="Komma 5 2 4 2 2 3 3 2" xfId="18021"/>
    <cellStyle name="Komma 5 2 4 2 2 3 4" xfId="18022"/>
    <cellStyle name="Komma 5 2 4 2 2 4" xfId="4224"/>
    <cellStyle name="Komma 5 2 4 2 2 4 2" xfId="12752"/>
    <cellStyle name="Komma 5 2 4 2 2 4 2 2" xfId="18023"/>
    <cellStyle name="Komma 5 2 4 2 2 4 3" xfId="18024"/>
    <cellStyle name="Komma 5 2 4 2 2 5" xfId="6469"/>
    <cellStyle name="Komma 5 2 4 2 2 5 2" xfId="12035"/>
    <cellStyle name="Komma 5 2 4 2 2 5 2 2" xfId="18025"/>
    <cellStyle name="Komma 5 2 4 2 2 5 3" xfId="18026"/>
    <cellStyle name="Komma 5 2 4 2 2 6" xfId="8472"/>
    <cellStyle name="Komma 5 2 4 2 2 6 2" xfId="18027"/>
    <cellStyle name="Komma 5 2 4 2 2 7" xfId="18028"/>
    <cellStyle name="Komma 5 2 4 2 3" xfId="2451"/>
    <cellStyle name="Komma 5 2 4 2 3 2" xfId="3468"/>
    <cellStyle name="Komma 5 2 4 2 3 2 2" xfId="5502"/>
    <cellStyle name="Komma 5 2 4 2 3 2 2 2" xfId="12754"/>
    <cellStyle name="Komma 5 2 4 2 3 2 2 2 2" xfId="18029"/>
    <cellStyle name="Komma 5 2 4 2 3 2 2 3" xfId="18030"/>
    <cellStyle name="Komma 5 2 4 2 3 2 3" xfId="12753"/>
    <cellStyle name="Komma 5 2 4 2 3 2 3 2" xfId="18031"/>
    <cellStyle name="Komma 5 2 4 2 3 2 4" xfId="18032"/>
    <cellStyle name="Komma 5 2 4 2 3 3" xfId="4485"/>
    <cellStyle name="Komma 5 2 4 2 3 3 2" xfId="12755"/>
    <cellStyle name="Komma 5 2 4 2 3 3 2 2" xfId="18033"/>
    <cellStyle name="Komma 5 2 4 2 3 3 3" xfId="18034"/>
    <cellStyle name="Komma 5 2 4 2 3 4" xfId="6470"/>
    <cellStyle name="Komma 5 2 4 2 3 4 2" xfId="12096"/>
    <cellStyle name="Komma 5 2 4 2 3 4 2 2" xfId="18035"/>
    <cellStyle name="Komma 5 2 4 2 3 4 3" xfId="18036"/>
    <cellStyle name="Komma 5 2 4 2 3 5" xfId="8474"/>
    <cellStyle name="Komma 5 2 4 2 3 5 2" xfId="18037"/>
    <cellStyle name="Komma 5 2 4 2 3 6" xfId="18038"/>
    <cellStyle name="Komma 5 2 4 2 4" xfId="2955"/>
    <cellStyle name="Komma 5 2 4 2 4 2" xfId="4989"/>
    <cellStyle name="Komma 5 2 4 2 4 2 2" xfId="12757"/>
    <cellStyle name="Komma 5 2 4 2 4 2 2 2" xfId="18039"/>
    <cellStyle name="Komma 5 2 4 2 4 2 3" xfId="18040"/>
    <cellStyle name="Komma 5 2 4 2 4 3" xfId="12756"/>
    <cellStyle name="Komma 5 2 4 2 4 3 2" xfId="18041"/>
    <cellStyle name="Komma 5 2 4 2 4 4" xfId="18042"/>
    <cellStyle name="Komma 5 2 4 2 5" xfId="3972"/>
    <cellStyle name="Komma 5 2 4 2 5 2" xfId="12758"/>
    <cellStyle name="Komma 5 2 4 2 5 2 2" xfId="18043"/>
    <cellStyle name="Komma 5 2 4 2 5 3" xfId="18044"/>
    <cellStyle name="Komma 5 2 4 2 6" xfId="6471"/>
    <cellStyle name="Komma 5 2 4 2 6 2" xfId="11981"/>
    <cellStyle name="Komma 5 2 4 2 6 2 2" xfId="18045"/>
    <cellStyle name="Komma 5 2 4 2 6 3" xfId="18046"/>
    <cellStyle name="Komma 5 2 4 2 7" xfId="8471"/>
    <cellStyle name="Komma 5 2 4 2 7 2" xfId="18047"/>
    <cellStyle name="Komma 5 2 4 2 8" xfId="18048"/>
    <cellStyle name="Komma 5 2 4 3" xfId="2033"/>
    <cellStyle name="Komma 5 2 4 3 2" xfId="2577"/>
    <cellStyle name="Komma 5 2 4 3 2 2" xfId="3594"/>
    <cellStyle name="Komma 5 2 4 3 2 2 2" xfId="5628"/>
    <cellStyle name="Komma 5 2 4 3 2 2 2 2" xfId="12760"/>
    <cellStyle name="Komma 5 2 4 3 2 2 2 2 2" xfId="18049"/>
    <cellStyle name="Komma 5 2 4 3 2 2 2 3" xfId="18050"/>
    <cellStyle name="Komma 5 2 4 3 2 2 3" xfId="12759"/>
    <cellStyle name="Komma 5 2 4 3 2 2 3 2" xfId="18051"/>
    <cellStyle name="Komma 5 2 4 3 2 2 4" xfId="18052"/>
    <cellStyle name="Komma 5 2 4 3 2 3" xfId="4611"/>
    <cellStyle name="Komma 5 2 4 3 2 3 2" xfId="12761"/>
    <cellStyle name="Komma 5 2 4 3 2 3 2 2" xfId="18053"/>
    <cellStyle name="Komma 5 2 4 3 2 3 3" xfId="18054"/>
    <cellStyle name="Komma 5 2 4 3 2 4" xfId="6472"/>
    <cellStyle name="Komma 5 2 4 3 2 4 2" xfId="12123"/>
    <cellStyle name="Komma 5 2 4 3 2 4 2 2" xfId="18055"/>
    <cellStyle name="Komma 5 2 4 3 2 4 3" xfId="18056"/>
    <cellStyle name="Komma 5 2 4 3 2 5" xfId="8476"/>
    <cellStyle name="Komma 5 2 4 3 2 5 2" xfId="18057"/>
    <cellStyle name="Komma 5 2 4 3 2 6" xfId="18058"/>
    <cellStyle name="Komma 5 2 4 3 3" xfId="3081"/>
    <cellStyle name="Komma 5 2 4 3 3 2" xfId="5115"/>
    <cellStyle name="Komma 5 2 4 3 3 2 2" xfId="12763"/>
    <cellStyle name="Komma 5 2 4 3 3 2 2 2" xfId="18059"/>
    <cellStyle name="Komma 5 2 4 3 3 2 3" xfId="18060"/>
    <cellStyle name="Komma 5 2 4 3 3 3" xfId="12762"/>
    <cellStyle name="Komma 5 2 4 3 3 3 2" xfId="18061"/>
    <cellStyle name="Komma 5 2 4 3 3 4" xfId="18062"/>
    <cellStyle name="Komma 5 2 4 3 4" xfId="4098"/>
    <cellStyle name="Komma 5 2 4 3 4 2" xfId="12764"/>
    <cellStyle name="Komma 5 2 4 3 4 2 2" xfId="18063"/>
    <cellStyle name="Komma 5 2 4 3 4 3" xfId="18064"/>
    <cellStyle name="Komma 5 2 4 3 5" xfId="6473"/>
    <cellStyle name="Komma 5 2 4 3 5 2" xfId="12008"/>
    <cellStyle name="Komma 5 2 4 3 5 2 2" xfId="18065"/>
    <cellStyle name="Komma 5 2 4 3 5 3" xfId="18066"/>
    <cellStyle name="Komma 5 2 4 3 6" xfId="8475"/>
    <cellStyle name="Komma 5 2 4 3 6 2" xfId="18067"/>
    <cellStyle name="Komma 5 2 4 3 7" xfId="18068"/>
    <cellStyle name="Komma 5 2 4 4" xfId="2325"/>
    <cellStyle name="Komma 5 2 4 4 2" xfId="3342"/>
    <cellStyle name="Komma 5 2 4 4 2 2" xfId="5376"/>
    <cellStyle name="Komma 5 2 4 4 2 2 2" xfId="12766"/>
    <cellStyle name="Komma 5 2 4 4 2 2 2 2" xfId="18069"/>
    <cellStyle name="Komma 5 2 4 4 2 2 3" xfId="18070"/>
    <cellStyle name="Komma 5 2 4 4 2 3" xfId="12765"/>
    <cellStyle name="Komma 5 2 4 4 2 3 2" xfId="18071"/>
    <cellStyle name="Komma 5 2 4 4 2 4" xfId="18072"/>
    <cellStyle name="Komma 5 2 4 4 3" xfId="4359"/>
    <cellStyle name="Komma 5 2 4 4 3 2" xfId="12767"/>
    <cellStyle name="Komma 5 2 4 4 3 2 2" xfId="18073"/>
    <cellStyle name="Komma 5 2 4 4 3 3" xfId="18074"/>
    <cellStyle name="Komma 5 2 4 4 4" xfId="6474"/>
    <cellStyle name="Komma 5 2 4 4 4 2" xfId="12069"/>
    <cellStyle name="Komma 5 2 4 4 4 2 2" xfId="18075"/>
    <cellStyle name="Komma 5 2 4 4 4 3" xfId="18076"/>
    <cellStyle name="Komma 5 2 4 4 5" xfId="8477"/>
    <cellStyle name="Komma 5 2 4 4 5 2" xfId="18077"/>
    <cellStyle name="Komma 5 2 4 4 6" xfId="18078"/>
    <cellStyle name="Komma 5 2 4 5" xfId="2829"/>
    <cellStyle name="Komma 5 2 4 5 2" xfId="4863"/>
    <cellStyle name="Komma 5 2 4 5 2 2" xfId="12769"/>
    <cellStyle name="Komma 5 2 4 5 2 2 2" xfId="18079"/>
    <cellStyle name="Komma 5 2 4 5 2 3" xfId="18080"/>
    <cellStyle name="Komma 5 2 4 5 3" xfId="12768"/>
    <cellStyle name="Komma 5 2 4 5 3 2" xfId="18081"/>
    <cellStyle name="Komma 5 2 4 5 4" xfId="18082"/>
    <cellStyle name="Komma 5 2 4 6" xfId="3846"/>
    <cellStyle name="Komma 5 2 4 6 2" xfId="12770"/>
    <cellStyle name="Komma 5 2 4 6 2 2" xfId="18083"/>
    <cellStyle name="Komma 5 2 4 6 3" xfId="18084"/>
    <cellStyle name="Komma 5 2 4 7" xfId="6475"/>
    <cellStyle name="Komma 5 2 4 7 2" xfId="11954"/>
    <cellStyle name="Komma 5 2 4 7 2 2" xfId="18085"/>
    <cellStyle name="Komma 5 2 4 7 3" xfId="18086"/>
    <cellStyle name="Komma 5 2 4 8" xfId="8470"/>
    <cellStyle name="Komma 5 2 4 8 2" xfId="18087"/>
    <cellStyle name="Komma 5 2 4 9" xfId="18088"/>
    <cellStyle name="Komma 5 2 5" xfId="1823"/>
    <cellStyle name="Komma 5 2 5 2" xfId="1949"/>
    <cellStyle name="Komma 5 2 5 2 2" xfId="2201"/>
    <cellStyle name="Komma 5 2 5 2 2 2" xfId="2745"/>
    <cellStyle name="Komma 5 2 5 2 2 2 2" xfId="3762"/>
    <cellStyle name="Komma 5 2 5 2 2 2 2 2" xfId="5796"/>
    <cellStyle name="Komma 5 2 5 2 2 2 2 2 2" xfId="12772"/>
    <cellStyle name="Komma 5 2 5 2 2 2 2 2 2 2" xfId="18089"/>
    <cellStyle name="Komma 5 2 5 2 2 2 2 2 3" xfId="18090"/>
    <cellStyle name="Komma 5 2 5 2 2 2 2 3" xfId="12771"/>
    <cellStyle name="Komma 5 2 5 2 2 2 2 3 2" xfId="18091"/>
    <cellStyle name="Komma 5 2 5 2 2 2 2 4" xfId="18092"/>
    <cellStyle name="Komma 5 2 5 2 2 2 3" xfId="4779"/>
    <cellStyle name="Komma 5 2 5 2 2 2 3 2" xfId="12773"/>
    <cellStyle name="Komma 5 2 5 2 2 2 3 2 2" xfId="18093"/>
    <cellStyle name="Komma 5 2 5 2 2 2 3 3" xfId="18094"/>
    <cellStyle name="Komma 5 2 5 2 2 2 4" xfId="6476"/>
    <cellStyle name="Komma 5 2 5 2 2 2 4 2" xfId="12159"/>
    <cellStyle name="Komma 5 2 5 2 2 2 4 2 2" xfId="18095"/>
    <cellStyle name="Komma 5 2 5 2 2 2 4 3" xfId="18096"/>
    <cellStyle name="Komma 5 2 5 2 2 2 5" xfId="8481"/>
    <cellStyle name="Komma 5 2 5 2 2 2 5 2" xfId="18097"/>
    <cellStyle name="Komma 5 2 5 2 2 2 6" xfId="18098"/>
    <cellStyle name="Komma 5 2 5 2 2 3" xfId="3249"/>
    <cellStyle name="Komma 5 2 5 2 2 3 2" xfId="5283"/>
    <cellStyle name="Komma 5 2 5 2 2 3 2 2" xfId="12775"/>
    <cellStyle name="Komma 5 2 5 2 2 3 2 2 2" xfId="18099"/>
    <cellStyle name="Komma 5 2 5 2 2 3 2 3" xfId="18100"/>
    <cellStyle name="Komma 5 2 5 2 2 3 3" xfId="12774"/>
    <cellStyle name="Komma 5 2 5 2 2 3 3 2" xfId="18101"/>
    <cellStyle name="Komma 5 2 5 2 2 3 4" xfId="18102"/>
    <cellStyle name="Komma 5 2 5 2 2 4" xfId="4266"/>
    <cellStyle name="Komma 5 2 5 2 2 4 2" xfId="12776"/>
    <cellStyle name="Komma 5 2 5 2 2 4 2 2" xfId="18103"/>
    <cellStyle name="Komma 5 2 5 2 2 4 3" xfId="18104"/>
    <cellStyle name="Komma 5 2 5 2 2 5" xfId="6477"/>
    <cellStyle name="Komma 5 2 5 2 2 5 2" xfId="12044"/>
    <cellStyle name="Komma 5 2 5 2 2 5 2 2" xfId="18105"/>
    <cellStyle name="Komma 5 2 5 2 2 5 3" xfId="18106"/>
    <cellStyle name="Komma 5 2 5 2 2 6" xfId="8480"/>
    <cellStyle name="Komma 5 2 5 2 2 6 2" xfId="18107"/>
    <cellStyle name="Komma 5 2 5 2 2 7" xfId="18108"/>
    <cellStyle name="Komma 5 2 5 2 3" xfId="2493"/>
    <cellStyle name="Komma 5 2 5 2 3 2" xfId="3510"/>
    <cellStyle name="Komma 5 2 5 2 3 2 2" xfId="5544"/>
    <cellStyle name="Komma 5 2 5 2 3 2 2 2" xfId="12778"/>
    <cellStyle name="Komma 5 2 5 2 3 2 2 2 2" xfId="18109"/>
    <cellStyle name="Komma 5 2 5 2 3 2 2 3" xfId="18110"/>
    <cellStyle name="Komma 5 2 5 2 3 2 3" xfId="12777"/>
    <cellStyle name="Komma 5 2 5 2 3 2 3 2" xfId="18111"/>
    <cellStyle name="Komma 5 2 5 2 3 2 4" xfId="18112"/>
    <cellStyle name="Komma 5 2 5 2 3 3" xfId="4527"/>
    <cellStyle name="Komma 5 2 5 2 3 3 2" xfId="12779"/>
    <cellStyle name="Komma 5 2 5 2 3 3 2 2" xfId="18113"/>
    <cellStyle name="Komma 5 2 5 2 3 3 3" xfId="18114"/>
    <cellStyle name="Komma 5 2 5 2 3 4" xfId="6478"/>
    <cellStyle name="Komma 5 2 5 2 3 4 2" xfId="12105"/>
    <cellStyle name="Komma 5 2 5 2 3 4 2 2" xfId="18115"/>
    <cellStyle name="Komma 5 2 5 2 3 4 3" xfId="18116"/>
    <cellStyle name="Komma 5 2 5 2 3 5" xfId="8482"/>
    <cellStyle name="Komma 5 2 5 2 3 5 2" xfId="18117"/>
    <cellStyle name="Komma 5 2 5 2 3 6" xfId="18118"/>
    <cellStyle name="Komma 5 2 5 2 4" xfId="2997"/>
    <cellStyle name="Komma 5 2 5 2 4 2" xfId="5031"/>
    <cellStyle name="Komma 5 2 5 2 4 2 2" xfId="12781"/>
    <cellStyle name="Komma 5 2 5 2 4 2 2 2" xfId="18119"/>
    <cellStyle name="Komma 5 2 5 2 4 2 3" xfId="18120"/>
    <cellStyle name="Komma 5 2 5 2 4 3" xfId="12780"/>
    <cellStyle name="Komma 5 2 5 2 4 3 2" xfId="18121"/>
    <cellStyle name="Komma 5 2 5 2 4 4" xfId="18122"/>
    <cellStyle name="Komma 5 2 5 2 5" xfId="4014"/>
    <cellStyle name="Komma 5 2 5 2 5 2" xfId="12782"/>
    <cellStyle name="Komma 5 2 5 2 5 2 2" xfId="18123"/>
    <cellStyle name="Komma 5 2 5 2 5 3" xfId="18124"/>
    <cellStyle name="Komma 5 2 5 2 6" xfId="6479"/>
    <cellStyle name="Komma 5 2 5 2 6 2" xfId="11990"/>
    <cellStyle name="Komma 5 2 5 2 6 2 2" xfId="18125"/>
    <cellStyle name="Komma 5 2 5 2 6 3" xfId="18126"/>
    <cellStyle name="Komma 5 2 5 2 7" xfId="8479"/>
    <cellStyle name="Komma 5 2 5 2 7 2" xfId="18127"/>
    <cellStyle name="Komma 5 2 5 2 8" xfId="18128"/>
    <cellStyle name="Komma 5 2 5 3" xfId="2075"/>
    <cellStyle name="Komma 5 2 5 3 2" xfId="2619"/>
    <cellStyle name="Komma 5 2 5 3 2 2" xfId="3636"/>
    <cellStyle name="Komma 5 2 5 3 2 2 2" xfId="5670"/>
    <cellStyle name="Komma 5 2 5 3 2 2 2 2" xfId="12784"/>
    <cellStyle name="Komma 5 2 5 3 2 2 2 2 2" xfId="18129"/>
    <cellStyle name="Komma 5 2 5 3 2 2 2 3" xfId="18130"/>
    <cellStyle name="Komma 5 2 5 3 2 2 3" xfId="12783"/>
    <cellStyle name="Komma 5 2 5 3 2 2 3 2" xfId="18131"/>
    <cellStyle name="Komma 5 2 5 3 2 2 4" xfId="18132"/>
    <cellStyle name="Komma 5 2 5 3 2 3" xfId="4653"/>
    <cellStyle name="Komma 5 2 5 3 2 3 2" xfId="12785"/>
    <cellStyle name="Komma 5 2 5 3 2 3 2 2" xfId="18133"/>
    <cellStyle name="Komma 5 2 5 3 2 3 3" xfId="18134"/>
    <cellStyle name="Komma 5 2 5 3 2 4" xfId="6480"/>
    <cellStyle name="Komma 5 2 5 3 2 4 2" xfId="12132"/>
    <cellStyle name="Komma 5 2 5 3 2 4 2 2" xfId="18135"/>
    <cellStyle name="Komma 5 2 5 3 2 4 3" xfId="18136"/>
    <cellStyle name="Komma 5 2 5 3 2 5" xfId="8484"/>
    <cellStyle name="Komma 5 2 5 3 2 5 2" xfId="18137"/>
    <cellStyle name="Komma 5 2 5 3 2 6" xfId="18138"/>
    <cellStyle name="Komma 5 2 5 3 3" xfId="3123"/>
    <cellStyle name="Komma 5 2 5 3 3 2" xfId="5157"/>
    <cellStyle name="Komma 5 2 5 3 3 2 2" xfId="12787"/>
    <cellStyle name="Komma 5 2 5 3 3 2 2 2" xfId="18139"/>
    <cellStyle name="Komma 5 2 5 3 3 2 3" xfId="18140"/>
    <cellStyle name="Komma 5 2 5 3 3 3" xfId="12786"/>
    <cellStyle name="Komma 5 2 5 3 3 3 2" xfId="18141"/>
    <cellStyle name="Komma 5 2 5 3 3 4" xfId="18142"/>
    <cellStyle name="Komma 5 2 5 3 4" xfId="4140"/>
    <cellStyle name="Komma 5 2 5 3 4 2" xfId="12788"/>
    <cellStyle name="Komma 5 2 5 3 4 2 2" xfId="18143"/>
    <cellStyle name="Komma 5 2 5 3 4 3" xfId="18144"/>
    <cellStyle name="Komma 5 2 5 3 5" xfId="6481"/>
    <cellStyle name="Komma 5 2 5 3 5 2" xfId="12017"/>
    <cellStyle name="Komma 5 2 5 3 5 2 2" xfId="18145"/>
    <cellStyle name="Komma 5 2 5 3 5 3" xfId="18146"/>
    <cellStyle name="Komma 5 2 5 3 6" xfId="8483"/>
    <cellStyle name="Komma 5 2 5 3 6 2" xfId="18147"/>
    <cellStyle name="Komma 5 2 5 3 7" xfId="18148"/>
    <cellStyle name="Komma 5 2 5 4" xfId="2367"/>
    <cellStyle name="Komma 5 2 5 4 2" xfId="3384"/>
    <cellStyle name="Komma 5 2 5 4 2 2" xfId="5418"/>
    <cellStyle name="Komma 5 2 5 4 2 2 2" xfId="12790"/>
    <cellStyle name="Komma 5 2 5 4 2 2 2 2" xfId="18149"/>
    <cellStyle name="Komma 5 2 5 4 2 2 3" xfId="18150"/>
    <cellStyle name="Komma 5 2 5 4 2 3" xfId="12789"/>
    <cellStyle name="Komma 5 2 5 4 2 3 2" xfId="18151"/>
    <cellStyle name="Komma 5 2 5 4 2 4" xfId="18152"/>
    <cellStyle name="Komma 5 2 5 4 3" xfId="4401"/>
    <cellStyle name="Komma 5 2 5 4 3 2" xfId="12791"/>
    <cellStyle name="Komma 5 2 5 4 3 2 2" xfId="18153"/>
    <cellStyle name="Komma 5 2 5 4 3 3" xfId="18154"/>
    <cellStyle name="Komma 5 2 5 4 4" xfId="6482"/>
    <cellStyle name="Komma 5 2 5 4 4 2" xfId="12078"/>
    <cellStyle name="Komma 5 2 5 4 4 2 2" xfId="18155"/>
    <cellStyle name="Komma 5 2 5 4 4 3" xfId="18156"/>
    <cellStyle name="Komma 5 2 5 4 5" xfId="8485"/>
    <cellStyle name="Komma 5 2 5 4 5 2" xfId="18157"/>
    <cellStyle name="Komma 5 2 5 4 6" xfId="18158"/>
    <cellStyle name="Komma 5 2 5 5" xfId="2871"/>
    <cellStyle name="Komma 5 2 5 5 2" xfId="4905"/>
    <cellStyle name="Komma 5 2 5 5 2 2" xfId="12793"/>
    <cellStyle name="Komma 5 2 5 5 2 2 2" xfId="18159"/>
    <cellStyle name="Komma 5 2 5 5 2 3" xfId="18160"/>
    <cellStyle name="Komma 5 2 5 5 3" xfId="12792"/>
    <cellStyle name="Komma 5 2 5 5 3 2" xfId="18161"/>
    <cellStyle name="Komma 5 2 5 5 4" xfId="18162"/>
    <cellStyle name="Komma 5 2 5 6" xfId="3888"/>
    <cellStyle name="Komma 5 2 5 6 2" xfId="12794"/>
    <cellStyle name="Komma 5 2 5 6 2 2" xfId="18163"/>
    <cellStyle name="Komma 5 2 5 6 3" xfId="18164"/>
    <cellStyle name="Komma 5 2 5 7" xfId="6483"/>
    <cellStyle name="Komma 5 2 5 7 2" xfId="11963"/>
    <cellStyle name="Komma 5 2 5 7 2 2" xfId="18165"/>
    <cellStyle name="Komma 5 2 5 7 3" xfId="18166"/>
    <cellStyle name="Komma 5 2 5 8" xfId="8478"/>
    <cellStyle name="Komma 5 2 5 8 2" xfId="18167"/>
    <cellStyle name="Komma 5 2 5 9" xfId="18168"/>
    <cellStyle name="Komma 5 2 6" xfId="1865"/>
    <cellStyle name="Komma 5 2 6 2" xfId="2117"/>
    <cellStyle name="Komma 5 2 6 2 2" xfId="2661"/>
    <cellStyle name="Komma 5 2 6 2 2 2" xfId="3678"/>
    <cellStyle name="Komma 5 2 6 2 2 2 2" xfId="5712"/>
    <cellStyle name="Komma 5 2 6 2 2 2 2 2" xfId="12796"/>
    <cellStyle name="Komma 5 2 6 2 2 2 2 2 2" xfId="18169"/>
    <cellStyle name="Komma 5 2 6 2 2 2 2 3" xfId="18170"/>
    <cellStyle name="Komma 5 2 6 2 2 2 3" xfId="12795"/>
    <cellStyle name="Komma 5 2 6 2 2 2 3 2" xfId="18171"/>
    <cellStyle name="Komma 5 2 6 2 2 2 4" xfId="18172"/>
    <cellStyle name="Komma 5 2 6 2 2 3" xfId="4695"/>
    <cellStyle name="Komma 5 2 6 2 2 3 2" xfId="12797"/>
    <cellStyle name="Komma 5 2 6 2 2 3 2 2" xfId="18173"/>
    <cellStyle name="Komma 5 2 6 2 2 3 3" xfId="18174"/>
    <cellStyle name="Komma 5 2 6 2 2 4" xfId="6484"/>
    <cellStyle name="Komma 5 2 6 2 2 4 2" xfId="12141"/>
    <cellStyle name="Komma 5 2 6 2 2 4 2 2" xfId="18175"/>
    <cellStyle name="Komma 5 2 6 2 2 4 3" xfId="18176"/>
    <cellStyle name="Komma 5 2 6 2 2 5" xfId="8488"/>
    <cellStyle name="Komma 5 2 6 2 2 5 2" xfId="18177"/>
    <cellStyle name="Komma 5 2 6 2 2 6" xfId="18178"/>
    <cellStyle name="Komma 5 2 6 2 3" xfId="3165"/>
    <cellStyle name="Komma 5 2 6 2 3 2" xfId="5199"/>
    <cellStyle name="Komma 5 2 6 2 3 2 2" xfId="12799"/>
    <cellStyle name="Komma 5 2 6 2 3 2 2 2" xfId="18179"/>
    <cellStyle name="Komma 5 2 6 2 3 2 3" xfId="18180"/>
    <cellStyle name="Komma 5 2 6 2 3 3" xfId="12798"/>
    <cellStyle name="Komma 5 2 6 2 3 3 2" xfId="18181"/>
    <cellStyle name="Komma 5 2 6 2 3 4" xfId="18182"/>
    <cellStyle name="Komma 5 2 6 2 4" xfId="4182"/>
    <cellStyle name="Komma 5 2 6 2 4 2" xfId="12800"/>
    <cellStyle name="Komma 5 2 6 2 4 2 2" xfId="18183"/>
    <cellStyle name="Komma 5 2 6 2 4 3" xfId="18184"/>
    <cellStyle name="Komma 5 2 6 2 5" xfId="6485"/>
    <cellStyle name="Komma 5 2 6 2 5 2" xfId="12026"/>
    <cellStyle name="Komma 5 2 6 2 5 2 2" xfId="18185"/>
    <cellStyle name="Komma 5 2 6 2 5 3" xfId="18186"/>
    <cellStyle name="Komma 5 2 6 2 6" xfId="8487"/>
    <cellStyle name="Komma 5 2 6 2 6 2" xfId="18187"/>
    <cellStyle name="Komma 5 2 6 2 7" xfId="18188"/>
    <cellStyle name="Komma 5 2 6 3" xfId="2409"/>
    <cellStyle name="Komma 5 2 6 3 2" xfId="3426"/>
    <cellStyle name="Komma 5 2 6 3 2 2" xfId="5460"/>
    <cellStyle name="Komma 5 2 6 3 2 2 2" xfId="12802"/>
    <cellStyle name="Komma 5 2 6 3 2 2 2 2" xfId="18189"/>
    <cellStyle name="Komma 5 2 6 3 2 2 3" xfId="18190"/>
    <cellStyle name="Komma 5 2 6 3 2 3" xfId="12801"/>
    <cellStyle name="Komma 5 2 6 3 2 3 2" xfId="18191"/>
    <cellStyle name="Komma 5 2 6 3 2 4" xfId="18192"/>
    <cellStyle name="Komma 5 2 6 3 3" xfId="4443"/>
    <cellStyle name="Komma 5 2 6 3 3 2" xfId="12803"/>
    <cellStyle name="Komma 5 2 6 3 3 2 2" xfId="18193"/>
    <cellStyle name="Komma 5 2 6 3 3 3" xfId="18194"/>
    <cellStyle name="Komma 5 2 6 3 4" xfId="6486"/>
    <cellStyle name="Komma 5 2 6 3 4 2" xfId="12087"/>
    <cellStyle name="Komma 5 2 6 3 4 2 2" xfId="18195"/>
    <cellStyle name="Komma 5 2 6 3 4 3" xfId="18196"/>
    <cellStyle name="Komma 5 2 6 3 5" xfId="8489"/>
    <cellStyle name="Komma 5 2 6 3 5 2" xfId="18197"/>
    <cellStyle name="Komma 5 2 6 3 6" xfId="18198"/>
    <cellStyle name="Komma 5 2 6 4" xfId="2913"/>
    <cellStyle name="Komma 5 2 6 4 2" xfId="4947"/>
    <cellStyle name="Komma 5 2 6 4 2 2" xfId="12805"/>
    <cellStyle name="Komma 5 2 6 4 2 2 2" xfId="18199"/>
    <cellStyle name="Komma 5 2 6 4 2 3" xfId="18200"/>
    <cellStyle name="Komma 5 2 6 4 3" xfId="12804"/>
    <cellStyle name="Komma 5 2 6 4 3 2" xfId="18201"/>
    <cellStyle name="Komma 5 2 6 4 4" xfId="18202"/>
    <cellStyle name="Komma 5 2 6 5" xfId="3930"/>
    <cellStyle name="Komma 5 2 6 5 2" xfId="12806"/>
    <cellStyle name="Komma 5 2 6 5 2 2" xfId="18203"/>
    <cellStyle name="Komma 5 2 6 5 3" xfId="18204"/>
    <cellStyle name="Komma 5 2 6 6" xfId="6487"/>
    <cellStyle name="Komma 5 2 6 6 2" xfId="11972"/>
    <cellStyle name="Komma 5 2 6 6 2 2" xfId="18205"/>
    <cellStyle name="Komma 5 2 6 6 3" xfId="18206"/>
    <cellStyle name="Komma 5 2 6 7" xfId="8486"/>
    <cellStyle name="Komma 5 2 6 7 2" xfId="18207"/>
    <cellStyle name="Komma 5 2 6 8" xfId="18208"/>
    <cellStyle name="Komma 5 2 7" xfId="1991"/>
    <cellStyle name="Komma 5 2 7 2" xfId="2535"/>
    <cellStyle name="Komma 5 2 7 2 2" xfId="3552"/>
    <cellStyle name="Komma 5 2 7 2 2 2" xfId="5586"/>
    <cellStyle name="Komma 5 2 7 2 2 2 2" xfId="12808"/>
    <cellStyle name="Komma 5 2 7 2 2 2 2 2" xfId="18209"/>
    <cellStyle name="Komma 5 2 7 2 2 2 3" xfId="18210"/>
    <cellStyle name="Komma 5 2 7 2 2 3" xfId="12807"/>
    <cellStyle name="Komma 5 2 7 2 2 3 2" xfId="18211"/>
    <cellStyle name="Komma 5 2 7 2 2 4" xfId="18212"/>
    <cellStyle name="Komma 5 2 7 2 3" xfId="4569"/>
    <cellStyle name="Komma 5 2 7 2 3 2" xfId="12809"/>
    <cellStyle name="Komma 5 2 7 2 3 2 2" xfId="18213"/>
    <cellStyle name="Komma 5 2 7 2 3 3" xfId="18214"/>
    <cellStyle name="Komma 5 2 7 2 4" xfId="6488"/>
    <cellStyle name="Komma 5 2 7 2 4 2" xfId="12114"/>
    <cellStyle name="Komma 5 2 7 2 4 2 2" xfId="18215"/>
    <cellStyle name="Komma 5 2 7 2 4 3" xfId="18216"/>
    <cellStyle name="Komma 5 2 7 2 5" xfId="8491"/>
    <cellStyle name="Komma 5 2 7 2 5 2" xfId="18217"/>
    <cellStyle name="Komma 5 2 7 2 6" xfId="18218"/>
    <cellStyle name="Komma 5 2 7 3" xfId="3039"/>
    <cellStyle name="Komma 5 2 7 3 2" xfId="5073"/>
    <cellStyle name="Komma 5 2 7 3 2 2" xfId="12811"/>
    <cellStyle name="Komma 5 2 7 3 2 2 2" xfId="18219"/>
    <cellStyle name="Komma 5 2 7 3 2 3" xfId="18220"/>
    <cellStyle name="Komma 5 2 7 3 3" xfId="12810"/>
    <cellStyle name="Komma 5 2 7 3 3 2" xfId="18221"/>
    <cellStyle name="Komma 5 2 7 3 4" xfId="18222"/>
    <cellStyle name="Komma 5 2 7 4" xfId="4056"/>
    <cellStyle name="Komma 5 2 7 4 2" xfId="12812"/>
    <cellStyle name="Komma 5 2 7 4 2 2" xfId="18223"/>
    <cellStyle name="Komma 5 2 7 4 3" xfId="18224"/>
    <cellStyle name="Komma 5 2 7 5" xfId="6489"/>
    <cellStyle name="Komma 5 2 7 5 2" xfId="11999"/>
    <cellStyle name="Komma 5 2 7 5 2 2" xfId="18225"/>
    <cellStyle name="Komma 5 2 7 5 3" xfId="18226"/>
    <cellStyle name="Komma 5 2 7 6" xfId="8490"/>
    <cellStyle name="Komma 5 2 7 6 2" xfId="18227"/>
    <cellStyle name="Komma 5 2 7 7" xfId="18228"/>
    <cellStyle name="Komma 5 2 8" xfId="2276"/>
    <cellStyle name="Komma 5 2 8 2" xfId="3295"/>
    <cellStyle name="Komma 5 2 8 2 2" xfId="5329"/>
    <cellStyle name="Komma 5 2 8 2 2 2" xfId="12814"/>
    <cellStyle name="Komma 5 2 8 2 2 2 2" xfId="18229"/>
    <cellStyle name="Komma 5 2 8 2 2 3" xfId="18230"/>
    <cellStyle name="Komma 5 2 8 2 3" xfId="12813"/>
    <cellStyle name="Komma 5 2 8 2 3 2" xfId="18231"/>
    <cellStyle name="Komma 5 2 8 2 4" xfId="18232"/>
    <cellStyle name="Komma 5 2 8 3" xfId="4312"/>
    <cellStyle name="Komma 5 2 8 3 2" xfId="12815"/>
    <cellStyle name="Komma 5 2 8 3 2 2" xfId="18233"/>
    <cellStyle name="Komma 5 2 8 3 3" xfId="18234"/>
    <cellStyle name="Komma 5 2 8 4" xfId="6490"/>
    <cellStyle name="Komma 5 2 8 4 2" xfId="12058"/>
    <cellStyle name="Komma 5 2 8 4 2 2" xfId="18235"/>
    <cellStyle name="Komma 5 2 8 4 3" xfId="18236"/>
    <cellStyle name="Komma 5 2 8 5" xfId="8492"/>
    <cellStyle name="Komma 5 2 8 5 2" xfId="18237"/>
    <cellStyle name="Komma 5 2 8 6" xfId="18238"/>
    <cellStyle name="Komma 5 2 9" xfId="2787"/>
    <cellStyle name="Komma 5 2 9 2" xfId="4821"/>
    <cellStyle name="Komma 5 2 9 2 2" xfId="12817"/>
    <cellStyle name="Komma 5 2 9 2 2 2" xfId="18239"/>
    <cellStyle name="Komma 5 2 9 2 3" xfId="18240"/>
    <cellStyle name="Komma 5 2 9 3" xfId="12816"/>
    <cellStyle name="Komma 5 2 9 3 2" xfId="18241"/>
    <cellStyle name="Komma 5 2 9 4" xfId="18242"/>
    <cellStyle name="Komma 5 3" xfId="1747"/>
    <cellStyle name="Komma 5 4" xfId="2264"/>
    <cellStyle name="Komma 5 4 2" xfId="3294"/>
    <cellStyle name="Komma 5 4 2 2" xfId="5328"/>
    <cellStyle name="Komma 5 4 2 2 2" xfId="12819"/>
    <cellStyle name="Komma 5 4 2 2 2 2" xfId="18243"/>
    <cellStyle name="Komma 5 4 2 2 3" xfId="18244"/>
    <cellStyle name="Komma 5 4 2 3" xfId="12818"/>
    <cellStyle name="Komma 5 4 2 3 2" xfId="18245"/>
    <cellStyle name="Komma 5 4 2 4" xfId="18246"/>
    <cellStyle name="Komma 5 4 3" xfId="4311"/>
    <cellStyle name="Komma 5 4 3 2" xfId="12820"/>
    <cellStyle name="Komma 5 4 3 2 2" xfId="18247"/>
    <cellStyle name="Komma 5 4 3 3" xfId="18248"/>
    <cellStyle name="Komma 5 4 4" xfId="6491"/>
    <cellStyle name="Komma 5 4 4 2" xfId="12057"/>
    <cellStyle name="Komma 5 4 4 2 2" xfId="18249"/>
    <cellStyle name="Komma 5 4 4 3" xfId="18250"/>
    <cellStyle name="Komma 5 4 5" xfId="8493"/>
    <cellStyle name="Komma 5 4 5 2" xfId="18251"/>
    <cellStyle name="Komma 5 4 6" xfId="18252"/>
    <cellStyle name="Komma 5 5" xfId="39930"/>
    <cellStyle name="Komma 6" xfId="645"/>
    <cellStyle name="Komma 6 2" xfId="646"/>
    <cellStyle name="Komma 6 2 2" xfId="6492"/>
    <cellStyle name="Komma 6 2 2 2" xfId="39940"/>
    <cellStyle name="Komma 6 2 2 3" xfId="39941"/>
    <cellStyle name="Komma 6 2 3" xfId="8494"/>
    <cellStyle name="Komma 6 3" xfId="1749"/>
    <cellStyle name="Komma 6 4" xfId="2279"/>
    <cellStyle name="Komma 6 4 2" xfId="3298"/>
    <cellStyle name="Komma 6 4 2 2" xfId="5332"/>
    <cellStyle name="Komma 6 4 2 2 2" xfId="12822"/>
    <cellStyle name="Komma 6 4 2 2 2 2" xfId="18253"/>
    <cellStyle name="Komma 6 4 2 2 3" xfId="18254"/>
    <cellStyle name="Komma 6 4 2 3" xfId="12821"/>
    <cellStyle name="Komma 6 4 2 3 2" xfId="18255"/>
    <cellStyle name="Komma 6 4 2 4" xfId="18256"/>
    <cellStyle name="Komma 6 4 3" xfId="4315"/>
    <cellStyle name="Komma 6 4 3 2" xfId="12823"/>
    <cellStyle name="Komma 6 4 3 2 2" xfId="18257"/>
    <cellStyle name="Komma 6 4 3 3" xfId="18258"/>
    <cellStyle name="Komma 6 4 4" xfId="6493"/>
    <cellStyle name="Komma 6 4 4 2" xfId="12060"/>
    <cellStyle name="Komma 6 4 4 2 2" xfId="18259"/>
    <cellStyle name="Komma 6 4 4 3" xfId="18260"/>
    <cellStyle name="Komma 6 4 5" xfId="8495"/>
    <cellStyle name="Komma 6 4 5 2" xfId="18261"/>
    <cellStyle name="Komma 6 4 6" xfId="18262"/>
    <cellStyle name="Komma 7" xfId="647"/>
    <cellStyle name="Komma 7 2" xfId="2280"/>
    <cellStyle name="Komma 8" xfId="648"/>
    <cellStyle name="Komma 8 2" xfId="2281"/>
    <cellStyle name="Komma 8 3" xfId="39928"/>
    <cellStyle name="Komma 9" xfId="2244"/>
    <cellStyle name="Kop 1 2" xfId="649"/>
    <cellStyle name="Kop 1 3" xfId="650"/>
    <cellStyle name="Kop 2 2" xfId="651"/>
    <cellStyle name="Kop 2 3" xfId="652"/>
    <cellStyle name="Kop 3 2" xfId="653"/>
    <cellStyle name="Kop 3 2 2" xfId="8496"/>
    <cellStyle name="Kop 3 2 3" xfId="18263"/>
    <cellStyle name="Kop 3 3" xfId="654"/>
    <cellStyle name="Kop 3 3 2" xfId="8497"/>
    <cellStyle name="Kop 3 3 3" xfId="18264"/>
    <cellStyle name="Kop 4 2" xfId="655"/>
    <cellStyle name="Kop 4 3" xfId="656"/>
    <cellStyle name="Linked Cell" xfId="657"/>
    <cellStyle name="Linked Cell 2" xfId="18265"/>
    <cellStyle name="Linked Cell 3" xfId="31616"/>
    <cellStyle name="Month" xfId="6494"/>
    <cellStyle name="Neutraal 2" xfId="658"/>
    <cellStyle name="Neutraal 3" xfId="659"/>
    <cellStyle name="Neutral" xfId="660"/>
    <cellStyle name="Normal 2" xfId="661"/>
    <cellStyle name="Normal 2 2" xfId="6495"/>
    <cellStyle name="Normal 2 3" xfId="7697"/>
    <cellStyle name="Normal 2 4" xfId="39998"/>
    <cellStyle name="Normal 3" xfId="6496"/>
    <cellStyle name="Normal 3 2" xfId="6497"/>
    <cellStyle name="Normal 3 2 2" xfId="40003"/>
    <cellStyle name="Normal 3 3" xfId="10333"/>
    <cellStyle name="Normal 3 3 2" xfId="18266"/>
    <cellStyle name="Normal 3 4" xfId="18267"/>
    <cellStyle name="Normal 3 5" xfId="40002"/>
    <cellStyle name="Normal 4" xfId="6498"/>
    <cellStyle name="Normal 4 2" xfId="10334"/>
    <cellStyle name="Normal 4 2 2" xfId="18268"/>
    <cellStyle name="Normal 4 3" xfId="18269"/>
    <cellStyle name="Normal 4 4" xfId="40004"/>
    <cellStyle name="Normal_M&amp;S ratios" xfId="6499"/>
    <cellStyle name="Note" xfId="662"/>
    <cellStyle name="Note 10" xfId="663"/>
    <cellStyle name="Note 10 2" xfId="6500"/>
    <cellStyle name="Note 10 2 2" xfId="10910"/>
    <cellStyle name="Note 10 2 3" xfId="18270"/>
    <cellStyle name="Note 10 2 3 2" xfId="31617"/>
    <cellStyle name="Note 10 2 4" xfId="31618"/>
    <cellStyle name="Note 10 2 5" xfId="31619"/>
    <cellStyle name="Note 10 2 6" xfId="31620"/>
    <cellStyle name="Note 10 3" xfId="8499"/>
    <cellStyle name="Note 10 4" xfId="18271"/>
    <cellStyle name="Note 10 4 2" xfId="31621"/>
    <cellStyle name="Note 10 5" xfId="31622"/>
    <cellStyle name="Note 10 6" xfId="31623"/>
    <cellStyle name="Note 10 7" xfId="31624"/>
    <cellStyle name="Note 11" xfId="664"/>
    <cellStyle name="Note 11 2" xfId="6501"/>
    <cellStyle name="Note 11 2 2" xfId="10911"/>
    <cellStyle name="Note 11 2 3" xfId="18272"/>
    <cellStyle name="Note 11 2 3 2" xfId="31625"/>
    <cellStyle name="Note 11 2 4" xfId="31626"/>
    <cellStyle name="Note 11 2 5" xfId="31627"/>
    <cellStyle name="Note 11 2 6" xfId="31628"/>
    <cellStyle name="Note 11 3" xfId="8500"/>
    <cellStyle name="Note 11 4" xfId="18273"/>
    <cellStyle name="Note 11 4 2" xfId="31629"/>
    <cellStyle name="Note 11 5" xfId="31630"/>
    <cellStyle name="Note 11 6" xfId="31631"/>
    <cellStyle name="Note 11 7" xfId="31632"/>
    <cellStyle name="Note 12" xfId="665"/>
    <cellStyle name="Note 12 2" xfId="6502"/>
    <cellStyle name="Note 12 2 2" xfId="10912"/>
    <cellStyle name="Note 12 2 3" xfId="18274"/>
    <cellStyle name="Note 12 2 3 2" xfId="31633"/>
    <cellStyle name="Note 12 2 4" xfId="31634"/>
    <cellStyle name="Note 12 2 5" xfId="31635"/>
    <cellStyle name="Note 12 2 6" xfId="31636"/>
    <cellStyle name="Note 12 3" xfId="8501"/>
    <cellStyle name="Note 12 4" xfId="18275"/>
    <cellStyle name="Note 12 4 2" xfId="31637"/>
    <cellStyle name="Note 12 5" xfId="31638"/>
    <cellStyle name="Note 12 6" xfId="31639"/>
    <cellStyle name="Note 12 7" xfId="31640"/>
    <cellStyle name="Note 13" xfId="666"/>
    <cellStyle name="Note 13 2" xfId="6503"/>
    <cellStyle name="Note 13 2 2" xfId="10913"/>
    <cellStyle name="Note 13 2 3" xfId="18276"/>
    <cellStyle name="Note 13 2 3 2" xfId="31641"/>
    <cellStyle name="Note 13 2 4" xfId="31642"/>
    <cellStyle name="Note 13 2 5" xfId="31643"/>
    <cellStyle name="Note 13 2 6" xfId="31644"/>
    <cellStyle name="Note 13 3" xfId="8502"/>
    <cellStyle name="Note 13 4" xfId="18277"/>
    <cellStyle name="Note 13 4 2" xfId="31645"/>
    <cellStyle name="Note 13 5" xfId="31646"/>
    <cellStyle name="Note 13 6" xfId="31647"/>
    <cellStyle name="Note 13 7" xfId="31648"/>
    <cellStyle name="Note 14" xfId="667"/>
    <cellStyle name="Note 14 2" xfId="6504"/>
    <cellStyle name="Note 14 2 2" xfId="10914"/>
    <cellStyle name="Note 14 2 3" xfId="18278"/>
    <cellStyle name="Note 14 2 3 2" xfId="31649"/>
    <cellStyle name="Note 14 2 4" xfId="31650"/>
    <cellStyle name="Note 14 2 5" xfId="31651"/>
    <cellStyle name="Note 14 2 6" xfId="31652"/>
    <cellStyle name="Note 14 3" xfId="8503"/>
    <cellStyle name="Note 14 4" xfId="18279"/>
    <cellStyle name="Note 14 4 2" xfId="31653"/>
    <cellStyle name="Note 14 5" xfId="31654"/>
    <cellStyle name="Note 14 6" xfId="31655"/>
    <cellStyle name="Note 14 7" xfId="31656"/>
    <cellStyle name="Note 15" xfId="668"/>
    <cellStyle name="Note 15 2" xfId="6505"/>
    <cellStyle name="Note 15 2 2" xfId="10915"/>
    <cellStyle name="Note 15 2 3" xfId="18280"/>
    <cellStyle name="Note 15 2 3 2" xfId="31657"/>
    <cellStyle name="Note 15 2 4" xfId="31658"/>
    <cellStyle name="Note 15 2 5" xfId="31659"/>
    <cellStyle name="Note 15 2 6" xfId="31660"/>
    <cellStyle name="Note 15 3" xfId="8504"/>
    <cellStyle name="Note 15 4" xfId="18281"/>
    <cellStyle name="Note 15 4 2" xfId="31661"/>
    <cellStyle name="Note 15 5" xfId="31662"/>
    <cellStyle name="Note 15 6" xfId="31663"/>
    <cellStyle name="Note 15 7" xfId="31664"/>
    <cellStyle name="Note 16" xfId="669"/>
    <cellStyle name="Note 16 2" xfId="6506"/>
    <cellStyle name="Note 16 2 2" xfId="10916"/>
    <cellStyle name="Note 16 2 3" xfId="18282"/>
    <cellStyle name="Note 16 2 3 2" xfId="31665"/>
    <cellStyle name="Note 16 2 4" xfId="31666"/>
    <cellStyle name="Note 16 2 5" xfId="31667"/>
    <cellStyle name="Note 16 2 6" xfId="31668"/>
    <cellStyle name="Note 16 3" xfId="8505"/>
    <cellStyle name="Note 16 4" xfId="18283"/>
    <cellStyle name="Note 16 4 2" xfId="31669"/>
    <cellStyle name="Note 16 5" xfId="31670"/>
    <cellStyle name="Note 16 6" xfId="31671"/>
    <cellStyle name="Note 16 7" xfId="31672"/>
    <cellStyle name="Note 17" xfId="670"/>
    <cellStyle name="Note 17 2" xfId="6507"/>
    <cellStyle name="Note 17 2 2" xfId="10917"/>
    <cellStyle name="Note 17 2 3" xfId="18284"/>
    <cellStyle name="Note 17 2 3 2" xfId="31673"/>
    <cellStyle name="Note 17 2 4" xfId="31674"/>
    <cellStyle name="Note 17 2 5" xfId="31675"/>
    <cellStyle name="Note 17 2 6" xfId="31676"/>
    <cellStyle name="Note 17 3" xfId="8506"/>
    <cellStyle name="Note 17 4" xfId="18285"/>
    <cellStyle name="Note 17 4 2" xfId="31677"/>
    <cellStyle name="Note 17 5" xfId="31678"/>
    <cellStyle name="Note 17 6" xfId="31679"/>
    <cellStyle name="Note 17 7" xfId="31680"/>
    <cellStyle name="Note 18" xfId="6508"/>
    <cellStyle name="Note 18 2" xfId="10909"/>
    <cellStyle name="Note 18 3" xfId="18286"/>
    <cellStyle name="Note 18 3 2" xfId="31681"/>
    <cellStyle name="Note 18 4" xfId="31682"/>
    <cellStyle name="Note 18 5" xfId="31683"/>
    <cellStyle name="Note 18 6" xfId="31684"/>
    <cellStyle name="Note 19" xfId="8498"/>
    <cellStyle name="Note 2" xfId="671"/>
    <cellStyle name="Note 2 10" xfId="672"/>
    <cellStyle name="Note 2 10 2" xfId="6509"/>
    <cellStyle name="Note 2 10 2 2" xfId="10919"/>
    <cellStyle name="Note 2 10 2 3" xfId="18287"/>
    <cellStyle name="Note 2 10 2 3 2" xfId="31685"/>
    <cellStyle name="Note 2 10 2 4" xfId="31686"/>
    <cellStyle name="Note 2 10 2 5" xfId="31687"/>
    <cellStyle name="Note 2 10 2 6" xfId="31688"/>
    <cellStyle name="Note 2 10 3" xfId="8508"/>
    <cellStyle name="Note 2 10 4" xfId="18288"/>
    <cellStyle name="Note 2 10 4 2" xfId="31689"/>
    <cellStyle name="Note 2 10 5" xfId="31690"/>
    <cellStyle name="Note 2 10 6" xfId="31691"/>
    <cellStyle name="Note 2 10 7" xfId="31692"/>
    <cellStyle name="Note 2 11" xfId="673"/>
    <cellStyle name="Note 2 11 2" xfId="6510"/>
    <cellStyle name="Note 2 11 2 2" xfId="10920"/>
    <cellStyle name="Note 2 11 2 3" xfId="18289"/>
    <cellStyle name="Note 2 11 2 3 2" xfId="31693"/>
    <cellStyle name="Note 2 11 2 4" xfId="31694"/>
    <cellStyle name="Note 2 11 2 5" xfId="31695"/>
    <cellStyle name="Note 2 11 2 6" xfId="31696"/>
    <cellStyle name="Note 2 11 3" xfId="8509"/>
    <cellStyle name="Note 2 11 4" xfId="18290"/>
    <cellStyle name="Note 2 11 4 2" xfId="31697"/>
    <cellStyle name="Note 2 11 5" xfId="31698"/>
    <cellStyle name="Note 2 11 6" xfId="31699"/>
    <cellStyle name="Note 2 11 7" xfId="31700"/>
    <cellStyle name="Note 2 12" xfId="674"/>
    <cellStyle name="Note 2 12 2" xfId="6511"/>
    <cellStyle name="Note 2 12 2 2" xfId="10921"/>
    <cellStyle name="Note 2 12 2 3" xfId="18291"/>
    <cellStyle name="Note 2 12 2 3 2" xfId="31701"/>
    <cellStyle name="Note 2 12 2 4" xfId="31702"/>
    <cellStyle name="Note 2 12 2 5" xfId="31703"/>
    <cellStyle name="Note 2 12 2 6" xfId="31704"/>
    <cellStyle name="Note 2 12 3" xfId="8510"/>
    <cellStyle name="Note 2 12 4" xfId="18292"/>
    <cellStyle name="Note 2 12 4 2" xfId="31705"/>
    <cellStyle name="Note 2 12 5" xfId="31706"/>
    <cellStyle name="Note 2 12 6" xfId="31707"/>
    <cellStyle name="Note 2 12 7" xfId="31708"/>
    <cellStyle name="Note 2 13" xfId="675"/>
    <cellStyle name="Note 2 13 2" xfId="6512"/>
    <cellStyle name="Note 2 13 2 2" xfId="10922"/>
    <cellStyle name="Note 2 13 2 3" xfId="18293"/>
    <cellStyle name="Note 2 13 2 3 2" xfId="31709"/>
    <cellStyle name="Note 2 13 2 4" xfId="31710"/>
    <cellStyle name="Note 2 13 2 5" xfId="31711"/>
    <cellStyle name="Note 2 13 2 6" xfId="31712"/>
    <cellStyle name="Note 2 13 3" xfId="8511"/>
    <cellStyle name="Note 2 13 4" xfId="18294"/>
    <cellStyle name="Note 2 13 4 2" xfId="31713"/>
    <cellStyle name="Note 2 13 5" xfId="31714"/>
    <cellStyle name="Note 2 13 6" xfId="31715"/>
    <cellStyle name="Note 2 13 7" xfId="31716"/>
    <cellStyle name="Note 2 14" xfId="676"/>
    <cellStyle name="Note 2 14 2" xfId="6513"/>
    <cellStyle name="Note 2 14 2 2" xfId="10923"/>
    <cellStyle name="Note 2 14 2 3" xfId="18295"/>
    <cellStyle name="Note 2 14 2 3 2" xfId="31717"/>
    <cellStyle name="Note 2 14 2 4" xfId="31718"/>
    <cellStyle name="Note 2 14 2 5" xfId="31719"/>
    <cellStyle name="Note 2 14 2 6" xfId="31720"/>
    <cellStyle name="Note 2 14 3" xfId="8512"/>
    <cellStyle name="Note 2 14 4" xfId="18296"/>
    <cellStyle name="Note 2 14 4 2" xfId="31721"/>
    <cellStyle name="Note 2 14 5" xfId="31722"/>
    <cellStyle name="Note 2 14 6" xfId="31723"/>
    <cellStyle name="Note 2 14 7" xfId="31724"/>
    <cellStyle name="Note 2 15" xfId="677"/>
    <cellStyle name="Note 2 15 2" xfId="6514"/>
    <cellStyle name="Note 2 15 2 2" xfId="10924"/>
    <cellStyle name="Note 2 15 2 3" xfId="18297"/>
    <cellStyle name="Note 2 15 2 3 2" xfId="31725"/>
    <cellStyle name="Note 2 15 2 4" xfId="31726"/>
    <cellStyle name="Note 2 15 2 5" xfId="31727"/>
    <cellStyle name="Note 2 15 2 6" xfId="31728"/>
    <cellStyle name="Note 2 15 3" xfId="8513"/>
    <cellStyle name="Note 2 15 4" xfId="18298"/>
    <cellStyle name="Note 2 15 4 2" xfId="31729"/>
    <cellStyle name="Note 2 15 5" xfId="31730"/>
    <cellStyle name="Note 2 15 6" xfId="31731"/>
    <cellStyle name="Note 2 15 7" xfId="31732"/>
    <cellStyle name="Note 2 16" xfId="678"/>
    <cellStyle name="Note 2 16 2" xfId="6515"/>
    <cellStyle name="Note 2 16 2 2" xfId="10925"/>
    <cellStyle name="Note 2 16 2 3" xfId="18299"/>
    <cellStyle name="Note 2 16 2 3 2" xfId="31733"/>
    <cellStyle name="Note 2 16 2 4" xfId="31734"/>
    <cellStyle name="Note 2 16 2 5" xfId="31735"/>
    <cellStyle name="Note 2 16 2 6" xfId="31736"/>
    <cellStyle name="Note 2 16 3" xfId="8514"/>
    <cellStyle name="Note 2 16 4" xfId="18300"/>
    <cellStyle name="Note 2 16 4 2" xfId="31737"/>
    <cellStyle name="Note 2 16 5" xfId="31738"/>
    <cellStyle name="Note 2 16 6" xfId="31739"/>
    <cellStyle name="Note 2 16 7" xfId="31740"/>
    <cellStyle name="Note 2 17" xfId="679"/>
    <cellStyle name="Note 2 17 2" xfId="6516"/>
    <cellStyle name="Note 2 17 2 2" xfId="10926"/>
    <cellStyle name="Note 2 17 2 3" xfId="18301"/>
    <cellStyle name="Note 2 17 2 3 2" xfId="31741"/>
    <cellStyle name="Note 2 17 2 4" xfId="31742"/>
    <cellStyle name="Note 2 17 2 5" xfId="31743"/>
    <cellStyle name="Note 2 17 2 6" xfId="31744"/>
    <cellStyle name="Note 2 17 3" xfId="8515"/>
    <cellStyle name="Note 2 17 4" xfId="18302"/>
    <cellStyle name="Note 2 17 4 2" xfId="31745"/>
    <cellStyle name="Note 2 17 5" xfId="31746"/>
    <cellStyle name="Note 2 17 6" xfId="31747"/>
    <cellStyle name="Note 2 17 7" xfId="31748"/>
    <cellStyle name="Note 2 18" xfId="680"/>
    <cellStyle name="Note 2 18 2" xfId="6517"/>
    <cellStyle name="Note 2 18 2 2" xfId="10927"/>
    <cellStyle name="Note 2 18 2 3" xfId="18303"/>
    <cellStyle name="Note 2 18 2 3 2" xfId="31749"/>
    <cellStyle name="Note 2 18 2 4" xfId="31750"/>
    <cellStyle name="Note 2 18 2 5" xfId="31751"/>
    <cellStyle name="Note 2 18 2 6" xfId="31752"/>
    <cellStyle name="Note 2 18 3" xfId="8516"/>
    <cellStyle name="Note 2 18 4" xfId="18304"/>
    <cellStyle name="Note 2 18 4 2" xfId="31753"/>
    <cellStyle name="Note 2 18 5" xfId="31754"/>
    <cellStyle name="Note 2 18 6" xfId="31755"/>
    <cellStyle name="Note 2 18 7" xfId="31756"/>
    <cellStyle name="Note 2 19" xfId="681"/>
    <cellStyle name="Note 2 19 2" xfId="6518"/>
    <cellStyle name="Note 2 19 2 2" xfId="10928"/>
    <cellStyle name="Note 2 19 2 3" xfId="18305"/>
    <cellStyle name="Note 2 19 2 3 2" xfId="31757"/>
    <cellStyle name="Note 2 19 2 4" xfId="31758"/>
    <cellStyle name="Note 2 19 2 5" xfId="31759"/>
    <cellStyle name="Note 2 19 2 6" xfId="31760"/>
    <cellStyle name="Note 2 19 3" xfId="8517"/>
    <cellStyle name="Note 2 19 4" xfId="18306"/>
    <cellStyle name="Note 2 19 4 2" xfId="31761"/>
    <cellStyle name="Note 2 19 5" xfId="31762"/>
    <cellStyle name="Note 2 19 6" xfId="31763"/>
    <cellStyle name="Note 2 19 7" xfId="31764"/>
    <cellStyle name="Note 2 2" xfId="682"/>
    <cellStyle name="Note 2 2 2" xfId="6519"/>
    <cellStyle name="Note 2 2 2 2" xfId="10929"/>
    <cellStyle name="Note 2 2 2 3" xfId="18307"/>
    <cellStyle name="Note 2 2 2 3 2" xfId="31765"/>
    <cellStyle name="Note 2 2 2 4" xfId="31766"/>
    <cellStyle name="Note 2 2 2 5" xfId="31767"/>
    <cellStyle name="Note 2 2 2 6" xfId="31768"/>
    <cellStyle name="Note 2 2 3" xfId="8518"/>
    <cellStyle name="Note 2 2 4" xfId="18308"/>
    <cellStyle name="Note 2 2 4 2" xfId="31769"/>
    <cellStyle name="Note 2 2 5" xfId="31770"/>
    <cellStyle name="Note 2 2 6" xfId="31771"/>
    <cellStyle name="Note 2 2 7" xfId="31772"/>
    <cellStyle name="Note 2 20" xfId="683"/>
    <cellStyle name="Note 2 20 2" xfId="6520"/>
    <cellStyle name="Note 2 20 2 2" xfId="10930"/>
    <cellStyle name="Note 2 20 2 3" xfId="18309"/>
    <cellStyle name="Note 2 20 2 3 2" xfId="31773"/>
    <cellStyle name="Note 2 20 2 4" xfId="31774"/>
    <cellStyle name="Note 2 20 2 5" xfId="31775"/>
    <cellStyle name="Note 2 20 2 6" xfId="31776"/>
    <cellStyle name="Note 2 20 3" xfId="8519"/>
    <cellStyle name="Note 2 20 4" xfId="18310"/>
    <cellStyle name="Note 2 20 4 2" xfId="31777"/>
    <cellStyle name="Note 2 20 5" xfId="31778"/>
    <cellStyle name="Note 2 20 6" xfId="31779"/>
    <cellStyle name="Note 2 20 7" xfId="31780"/>
    <cellStyle name="Note 2 21" xfId="684"/>
    <cellStyle name="Note 2 21 2" xfId="6521"/>
    <cellStyle name="Note 2 21 2 2" xfId="10931"/>
    <cellStyle name="Note 2 21 2 3" xfId="18311"/>
    <cellStyle name="Note 2 21 2 3 2" xfId="31781"/>
    <cellStyle name="Note 2 21 2 4" xfId="31782"/>
    <cellStyle name="Note 2 21 2 5" xfId="31783"/>
    <cellStyle name="Note 2 21 2 6" xfId="31784"/>
    <cellStyle name="Note 2 21 3" xfId="8520"/>
    <cellStyle name="Note 2 21 4" xfId="18312"/>
    <cellStyle name="Note 2 21 4 2" xfId="31785"/>
    <cellStyle name="Note 2 21 5" xfId="31786"/>
    <cellStyle name="Note 2 21 6" xfId="31787"/>
    <cellStyle name="Note 2 21 7" xfId="31788"/>
    <cellStyle name="Note 2 22" xfId="685"/>
    <cellStyle name="Note 2 22 2" xfId="6522"/>
    <cellStyle name="Note 2 22 2 2" xfId="10932"/>
    <cellStyle name="Note 2 22 2 3" xfId="18313"/>
    <cellStyle name="Note 2 22 2 3 2" xfId="31789"/>
    <cellStyle name="Note 2 22 2 4" xfId="31790"/>
    <cellStyle name="Note 2 22 2 5" xfId="31791"/>
    <cellStyle name="Note 2 22 2 6" xfId="31792"/>
    <cellStyle name="Note 2 22 3" xfId="8521"/>
    <cellStyle name="Note 2 22 4" xfId="18314"/>
    <cellStyle name="Note 2 22 4 2" xfId="31793"/>
    <cellStyle name="Note 2 22 5" xfId="31794"/>
    <cellStyle name="Note 2 22 6" xfId="31795"/>
    <cellStyle name="Note 2 22 7" xfId="31796"/>
    <cellStyle name="Note 2 23" xfId="686"/>
    <cellStyle name="Note 2 23 2" xfId="6523"/>
    <cellStyle name="Note 2 23 2 2" xfId="10933"/>
    <cellStyle name="Note 2 23 2 3" xfId="18315"/>
    <cellStyle name="Note 2 23 2 3 2" xfId="31797"/>
    <cellStyle name="Note 2 23 2 4" xfId="31798"/>
    <cellStyle name="Note 2 23 2 5" xfId="31799"/>
    <cellStyle name="Note 2 23 2 6" xfId="31800"/>
    <cellStyle name="Note 2 23 3" xfId="8522"/>
    <cellStyle name="Note 2 23 4" xfId="18316"/>
    <cellStyle name="Note 2 23 4 2" xfId="31801"/>
    <cellStyle name="Note 2 23 5" xfId="31802"/>
    <cellStyle name="Note 2 23 6" xfId="31803"/>
    <cellStyle name="Note 2 23 7" xfId="31804"/>
    <cellStyle name="Note 2 24" xfId="687"/>
    <cellStyle name="Note 2 24 2" xfId="6524"/>
    <cellStyle name="Note 2 24 2 2" xfId="10934"/>
    <cellStyle name="Note 2 24 2 3" xfId="18317"/>
    <cellStyle name="Note 2 24 2 3 2" xfId="31805"/>
    <cellStyle name="Note 2 24 2 4" xfId="31806"/>
    <cellStyle name="Note 2 24 2 5" xfId="31807"/>
    <cellStyle name="Note 2 24 2 6" xfId="31808"/>
    <cellStyle name="Note 2 24 3" xfId="8523"/>
    <cellStyle name="Note 2 24 4" xfId="18318"/>
    <cellStyle name="Note 2 24 4 2" xfId="31809"/>
    <cellStyle name="Note 2 24 5" xfId="31810"/>
    <cellStyle name="Note 2 24 6" xfId="31811"/>
    <cellStyle name="Note 2 24 7" xfId="31812"/>
    <cellStyle name="Note 2 25" xfId="688"/>
    <cellStyle name="Note 2 25 2" xfId="6525"/>
    <cellStyle name="Note 2 25 2 2" xfId="10935"/>
    <cellStyle name="Note 2 25 2 3" xfId="18319"/>
    <cellStyle name="Note 2 25 2 3 2" xfId="31813"/>
    <cellStyle name="Note 2 25 2 4" xfId="31814"/>
    <cellStyle name="Note 2 25 2 5" xfId="31815"/>
    <cellStyle name="Note 2 25 2 6" xfId="31816"/>
    <cellStyle name="Note 2 25 3" xfId="8524"/>
    <cellStyle name="Note 2 25 4" xfId="18320"/>
    <cellStyle name="Note 2 25 4 2" xfId="31817"/>
    <cellStyle name="Note 2 25 5" xfId="31818"/>
    <cellStyle name="Note 2 25 6" xfId="31819"/>
    <cellStyle name="Note 2 25 7" xfId="31820"/>
    <cellStyle name="Note 2 26" xfId="689"/>
    <cellStyle name="Note 2 26 2" xfId="6526"/>
    <cellStyle name="Note 2 26 2 2" xfId="10936"/>
    <cellStyle name="Note 2 26 2 3" xfId="18321"/>
    <cellStyle name="Note 2 26 2 3 2" xfId="31821"/>
    <cellStyle name="Note 2 26 2 4" xfId="31822"/>
    <cellStyle name="Note 2 26 2 5" xfId="31823"/>
    <cellStyle name="Note 2 26 2 6" xfId="31824"/>
    <cellStyle name="Note 2 26 3" xfId="8525"/>
    <cellStyle name="Note 2 26 4" xfId="18322"/>
    <cellStyle name="Note 2 26 4 2" xfId="31825"/>
    <cellStyle name="Note 2 26 5" xfId="31826"/>
    <cellStyle name="Note 2 26 6" xfId="31827"/>
    <cellStyle name="Note 2 26 7" xfId="31828"/>
    <cellStyle name="Note 2 27" xfId="690"/>
    <cellStyle name="Note 2 27 2" xfId="6527"/>
    <cellStyle name="Note 2 27 2 2" xfId="10937"/>
    <cellStyle name="Note 2 27 2 3" xfId="18323"/>
    <cellStyle name="Note 2 27 2 3 2" xfId="31829"/>
    <cellStyle name="Note 2 27 2 4" xfId="31830"/>
    <cellStyle name="Note 2 27 2 5" xfId="31831"/>
    <cellStyle name="Note 2 27 2 6" xfId="31832"/>
    <cellStyle name="Note 2 27 3" xfId="8526"/>
    <cellStyle name="Note 2 27 4" xfId="18324"/>
    <cellStyle name="Note 2 27 4 2" xfId="31833"/>
    <cellStyle name="Note 2 27 5" xfId="31834"/>
    <cellStyle name="Note 2 27 6" xfId="31835"/>
    <cellStyle name="Note 2 27 7" xfId="31836"/>
    <cellStyle name="Note 2 28" xfId="691"/>
    <cellStyle name="Note 2 28 2" xfId="6528"/>
    <cellStyle name="Note 2 28 2 2" xfId="10938"/>
    <cellStyle name="Note 2 28 2 3" xfId="18325"/>
    <cellStyle name="Note 2 28 2 3 2" xfId="31837"/>
    <cellStyle name="Note 2 28 2 4" xfId="31838"/>
    <cellStyle name="Note 2 28 2 5" xfId="31839"/>
    <cellStyle name="Note 2 28 2 6" xfId="31840"/>
    <cellStyle name="Note 2 28 3" xfId="8527"/>
    <cellStyle name="Note 2 28 4" xfId="18326"/>
    <cellStyle name="Note 2 28 4 2" xfId="31841"/>
    <cellStyle name="Note 2 28 5" xfId="31842"/>
    <cellStyle name="Note 2 28 6" xfId="31843"/>
    <cellStyle name="Note 2 28 7" xfId="31844"/>
    <cellStyle name="Note 2 29" xfId="692"/>
    <cellStyle name="Note 2 29 2" xfId="6529"/>
    <cellStyle name="Note 2 29 2 2" xfId="10939"/>
    <cellStyle name="Note 2 29 2 3" xfId="18327"/>
    <cellStyle name="Note 2 29 2 3 2" xfId="31845"/>
    <cellStyle name="Note 2 29 2 4" xfId="31846"/>
    <cellStyle name="Note 2 29 2 5" xfId="31847"/>
    <cellStyle name="Note 2 29 2 6" xfId="31848"/>
    <cellStyle name="Note 2 29 3" xfId="8528"/>
    <cellStyle name="Note 2 29 4" xfId="18328"/>
    <cellStyle name="Note 2 29 4 2" xfId="31849"/>
    <cellStyle name="Note 2 29 5" xfId="31850"/>
    <cellStyle name="Note 2 29 6" xfId="31851"/>
    <cellStyle name="Note 2 29 7" xfId="31852"/>
    <cellStyle name="Note 2 3" xfId="693"/>
    <cellStyle name="Note 2 3 2" xfId="6530"/>
    <cellStyle name="Note 2 3 2 2" xfId="10940"/>
    <cellStyle name="Note 2 3 2 3" xfId="18329"/>
    <cellStyle name="Note 2 3 2 3 2" xfId="31853"/>
    <cellStyle name="Note 2 3 2 4" xfId="31854"/>
    <cellStyle name="Note 2 3 2 5" xfId="31855"/>
    <cellStyle name="Note 2 3 2 6" xfId="31856"/>
    <cellStyle name="Note 2 3 3" xfId="8529"/>
    <cellStyle name="Note 2 3 4" xfId="18330"/>
    <cellStyle name="Note 2 3 4 2" xfId="31857"/>
    <cellStyle name="Note 2 3 5" xfId="31858"/>
    <cellStyle name="Note 2 3 6" xfId="31859"/>
    <cellStyle name="Note 2 3 7" xfId="31860"/>
    <cellStyle name="Note 2 30" xfId="694"/>
    <cellStyle name="Note 2 30 2" xfId="6531"/>
    <cellStyle name="Note 2 30 2 2" xfId="10941"/>
    <cellStyle name="Note 2 30 2 3" xfId="18331"/>
    <cellStyle name="Note 2 30 2 3 2" xfId="31861"/>
    <cellStyle name="Note 2 30 2 4" xfId="31862"/>
    <cellStyle name="Note 2 30 2 5" xfId="31863"/>
    <cellStyle name="Note 2 30 2 6" xfId="31864"/>
    <cellStyle name="Note 2 30 3" xfId="8530"/>
    <cellStyle name="Note 2 30 4" xfId="18332"/>
    <cellStyle name="Note 2 30 4 2" xfId="31865"/>
    <cellStyle name="Note 2 30 5" xfId="31866"/>
    <cellStyle name="Note 2 30 6" xfId="31867"/>
    <cellStyle name="Note 2 30 7" xfId="31868"/>
    <cellStyle name="Note 2 31" xfId="695"/>
    <cellStyle name="Note 2 31 2" xfId="6532"/>
    <cellStyle name="Note 2 31 2 2" xfId="10942"/>
    <cellStyle name="Note 2 31 2 3" xfId="18333"/>
    <cellStyle name="Note 2 31 2 3 2" xfId="31869"/>
    <cellStyle name="Note 2 31 2 4" xfId="31870"/>
    <cellStyle name="Note 2 31 2 5" xfId="31871"/>
    <cellStyle name="Note 2 31 2 6" xfId="31872"/>
    <cellStyle name="Note 2 31 3" xfId="8531"/>
    <cellStyle name="Note 2 31 4" xfId="18334"/>
    <cellStyle name="Note 2 31 4 2" xfId="31873"/>
    <cellStyle name="Note 2 31 5" xfId="31874"/>
    <cellStyle name="Note 2 31 6" xfId="31875"/>
    <cellStyle name="Note 2 31 7" xfId="31876"/>
    <cellStyle name="Note 2 32" xfId="696"/>
    <cellStyle name="Note 2 32 2" xfId="6533"/>
    <cellStyle name="Note 2 32 2 2" xfId="10943"/>
    <cellStyle name="Note 2 32 2 3" xfId="18335"/>
    <cellStyle name="Note 2 32 2 3 2" xfId="31877"/>
    <cellStyle name="Note 2 32 2 4" xfId="31878"/>
    <cellStyle name="Note 2 32 2 5" xfId="31879"/>
    <cellStyle name="Note 2 32 2 6" xfId="31880"/>
    <cellStyle name="Note 2 32 3" xfId="8532"/>
    <cellStyle name="Note 2 32 4" xfId="18336"/>
    <cellStyle name="Note 2 32 4 2" xfId="31881"/>
    <cellStyle name="Note 2 32 5" xfId="31882"/>
    <cellStyle name="Note 2 32 6" xfId="31883"/>
    <cellStyle name="Note 2 32 7" xfId="31884"/>
    <cellStyle name="Note 2 33" xfId="697"/>
    <cellStyle name="Note 2 33 2" xfId="6534"/>
    <cellStyle name="Note 2 33 2 2" xfId="10944"/>
    <cellStyle name="Note 2 33 2 3" xfId="18337"/>
    <cellStyle name="Note 2 33 2 3 2" xfId="31885"/>
    <cellStyle name="Note 2 33 2 4" xfId="31886"/>
    <cellStyle name="Note 2 33 2 5" xfId="31887"/>
    <cellStyle name="Note 2 33 2 6" xfId="31888"/>
    <cellStyle name="Note 2 33 3" xfId="8533"/>
    <cellStyle name="Note 2 33 4" xfId="18338"/>
    <cellStyle name="Note 2 33 4 2" xfId="31889"/>
    <cellStyle name="Note 2 33 5" xfId="31890"/>
    <cellStyle name="Note 2 33 6" xfId="31891"/>
    <cellStyle name="Note 2 33 7" xfId="31892"/>
    <cellStyle name="Note 2 34" xfId="698"/>
    <cellStyle name="Note 2 34 2" xfId="6535"/>
    <cellStyle name="Note 2 34 2 2" xfId="10945"/>
    <cellStyle name="Note 2 34 2 3" xfId="18339"/>
    <cellStyle name="Note 2 34 2 3 2" xfId="31893"/>
    <cellStyle name="Note 2 34 2 4" xfId="31894"/>
    <cellStyle name="Note 2 34 2 5" xfId="31895"/>
    <cellStyle name="Note 2 34 2 6" xfId="31896"/>
    <cellStyle name="Note 2 34 3" xfId="8534"/>
    <cellStyle name="Note 2 34 4" xfId="18340"/>
    <cellStyle name="Note 2 34 4 2" xfId="31897"/>
    <cellStyle name="Note 2 34 5" xfId="31898"/>
    <cellStyle name="Note 2 34 6" xfId="31899"/>
    <cellStyle name="Note 2 34 7" xfId="31900"/>
    <cellStyle name="Note 2 35" xfId="699"/>
    <cellStyle name="Note 2 35 2" xfId="6536"/>
    <cellStyle name="Note 2 35 2 2" xfId="10946"/>
    <cellStyle name="Note 2 35 2 3" xfId="18341"/>
    <cellStyle name="Note 2 35 2 3 2" xfId="31901"/>
    <cellStyle name="Note 2 35 2 4" xfId="31902"/>
    <cellStyle name="Note 2 35 2 5" xfId="31903"/>
    <cellStyle name="Note 2 35 2 6" xfId="31904"/>
    <cellStyle name="Note 2 35 3" xfId="8535"/>
    <cellStyle name="Note 2 35 4" xfId="18342"/>
    <cellStyle name="Note 2 35 4 2" xfId="31905"/>
    <cellStyle name="Note 2 35 5" xfId="31906"/>
    <cellStyle name="Note 2 35 6" xfId="31907"/>
    <cellStyle name="Note 2 35 7" xfId="31908"/>
    <cellStyle name="Note 2 36" xfId="700"/>
    <cellStyle name="Note 2 36 2" xfId="6537"/>
    <cellStyle name="Note 2 36 2 2" xfId="10947"/>
    <cellStyle name="Note 2 36 2 3" xfId="18343"/>
    <cellStyle name="Note 2 36 2 3 2" xfId="31909"/>
    <cellStyle name="Note 2 36 2 4" xfId="31910"/>
    <cellStyle name="Note 2 36 2 5" xfId="31911"/>
    <cellStyle name="Note 2 36 2 6" xfId="31912"/>
    <cellStyle name="Note 2 36 3" xfId="8536"/>
    <cellStyle name="Note 2 36 4" xfId="18344"/>
    <cellStyle name="Note 2 36 4 2" xfId="31913"/>
    <cellStyle name="Note 2 36 5" xfId="31914"/>
    <cellStyle name="Note 2 36 6" xfId="31915"/>
    <cellStyle name="Note 2 36 7" xfId="31916"/>
    <cellStyle name="Note 2 37" xfId="701"/>
    <cellStyle name="Note 2 37 2" xfId="6538"/>
    <cellStyle name="Note 2 37 2 2" xfId="10948"/>
    <cellStyle name="Note 2 37 2 3" xfId="18345"/>
    <cellStyle name="Note 2 37 2 3 2" xfId="31917"/>
    <cellStyle name="Note 2 37 2 4" xfId="31918"/>
    <cellStyle name="Note 2 37 2 5" xfId="31919"/>
    <cellStyle name="Note 2 37 2 6" xfId="31920"/>
    <cellStyle name="Note 2 37 3" xfId="8537"/>
    <cellStyle name="Note 2 37 4" xfId="18346"/>
    <cellStyle name="Note 2 37 4 2" xfId="31921"/>
    <cellStyle name="Note 2 37 5" xfId="31922"/>
    <cellStyle name="Note 2 37 6" xfId="31923"/>
    <cellStyle name="Note 2 37 7" xfId="31924"/>
    <cellStyle name="Note 2 38" xfId="702"/>
    <cellStyle name="Note 2 38 2" xfId="6539"/>
    <cellStyle name="Note 2 38 2 2" xfId="10949"/>
    <cellStyle name="Note 2 38 2 3" xfId="18347"/>
    <cellStyle name="Note 2 38 2 3 2" xfId="31925"/>
    <cellStyle name="Note 2 38 2 4" xfId="31926"/>
    <cellStyle name="Note 2 38 2 5" xfId="31927"/>
    <cellStyle name="Note 2 38 2 6" xfId="31928"/>
    <cellStyle name="Note 2 38 3" xfId="8538"/>
    <cellStyle name="Note 2 38 4" xfId="18348"/>
    <cellStyle name="Note 2 38 4 2" xfId="31929"/>
    <cellStyle name="Note 2 38 5" xfId="31930"/>
    <cellStyle name="Note 2 38 6" xfId="31931"/>
    <cellStyle name="Note 2 38 7" xfId="31932"/>
    <cellStyle name="Note 2 39" xfId="703"/>
    <cellStyle name="Note 2 39 2" xfId="6540"/>
    <cellStyle name="Note 2 39 2 2" xfId="10950"/>
    <cellStyle name="Note 2 39 2 3" xfId="18349"/>
    <cellStyle name="Note 2 39 2 3 2" xfId="31933"/>
    <cellStyle name="Note 2 39 2 4" xfId="31934"/>
    <cellStyle name="Note 2 39 2 5" xfId="31935"/>
    <cellStyle name="Note 2 39 2 6" xfId="31936"/>
    <cellStyle name="Note 2 39 3" xfId="8539"/>
    <cellStyle name="Note 2 39 4" xfId="18350"/>
    <cellStyle name="Note 2 39 4 2" xfId="31937"/>
    <cellStyle name="Note 2 39 5" xfId="31938"/>
    <cellStyle name="Note 2 39 6" xfId="31939"/>
    <cellStyle name="Note 2 39 7" xfId="31940"/>
    <cellStyle name="Note 2 4" xfId="704"/>
    <cellStyle name="Note 2 4 2" xfId="6541"/>
    <cellStyle name="Note 2 4 2 2" xfId="10951"/>
    <cellStyle name="Note 2 4 2 3" xfId="18351"/>
    <cellStyle name="Note 2 4 2 3 2" xfId="31941"/>
    <cellStyle name="Note 2 4 2 4" xfId="31942"/>
    <cellStyle name="Note 2 4 2 5" xfId="31943"/>
    <cellStyle name="Note 2 4 2 6" xfId="31944"/>
    <cellStyle name="Note 2 4 3" xfId="8540"/>
    <cellStyle name="Note 2 4 4" xfId="18352"/>
    <cellStyle name="Note 2 4 4 2" xfId="31945"/>
    <cellStyle name="Note 2 4 5" xfId="31946"/>
    <cellStyle name="Note 2 4 6" xfId="31947"/>
    <cellStyle name="Note 2 4 7" xfId="31948"/>
    <cellStyle name="Note 2 40" xfId="705"/>
    <cellStyle name="Note 2 40 2" xfId="6542"/>
    <cellStyle name="Note 2 40 2 2" xfId="10952"/>
    <cellStyle name="Note 2 40 2 3" xfId="18353"/>
    <cellStyle name="Note 2 40 2 3 2" xfId="31949"/>
    <cellStyle name="Note 2 40 2 4" xfId="31950"/>
    <cellStyle name="Note 2 40 2 5" xfId="31951"/>
    <cellStyle name="Note 2 40 2 6" xfId="31952"/>
    <cellStyle name="Note 2 40 3" xfId="8541"/>
    <cellStyle name="Note 2 40 4" xfId="18354"/>
    <cellStyle name="Note 2 40 4 2" xfId="31953"/>
    <cellStyle name="Note 2 40 5" xfId="31954"/>
    <cellStyle name="Note 2 40 6" xfId="31955"/>
    <cellStyle name="Note 2 40 7" xfId="31956"/>
    <cellStyle name="Note 2 41" xfId="706"/>
    <cellStyle name="Note 2 41 2" xfId="6543"/>
    <cellStyle name="Note 2 41 2 2" xfId="10953"/>
    <cellStyle name="Note 2 41 2 3" xfId="18355"/>
    <cellStyle name="Note 2 41 2 3 2" xfId="31957"/>
    <cellStyle name="Note 2 41 2 4" xfId="31958"/>
    <cellStyle name="Note 2 41 2 5" xfId="31959"/>
    <cellStyle name="Note 2 41 2 6" xfId="31960"/>
    <cellStyle name="Note 2 41 3" xfId="8542"/>
    <cellStyle name="Note 2 41 4" xfId="18356"/>
    <cellStyle name="Note 2 41 4 2" xfId="31961"/>
    <cellStyle name="Note 2 41 5" xfId="31962"/>
    <cellStyle name="Note 2 41 6" xfId="31963"/>
    <cellStyle name="Note 2 41 7" xfId="31964"/>
    <cellStyle name="Note 2 42" xfId="707"/>
    <cellStyle name="Note 2 42 2" xfId="6544"/>
    <cellStyle name="Note 2 42 2 2" xfId="10954"/>
    <cellStyle name="Note 2 42 2 3" xfId="18357"/>
    <cellStyle name="Note 2 42 2 3 2" xfId="31965"/>
    <cellStyle name="Note 2 42 2 4" xfId="31966"/>
    <cellStyle name="Note 2 42 2 5" xfId="31967"/>
    <cellStyle name="Note 2 42 2 6" xfId="31968"/>
    <cellStyle name="Note 2 42 3" xfId="8543"/>
    <cellStyle name="Note 2 42 4" xfId="18358"/>
    <cellStyle name="Note 2 42 4 2" xfId="31969"/>
    <cellStyle name="Note 2 42 5" xfId="31970"/>
    <cellStyle name="Note 2 42 6" xfId="31971"/>
    <cellStyle name="Note 2 42 7" xfId="31972"/>
    <cellStyle name="Note 2 43" xfId="708"/>
    <cellStyle name="Note 2 43 2" xfId="6545"/>
    <cellStyle name="Note 2 43 2 2" xfId="10955"/>
    <cellStyle name="Note 2 43 2 3" xfId="18359"/>
    <cellStyle name="Note 2 43 2 3 2" xfId="31973"/>
    <cellStyle name="Note 2 43 2 4" xfId="31974"/>
    <cellStyle name="Note 2 43 2 5" xfId="31975"/>
    <cellStyle name="Note 2 43 2 6" xfId="31976"/>
    <cellStyle name="Note 2 43 3" xfId="8544"/>
    <cellStyle name="Note 2 43 4" xfId="18360"/>
    <cellStyle name="Note 2 43 4 2" xfId="31977"/>
    <cellStyle name="Note 2 43 5" xfId="31978"/>
    <cellStyle name="Note 2 43 6" xfId="31979"/>
    <cellStyle name="Note 2 43 7" xfId="31980"/>
    <cellStyle name="Note 2 44" xfId="709"/>
    <cellStyle name="Note 2 44 2" xfId="6546"/>
    <cellStyle name="Note 2 44 2 2" xfId="10956"/>
    <cellStyle name="Note 2 44 2 3" xfId="18361"/>
    <cellStyle name="Note 2 44 2 3 2" xfId="31981"/>
    <cellStyle name="Note 2 44 2 4" xfId="31982"/>
    <cellStyle name="Note 2 44 2 5" xfId="31983"/>
    <cellStyle name="Note 2 44 2 6" xfId="31984"/>
    <cellStyle name="Note 2 44 3" xfId="8545"/>
    <cellStyle name="Note 2 44 4" xfId="18362"/>
    <cellStyle name="Note 2 44 4 2" xfId="31985"/>
    <cellStyle name="Note 2 44 5" xfId="31986"/>
    <cellStyle name="Note 2 44 6" xfId="31987"/>
    <cellStyle name="Note 2 44 7" xfId="31988"/>
    <cellStyle name="Note 2 45" xfId="710"/>
    <cellStyle name="Note 2 45 2" xfId="6547"/>
    <cellStyle name="Note 2 45 2 2" xfId="10957"/>
    <cellStyle name="Note 2 45 2 3" xfId="18363"/>
    <cellStyle name="Note 2 45 2 3 2" xfId="31989"/>
    <cellStyle name="Note 2 45 2 4" xfId="31990"/>
    <cellStyle name="Note 2 45 2 5" xfId="31991"/>
    <cellStyle name="Note 2 45 2 6" xfId="31992"/>
    <cellStyle name="Note 2 45 3" xfId="8546"/>
    <cellStyle name="Note 2 45 4" xfId="18364"/>
    <cellStyle name="Note 2 45 4 2" xfId="31993"/>
    <cellStyle name="Note 2 45 5" xfId="31994"/>
    <cellStyle name="Note 2 45 6" xfId="31995"/>
    <cellStyle name="Note 2 45 7" xfId="31996"/>
    <cellStyle name="Note 2 46" xfId="711"/>
    <cellStyle name="Note 2 46 2" xfId="6548"/>
    <cellStyle name="Note 2 46 2 2" xfId="10958"/>
    <cellStyle name="Note 2 46 2 3" xfId="18365"/>
    <cellStyle name="Note 2 46 2 3 2" xfId="31997"/>
    <cellStyle name="Note 2 46 2 4" xfId="31998"/>
    <cellStyle name="Note 2 46 2 5" xfId="31999"/>
    <cellStyle name="Note 2 46 2 6" xfId="32000"/>
    <cellStyle name="Note 2 46 3" xfId="8547"/>
    <cellStyle name="Note 2 46 4" xfId="18366"/>
    <cellStyle name="Note 2 46 4 2" xfId="32001"/>
    <cellStyle name="Note 2 46 5" xfId="32002"/>
    <cellStyle name="Note 2 46 6" xfId="32003"/>
    <cellStyle name="Note 2 46 7" xfId="32004"/>
    <cellStyle name="Note 2 47" xfId="712"/>
    <cellStyle name="Note 2 47 2" xfId="6549"/>
    <cellStyle name="Note 2 47 2 2" xfId="10959"/>
    <cellStyle name="Note 2 47 2 3" xfId="18367"/>
    <cellStyle name="Note 2 47 2 3 2" xfId="32005"/>
    <cellStyle name="Note 2 47 2 4" xfId="32006"/>
    <cellStyle name="Note 2 47 2 5" xfId="32007"/>
    <cellStyle name="Note 2 47 2 6" xfId="32008"/>
    <cellStyle name="Note 2 47 3" xfId="8548"/>
    <cellStyle name="Note 2 47 4" xfId="18368"/>
    <cellStyle name="Note 2 47 4 2" xfId="32009"/>
    <cellStyle name="Note 2 47 5" xfId="32010"/>
    <cellStyle name="Note 2 47 6" xfId="32011"/>
    <cellStyle name="Note 2 47 7" xfId="32012"/>
    <cellStyle name="Note 2 48" xfId="713"/>
    <cellStyle name="Note 2 48 2" xfId="6550"/>
    <cellStyle name="Note 2 48 2 2" xfId="10960"/>
    <cellStyle name="Note 2 48 2 3" xfId="18369"/>
    <cellStyle name="Note 2 48 2 3 2" xfId="32013"/>
    <cellStyle name="Note 2 48 2 4" xfId="32014"/>
    <cellStyle name="Note 2 48 2 5" xfId="32015"/>
    <cellStyle name="Note 2 48 2 6" xfId="32016"/>
    <cellStyle name="Note 2 48 3" xfId="8549"/>
    <cellStyle name="Note 2 48 4" xfId="18370"/>
    <cellStyle name="Note 2 48 4 2" xfId="32017"/>
    <cellStyle name="Note 2 48 5" xfId="32018"/>
    <cellStyle name="Note 2 48 6" xfId="32019"/>
    <cellStyle name="Note 2 48 7" xfId="32020"/>
    <cellStyle name="Note 2 49" xfId="714"/>
    <cellStyle name="Note 2 49 2" xfId="6551"/>
    <cellStyle name="Note 2 49 2 2" xfId="10961"/>
    <cellStyle name="Note 2 49 2 3" xfId="18371"/>
    <cellStyle name="Note 2 49 2 3 2" xfId="32021"/>
    <cellStyle name="Note 2 49 2 4" xfId="32022"/>
    <cellStyle name="Note 2 49 2 5" xfId="32023"/>
    <cellStyle name="Note 2 49 2 6" xfId="32024"/>
    <cellStyle name="Note 2 49 3" xfId="8550"/>
    <cellStyle name="Note 2 49 4" xfId="18372"/>
    <cellStyle name="Note 2 49 4 2" xfId="32025"/>
    <cellStyle name="Note 2 49 5" xfId="32026"/>
    <cellStyle name="Note 2 49 6" xfId="32027"/>
    <cellStyle name="Note 2 49 7" xfId="32028"/>
    <cellStyle name="Note 2 5" xfId="715"/>
    <cellStyle name="Note 2 5 2" xfId="6552"/>
    <cellStyle name="Note 2 5 2 2" xfId="10962"/>
    <cellStyle name="Note 2 5 2 3" xfId="18373"/>
    <cellStyle name="Note 2 5 2 3 2" xfId="32029"/>
    <cellStyle name="Note 2 5 2 4" xfId="32030"/>
    <cellStyle name="Note 2 5 2 5" xfId="32031"/>
    <cellStyle name="Note 2 5 2 6" xfId="32032"/>
    <cellStyle name="Note 2 5 3" xfId="8551"/>
    <cellStyle name="Note 2 5 4" xfId="18374"/>
    <cellStyle name="Note 2 5 4 2" xfId="32033"/>
    <cellStyle name="Note 2 5 5" xfId="32034"/>
    <cellStyle name="Note 2 5 6" xfId="32035"/>
    <cellStyle name="Note 2 5 7" xfId="32036"/>
    <cellStyle name="Note 2 50" xfId="716"/>
    <cellStyle name="Note 2 50 2" xfId="6553"/>
    <cellStyle name="Note 2 50 2 2" xfId="10963"/>
    <cellStyle name="Note 2 50 2 3" xfId="18375"/>
    <cellStyle name="Note 2 50 2 3 2" xfId="32037"/>
    <cellStyle name="Note 2 50 2 4" xfId="32038"/>
    <cellStyle name="Note 2 50 2 5" xfId="32039"/>
    <cellStyle name="Note 2 50 2 6" xfId="32040"/>
    <cellStyle name="Note 2 50 3" xfId="8552"/>
    <cellStyle name="Note 2 50 4" xfId="18376"/>
    <cellStyle name="Note 2 50 4 2" xfId="32041"/>
    <cellStyle name="Note 2 50 5" xfId="32042"/>
    <cellStyle name="Note 2 50 6" xfId="32043"/>
    <cellStyle name="Note 2 50 7" xfId="32044"/>
    <cellStyle name="Note 2 51" xfId="717"/>
    <cellStyle name="Note 2 51 2" xfId="6554"/>
    <cellStyle name="Note 2 51 2 2" xfId="10964"/>
    <cellStyle name="Note 2 51 2 3" xfId="18377"/>
    <cellStyle name="Note 2 51 2 3 2" xfId="32045"/>
    <cellStyle name="Note 2 51 2 4" xfId="32046"/>
    <cellStyle name="Note 2 51 2 5" xfId="32047"/>
    <cellStyle name="Note 2 51 2 6" xfId="32048"/>
    <cellStyle name="Note 2 51 3" xfId="8553"/>
    <cellStyle name="Note 2 51 4" xfId="18378"/>
    <cellStyle name="Note 2 51 4 2" xfId="32049"/>
    <cellStyle name="Note 2 51 5" xfId="32050"/>
    <cellStyle name="Note 2 51 6" xfId="32051"/>
    <cellStyle name="Note 2 51 7" xfId="32052"/>
    <cellStyle name="Note 2 52" xfId="718"/>
    <cellStyle name="Note 2 52 2" xfId="6555"/>
    <cellStyle name="Note 2 52 2 2" xfId="10965"/>
    <cellStyle name="Note 2 52 2 3" xfId="18379"/>
    <cellStyle name="Note 2 52 2 3 2" xfId="32053"/>
    <cellStyle name="Note 2 52 2 4" xfId="32054"/>
    <cellStyle name="Note 2 52 2 5" xfId="32055"/>
    <cellStyle name="Note 2 52 2 6" xfId="32056"/>
    <cellStyle name="Note 2 52 3" xfId="8554"/>
    <cellStyle name="Note 2 52 4" xfId="18380"/>
    <cellStyle name="Note 2 52 4 2" xfId="32057"/>
    <cellStyle name="Note 2 52 5" xfId="32058"/>
    <cellStyle name="Note 2 52 6" xfId="32059"/>
    <cellStyle name="Note 2 52 7" xfId="32060"/>
    <cellStyle name="Note 2 53" xfId="719"/>
    <cellStyle name="Note 2 53 2" xfId="6556"/>
    <cellStyle name="Note 2 53 2 2" xfId="10966"/>
    <cellStyle name="Note 2 53 2 3" xfId="18381"/>
    <cellStyle name="Note 2 53 2 3 2" xfId="32061"/>
    <cellStyle name="Note 2 53 2 4" xfId="32062"/>
    <cellStyle name="Note 2 53 2 5" xfId="32063"/>
    <cellStyle name="Note 2 53 2 6" xfId="32064"/>
    <cellStyle name="Note 2 53 3" xfId="8555"/>
    <cellStyle name="Note 2 53 4" xfId="18382"/>
    <cellStyle name="Note 2 53 4 2" xfId="32065"/>
    <cellStyle name="Note 2 53 5" xfId="32066"/>
    <cellStyle name="Note 2 53 6" xfId="32067"/>
    <cellStyle name="Note 2 53 7" xfId="32068"/>
    <cellStyle name="Note 2 54" xfId="720"/>
    <cellStyle name="Note 2 54 2" xfId="6557"/>
    <cellStyle name="Note 2 54 2 2" xfId="10967"/>
    <cellStyle name="Note 2 54 2 3" xfId="18383"/>
    <cellStyle name="Note 2 54 2 3 2" xfId="32069"/>
    <cellStyle name="Note 2 54 2 4" xfId="32070"/>
    <cellStyle name="Note 2 54 2 5" xfId="32071"/>
    <cellStyle name="Note 2 54 2 6" xfId="32072"/>
    <cellStyle name="Note 2 54 3" xfId="8556"/>
    <cellStyle name="Note 2 54 4" xfId="18384"/>
    <cellStyle name="Note 2 54 4 2" xfId="32073"/>
    <cellStyle name="Note 2 54 5" xfId="32074"/>
    <cellStyle name="Note 2 54 6" xfId="32075"/>
    <cellStyle name="Note 2 54 7" xfId="32076"/>
    <cellStyle name="Note 2 55" xfId="721"/>
    <cellStyle name="Note 2 55 2" xfId="6558"/>
    <cellStyle name="Note 2 55 2 2" xfId="10968"/>
    <cellStyle name="Note 2 55 2 3" xfId="18385"/>
    <cellStyle name="Note 2 55 2 3 2" xfId="32077"/>
    <cellStyle name="Note 2 55 2 4" xfId="32078"/>
    <cellStyle name="Note 2 55 2 5" xfId="32079"/>
    <cellStyle name="Note 2 55 2 6" xfId="32080"/>
    <cellStyle name="Note 2 55 3" xfId="8557"/>
    <cellStyle name="Note 2 55 4" xfId="18386"/>
    <cellStyle name="Note 2 55 4 2" xfId="32081"/>
    <cellStyle name="Note 2 55 5" xfId="32082"/>
    <cellStyle name="Note 2 55 6" xfId="32083"/>
    <cellStyle name="Note 2 55 7" xfId="32084"/>
    <cellStyle name="Note 2 56" xfId="722"/>
    <cellStyle name="Note 2 56 2" xfId="6559"/>
    <cellStyle name="Note 2 56 2 2" xfId="10969"/>
    <cellStyle name="Note 2 56 2 3" xfId="18387"/>
    <cellStyle name="Note 2 56 2 3 2" xfId="32085"/>
    <cellStyle name="Note 2 56 2 4" xfId="32086"/>
    <cellStyle name="Note 2 56 2 5" xfId="32087"/>
    <cellStyle name="Note 2 56 2 6" xfId="32088"/>
    <cellStyle name="Note 2 56 3" xfId="8558"/>
    <cellStyle name="Note 2 56 4" xfId="18388"/>
    <cellStyle name="Note 2 56 4 2" xfId="32089"/>
    <cellStyle name="Note 2 56 5" xfId="32090"/>
    <cellStyle name="Note 2 56 6" xfId="32091"/>
    <cellStyle name="Note 2 56 7" xfId="32092"/>
    <cellStyle name="Note 2 57" xfId="723"/>
    <cellStyle name="Note 2 57 2" xfId="6560"/>
    <cellStyle name="Note 2 57 2 2" xfId="10970"/>
    <cellStyle name="Note 2 57 2 3" xfId="18389"/>
    <cellStyle name="Note 2 57 2 3 2" xfId="32093"/>
    <cellStyle name="Note 2 57 2 4" xfId="32094"/>
    <cellStyle name="Note 2 57 2 5" xfId="32095"/>
    <cellStyle name="Note 2 57 2 6" xfId="32096"/>
    <cellStyle name="Note 2 57 3" xfId="8559"/>
    <cellStyle name="Note 2 57 4" xfId="18390"/>
    <cellStyle name="Note 2 57 4 2" xfId="32097"/>
    <cellStyle name="Note 2 57 5" xfId="32098"/>
    <cellStyle name="Note 2 57 6" xfId="32099"/>
    <cellStyle name="Note 2 57 7" xfId="32100"/>
    <cellStyle name="Note 2 58" xfId="724"/>
    <cellStyle name="Note 2 58 2" xfId="6561"/>
    <cellStyle name="Note 2 58 2 2" xfId="10971"/>
    <cellStyle name="Note 2 58 2 3" xfId="18391"/>
    <cellStyle name="Note 2 58 2 3 2" xfId="32101"/>
    <cellStyle name="Note 2 58 2 4" xfId="32102"/>
    <cellStyle name="Note 2 58 2 5" xfId="32103"/>
    <cellStyle name="Note 2 58 2 6" xfId="32104"/>
    <cellStyle name="Note 2 58 3" xfId="8560"/>
    <cellStyle name="Note 2 58 4" xfId="18392"/>
    <cellStyle name="Note 2 58 4 2" xfId="32105"/>
    <cellStyle name="Note 2 58 5" xfId="32106"/>
    <cellStyle name="Note 2 58 6" xfId="32107"/>
    <cellStyle name="Note 2 58 7" xfId="32108"/>
    <cellStyle name="Note 2 59" xfId="725"/>
    <cellStyle name="Note 2 59 2" xfId="6562"/>
    <cellStyle name="Note 2 59 2 2" xfId="10972"/>
    <cellStyle name="Note 2 59 2 3" xfId="18393"/>
    <cellStyle name="Note 2 59 2 3 2" xfId="32109"/>
    <cellStyle name="Note 2 59 2 4" xfId="32110"/>
    <cellStyle name="Note 2 59 2 5" xfId="32111"/>
    <cellStyle name="Note 2 59 2 6" xfId="32112"/>
    <cellStyle name="Note 2 59 3" xfId="8561"/>
    <cellStyle name="Note 2 59 4" xfId="18394"/>
    <cellStyle name="Note 2 59 4 2" xfId="32113"/>
    <cellStyle name="Note 2 59 5" xfId="32114"/>
    <cellStyle name="Note 2 59 6" xfId="32115"/>
    <cellStyle name="Note 2 59 7" xfId="32116"/>
    <cellStyle name="Note 2 6" xfId="726"/>
    <cellStyle name="Note 2 6 2" xfId="6563"/>
    <cellStyle name="Note 2 6 2 2" xfId="10973"/>
    <cellStyle name="Note 2 6 2 3" xfId="18395"/>
    <cellStyle name="Note 2 6 2 3 2" xfId="32117"/>
    <cellStyle name="Note 2 6 2 4" xfId="32118"/>
    <cellStyle name="Note 2 6 2 5" xfId="32119"/>
    <cellStyle name="Note 2 6 2 6" xfId="32120"/>
    <cellStyle name="Note 2 6 3" xfId="8562"/>
    <cellStyle name="Note 2 6 4" xfId="18396"/>
    <cellStyle name="Note 2 6 4 2" xfId="32121"/>
    <cellStyle name="Note 2 6 5" xfId="32122"/>
    <cellStyle name="Note 2 6 6" xfId="32123"/>
    <cellStyle name="Note 2 6 7" xfId="32124"/>
    <cellStyle name="Note 2 60" xfId="727"/>
    <cellStyle name="Note 2 60 2" xfId="6564"/>
    <cellStyle name="Note 2 60 2 2" xfId="10974"/>
    <cellStyle name="Note 2 60 2 3" xfId="18397"/>
    <cellStyle name="Note 2 60 2 3 2" xfId="32125"/>
    <cellStyle name="Note 2 60 2 4" xfId="32126"/>
    <cellStyle name="Note 2 60 2 5" xfId="32127"/>
    <cellStyle name="Note 2 60 2 6" xfId="32128"/>
    <cellStyle name="Note 2 60 3" xfId="8563"/>
    <cellStyle name="Note 2 60 4" xfId="18398"/>
    <cellStyle name="Note 2 60 4 2" xfId="32129"/>
    <cellStyle name="Note 2 60 5" xfId="32130"/>
    <cellStyle name="Note 2 60 6" xfId="32131"/>
    <cellStyle name="Note 2 60 7" xfId="32132"/>
    <cellStyle name="Note 2 61" xfId="728"/>
    <cellStyle name="Note 2 61 2" xfId="6565"/>
    <cellStyle name="Note 2 61 2 2" xfId="10975"/>
    <cellStyle name="Note 2 61 2 3" xfId="18399"/>
    <cellStyle name="Note 2 61 2 3 2" xfId="32133"/>
    <cellStyle name="Note 2 61 2 4" xfId="32134"/>
    <cellStyle name="Note 2 61 2 5" xfId="32135"/>
    <cellStyle name="Note 2 61 2 6" xfId="32136"/>
    <cellStyle name="Note 2 61 3" xfId="8564"/>
    <cellStyle name="Note 2 61 4" xfId="18400"/>
    <cellStyle name="Note 2 61 4 2" xfId="32137"/>
    <cellStyle name="Note 2 61 5" xfId="32138"/>
    <cellStyle name="Note 2 61 6" xfId="32139"/>
    <cellStyle name="Note 2 61 7" xfId="32140"/>
    <cellStyle name="Note 2 62" xfId="729"/>
    <cellStyle name="Note 2 62 2" xfId="6566"/>
    <cellStyle name="Note 2 62 2 2" xfId="10976"/>
    <cellStyle name="Note 2 62 2 3" xfId="18401"/>
    <cellStyle name="Note 2 62 2 3 2" xfId="32141"/>
    <cellStyle name="Note 2 62 2 4" xfId="32142"/>
    <cellStyle name="Note 2 62 2 5" xfId="32143"/>
    <cellStyle name="Note 2 62 2 6" xfId="32144"/>
    <cellStyle name="Note 2 62 3" xfId="8565"/>
    <cellStyle name="Note 2 62 4" xfId="18402"/>
    <cellStyle name="Note 2 62 4 2" xfId="32145"/>
    <cellStyle name="Note 2 62 5" xfId="32146"/>
    <cellStyle name="Note 2 62 6" xfId="32147"/>
    <cellStyle name="Note 2 62 7" xfId="32148"/>
    <cellStyle name="Note 2 63" xfId="730"/>
    <cellStyle name="Note 2 63 2" xfId="6567"/>
    <cellStyle name="Note 2 63 2 2" xfId="10977"/>
    <cellStyle name="Note 2 63 2 3" xfId="18403"/>
    <cellStyle name="Note 2 63 2 3 2" xfId="32149"/>
    <cellStyle name="Note 2 63 2 4" xfId="32150"/>
    <cellStyle name="Note 2 63 2 5" xfId="32151"/>
    <cellStyle name="Note 2 63 2 6" xfId="32152"/>
    <cellStyle name="Note 2 63 3" xfId="8566"/>
    <cellStyle name="Note 2 63 4" xfId="18404"/>
    <cellStyle name="Note 2 63 4 2" xfId="32153"/>
    <cellStyle name="Note 2 63 5" xfId="32154"/>
    <cellStyle name="Note 2 63 6" xfId="32155"/>
    <cellStyle name="Note 2 63 7" xfId="32156"/>
    <cellStyle name="Note 2 64" xfId="731"/>
    <cellStyle name="Note 2 64 2" xfId="6568"/>
    <cellStyle name="Note 2 64 2 2" xfId="10978"/>
    <cellStyle name="Note 2 64 2 3" xfId="18405"/>
    <cellStyle name="Note 2 64 2 3 2" xfId="32157"/>
    <cellStyle name="Note 2 64 2 4" xfId="32158"/>
    <cellStyle name="Note 2 64 2 5" xfId="32159"/>
    <cellStyle name="Note 2 64 2 6" xfId="32160"/>
    <cellStyle name="Note 2 64 3" xfId="8567"/>
    <cellStyle name="Note 2 64 4" xfId="18406"/>
    <cellStyle name="Note 2 64 4 2" xfId="32161"/>
    <cellStyle name="Note 2 64 5" xfId="32162"/>
    <cellStyle name="Note 2 64 6" xfId="32163"/>
    <cellStyle name="Note 2 64 7" xfId="32164"/>
    <cellStyle name="Note 2 65" xfId="732"/>
    <cellStyle name="Note 2 65 2" xfId="6569"/>
    <cellStyle name="Note 2 65 2 2" xfId="10979"/>
    <cellStyle name="Note 2 65 2 3" xfId="18407"/>
    <cellStyle name="Note 2 65 2 3 2" xfId="32165"/>
    <cellStyle name="Note 2 65 2 4" xfId="32166"/>
    <cellStyle name="Note 2 65 2 5" xfId="32167"/>
    <cellStyle name="Note 2 65 2 6" xfId="32168"/>
    <cellStyle name="Note 2 65 3" xfId="8568"/>
    <cellStyle name="Note 2 65 4" xfId="18408"/>
    <cellStyle name="Note 2 65 4 2" xfId="32169"/>
    <cellStyle name="Note 2 65 5" xfId="32170"/>
    <cellStyle name="Note 2 65 6" xfId="32171"/>
    <cellStyle name="Note 2 65 7" xfId="32172"/>
    <cellStyle name="Note 2 66" xfId="733"/>
    <cellStyle name="Note 2 66 2" xfId="6570"/>
    <cellStyle name="Note 2 66 2 2" xfId="10980"/>
    <cellStyle name="Note 2 66 2 3" xfId="18409"/>
    <cellStyle name="Note 2 66 2 3 2" xfId="32173"/>
    <cellStyle name="Note 2 66 2 4" xfId="32174"/>
    <cellStyle name="Note 2 66 2 5" xfId="32175"/>
    <cellStyle name="Note 2 66 2 6" xfId="32176"/>
    <cellStyle name="Note 2 66 3" xfId="8569"/>
    <cellStyle name="Note 2 66 4" xfId="18410"/>
    <cellStyle name="Note 2 66 4 2" xfId="32177"/>
    <cellStyle name="Note 2 66 5" xfId="32178"/>
    <cellStyle name="Note 2 66 6" xfId="32179"/>
    <cellStyle name="Note 2 66 7" xfId="32180"/>
    <cellStyle name="Note 2 67" xfId="734"/>
    <cellStyle name="Note 2 67 2" xfId="6571"/>
    <cellStyle name="Note 2 67 2 2" xfId="10981"/>
    <cellStyle name="Note 2 67 2 3" xfId="18411"/>
    <cellStyle name="Note 2 67 2 3 2" xfId="32181"/>
    <cellStyle name="Note 2 67 2 4" xfId="32182"/>
    <cellStyle name="Note 2 67 2 5" xfId="32183"/>
    <cellStyle name="Note 2 67 2 6" xfId="32184"/>
    <cellStyle name="Note 2 67 3" xfId="8570"/>
    <cellStyle name="Note 2 67 4" xfId="18412"/>
    <cellStyle name="Note 2 67 4 2" xfId="32185"/>
    <cellStyle name="Note 2 67 5" xfId="32186"/>
    <cellStyle name="Note 2 67 6" xfId="32187"/>
    <cellStyle name="Note 2 67 7" xfId="32188"/>
    <cellStyle name="Note 2 68" xfId="735"/>
    <cellStyle name="Note 2 68 2" xfId="6572"/>
    <cellStyle name="Note 2 68 2 2" xfId="10982"/>
    <cellStyle name="Note 2 68 2 3" xfId="18413"/>
    <cellStyle name="Note 2 68 2 3 2" xfId="32189"/>
    <cellStyle name="Note 2 68 2 4" xfId="32190"/>
    <cellStyle name="Note 2 68 2 5" xfId="32191"/>
    <cellStyle name="Note 2 68 2 6" xfId="32192"/>
    <cellStyle name="Note 2 68 3" xfId="8571"/>
    <cellStyle name="Note 2 68 4" xfId="18414"/>
    <cellStyle name="Note 2 68 4 2" xfId="32193"/>
    <cellStyle name="Note 2 68 5" xfId="32194"/>
    <cellStyle name="Note 2 68 6" xfId="32195"/>
    <cellStyle name="Note 2 68 7" xfId="32196"/>
    <cellStyle name="Note 2 69" xfId="736"/>
    <cellStyle name="Note 2 69 2" xfId="6573"/>
    <cellStyle name="Note 2 69 2 2" xfId="10983"/>
    <cellStyle name="Note 2 69 2 3" xfId="18415"/>
    <cellStyle name="Note 2 69 2 3 2" xfId="32197"/>
    <cellStyle name="Note 2 69 2 4" xfId="32198"/>
    <cellStyle name="Note 2 69 2 5" xfId="32199"/>
    <cellStyle name="Note 2 69 2 6" xfId="32200"/>
    <cellStyle name="Note 2 69 3" xfId="8572"/>
    <cellStyle name="Note 2 69 4" xfId="18416"/>
    <cellStyle name="Note 2 69 4 2" xfId="32201"/>
    <cellStyle name="Note 2 69 5" xfId="32202"/>
    <cellStyle name="Note 2 69 6" xfId="32203"/>
    <cellStyle name="Note 2 69 7" xfId="32204"/>
    <cellStyle name="Note 2 7" xfId="737"/>
    <cellStyle name="Note 2 7 2" xfId="6574"/>
    <cellStyle name="Note 2 7 2 2" xfId="10984"/>
    <cellStyle name="Note 2 7 2 3" xfId="18417"/>
    <cellStyle name="Note 2 7 2 3 2" xfId="32205"/>
    <cellStyle name="Note 2 7 2 4" xfId="32206"/>
    <cellStyle name="Note 2 7 2 5" xfId="32207"/>
    <cellStyle name="Note 2 7 2 6" xfId="32208"/>
    <cellStyle name="Note 2 7 3" xfId="8573"/>
    <cellStyle name="Note 2 7 4" xfId="18418"/>
    <cellStyle name="Note 2 7 4 2" xfId="32209"/>
    <cellStyle name="Note 2 7 5" xfId="32210"/>
    <cellStyle name="Note 2 7 6" xfId="32211"/>
    <cellStyle name="Note 2 7 7" xfId="32212"/>
    <cellStyle name="Note 2 70" xfId="738"/>
    <cellStyle name="Note 2 70 2" xfId="6575"/>
    <cellStyle name="Note 2 70 2 2" xfId="10985"/>
    <cellStyle name="Note 2 70 2 3" xfId="18419"/>
    <cellStyle name="Note 2 70 2 3 2" xfId="32213"/>
    <cellStyle name="Note 2 70 2 4" xfId="32214"/>
    <cellStyle name="Note 2 70 2 5" xfId="32215"/>
    <cellStyle name="Note 2 70 2 6" xfId="32216"/>
    <cellStyle name="Note 2 70 3" xfId="8574"/>
    <cellStyle name="Note 2 70 4" xfId="18420"/>
    <cellStyle name="Note 2 70 4 2" xfId="32217"/>
    <cellStyle name="Note 2 70 5" xfId="32218"/>
    <cellStyle name="Note 2 70 6" xfId="32219"/>
    <cellStyle name="Note 2 70 7" xfId="32220"/>
    <cellStyle name="Note 2 71" xfId="739"/>
    <cellStyle name="Note 2 71 2" xfId="6576"/>
    <cellStyle name="Note 2 71 2 2" xfId="10986"/>
    <cellStyle name="Note 2 71 2 3" xfId="18421"/>
    <cellStyle name="Note 2 71 2 3 2" xfId="32221"/>
    <cellStyle name="Note 2 71 2 4" xfId="32222"/>
    <cellStyle name="Note 2 71 2 5" xfId="32223"/>
    <cellStyle name="Note 2 71 2 6" xfId="32224"/>
    <cellStyle name="Note 2 71 3" xfId="8575"/>
    <cellStyle name="Note 2 71 4" xfId="18422"/>
    <cellStyle name="Note 2 71 4 2" xfId="32225"/>
    <cellStyle name="Note 2 71 5" xfId="32226"/>
    <cellStyle name="Note 2 71 6" xfId="32227"/>
    <cellStyle name="Note 2 71 7" xfId="32228"/>
    <cellStyle name="Note 2 72" xfId="740"/>
    <cellStyle name="Note 2 72 2" xfId="6577"/>
    <cellStyle name="Note 2 72 2 2" xfId="10987"/>
    <cellStyle name="Note 2 72 2 3" xfId="18423"/>
    <cellStyle name="Note 2 72 2 3 2" xfId="32229"/>
    <cellStyle name="Note 2 72 2 4" xfId="32230"/>
    <cellStyle name="Note 2 72 2 5" xfId="32231"/>
    <cellStyle name="Note 2 72 2 6" xfId="32232"/>
    <cellStyle name="Note 2 72 3" xfId="8576"/>
    <cellStyle name="Note 2 72 4" xfId="18424"/>
    <cellStyle name="Note 2 72 4 2" xfId="32233"/>
    <cellStyle name="Note 2 72 5" xfId="32234"/>
    <cellStyle name="Note 2 72 6" xfId="32235"/>
    <cellStyle name="Note 2 72 7" xfId="32236"/>
    <cellStyle name="Note 2 73" xfId="741"/>
    <cellStyle name="Note 2 73 2" xfId="6578"/>
    <cellStyle name="Note 2 73 2 2" xfId="10988"/>
    <cellStyle name="Note 2 73 2 3" xfId="18425"/>
    <cellStyle name="Note 2 73 2 3 2" xfId="32237"/>
    <cellStyle name="Note 2 73 2 4" xfId="32238"/>
    <cellStyle name="Note 2 73 2 5" xfId="32239"/>
    <cellStyle name="Note 2 73 2 6" xfId="32240"/>
    <cellStyle name="Note 2 73 3" xfId="8577"/>
    <cellStyle name="Note 2 73 4" xfId="18426"/>
    <cellStyle name="Note 2 73 4 2" xfId="32241"/>
    <cellStyle name="Note 2 73 5" xfId="32242"/>
    <cellStyle name="Note 2 73 6" xfId="32243"/>
    <cellStyle name="Note 2 73 7" xfId="32244"/>
    <cellStyle name="Note 2 74" xfId="742"/>
    <cellStyle name="Note 2 74 2" xfId="6579"/>
    <cellStyle name="Note 2 74 2 2" xfId="10989"/>
    <cellStyle name="Note 2 74 2 3" xfId="18427"/>
    <cellStyle name="Note 2 74 2 3 2" xfId="32245"/>
    <cellStyle name="Note 2 74 2 4" xfId="32246"/>
    <cellStyle name="Note 2 74 2 5" xfId="32247"/>
    <cellStyle name="Note 2 74 2 6" xfId="32248"/>
    <cellStyle name="Note 2 74 3" xfId="8578"/>
    <cellStyle name="Note 2 74 4" xfId="18428"/>
    <cellStyle name="Note 2 74 4 2" xfId="32249"/>
    <cellStyle name="Note 2 74 5" xfId="32250"/>
    <cellStyle name="Note 2 74 6" xfId="32251"/>
    <cellStyle name="Note 2 74 7" xfId="32252"/>
    <cellStyle name="Note 2 75" xfId="743"/>
    <cellStyle name="Note 2 75 2" xfId="6580"/>
    <cellStyle name="Note 2 75 2 2" xfId="10990"/>
    <cellStyle name="Note 2 75 2 3" xfId="18429"/>
    <cellStyle name="Note 2 75 2 3 2" xfId="32253"/>
    <cellStyle name="Note 2 75 2 4" xfId="32254"/>
    <cellStyle name="Note 2 75 2 5" xfId="32255"/>
    <cellStyle name="Note 2 75 2 6" xfId="32256"/>
    <cellStyle name="Note 2 75 3" xfId="8579"/>
    <cellStyle name="Note 2 75 4" xfId="18430"/>
    <cellStyle name="Note 2 75 4 2" xfId="32257"/>
    <cellStyle name="Note 2 75 5" xfId="32258"/>
    <cellStyle name="Note 2 75 6" xfId="32259"/>
    <cellStyle name="Note 2 75 7" xfId="32260"/>
    <cellStyle name="Note 2 76" xfId="744"/>
    <cellStyle name="Note 2 76 2" xfId="6581"/>
    <cellStyle name="Note 2 76 2 2" xfId="10991"/>
    <cellStyle name="Note 2 76 2 3" xfId="18431"/>
    <cellStyle name="Note 2 76 2 3 2" xfId="32261"/>
    <cellStyle name="Note 2 76 2 4" xfId="32262"/>
    <cellStyle name="Note 2 76 2 5" xfId="32263"/>
    <cellStyle name="Note 2 76 2 6" xfId="32264"/>
    <cellStyle name="Note 2 76 3" xfId="8580"/>
    <cellStyle name="Note 2 76 4" xfId="18432"/>
    <cellStyle name="Note 2 76 4 2" xfId="32265"/>
    <cellStyle name="Note 2 76 5" xfId="32266"/>
    <cellStyle name="Note 2 76 6" xfId="32267"/>
    <cellStyle name="Note 2 76 7" xfId="32268"/>
    <cellStyle name="Note 2 77" xfId="745"/>
    <cellStyle name="Note 2 77 2" xfId="6582"/>
    <cellStyle name="Note 2 77 2 2" xfId="10992"/>
    <cellStyle name="Note 2 77 2 3" xfId="18433"/>
    <cellStyle name="Note 2 77 2 3 2" xfId="32269"/>
    <cellStyle name="Note 2 77 2 4" xfId="32270"/>
    <cellStyle name="Note 2 77 2 5" xfId="32271"/>
    <cellStyle name="Note 2 77 2 6" xfId="32272"/>
    <cellStyle name="Note 2 77 3" xfId="8581"/>
    <cellStyle name="Note 2 77 4" xfId="18434"/>
    <cellStyle name="Note 2 77 4 2" xfId="32273"/>
    <cellStyle name="Note 2 77 5" xfId="32274"/>
    <cellStyle name="Note 2 77 6" xfId="32275"/>
    <cellStyle name="Note 2 77 7" xfId="32276"/>
    <cellStyle name="Note 2 78" xfId="746"/>
    <cellStyle name="Note 2 78 2" xfId="6583"/>
    <cellStyle name="Note 2 78 2 2" xfId="10993"/>
    <cellStyle name="Note 2 78 2 3" xfId="18435"/>
    <cellStyle name="Note 2 78 2 3 2" xfId="32277"/>
    <cellStyle name="Note 2 78 2 4" xfId="32278"/>
    <cellStyle name="Note 2 78 2 5" xfId="32279"/>
    <cellStyle name="Note 2 78 2 6" xfId="32280"/>
    <cellStyle name="Note 2 78 3" xfId="8582"/>
    <cellStyle name="Note 2 78 4" xfId="18436"/>
    <cellStyle name="Note 2 78 4 2" xfId="32281"/>
    <cellStyle name="Note 2 78 5" xfId="32282"/>
    <cellStyle name="Note 2 78 6" xfId="32283"/>
    <cellStyle name="Note 2 78 7" xfId="32284"/>
    <cellStyle name="Note 2 79" xfId="747"/>
    <cellStyle name="Note 2 79 2" xfId="6584"/>
    <cellStyle name="Note 2 79 2 2" xfId="10994"/>
    <cellStyle name="Note 2 79 2 3" xfId="18437"/>
    <cellStyle name="Note 2 79 2 3 2" xfId="32285"/>
    <cellStyle name="Note 2 79 2 4" xfId="32286"/>
    <cellStyle name="Note 2 79 2 5" xfId="32287"/>
    <cellStyle name="Note 2 79 2 6" xfId="32288"/>
    <cellStyle name="Note 2 79 3" xfId="8583"/>
    <cellStyle name="Note 2 79 4" xfId="18438"/>
    <cellStyle name="Note 2 79 4 2" xfId="32289"/>
    <cellStyle name="Note 2 79 5" xfId="32290"/>
    <cellStyle name="Note 2 79 6" xfId="32291"/>
    <cellStyle name="Note 2 79 7" xfId="32292"/>
    <cellStyle name="Note 2 8" xfId="748"/>
    <cellStyle name="Note 2 8 2" xfId="6585"/>
    <cellStyle name="Note 2 8 2 2" xfId="10995"/>
    <cellStyle name="Note 2 8 2 3" xfId="18439"/>
    <cellStyle name="Note 2 8 2 3 2" xfId="32293"/>
    <cellStyle name="Note 2 8 2 4" xfId="32294"/>
    <cellStyle name="Note 2 8 2 5" xfId="32295"/>
    <cellStyle name="Note 2 8 2 6" xfId="32296"/>
    <cellStyle name="Note 2 8 3" xfId="8584"/>
    <cellStyle name="Note 2 8 4" xfId="18440"/>
    <cellStyle name="Note 2 8 4 2" xfId="32297"/>
    <cellStyle name="Note 2 8 5" xfId="32298"/>
    <cellStyle name="Note 2 8 6" xfId="32299"/>
    <cellStyle name="Note 2 8 7" xfId="32300"/>
    <cellStyle name="Note 2 80" xfId="6586"/>
    <cellStyle name="Note 2 80 2" xfId="10918"/>
    <cellStyle name="Note 2 80 3" xfId="18441"/>
    <cellStyle name="Note 2 80 3 2" xfId="32301"/>
    <cellStyle name="Note 2 80 4" xfId="32302"/>
    <cellStyle name="Note 2 80 5" xfId="32303"/>
    <cellStyle name="Note 2 80 6" xfId="32304"/>
    <cellStyle name="Note 2 81" xfId="8507"/>
    <cellStyle name="Note 2 82" xfId="18442"/>
    <cellStyle name="Note 2 82 2" xfId="32305"/>
    <cellStyle name="Note 2 83" xfId="32306"/>
    <cellStyle name="Note 2 84" xfId="32307"/>
    <cellStyle name="Note 2 85" xfId="32308"/>
    <cellStyle name="Note 2 9" xfId="749"/>
    <cellStyle name="Note 2 9 2" xfId="6587"/>
    <cellStyle name="Note 2 9 2 2" xfId="10996"/>
    <cellStyle name="Note 2 9 2 3" xfId="18443"/>
    <cellStyle name="Note 2 9 2 3 2" xfId="32309"/>
    <cellStyle name="Note 2 9 2 4" xfId="32310"/>
    <cellStyle name="Note 2 9 2 5" xfId="32311"/>
    <cellStyle name="Note 2 9 2 6" xfId="32312"/>
    <cellStyle name="Note 2 9 3" xfId="8585"/>
    <cellStyle name="Note 2 9 4" xfId="18444"/>
    <cellStyle name="Note 2 9 4 2" xfId="32313"/>
    <cellStyle name="Note 2 9 5" xfId="32314"/>
    <cellStyle name="Note 2 9 6" xfId="32315"/>
    <cellStyle name="Note 2 9 7" xfId="32316"/>
    <cellStyle name="Note 20" xfId="18445"/>
    <cellStyle name="Note 20 2" xfId="32317"/>
    <cellStyle name="Note 21" xfId="32318"/>
    <cellStyle name="Note 22" xfId="32319"/>
    <cellStyle name="Note 23" xfId="32320"/>
    <cellStyle name="Note 3" xfId="750"/>
    <cellStyle name="Note 3 2" xfId="6588"/>
    <cellStyle name="Note 3 2 2" xfId="10997"/>
    <cellStyle name="Note 3 2 3" xfId="18446"/>
    <cellStyle name="Note 3 2 3 2" xfId="32321"/>
    <cellStyle name="Note 3 2 4" xfId="32322"/>
    <cellStyle name="Note 3 2 5" xfId="32323"/>
    <cellStyle name="Note 3 2 6" xfId="32324"/>
    <cellStyle name="Note 3 3" xfId="8586"/>
    <cellStyle name="Note 3 4" xfId="18447"/>
    <cellStyle name="Note 3 4 2" xfId="32325"/>
    <cellStyle name="Note 3 5" xfId="32326"/>
    <cellStyle name="Note 3 6" xfId="32327"/>
    <cellStyle name="Note 3 7" xfId="32328"/>
    <cellStyle name="Note 4" xfId="751"/>
    <cellStyle name="Note 4 2" xfId="6589"/>
    <cellStyle name="Note 4 2 2" xfId="10998"/>
    <cellStyle name="Note 4 2 3" xfId="18448"/>
    <cellStyle name="Note 4 2 3 2" xfId="32329"/>
    <cellStyle name="Note 4 2 4" xfId="32330"/>
    <cellStyle name="Note 4 2 5" xfId="32331"/>
    <cellStyle name="Note 4 2 6" xfId="32332"/>
    <cellStyle name="Note 4 3" xfId="8587"/>
    <cellStyle name="Note 4 4" xfId="18449"/>
    <cellStyle name="Note 4 4 2" xfId="32333"/>
    <cellStyle name="Note 4 5" xfId="32334"/>
    <cellStyle name="Note 4 6" xfId="32335"/>
    <cellStyle name="Note 4 7" xfId="32336"/>
    <cellStyle name="Note 5" xfId="752"/>
    <cellStyle name="Note 5 2" xfId="6590"/>
    <cellStyle name="Note 5 2 2" xfId="10999"/>
    <cellStyle name="Note 5 2 3" xfId="18450"/>
    <cellStyle name="Note 5 2 3 2" xfId="32337"/>
    <cellStyle name="Note 5 2 4" xfId="32338"/>
    <cellStyle name="Note 5 2 5" xfId="32339"/>
    <cellStyle name="Note 5 2 6" xfId="32340"/>
    <cellStyle name="Note 5 3" xfId="8588"/>
    <cellStyle name="Note 5 4" xfId="18451"/>
    <cellStyle name="Note 5 4 2" xfId="32341"/>
    <cellStyle name="Note 5 5" xfId="32342"/>
    <cellStyle name="Note 5 6" xfId="32343"/>
    <cellStyle name="Note 5 7" xfId="32344"/>
    <cellStyle name="Note 6" xfId="753"/>
    <cellStyle name="Note 6 2" xfId="6591"/>
    <cellStyle name="Note 6 2 2" xfId="11000"/>
    <cellStyle name="Note 6 2 3" xfId="18452"/>
    <cellStyle name="Note 6 2 3 2" xfId="32345"/>
    <cellStyle name="Note 6 2 4" xfId="32346"/>
    <cellStyle name="Note 6 2 5" xfId="32347"/>
    <cellStyle name="Note 6 2 6" xfId="32348"/>
    <cellStyle name="Note 6 3" xfId="8589"/>
    <cellStyle name="Note 6 4" xfId="18453"/>
    <cellStyle name="Note 6 4 2" xfId="32349"/>
    <cellStyle name="Note 6 5" xfId="32350"/>
    <cellStyle name="Note 6 6" xfId="32351"/>
    <cellStyle name="Note 6 7" xfId="32352"/>
    <cellStyle name="Note 7" xfId="754"/>
    <cellStyle name="Note 7 2" xfId="6592"/>
    <cellStyle name="Note 7 2 2" xfId="11001"/>
    <cellStyle name="Note 7 2 3" xfId="18454"/>
    <cellStyle name="Note 7 2 3 2" xfId="32353"/>
    <cellStyle name="Note 7 2 4" xfId="32354"/>
    <cellStyle name="Note 7 2 5" xfId="32355"/>
    <cellStyle name="Note 7 2 6" xfId="32356"/>
    <cellStyle name="Note 7 3" xfId="8590"/>
    <cellStyle name="Note 7 4" xfId="18455"/>
    <cellStyle name="Note 7 4 2" xfId="32357"/>
    <cellStyle name="Note 7 5" xfId="32358"/>
    <cellStyle name="Note 7 6" xfId="32359"/>
    <cellStyle name="Note 7 7" xfId="32360"/>
    <cellStyle name="Note 8" xfId="755"/>
    <cellStyle name="Note 8 2" xfId="6593"/>
    <cellStyle name="Note 8 2 2" xfId="11002"/>
    <cellStyle name="Note 8 2 3" xfId="18456"/>
    <cellStyle name="Note 8 2 3 2" xfId="32361"/>
    <cellStyle name="Note 8 2 4" xfId="32362"/>
    <cellStyle name="Note 8 2 5" xfId="32363"/>
    <cellStyle name="Note 8 2 6" xfId="32364"/>
    <cellStyle name="Note 8 3" xfId="8591"/>
    <cellStyle name="Note 8 4" xfId="18457"/>
    <cellStyle name="Note 8 4 2" xfId="32365"/>
    <cellStyle name="Note 8 5" xfId="32366"/>
    <cellStyle name="Note 8 6" xfId="32367"/>
    <cellStyle name="Note 8 7" xfId="32368"/>
    <cellStyle name="Note 9" xfId="756"/>
    <cellStyle name="Note 9 2" xfId="6594"/>
    <cellStyle name="Note 9 2 2" xfId="11003"/>
    <cellStyle name="Note 9 2 3" xfId="18458"/>
    <cellStyle name="Note 9 2 3 2" xfId="32369"/>
    <cellStyle name="Note 9 2 4" xfId="32370"/>
    <cellStyle name="Note 9 2 5" xfId="32371"/>
    <cellStyle name="Note 9 2 6" xfId="32372"/>
    <cellStyle name="Note 9 3" xfId="8592"/>
    <cellStyle name="Note 9 4" xfId="18459"/>
    <cellStyle name="Note 9 4 2" xfId="32373"/>
    <cellStyle name="Note 9 5" xfId="32374"/>
    <cellStyle name="Note 9 6" xfId="32375"/>
    <cellStyle name="Note 9 7" xfId="32376"/>
    <cellStyle name="Notitie 2" xfId="757"/>
    <cellStyle name="Notitie 2 10" xfId="758"/>
    <cellStyle name="Notitie 2 10 2" xfId="6595"/>
    <cellStyle name="Notitie 2 10 2 2" xfId="11005"/>
    <cellStyle name="Notitie 2 10 2 3" xfId="18460"/>
    <cellStyle name="Notitie 2 10 2 3 2" xfId="32377"/>
    <cellStyle name="Notitie 2 10 2 4" xfId="32378"/>
    <cellStyle name="Notitie 2 10 2 5" xfId="32379"/>
    <cellStyle name="Notitie 2 10 2 6" xfId="32380"/>
    <cellStyle name="Notitie 2 10 3" xfId="8594"/>
    <cellStyle name="Notitie 2 10 4" xfId="18461"/>
    <cellStyle name="Notitie 2 10 4 2" xfId="32381"/>
    <cellStyle name="Notitie 2 10 5" xfId="32382"/>
    <cellStyle name="Notitie 2 10 6" xfId="32383"/>
    <cellStyle name="Notitie 2 10 7" xfId="32384"/>
    <cellStyle name="Notitie 2 11" xfId="759"/>
    <cellStyle name="Notitie 2 11 2" xfId="6596"/>
    <cellStyle name="Notitie 2 11 2 2" xfId="11006"/>
    <cellStyle name="Notitie 2 11 2 3" xfId="18462"/>
    <cellStyle name="Notitie 2 11 2 3 2" xfId="32385"/>
    <cellStyle name="Notitie 2 11 2 4" xfId="32386"/>
    <cellStyle name="Notitie 2 11 2 5" xfId="32387"/>
    <cellStyle name="Notitie 2 11 2 6" xfId="32388"/>
    <cellStyle name="Notitie 2 11 3" xfId="8595"/>
    <cellStyle name="Notitie 2 11 4" xfId="18463"/>
    <cellStyle name="Notitie 2 11 4 2" xfId="32389"/>
    <cellStyle name="Notitie 2 11 5" xfId="32390"/>
    <cellStyle name="Notitie 2 11 6" xfId="32391"/>
    <cellStyle name="Notitie 2 11 7" xfId="32392"/>
    <cellStyle name="Notitie 2 12" xfId="760"/>
    <cellStyle name="Notitie 2 12 2" xfId="6597"/>
    <cellStyle name="Notitie 2 12 2 2" xfId="11007"/>
    <cellStyle name="Notitie 2 12 2 3" xfId="18464"/>
    <cellStyle name="Notitie 2 12 2 3 2" xfId="32393"/>
    <cellStyle name="Notitie 2 12 2 4" xfId="32394"/>
    <cellStyle name="Notitie 2 12 2 5" xfId="32395"/>
    <cellStyle name="Notitie 2 12 2 6" xfId="32396"/>
    <cellStyle name="Notitie 2 12 3" xfId="8596"/>
    <cellStyle name="Notitie 2 12 4" xfId="18465"/>
    <cellStyle name="Notitie 2 12 4 2" xfId="32397"/>
    <cellStyle name="Notitie 2 12 5" xfId="32398"/>
    <cellStyle name="Notitie 2 12 6" xfId="32399"/>
    <cellStyle name="Notitie 2 12 7" xfId="32400"/>
    <cellStyle name="Notitie 2 13" xfId="761"/>
    <cellStyle name="Notitie 2 13 2" xfId="6598"/>
    <cellStyle name="Notitie 2 13 2 2" xfId="11008"/>
    <cellStyle name="Notitie 2 13 2 3" xfId="18466"/>
    <cellStyle name="Notitie 2 13 2 3 2" xfId="32401"/>
    <cellStyle name="Notitie 2 13 2 4" xfId="32402"/>
    <cellStyle name="Notitie 2 13 2 5" xfId="32403"/>
    <cellStyle name="Notitie 2 13 2 6" xfId="32404"/>
    <cellStyle name="Notitie 2 13 3" xfId="8597"/>
    <cellStyle name="Notitie 2 13 4" xfId="18467"/>
    <cellStyle name="Notitie 2 13 4 2" xfId="32405"/>
    <cellStyle name="Notitie 2 13 5" xfId="32406"/>
    <cellStyle name="Notitie 2 13 6" xfId="32407"/>
    <cellStyle name="Notitie 2 13 7" xfId="32408"/>
    <cellStyle name="Notitie 2 14" xfId="762"/>
    <cellStyle name="Notitie 2 14 2" xfId="6599"/>
    <cellStyle name="Notitie 2 14 2 2" xfId="11009"/>
    <cellStyle name="Notitie 2 14 2 3" xfId="18468"/>
    <cellStyle name="Notitie 2 14 2 3 2" xfId="32409"/>
    <cellStyle name="Notitie 2 14 2 4" xfId="32410"/>
    <cellStyle name="Notitie 2 14 2 5" xfId="32411"/>
    <cellStyle name="Notitie 2 14 2 6" xfId="32412"/>
    <cellStyle name="Notitie 2 14 3" xfId="8598"/>
    <cellStyle name="Notitie 2 14 4" xfId="18469"/>
    <cellStyle name="Notitie 2 14 4 2" xfId="32413"/>
    <cellStyle name="Notitie 2 14 5" xfId="32414"/>
    <cellStyle name="Notitie 2 14 6" xfId="32415"/>
    <cellStyle name="Notitie 2 14 7" xfId="32416"/>
    <cellStyle name="Notitie 2 15" xfId="763"/>
    <cellStyle name="Notitie 2 15 2" xfId="6600"/>
    <cellStyle name="Notitie 2 15 2 2" xfId="11010"/>
    <cellStyle name="Notitie 2 15 2 3" xfId="18470"/>
    <cellStyle name="Notitie 2 15 2 3 2" xfId="32417"/>
    <cellStyle name="Notitie 2 15 2 4" xfId="32418"/>
    <cellStyle name="Notitie 2 15 2 5" xfId="32419"/>
    <cellStyle name="Notitie 2 15 2 6" xfId="32420"/>
    <cellStyle name="Notitie 2 15 3" xfId="8599"/>
    <cellStyle name="Notitie 2 15 4" xfId="18471"/>
    <cellStyle name="Notitie 2 15 4 2" xfId="32421"/>
    <cellStyle name="Notitie 2 15 5" xfId="32422"/>
    <cellStyle name="Notitie 2 15 6" xfId="32423"/>
    <cellStyle name="Notitie 2 15 7" xfId="32424"/>
    <cellStyle name="Notitie 2 16" xfId="764"/>
    <cellStyle name="Notitie 2 16 2" xfId="6601"/>
    <cellStyle name="Notitie 2 16 2 2" xfId="11011"/>
    <cellStyle name="Notitie 2 16 2 3" xfId="18472"/>
    <cellStyle name="Notitie 2 16 2 3 2" xfId="32425"/>
    <cellStyle name="Notitie 2 16 2 4" xfId="32426"/>
    <cellStyle name="Notitie 2 16 2 5" xfId="32427"/>
    <cellStyle name="Notitie 2 16 2 6" xfId="32428"/>
    <cellStyle name="Notitie 2 16 3" xfId="8600"/>
    <cellStyle name="Notitie 2 16 4" xfId="18473"/>
    <cellStyle name="Notitie 2 16 4 2" xfId="32429"/>
    <cellStyle name="Notitie 2 16 5" xfId="32430"/>
    <cellStyle name="Notitie 2 16 6" xfId="32431"/>
    <cellStyle name="Notitie 2 16 7" xfId="32432"/>
    <cellStyle name="Notitie 2 17" xfId="765"/>
    <cellStyle name="Notitie 2 17 2" xfId="6602"/>
    <cellStyle name="Notitie 2 17 2 2" xfId="11012"/>
    <cellStyle name="Notitie 2 17 2 3" xfId="18474"/>
    <cellStyle name="Notitie 2 17 2 3 2" xfId="32433"/>
    <cellStyle name="Notitie 2 17 2 4" xfId="32434"/>
    <cellStyle name="Notitie 2 17 2 5" xfId="32435"/>
    <cellStyle name="Notitie 2 17 2 6" xfId="32436"/>
    <cellStyle name="Notitie 2 17 3" xfId="8601"/>
    <cellStyle name="Notitie 2 17 4" xfId="18475"/>
    <cellStyle name="Notitie 2 17 4 2" xfId="32437"/>
    <cellStyle name="Notitie 2 17 5" xfId="32438"/>
    <cellStyle name="Notitie 2 17 6" xfId="32439"/>
    <cellStyle name="Notitie 2 17 7" xfId="32440"/>
    <cellStyle name="Notitie 2 18" xfId="6603"/>
    <cellStyle name="Notitie 2 18 2" xfId="11004"/>
    <cellStyle name="Notitie 2 18 3" xfId="18476"/>
    <cellStyle name="Notitie 2 18 3 2" xfId="32441"/>
    <cellStyle name="Notitie 2 18 4" xfId="32442"/>
    <cellStyle name="Notitie 2 18 5" xfId="32443"/>
    <cellStyle name="Notitie 2 18 6" xfId="32444"/>
    <cellStyle name="Notitie 2 19" xfId="8593"/>
    <cellStyle name="Notitie 2 2" xfId="766"/>
    <cellStyle name="Notitie 2 2 10" xfId="767"/>
    <cellStyle name="Notitie 2 2 10 2" xfId="6604"/>
    <cellStyle name="Notitie 2 2 10 2 2" xfId="11014"/>
    <cellStyle name="Notitie 2 2 10 2 3" xfId="18477"/>
    <cellStyle name="Notitie 2 2 10 2 3 2" xfId="32445"/>
    <cellStyle name="Notitie 2 2 10 2 4" xfId="32446"/>
    <cellStyle name="Notitie 2 2 10 2 5" xfId="32447"/>
    <cellStyle name="Notitie 2 2 10 2 6" xfId="32448"/>
    <cellStyle name="Notitie 2 2 10 3" xfId="8603"/>
    <cellStyle name="Notitie 2 2 10 4" xfId="18478"/>
    <cellStyle name="Notitie 2 2 10 4 2" xfId="32449"/>
    <cellStyle name="Notitie 2 2 10 5" xfId="32450"/>
    <cellStyle name="Notitie 2 2 10 6" xfId="32451"/>
    <cellStyle name="Notitie 2 2 10 7" xfId="32452"/>
    <cellStyle name="Notitie 2 2 11" xfId="768"/>
    <cellStyle name="Notitie 2 2 11 2" xfId="6605"/>
    <cellStyle name="Notitie 2 2 11 2 2" xfId="11015"/>
    <cellStyle name="Notitie 2 2 11 2 3" xfId="18479"/>
    <cellStyle name="Notitie 2 2 11 2 3 2" xfId="32453"/>
    <cellStyle name="Notitie 2 2 11 2 4" xfId="32454"/>
    <cellStyle name="Notitie 2 2 11 2 5" xfId="32455"/>
    <cellStyle name="Notitie 2 2 11 2 6" xfId="32456"/>
    <cellStyle name="Notitie 2 2 11 3" xfId="8604"/>
    <cellStyle name="Notitie 2 2 11 4" xfId="18480"/>
    <cellStyle name="Notitie 2 2 11 4 2" xfId="32457"/>
    <cellStyle name="Notitie 2 2 11 5" xfId="32458"/>
    <cellStyle name="Notitie 2 2 11 6" xfId="32459"/>
    <cellStyle name="Notitie 2 2 11 7" xfId="32460"/>
    <cellStyle name="Notitie 2 2 12" xfId="769"/>
    <cellStyle name="Notitie 2 2 12 2" xfId="6606"/>
    <cellStyle name="Notitie 2 2 12 2 2" xfId="11016"/>
    <cellStyle name="Notitie 2 2 12 2 3" xfId="18481"/>
    <cellStyle name="Notitie 2 2 12 2 3 2" xfId="32461"/>
    <cellStyle name="Notitie 2 2 12 2 4" xfId="32462"/>
    <cellStyle name="Notitie 2 2 12 2 5" xfId="32463"/>
    <cellStyle name="Notitie 2 2 12 2 6" xfId="32464"/>
    <cellStyle name="Notitie 2 2 12 3" xfId="8605"/>
    <cellStyle name="Notitie 2 2 12 4" xfId="18482"/>
    <cellStyle name="Notitie 2 2 12 4 2" xfId="32465"/>
    <cellStyle name="Notitie 2 2 12 5" xfId="32466"/>
    <cellStyle name="Notitie 2 2 12 6" xfId="32467"/>
    <cellStyle name="Notitie 2 2 12 7" xfId="32468"/>
    <cellStyle name="Notitie 2 2 13" xfId="770"/>
    <cellStyle name="Notitie 2 2 13 2" xfId="6607"/>
    <cellStyle name="Notitie 2 2 13 2 2" xfId="11017"/>
    <cellStyle name="Notitie 2 2 13 2 3" xfId="18483"/>
    <cellStyle name="Notitie 2 2 13 2 3 2" xfId="32469"/>
    <cellStyle name="Notitie 2 2 13 2 4" xfId="32470"/>
    <cellStyle name="Notitie 2 2 13 2 5" xfId="32471"/>
    <cellStyle name="Notitie 2 2 13 2 6" xfId="32472"/>
    <cellStyle name="Notitie 2 2 13 3" xfId="8606"/>
    <cellStyle name="Notitie 2 2 13 4" xfId="18484"/>
    <cellStyle name="Notitie 2 2 13 4 2" xfId="32473"/>
    <cellStyle name="Notitie 2 2 13 5" xfId="32474"/>
    <cellStyle name="Notitie 2 2 13 6" xfId="32475"/>
    <cellStyle name="Notitie 2 2 13 7" xfId="32476"/>
    <cellStyle name="Notitie 2 2 14" xfId="771"/>
    <cellStyle name="Notitie 2 2 14 2" xfId="6608"/>
    <cellStyle name="Notitie 2 2 14 2 2" xfId="11018"/>
    <cellStyle name="Notitie 2 2 14 2 3" xfId="18485"/>
    <cellStyle name="Notitie 2 2 14 2 3 2" xfId="32477"/>
    <cellStyle name="Notitie 2 2 14 2 4" xfId="32478"/>
    <cellStyle name="Notitie 2 2 14 2 5" xfId="32479"/>
    <cellStyle name="Notitie 2 2 14 2 6" xfId="32480"/>
    <cellStyle name="Notitie 2 2 14 3" xfId="8607"/>
    <cellStyle name="Notitie 2 2 14 4" xfId="18486"/>
    <cellStyle name="Notitie 2 2 14 4 2" xfId="32481"/>
    <cellStyle name="Notitie 2 2 14 5" xfId="32482"/>
    <cellStyle name="Notitie 2 2 14 6" xfId="32483"/>
    <cellStyle name="Notitie 2 2 14 7" xfId="32484"/>
    <cellStyle name="Notitie 2 2 15" xfId="772"/>
    <cellStyle name="Notitie 2 2 15 2" xfId="6609"/>
    <cellStyle name="Notitie 2 2 15 2 2" xfId="11019"/>
    <cellStyle name="Notitie 2 2 15 2 3" xfId="18487"/>
    <cellStyle name="Notitie 2 2 15 2 3 2" xfId="32485"/>
    <cellStyle name="Notitie 2 2 15 2 4" xfId="32486"/>
    <cellStyle name="Notitie 2 2 15 2 5" xfId="32487"/>
    <cellStyle name="Notitie 2 2 15 2 6" xfId="32488"/>
    <cellStyle name="Notitie 2 2 15 3" xfId="8608"/>
    <cellStyle name="Notitie 2 2 15 4" xfId="18488"/>
    <cellStyle name="Notitie 2 2 15 4 2" xfId="32489"/>
    <cellStyle name="Notitie 2 2 15 5" xfId="32490"/>
    <cellStyle name="Notitie 2 2 15 6" xfId="32491"/>
    <cellStyle name="Notitie 2 2 15 7" xfId="32492"/>
    <cellStyle name="Notitie 2 2 16" xfId="773"/>
    <cellStyle name="Notitie 2 2 16 2" xfId="6610"/>
    <cellStyle name="Notitie 2 2 16 2 2" xfId="11020"/>
    <cellStyle name="Notitie 2 2 16 2 3" xfId="18489"/>
    <cellStyle name="Notitie 2 2 16 2 3 2" xfId="32493"/>
    <cellStyle name="Notitie 2 2 16 2 4" xfId="32494"/>
    <cellStyle name="Notitie 2 2 16 2 5" xfId="32495"/>
    <cellStyle name="Notitie 2 2 16 2 6" xfId="32496"/>
    <cellStyle name="Notitie 2 2 16 3" xfId="8609"/>
    <cellStyle name="Notitie 2 2 16 4" xfId="18490"/>
    <cellStyle name="Notitie 2 2 16 4 2" xfId="32497"/>
    <cellStyle name="Notitie 2 2 16 5" xfId="32498"/>
    <cellStyle name="Notitie 2 2 16 6" xfId="32499"/>
    <cellStyle name="Notitie 2 2 16 7" xfId="32500"/>
    <cellStyle name="Notitie 2 2 17" xfId="774"/>
    <cellStyle name="Notitie 2 2 17 2" xfId="6611"/>
    <cellStyle name="Notitie 2 2 17 2 2" xfId="11021"/>
    <cellStyle name="Notitie 2 2 17 2 3" xfId="18491"/>
    <cellStyle name="Notitie 2 2 17 2 3 2" xfId="32501"/>
    <cellStyle name="Notitie 2 2 17 2 4" xfId="32502"/>
    <cellStyle name="Notitie 2 2 17 2 5" xfId="32503"/>
    <cellStyle name="Notitie 2 2 17 2 6" xfId="32504"/>
    <cellStyle name="Notitie 2 2 17 3" xfId="8610"/>
    <cellStyle name="Notitie 2 2 17 4" xfId="18492"/>
    <cellStyle name="Notitie 2 2 17 4 2" xfId="32505"/>
    <cellStyle name="Notitie 2 2 17 5" xfId="32506"/>
    <cellStyle name="Notitie 2 2 17 6" xfId="32507"/>
    <cellStyle name="Notitie 2 2 17 7" xfId="32508"/>
    <cellStyle name="Notitie 2 2 18" xfId="775"/>
    <cellStyle name="Notitie 2 2 18 2" xfId="6612"/>
    <cellStyle name="Notitie 2 2 18 2 2" xfId="11022"/>
    <cellStyle name="Notitie 2 2 18 2 3" xfId="18493"/>
    <cellStyle name="Notitie 2 2 18 2 3 2" xfId="32509"/>
    <cellStyle name="Notitie 2 2 18 2 4" xfId="32510"/>
    <cellStyle name="Notitie 2 2 18 2 5" xfId="32511"/>
    <cellStyle name="Notitie 2 2 18 2 6" xfId="32512"/>
    <cellStyle name="Notitie 2 2 18 3" xfId="8611"/>
    <cellStyle name="Notitie 2 2 18 4" xfId="18494"/>
    <cellStyle name="Notitie 2 2 18 4 2" xfId="32513"/>
    <cellStyle name="Notitie 2 2 18 5" xfId="32514"/>
    <cellStyle name="Notitie 2 2 18 6" xfId="32515"/>
    <cellStyle name="Notitie 2 2 18 7" xfId="32516"/>
    <cellStyle name="Notitie 2 2 19" xfId="776"/>
    <cellStyle name="Notitie 2 2 19 2" xfId="6613"/>
    <cellStyle name="Notitie 2 2 19 2 2" xfId="11023"/>
    <cellStyle name="Notitie 2 2 19 2 3" xfId="18495"/>
    <cellStyle name="Notitie 2 2 19 2 3 2" xfId="32517"/>
    <cellStyle name="Notitie 2 2 19 2 4" xfId="32518"/>
    <cellStyle name="Notitie 2 2 19 2 5" xfId="32519"/>
    <cellStyle name="Notitie 2 2 19 2 6" xfId="32520"/>
    <cellStyle name="Notitie 2 2 19 3" xfId="8612"/>
    <cellStyle name="Notitie 2 2 19 4" xfId="18496"/>
    <cellStyle name="Notitie 2 2 19 4 2" xfId="32521"/>
    <cellStyle name="Notitie 2 2 19 5" xfId="32522"/>
    <cellStyle name="Notitie 2 2 19 6" xfId="32523"/>
    <cellStyle name="Notitie 2 2 19 7" xfId="32524"/>
    <cellStyle name="Notitie 2 2 2" xfId="777"/>
    <cellStyle name="Notitie 2 2 2 2" xfId="6614"/>
    <cellStyle name="Notitie 2 2 2 2 2" xfId="11024"/>
    <cellStyle name="Notitie 2 2 2 2 3" xfId="18497"/>
    <cellStyle name="Notitie 2 2 2 2 3 2" xfId="32525"/>
    <cellStyle name="Notitie 2 2 2 2 4" xfId="32526"/>
    <cellStyle name="Notitie 2 2 2 2 5" xfId="32527"/>
    <cellStyle name="Notitie 2 2 2 2 6" xfId="32528"/>
    <cellStyle name="Notitie 2 2 2 3" xfId="8613"/>
    <cellStyle name="Notitie 2 2 2 4" xfId="18498"/>
    <cellStyle name="Notitie 2 2 2 4 2" xfId="32529"/>
    <cellStyle name="Notitie 2 2 2 5" xfId="32530"/>
    <cellStyle name="Notitie 2 2 2 6" xfId="32531"/>
    <cellStyle name="Notitie 2 2 2 7" xfId="32532"/>
    <cellStyle name="Notitie 2 2 20" xfId="778"/>
    <cellStyle name="Notitie 2 2 20 2" xfId="6615"/>
    <cellStyle name="Notitie 2 2 20 2 2" xfId="11025"/>
    <cellStyle name="Notitie 2 2 20 2 3" xfId="18499"/>
    <cellStyle name="Notitie 2 2 20 2 3 2" xfId="32533"/>
    <cellStyle name="Notitie 2 2 20 2 4" xfId="32534"/>
    <cellStyle name="Notitie 2 2 20 2 5" xfId="32535"/>
    <cellStyle name="Notitie 2 2 20 2 6" xfId="32536"/>
    <cellStyle name="Notitie 2 2 20 3" xfId="8614"/>
    <cellStyle name="Notitie 2 2 20 4" xfId="18500"/>
    <cellStyle name="Notitie 2 2 20 4 2" xfId="32537"/>
    <cellStyle name="Notitie 2 2 20 5" xfId="32538"/>
    <cellStyle name="Notitie 2 2 20 6" xfId="32539"/>
    <cellStyle name="Notitie 2 2 20 7" xfId="32540"/>
    <cellStyle name="Notitie 2 2 21" xfId="779"/>
    <cellStyle name="Notitie 2 2 21 2" xfId="6616"/>
    <cellStyle name="Notitie 2 2 21 2 2" xfId="11026"/>
    <cellStyle name="Notitie 2 2 21 2 3" xfId="18501"/>
    <cellStyle name="Notitie 2 2 21 2 3 2" xfId="32541"/>
    <cellStyle name="Notitie 2 2 21 2 4" xfId="32542"/>
    <cellStyle name="Notitie 2 2 21 2 5" xfId="32543"/>
    <cellStyle name="Notitie 2 2 21 2 6" xfId="32544"/>
    <cellStyle name="Notitie 2 2 21 3" xfId="8615"/>
    <cellStyle name="Notitie 2 2 21 4" xfId="18502"/>
    <cellStyle name="Notitie 2 2 21 4 2" xfId="32545"/>
    <cellStyle name="Notitie 2 2 21 5" xfId="32546"/>
    <cellStyle name="Notitie 2 2 21 6" xfId="32547"/>
    <cellStyle name="Notitie 2 2 21 7" xfId="32548"/>
    <cellStyle name="Notitie 2 2 22" xfId="780"/>
    <cellStyle name="Notitie 2 2 22 2" xfId="6617"/>
    <cellStyle name="Notitie 2 2 22 2 2" xfId="11027"/>
    <cellStyle name="Notitie 2 2 22 2 3" xfId="18503"/>
    <cellStyle name="Notitie 2 2 22 2 3 2" xfId="32549"/>
    <cellStyle name="Notitie 2 2 22 2 4" xfId="32550"/>
    <cellStyle name="Notitie 2 2 22 2 5" xfId="32551"/>
    <cellStyle name="Notitie 2 2 22 2 6" xfId="32552"/>
    <cellStyle name="Notitie 2 2 22 3" xfId="8616"/>
    <cellStyle name="Notitie 2 2 22 4" xfId="18504"/>
    <cellStyle name="Notitie 2 2 22 4 2" xfId="32553"/>
    <cellStyle name="Notitie 2 2 22 5" xfId="32554"/>
    <cellStyle name="Notitie 2 2 22 6" xfId="32555"/>
    <cellStyle name="Notitie 2 2 22 7" xfId="32556"/>
    <cellStyle name="Notitie 2 2 23" xfId="781"/>
    <cellStyle name="Notitie 2 2 23 2" xfId="6618"/>
    <cellStyle name="Notitie 2 2 23 2 2" xfId="11028"/>
    <cellStyle name="Notitie 2 2 23 2 3" xfId="18505"/>
    <cellStyle name="Notitie 2 2 23 2 3 2" xfId="32557"/>
    <cellStyle name="Notitie 2 2 23 2 4" xfId="32558"/>
    <cellStyle name="Notitie 2 2 23 2 5" xfId="32559"/>
    <cellStyle name="Notitie 2 2 23 2 6" xfId="32560"/>
    <cellStyle name="Notitie 2 2 23 3" xfId="8617"/>
    <cellStyle name="Notitie 2 2 23 4" xfId="18506"/>
    <cellStyle name="Notitie 2 2 23 4 2" xfId="32561"/>
    <cellStyle name="Notitie 2 2 23 5" xfId="32562"/>
    <cellStyle name="Notitie 2 2 23 6" xfId="32563"/>
    <cellStyle name="Notitie 2 2 23 7" xfId="32564"/>
    <cellStyle name="Notitie 2 2 24" xfId="782"/>
    <cellStyle name="Notitie 2 2 24 2" xfId="6619"/>
    <cellStyle name="Notitie 2 2 24 2 2" xfId="11029"/>
    <cellStyle name="Notitie 2 2 24 2 3" xfId="18507"/>
    <cellStyle name="Notitie 2 2 24 2 3 2" xfId="32565"/>
    <cellStyle name="Notitie 2 2 24 2 4" xfId="32566"/>
    <cellStyle name="Notitie 2 2 24 2 5" xfId="32567"/>
    <cellStyle name="Notitie 2 2 24 2 6" xfId="32568"/>
    <cellStyle name="Notitie 2 2 24 3" xfId="8618"/>
    <cellStyle name="Notitie 2 2 24 4" xfId="18508"/>
    <cellStyle name="Notitie 2 2 24 4 2" xfId="32569"/>
    <cellStyle name="Notitie 2 2 24 5" xfId="32570"/>
    <cellStyle name="Notitie 2 2 24 6" xfId="32571"/>
    <cellStyle name="Notitie 2 2 24 7" xfId="32572"/>
    <cellStyle name="Notitie 2 2 25" xfId="783"/>
    <cellStyle name="Notitie 2 2 25 2" xfId="6620"/>
    <cellStyle name="Notitie 2 2 25 2 2" xfId="11030"/>
    <cellStyle name="Notitie 2 2 25 2 3" xfId="18509"/>
    <cellStyle name="Notitie 2 2 25 2 3 2" xfId="32573"/>
    <cellStyle name="Notitie 2 2 25 2 4" xfId="32574"/>
    <cellStyle name="Notitie 2 2 25 2 5" xfId="32575"/>
    <cellStyle name="Notitie 2 2 25 2 6" xfId="32576"/>
    <cellStyle name="Notitie 2 2 25 3" xfId="8619"/>
    <cellStyle name="Notitie 2 2 25 4" xfId="18510"/>
    <cellStyle name="Notitie 2 2 25 4 2" xfId="32577"/>
    <cellStyle name="Notitie 2 2 25 5" xfId="32578"/>
    <cellStyle name="Notitie 2 2 25 6" xfId="32579"/>
    <cellStyle name="Notitie 2 2 25 7" xfId="32580"/>
    <cellStyle name="Notitie 2 2 26" xfId="784"/>
    <cellStyle name="Notitie 2 2 26 2" xfId="6621"/>
    <cellStyle name="Notitie 2 2 26 2 2" xfId="11031"/>
    <cellStyle name="Notitie 2 2 26 2 3" xfId="18511"/>
    <cellStyle name="Notitie 2 2 26 2 3 2" xfId="32581"/>
    <cellStyle name="Notitie 2 2 26 2 4" xfId="32582"/>
    <cellStyle name="Notitie 2 2 26 2 5" xfId="32583"/>
    <cellStyle name="Notitie 2 2 26 2 6" xfId="32584"/>
    <cellStyle name="Notitie 2 2 26 3" xfId="8620"/>
    <cellStyle name="Notitie 2 2 26 4" xfId="18512"/>
    <cellStyle name="Notitie 2 2 26 4 2" xfId="32585"/>
    <cellStyle name="Notitie 2 2 26 5" xfId="32586"/>
    <cellStyle name="Notitie 2 2 26 6" xfId="32587"/>
    <cellStyle name="Notitie 2 2 26 7" xfId="32588"/>
    <cellStyle name="Notitie 2 2 27" xfId="785"/>
    <cellStyle name="Notitie 2 2 27 2" xfId="6622"/>
    <cellStyle name="Notitie 2 2 27 2 2" xfId="11032"/>
    <cellStyle name="Notitie 2 2 27 2 3" xfId="18513"/>
    <cellStyle name="Notitie 2 2 27 2 3 2" xfId="32589"/>
    <cellStyle name="Notitie 2 2 27 2 4" xfId="32590"/>
    <cellStyle name="Notitie 2 2 27 2 5" xfId="32591"/>
    <cellStyle name="Notitie 2 2 27 2 6" xfId="32592"/>
    <cellStyle name="Notitie 2 2 27 3" xfId="8621"/>
    <cellStyle name="Notitie 2 2 27 4" xfId="18514"/>
    <cellStyle name="Notitie 2 2 27 4 2" xfId="32593"/>
    <cellStyle name="Notitie 2 2 27 5" xfId="32594"/>
    <cellStyle name="Notitie 2 2 27 6" xfId="32595"/>
    <cellStyle name="Notitie 2 2 27 7" xfId="32596"/>
    <cellStyle name="Notitie 2 2 28" xfId="786"/>
    <cellStyle name="Notitie 2 2 28 2" xfId="6623"/>
    <cellStyle name="Notitie 2 2 28 2 2" xfId="11033"/>
    <cellStyle name="Notitie 2 2 28 2 3" xfId="18515"/>
    <cellStyle name="Notitie 2 2 28 2 3 2" xfId="32597"/>
    <cellStyle name="Notitie 2 2 28 2 4" xfId="32598"/>
    <cellStyle name="Notitie 2 2 28 2 5" xfId="32599"/>
    <cellStyle name="Notitie 2 2 28 2 6" xfId="32600"/>
    <cellStyle name="Notitie 2 2 28 3" xfId="8622"/>
    <cellStyle name="Notitie 2 2 28 4" xfId="18516"/>
    <cellStyle name="Notitie 2 2 28 4 2" xfId="32601"/>
    <cellStyle name="Notitie 2 2 28 5" xfId="32602"/>
    <cellStyle name="Notitie 2 2 28 6" xfId="32603"/>
    <cellStyle name="Notitie 2 2 28 7" xfId="32604"/>
    <cellStyle name="Notitie 2 2 29" xfId="787"/>
    <cellStyle name="Notitie 2 2 29 2" xfId="6624"/>
    <cellStyle name="Notitie 2 2 29 2 2" xfId="11034"/>
    <cellStyle name="Notitie 2 2 29 2 3" xfId="18517"/>
    <cellStyle name="Notitie 2 2 29 2 3 2" xfId="32605"/>
    <cellStyle name="Notitie 2 2 29 2 4" xfId="32606"/>
    <cellStyle name="Notitie 2 2 29 2 5" xfId="32607"/>
    <cellStyle name="Notitie 2 2 29 2 6" xfId="32608"/>
    <cellStyle name="Notitie 2 2 29 3" xfId="8623"/>
    <cellStyle name="Notitie 2 2 29 4" xfId="18518"/>
    <cellStyle name="Notitie 2 2 29 4 2" xfId="32609"/>
    <cellStyle name="Notitie 2 2 29 5" xfId="32610"/>
    <cellStyle name="Notitie 2 2 29 6" xfId="32611"/>
    <cellStyle name="Notitie 2 2 29 7" xfId="32612"/>
    <cellStyle name="Notitie 2 2 3" xfId="788"/>
    <cellStyle name="Notitie 2 2 3 2" xfId="6625"/>
    <cellStyle name="Notitie 2 2 3 2 2" xfId="11035"/>
    <cellStyle name="Notitie 2 2 3 2 3" xfId="18519"/>
    <cellStyle name="Notitie 2 2 3 2 3 2" xfId="32613"/>
    <cellStyle name="Notitie 2 2 3 2 4" xfId="32614"/>
    <cellStyle name="Notitie 2 2 3 2 5" xfId="32615"/>
    <cellStyle name="Notitie 2 2 3 2 6" xfId="32616"/>
    <cellStyle name="Notitie 2 2 3 3" xfId="8624"/>
    <cellStyle name="Notitie 2 2 3 4" xfId="18520"/>
    <cellStyle name="Notitie 2 2 3 4 2" xfId="32617"/>
    <cellStyle name="Notitie 2 2 3 5" xfId="32618"/>
    <cellStyle name="Notitie 2 2 3 6" xfId="32619"/>
    <cellStyle name="Notitie 2 2 3 7" xfId="32620"/>
    <cellStyle name="Notitie 2 2 30" xfId="789"/>
    <cellStyle name="Notitie 2 2 30 2" xfId="6626"/>
    <cellStyle name="Notitie 2 2 30 2 2" xfId="11036"/>
    <cellStyle name="Notitie 2 2 30 2 3" xfId="18521"/>
    <cellStyle name="Notitie 2 2 30 2 3 2" xfId="32621"/>
    <cellStyle name="Notitie 2 2 30 2 4" xfId="32622"/>
    <cellStyle name="Notitie 2 2 30 2 5" xfId="32623"/>
    <cellStyle name="Notitie 2 2 30 2 6" xfId="32624"/>
    <cellStyle name="Notitie 2 2 30 3" xfId="8625"/>
    <cellStyle name="Notitie 2 2 30 4" xfId="18522"/>
    <cellStyle name="Notitie 2 2 30 4 2" xfId="32625"/>
    <cellStyle name="Notitie 2 2 30 5" xfId="32626"/>
    <cellStyle name="Notitie 2 2 30 6" xfId="32627"/>
    <cellStyle name="Notitie 2 2 30 7" xfId="32628"/>
    <cellStyle name="Notitie 2 2 31" xfId="790"/>
    <cellStyle name="Notitie 2 2 31 2" xfId="6627"/>
    <cellStyle name="Notitie 2 2 31 2 2" xfId="11037"/>
    <cellStyle name="Notitie 2 2 31 2 3" xfId="18523"/>
    <cellStyle name="Notitie 2 2 31 2 3 2" xfId="32629"/>
    <cellStyle name="Notitie 2 2 31 2 4" xfId="32630"/>
    <cellStyle name="Notitie 2 2 31 2 5" xfId="32631"/>
    <cellStyle name="Notitie 2 2 31 2 6" xfId="32632"/>
    <cellStyle name="Notitie 2 2 31 3" xfId="8626"/>
    <cellStyle name="Notitie 2 2 31 4" xfId="18524"/>
    <cellStyle name="Notitie 2 2 31 4 2" xfId="32633"/>
    <cellStyle name="Notitie 2 2 31 5" xfId="32634"/>
    <cellStyle name="Notitie 2 2 31 6" xfId="32635"/>
    <cellStyle name="Notitie 2 2 31 7" xfId="32636"/>
    <cellStyle name="Notitie 2 2 32" xfId="791"/>
    <cellStyle name="Notitie 2 2 32 2" xfId="6628"/>
    <cellStyle name="Notitie 2 2 32 2 2" xfId="11038"/>
    <cellStyle name="Notitie 2 2 32 2 3" xfId="18525"/>
    <cellStyle name="Notitie 2 2 32 2 3 2" xfId="32637"/>
    <cellStyle name="Notitie 2 2 32 2 4" xfId="32638"/>
    <cellStyle name="Notitie 2 2 32 2 5" xfId="32639"/>
    <cellStyle name="Notitie 2 2 32 2 6" xfId="32640"/>
    <cellStyle name="Notitie 2 2 32 3" xfId="8627"/>
    <cellStyle name="Notitie 2 2 32 4" xfId="18526"/>
    <cellStyle name="Notitie 2 2 32 4 2" xfId="32641"/>
    <cellStyle name="Notitie 2 2 32 5" xfId="32642"/>
    <cellStyle name="Notitie 2 2 32 6" xfId="32643"/>
    <cellStyle name="Notitie 2 2 32 7" xfId="32644"/>
    <cellStyle name="Notitie 2 2 33" xfId="792"/>
    <cellStyle name="Notitie 2 2 33 2" xfId="6629"/>
    <cellStyle name="Notitie 2 2 33 2 2" xfId="11039"/>
    <cellStyle name="Notitie 2 2 33 2 3" xfId="18527"/>
    <cellStyle name="Notitie 2 2 33 2 3 2" xfId="32645"/>
    <cellStyle name="Notitie 2 2 33 2 4" xfId="32646"/>
    <cellStyle name="Notitie 2 2 33 2 5" xfId="32647"/>
    <cellStyle name="Notitie 2 2 33 2 6" xfId="32648"/>
    <cellStyle name="Notitie 2 2 33 3" xfId="8628"/>
    <cellStyle name="Notitie 2 2 33 4" xfId="18528"/>
    <cellStyle name="Notitie 2 2 33 4 2" xfId="32649"/>
    <cellStyle name="Notitie 2 2 33 5" xfId="32650"/>
    <cellStyle name="Notitie 2 2 33 6" xfId="32651"/>
    <cellStyle name="Notitie 2 2 33 7" xfId="32652"/>
    <cellStyle name="Notitie 2 2 34" xfId="793"/>
    <cellStyle name="Notitie 2 2 34 2" xfId="6630"/>
    <cellStyle name="Notitie 2 2 34 2 2" xfId="11040"/>
    <cellStyle name="Notitie 2 2 34 2 3" xfId="18529"/>
    <cellStyle name="Notitie 2 2 34 2 3 2" xfId="32653"/>
    <cellStyle name="Notitie 2 2 34 2 4" xfId="32654"/>
    <cellStyle name="Notitie 2 2 34 2 5" xfId="32655"/>
    <cellStyle name="Notitie 2 2 34 2 6" xfId="32656"/>
    <cellStyle name="Notitie 2 2 34 3" xfId="8629"/>
    <cellStyle name="Notitie 2 2 34 4" xfId="18530"/>
    <cellStyle name="Notitie 2 2 34 4 2" xfId="32657"/>
    <cellStyle name="Notitie 2 2 34 5" xfId="32658"/>
    <cellStyle name="Notitie 2 2 34 6" xfId="32659"/>
    <cellStyle name="Notitie 2 2 34 7" xfId="32660"/>
    <cellStyle name="Notitie 2 2 35" xfId="794"/>
    <cellStyle name="Notitie 2 2 35 2" xfId="6631"/>
    <cellStyle name="Notitie 2 2 35 2 2" xfId="11041"/>
    <cellStyle name="Notitie 2 2 35 2 3" xfId="18531"/>
    <cellStyle name="Notitie 2 2 35 2 3 2" xfId="32661"/>
    <cellStyle name="Notitie 2 2 35 2 4" xfId="32662"/>
    <cellStyle name="Notitie 2 2 35 2 5" xfId="32663"/>
    <cellStyle name="Notitie 2 2 35 2 6" xfId="32664"/>
    <cellStyle name="Notitie 2 2 35 3" xfId="8630"/>
    <cellStyle name="Notitie 2 2 35 4" xfId="18532"/>
    <cellStyle name="Notitie 2 2 35 4 2" xfId="32665"/>
    <cellStyle name="Notitie 2 2 35 5" xfId="32666"/>
    <cellStyle name="Notitie 2 2 35 6" xfId="32667"/>
    <cellStyle name="Notitie 2 2 35 7" xfId="32668"/>
    <cellStyle name="Notitie 2 2 36" xfId="795"/>
    <cellStyle name="Notitie 2 2 36 2" xfId="6632"/>
    <cellStyle name="Notitie 2 2 36 2 2" xfId="11042"/>
    <cellStyle name="Notitie 2 2 36 2 3" xfId="18533"/>
    <cellStyle name="Notitie 2 2 36 2 3 2" xfId="32669"/>
    <cellStyle name="Notitie 2 2 36 2 4" xfId="32670"/>
    <cellStyle name="Notitie 2 2 36 2 5" xfId="32671"/>
    <cellStyle name="Notitie 2 2 36 2 6" xfId="32672"/>
    <cellStyle name="Notitie 2 2 36 3" xfId="8631"/>
    <cellStyle name="Notitie 2 2 36 4" xfId="18534"/>
    <cellStyle name="Notitie 2 2 36 4 2" xfId="32673"/>
    <cellStyle name="Notitie 2 2 36 5" xfId="32674"/>
    <cellStyle name="Notitie 2 2 36 6" xfId="32675"/>
    <cellStyle name="Notitie 2 2 36 7" xfId="32676"/>
    <cellStyle name="Notitie 2 2 37" xfId="796"/>
    <cellStyle name="Notitie 2 2 37 2" xfId="6633"/>
    <cellStyle name="Notitie 2 2 37 2 2" xfId="11043"/>
    <cellStyle name="Notitie 2 2 37 2 3" xfId="18535"/>
    <cellStyle name="Notitie 2 2 37 2 3 2" xfId="32677"/>
    <cellStyle name="Notitie 2 2 37 2 4" xfId="32678"/>
    <cellStyle name="Notitie 2 2 37 2 5" xfId="32679"/>
    <cellStyle name="Notitie 2 2 37 2 6" xfId="32680"/>
    <cellStyle name="Notitie 2 2 37 3" xfId="8632"/>
    <cellStyle name="Notitie 2 2 37 4" xfId="18536"/>
    <cellStyle name="Notitie 2 2 37 4 2" xfId="32681"/>
    <cellStyle name="Notitie 2 2 37 5" xfId="32682"/>
    <cellStyle name="Notitie 2 2 37 6" xfId="32683"/>
    <cellStyle name="Notitie 2 2 37 7" xfId="32684"/>
    <cellStyle name="Notitie 2 2 38" xfId="797"/>
    <cellStyle name="Notitie 2 2 38 2" xfId="6634"/>
    <cellStyle name="Notitie 2 2 38 2 2" xfId="11044"/>
    <cellStyle name="Notitie 2 2 38 2 3" xfId="18537"/>
    <cellStyle name="Notitie 2 2 38 2 3 2" xfId="32685"/>
    <cellStyle name="Notitie 2 2 38 2 4" xfId="32686"/>
    <cellStyle name="Notitie 2 2 38 2 5" xfId="32687"/>
    <cellStyle name="Notitie 2 2 38 2 6" xfId="32688"/>
    <cellStyle name="Notitie 2 2 38 3" xfId="8633"/>
    <cellStyle name="Notitie 2 2 38 4" xfId="18538"/>
    <cellStyle name="Notitie 2 2 38 4 2" xfId="32689"/>
    <cellStyle name="Notitie 2 2 38 5" xfId="32690"/>
    <cellStyle name="Notitie 2 2 38 6" xfId="32691"/>
    <cellStyle name="Notitie 2 2 38 7" xfId="32692"/>
    <cellStyle name="Notitie 2 2 39" xfId="798"/>
    <cellStyle name="Notitie 2 2 39 2" xfId="6635"/>
    <cellStyle name="Notitie 2 2 39 2 2" xfId="11045"/>
    <cellStyle name="Notitie 2 2 39 2 3" xfId="18539"/>
    <cellStyle name="Notitie 2 2 39 2 3 2" xfId="32693"/>
    <cellStyle name="Notitie 2 2 39 2 4" xfId="32694"/>
    <cellStyle name="Notitie 2 2 39 2 5" xfId="32695"/>
    <cellStyle name="Notitie 2 2 39 2 6" xfId="32696"/>
    <cellStyle name="Notitie 2 2 39 3" xfId="8634"/>
    <cellStyle name="Notitie 2 2 39 4" xfId="18540"/>
    <cellStyle name="Notitie 2 2 39 4 2" xfId="32697"/>
    <cellStyle name="Notitie 2 2 39 5" xfId="32698"/>
    <cellStyle name="Notitie 2 2 39 6" xfId="32699"/>
    <cellStyle name="Notitie 2 2 39 7" xfId="32700"/>
    <cellStyle name="Notitie 2 2 4" xfId="799"/>
    <cellStyle name="Notitie 2 2 4 2" xfId="6636"/>
    <cellStyle name="Notitie 2 2 4 2 2" xfId="11046"/>
    <cellStyle name="Notitie 2 2 4 2 3" xfId="18541"/>
    <cellStyle name="Notitie 2 2 4 2 3 2" xfId="32701"/>
    <cellStyle name="Notitie 2 2 4 2 4" xfId="32702"/>
    <cellStyle name="Notitie 2 2 4 2 5" xfId="32703"/>
    <cellStyle name="Notitie 2 2 4 2 6" xfId="32704"/>
    <cellStyle name="Notitie 2 2 4 3" xfId="8635"/>
    <cellStyle name="Notitie 2 2 4 4" xfId="18542"/>
    <cellStyle name="Notitie 2 2 4 4 2" xfId="32705"/>
    <cellStyle name="Notitie 2 2 4 5" xfId="32706"/>
    <cellStyle name="Notitie 2 2 4 6" xfId="32707"/>
    <cellStyle name="Notitie 2 2 4 7" xfId="32708"/>
    <cellStyle name="Notitie 2 2 40" xfId="800"/>
    <cellStyle name="Notitie 2 2 40 2" xfId="6637"/>
    <cellStyle name="Notitie 2 2 40 2 2" xfId="11047"/>
    <cellStyle name="Notitie 2 2 40 2 3" xfId="18543"/>
    <cellStyle name="Notitie 2 2 40 2 3 2" xfId="32709"/>
    <cellStyle name="Notitie 2 2 40 2 4" xfId="32710"/>
    <cellStyle name="Notitie 2 2 40 2 5" xfId="32711"/>
    <cellStyle name="Notitie 2 2 40 2 6" xfId="32712"/>
    <cellStyle name="Notitie 2 2 40 3" xfId="8636"/>
    <cellStyle name="Notitie 2 2 40 4" xfId="18544"/>
    <cellStyle name="Notitie 2 2 40 4 2" xfId="32713"/>
    <cellStyle name="Notitie 2 2 40 5" xfId="32714"/>
    <cellStyle name="Notitie 2 2 40 6" xfId="32715"/>
    <cellStyle name="Notitie 2 2 40 7" xfId="32716"/>
    <cellStyle name="Notitie 2 2 41" xfId="801"/>
    <cellStyle name="Notitie 2 2 41 2" xfId="6638"/>
    <cellStyle name="Notitie 2 2 41 2 2" xfId="11048"/>
    <cellStyle name="Notitie 2 2 41 2 3" xfId="18545"/>
    <cellStyle name="Notitie 2 2 41 2 3 2" xfId="32717"/>
    <cellStyle name="Notitie 2 2 41 2 4" xfId="32718"/>
    <cellStyle name="Notitie 2 2 41 2 5" xfId="32719"/>
    <cellStyle name="Notitie 2 2 41 2 6" xfId="32720"/>
    <cellStyle name="Notitie 2 2 41 3" xfId="8637"/>
    <cellStyle name="Notitie 2 2 41 4" xfId="18546"/>
    <cellStyle name="Notitie 2 2 41 4 2" xfId="32721"/>
    <cellStyle name="Notitie 2 2 41 5" xfId="32722"/>
    <cellStyle name="Notitie 2 2 41 6" xfId="32723"/>
    <cellStyle name="Notitie 2 2 41 7" xfId="32724"/>
    <cellStyle name="Notitie 2 2 42" xfId="802"/>
    <cellStyle name="Notitie 2 2 42 2" xfId="6639"/>
    <cellStyle name="Notitie 2 2 42 2 2" xfId="11049"/>
    <cellStyle name="Notitie 2 2 42 2 3" xfId="18547"/>
    <cellStyle name="Notitie 2 2 42 2 3 2" xfId="32725"/>
    <cellStyle name="Notitie 2 2 42 2 4" xfId="32726"/>
    <cellStyle name="Notitie 2 2 42 2 5" xfId="32727"/>
    <cellStyle name="Notitie 2 2 42 2 6" xfId="32728"/>
    <cellStyle name="Notitie 2 2 42 3" xfId="8638"/>
    <cellStyle name="Notitie 2 2 42 4" xfId="18548"/>
    <cellStyle name="Notitie 2 2 42 4 2" xfId="32729"/>
    <cellStyle name="Notitie 2 2 42 5" xfId="32730"/>
    <cellStyle name="Notitie 2 2 42 6" xfId="32731"/>
    <cellStyle name="Notitie 2 2 42 7" xfId="32732"/>
    <cellStyle name="Notitie 2 2 43" xfId="803"/>
    <cellStyle name="Notitie 2 2 43 2" xfId="6640"/>
    <cellStyle name="Notitie 2 2 43 2 2" xfId="11050"/>
    <cellStyle name="Notitie 2 2 43 2 3" xfId="18549"/>
    <cellStyle name="Notitie 2 2 43 2 3 2" xfId="32733"/>
    <cellStyle name="Notitie 2 2 43 2 4" xfId="32734"/>
    <cellStyle name="Notitie 2 2 43 2 5" xfId="32735"/>
    <cellStyle name="Notitie 2 2 43 2 6" xfId="32736"/>
    <cellStyle name="Notitie 2 2 43 3" xfId="8639"/>
    <cellStyle name="Notitie 2 2 43 4" xfId="18550"/>
    <cellStyle name="Notitie 2 2 43 4 2" xfId="32737"/>
    <cellStyle name="Notitie 2 2 43 5" xfId="32738"/>
    <cellStyle name="Notitie 2 2 43 6" xfId="32739"/>
    <cellStyle name="Notitie 2 2 43 7" xfId="32740"/>
    <cellStyle name="Notitie 2 2 44" xfId="804"/>
    <cellStyle name="Notitie 2 2 44 2" xfId="6641"/>
    <cellStyle name="Notitie 2 2 44 2 2" xfId="11051"/>
    <cellStyle name="Notitie 2 2 44 2 3" xfId="18551"/>
    <cellStyle name="Notitie 2 2 44 2 3 2" xfId="32741"/>
    <cellStyle name="Notitie 2 2 44 2 4" xfId="32742"/>
    <cellStyle name="Notitie 2 2 44 2 5" xfId="32743"/>
    <cellStyle name="Notitie 2 2 44 2 6" xfId="32744"/>
    <cellStyle name="Notitie 2 2 44 3" xfId="8640"/>
    <cellStyle name="Notitie 2 2 44 4" xfId="18552"/>
    <cellStyle name="Notitie 2 2 44 4 2" xfId="32745"/>
    <cellStyle name="Notitie 2 2 44 5" xfId="32746"/>
    <cellStyle name="Notitie 2 2 44 6" xfId="32747"/>
    <cellStyle name="Notitie 2 2 44 7" xfId="32748"/>
    <cellStyle name="Notitie 2 2 45" xfId="805"/>
    <cellStyle name="Notitie 2 2 45 2" xfId="6642"/>
    <cellStyle name="Notitie 2 2 45 2 2" xfId="11052"/>
    <cellStyle name="Notitie 2 2 45 2 3" xfId="18553"/>
    <cellStyle name="Notitie 2 2 45 2 3 2" xfId="32749"/>
    <cellStyle name="Notitie 2 2 45 2 4" xfId="32750"/>
    <cellStyle name="Notitie 2 2 45 2 5" xfId="32751"/>
    <cellStyle name="Notitie 2 2 45 2 6" xfId="32752"/>
    <cellStyle name="Notitie 2 2 45 3" xfId="8641"/>
    <cellStyle name="Notitie 2 2 45 4" xfId="18554"/>
    <cellStyle name="Notitie 2 2 45 4 2" xfId="32753"/>
    <cellStyle name="Notitie 2 2 45 5" xfId="32754"/>
    <cellStyle name="Notitie 2 2 45 6" xfId="32755"/>
    <cellStyle name="Notitie 2 2 45 7" xfId="32756"/>
    <cellStyle name="Notitie 2 2 46" xfId="806"/>
    <cellStyle name="Notitie 2 2 46 2" xfId="6643"/>
    <cellStyle name="Notitie 2 2 46 2 2" xfId="11053"/>
    <cellStyle name="Notitie 2 2 46 2 3" xfId="18555"/>
    <cellStyle name="Notitie 2 2 46 2 3 2" xfId="32757"/>
    <cellStyle name="Notitie 2 2 46 2 4" xfId="32758"/>
    <cellStyle name="Notitie 2 2 46 2 5" xfId="32759"/>
    <cellStyle name="Notitie 2 2 46 2 6" xfId="32760"/>
    <cellStyle name="Notitie 2 2 46 3" xfId="8642"/>
    <cellStyle name="Notitie 2 2 46 4" xfId="18556"/>
    <cellStyle name="Notitie 2 2 46 4 2" xfId="32761"/>
    <cellStyle name="Notitie 2 2 46 5" xfId="32762"/>
    <cellStyle name="Notitie 2 2 46 6" xfId="32763"/>
    <cellStyle name="Notitie 2 2 46 7" xfId="32764"/>
    <cellStyle name="Notitie 2 2 47" xfId="807"/>
    <cellStyle name="Notitie 2 2 47 2" xfId="6644"/>
    <cellStyle name="Notitie 2 2 47 2 2" xfId="11054"/>
    <cellStyle name="Notitie 2 2 47 2 3" xfId="18557"/>
    <cellStyle name="Notitie 2 2 47 2 3 2" xfId="32765"/>
    <cellStyle name="Notitie 2 2 47 2 4" xfId="32766"/>
    <cellStyle name="Notitie 2 2 47 2 5" xfId="32767"/>
    <cellStyle name="Notitie 2 2 47 2 6" xfId="32768"/>
    <cellStyle name="Notitie 2 2 47 3" xfId="8643"/>
    <cellStyle name="Notitie 2 2 47 4" xfId="18558"/>
    <cellStyle name="Notitie 2 2 47 4 2" xfId="32769"/>
    <cellStyle name="Notitie 2 2 47 5" xfId="32770"/>
    <cellStyle name="Notitie 2 2 47 6" xfId="32771"/>
    <cellStyle name="Notitie 2 2 47 7" xfId="32772"/>
    <cellStyle name="Notitie 2 2 48" xfId="808"/>
    <cellStyle name="Notitie 2 2 48 2" xfId="6645"/>
    <cellStyle name="Notitie 2 2 48 2 2" xfId="11055"/>
    <cellStyle name="Notitie 2 2 48 2 3" xfId="18559"/>
    <cellStyle name="Notitie 2 2 48 2 3 2" xfId="32773"/>
    <cellStyle name="Notitie 2 2 48 2 4" xfId="32774"/>
    <cellStyle name="Notitie 2 2 48 2 5" xfId="32775"/>
    <cellStyle name="Notitie 2 2 48 2 6" xfId="32776"/>
    <cellStyle name="Notitie 2 2 48 3" xfId="8644"/>
    <cellStyle name="Notitie 2 2 48 4" xfId="18560"/>
    <cellStyle name="Notitie 2 2 48 4 2" xfId="32777"/>
    <cellStyle name="Notitie 2 2 48 5" xfId="32778"/>
    <cellStyle name="Notitie 2 2 48 6" xfId="32779"/>
    <cellStyle name="Notitie 2 2 48 7" xfId="32780"/>
    <cellStyle name="Notitie 2 2 49" xfId="809"/>
    <cellStyle name="Notitie 2 2 49 2" xfId="6646"/>
    <cellStyle name="Notitie 2 2 49 2 2" xfId="11056"/>
    <cellStyle name="Notitie 2 2 49 2 3" xfId="18561"/>
    <cellStyle name="Notitie 2 2 49 2 3 2" xfId="32781"/>
    <cellStyle name="Notitie 2 2 49 2 4" xfId="32782"/>
    <cellStyle name="Notitie 2 2 49 2 5" xfId="32783"/>
    <cellStyle name="Notitie 2 2 49 2 6" xfId="32784"/>
    <cellStyle name="Notitie 2 2 49 3" xfId="8645"/>
    <cellStyle name="Notitie 2 2 49 4" xfId="18562"/>
    <cellStyle name="Notitie 2 2 49 4 2" xfId="32785"/>
    <cellStyle name="Notitie 2 2 49 5" xfId="32786"/>
    <cellStyle name="Notitie 2 2 49 6" xfId="32787"/>
    <cellStyle name="Notitie 2 2 49 7" xfId="32788"/>
    <cellStyle name="Notitie 2 2 5" xfId="810"/>
    <cellStyle name="Notitie 2 2 5 2" xfId="6647"/>
    <cellStyle name="Notitie 2 2 5 2 2" xfId="11057"/>
    <cellStyle name="Notitie 2 2 5 2 3" xfId="18563"/>
    <cellStyle name="Notitie 2 2 5 2 3 2" xfId="32789"/>
    <cellStyle name="Notitie 2 2 5 2 4" xfId="32790"/>
    <cellStyle name="Notitie 2 2 5 2 5" xfId="32791"/>
    <cellStyle name="Notitie 2 2 5 2 6" xfId="32792"/>
    <cellStyle name="Notitie 2 2 5 3" xfId="8646"/>
    <cellStyle name="Notitie 2 2 5 4" xfId="18564"/>
    <cellStyle name="Notitie 2 2 5 4 2" xfId="32793"/>
    <cellStyle name="Notitie 2 2 5 5" xfId="32794"/>
    <cellStyle name="Notitie 2 2 5 6" xfId="32795"/>
    <cellStyle name="Notitie 2 2 5 7" xfId="32796"/>
    <cellStyle name="Notitie 2 2 50" xfId="811"/>
    <cellStyle name="Notitie 2 2 50 2" xfId="6648"/>
    <cellStyle name="Notitie 2 2 50 2 2" xfId="11058"/>
    <cellStyle name="Notitie 2 2 50 2 3" xfId="18565"/>
    <cellStyle name="Notitie 2 2 50 2 3 2" xfId="32797"/>
    <cellStyle name="Notitie 2 2 50 2 4" xfId="32798"/>
    <cellStyle name="Notitie 2 2 50 2 5" xfId="32799"/>
    <cellStyle name="Notitie 2 2 50 2 6" xfId="32800"/>
    <cellStyle name="Notitie 2 2 50 3" xfId="8647"/>
    <cellStyle name="Notitie 2 2 50 4" xfId="18566"/>
    <cellStyle name="Notitie 2 2 50 4 2" xfId="32801"/>
    <cellStyle name="Notitie 2 2 50 5" xfId="32802"/>
    <cellStyle name="Notitie 2 2 50 6" xfId="32803"/>
    <cellStyle name="Notitie 2 2 50 7" xfId="32804"/>
    <cellStyle name="Notitie 2 2 51" xfId="812"/>
    <cellStyle name="Notitie 2 2 51 2" xfId="6649"/>
    <cellStyle name="Notitie 2 2 51 2 2" xfId="11059"/>
    <cellStyle name="Notitie 2 2 51 2 3" xfId="18567"/>
    <cellStyle name="Notitie 2 2 51 2 3 2" xfId="32805"/>
    <cellStyle name="Notitie 2 2 51 2 4" xfId="32806"/>
    <cellStyle name="Notitie 2 2 51 2 5" xfId="32807"/>
    <cellStyle name="Notitie 2 2 51 2 6" xfId="32808"/>
    <cellStyle name="Notitie 2 2 51 3" xfId="8648"/>
    <cellStyle name="Notitie 2 2 51 4" xfId="18568"/>
    <cellStyle name="Notitie 2 2 51 4 2" xfId="32809"/>
    <cellStyle name="Notitie 2 2 51 5" xfId="32810"/>
    <cellStyle name="Notitie 2 2 51 6" xfId="32811"/>
    <cellStyle name="Notitie 2 2 51 7" xfId="32812"/>
    <cellStyle name="Notitie 2 2 52" xfId="813"/>
    <cellStyle name="Notitie 2 2 52 2" xfId="6650"/>
    <cellStyle name="Notitie 2 2 52 2 2" xfId="11060"/>
    <cellStyle name="Notitie 2 2 52 2 3" xfId="18569"/>
    <cellStyle name="Notitie 2 2 52 2 3 2" xfId="32813"/>
    <cellStyle name="Notitie 2 2 52 2 4" xfId="32814"/>
    <cellStyle name="Notitie 2 2 52 2 5" xfId="32815"/>
    <cellStyle name="Notitie 2 2 52 2 6" xfId="32816"/>
    <cellStyle name="Notitie 2 2 52 3" xfId="8649"/>
    <cellStyle name="Notitie 2 2 52 4" xfId="18570"/>
    <cellStyle name="Notitie 2 2 52 4 2" xfId="32817"/>
    <cellStyle name="Notitie 2 2 52 5" xfId="32818"/>
    <cellStyle name="Notitie 2 2 52 6" xfId="32819"/>
    <cellStyle name="Notitie 2 2 52 7" xfId="32820"/>
    <cellStyle name="Notitie 2 2 53" xfId="814"/>
    <cellStyle name="Notitie 2 2 53 2" xfId="6651"/>
    <cellStyle name="Notitie 2 2 53 2 2" xfId="11061"/>
    <cellStyle name="Notitie 2 2 53 2 3" xfId="18571"/>
    <cellStyle name="Notitie 2 2 53 2 3 2" xfId="32821"/>
    <cellStyle name="Notitie 2 2 53 2 4" xfId="32822"/>
    <cellStyle name="Notitie 2 2 53 2 5" xfId="32823"/>
    <cellStyle name="Notitie 2 2 53 2 6" xfId="32824"/>
    <cellStyle name="Notitie 2 2 53 3" xfId="8650"/>
    <cellStyle name="Notitie 2 2 53 4" xfId="18572"/>
    <cellStyle name="Notitie 2 2 53 4 2" xfId="32825"/>
    <cellStyle name="Notitie 2 2 53 5" xfId="32826"/>
    <cellStyle name="Notitie 2 2 53 6" xfId="32827"/>
    <cellStyle name="Notitie 2 2 53 7" xfId="32828"/>
    <cellStyle name="Notitie 2 2 54" xfId="815"/>
    <cellStyle name="Notitie 2 2 54 2" xfId="6652"/>
    <cellStyle name="Notitie 2 2 54 2 2" xfId="11062"/>
    <cellStyle name="Notitie 2 2 54 2 3" xfId="18573"/>
    <cellStyle name="Notitie 2 2 54 2 3 2" xfId="32829"/>
    <cellStyle name="Notitie 2 2 54 2 4" xfId="32830"/>
    <cellStyle name="Notitie 2 2 54 2 5" xfId="32831"/>
    <cellStyle name="Notitie 2 2 54 2 6" xfId="32832"/>
    <cellStyle name="Notitie 2 2 54 3" xfId="8651"/>
    <cellStyle name="Notitie 2 2 54 4" xfId="18574"/>
    <cellStyle name="Notitie 2 2 54 4 2" xfId="32833"/>
    <cellStyle name="Notitie 2 2 54 5" xfId="32834"/>
    <cellStyle name="Notitie 2 2 54 6" xfId="32835"/>
    <cellStyle name="Notitie 2 2 54 7" xfId="32836"/>
    <cellStyle name="Notitie 2 2 55" xfId="816"/>
    <cellStyle name="Notitie 2 2 55 2" xfId="6653"/>
    <cellStyle name="Notitie 2 2 55 2 2" xfId="11063"/>
    <cellStyle name="Notitie 2 2 55 2 3" xfId="18575"/>
    <cellStyle name="Notitie 2 2 55 2 3 2" xfId="32837"/>
    <cellStyle name="Notitie 2 2 55 2 4" xfId="32838"/>
    <cellStyle name="Notitie 2 2 55 2 5" xfId="32839"/>
    <cellStyle name="Notitie 2 2 55 2 6" xfId="32840"/>
    <cellStyle name="Notitie 2 2 55 3" xfId="8652"/>
    <cellStyle name="Notitie 2 2 55 4" xfId="18576"/>
    <cellStyle name="Notitie 2 2 55 4 2" xfId="32841"/>
    <cellStyle name="Notitie 2 2 55 5" xfId="32842"/>
    <cellStyle name="Notitie 2 2 55 6" xfId="32843"/>
    <cellStyle name="Notitie 2 2 55 7" xfId="32844"/>
    <cellStyle name="Notitie 2 2 56" xfId="817"/>
    <cellStyle name="Notitie 2 2 56 2" xfId="6654"/>
    <cellStyle name="Notitie 2 2 56 2 2" xfId="11064"/>
    <cellStyle name="Notitie 2 2 56 2 3" xfId="18577"/>
    <cellStyle name="Notitie 2 2 56 2 3 2" xfId="32845"/>
    <cellStyle name="Notitie 2 2 56 2 4" xfId="32846"/>
    <cellStyle name="Notitie 2 2 56 2 5" xfId="32847"/>
    <cellStyle name="Notitie 2 2 56 2 6" xfId="32848"/>
    <cellStyle name="Notitie 2 2 56 3" xfId="8653"/>
    <cellStyle name="Notitie 2 2 56 4" xfId="18578"/>
    <cellStyle name="Notitie 2 2 56 4 2" xfId="32849"/>
    <cellStyle name="Notitie 2 2 56 5" xfId="32850"/>
    <cellStyle name="Notitie 2 2 56 6" xfId="32851"/>
    <cellStyle name="Notitie 2 2 56 7" xfId="32852"/>
    <cellStyle name="Notitie 2 2 57" xfId="818"/>
    <cellStyle name="Notitie 2 2 57 2" xfId="6655"/>
    <cellStyle name="Notitie 2 2 57 2 2" xfId="11065"/>
    <cellStyle name="Notitie 2 2 57 2 3" xfId="18579"/>
    <cellStyle name="Notitie 2 2 57 2 3 2" xfId="32853"/>
    <cellStyle name="Notitie 2 2 57 2 4" xfId="32854"/>
    <cellStyle name="Notitie 2 2 57 2 5" xfId="32855"/>
    <cellStyle name="Notitie 2 2 57 2 6" xfId="32856"/>
    <cellStyle name="Notitie 2 2 57 3" xfId="8654"/>
    <cellStyle name="Notitie 2 2 57 4" xfId="18580"/>
    <cellStyle name="Notitie 2 2 57 4 2" xfId="32857"/>
    <cellStyle name="Notitie 2 2 57 5" xfId="32858"/>
    <cellStyle name="Notitie 2 2 57 6" xfId="32859"/>
    <cellStyle name="Notitie 2 2 57 7" xfId="32860"/>
    <cellStyle name="Notitie 2 2 58" xfId="819"/>
    <cellStyle name="Notitie 2 2 58 2" xfId="6656"/>
    <cellStyle name="Notitie 2 2 58 2 2" xfId="11066"/>
    <cellStyle name="Notitie 2 2 58 2 3" xfId="18581"/>
    <cellStyle name="Notitie 2 2 58 2 3 2" xfId="32861"/>
    <cellStyle name="Notitie 2 2 58 2 4" xfId="32862"/>
    <cellStyle name="Notitie 2 2 58 2 5" xfId="32863"/>
    <cellStyle name="Notitie 2 2 58 2 6" xfId="32864"/>
    <cellStyle name="Notitie 2 2 58 3" xfId="8655"/>
    <cellStyle name="Notitie 2 2 58 4" xfId="18582"/>
    <cellStyle name="Notitie 2 2 58 4 2" xfId="32865"/>
    <cellStyle name="Notitie 2 2 58 5" xfId="32866"/>
    <cellStyle name="Notitie 2 2 58 6" xfId="32867"/>
    <cellStyle name="Notitie 2 2 58 7" xfId="32868"/>
    <cellStyle name="Notitie 2 2 59" xfId="820"/>
    <cellStyle name="Notitie 2 2 59 2" xfId="6657"/>
    <cellStyle name="Notitie 2 2 59 2 2" xfId="11067"/>
    <cellStyle name="Notitie 2 2 59 2 3" xfId="18583"/>
    <cellStyle name="Notitie 2 2 59 2 3 2" xfId="32869"/>
    <cellStyle name="Notitie 2 2 59 2 4" xfId="32870"/>
    <cellStyle name="Notitie 2 2 59 2 5" xfId="32871"/>
    <cellStyle name="Notitie 2 2 59 2 6" xfId="32872"/>
    <cellStyle name="Notitie 2 2 59 3" xfId="8656"/>
    <cellStyle name="Notitie 2 2 59 4" xfId="18584"/>
    <cellStyle name="Notitie 2 2 59 4 2" xfId="32873"/>
    <cellStyle name="Notitie 2 2 59 5" xfId="32874"/>
    <cellStyle name="Notitie 2 2 59 6" xfId="32875"/>
    <cellStyle name="Notitie 2 2 59 7" xfId="32876"/>
    <cellStyle name="Notitie 2 2 6" xfId="821"/>
    <cellStyle name="Notitie 2 2 6 2" xfId="6658"/>
    <cellStyle name="Notitie 2 2 6 2 2" xfId="11068"/>
    <cellStyle name="Notitie 2 2 6 2 3" xfId="18585"/>
    <cellStyle name="Notitie 2 2 6 2 3 2" xfId="32877"/>
    <cellStyle name="Notitie 2 2 6 2 4" xfId="32878"/>
    <cellStyle name="Notitie 2 2 6 2 5" xfId="32879"/>
    <cellStyle name="Notitie 2 2 6 2 6" xfId="32880"/>
    <cellStyle name="Notitie 2 2 6 3" xfId="8657"/>
    <cellStyle name="Notitie 2 2 6 4" xfId="18586"/>
    <cellStyle name="Notitie 2 2 6 4 2" xfId="32881"/>
    <cellStyle name="Notitie 2 2 6 5" xfId="32882"/>
    <cellStyle name="Notitie 2 2 6 6" xfId="32883"/>
    <cellStyle name="Notitie 2 2 6 7" xfId="32884"/>
    <cellStyle name="Notitie 2 2 60" xfId="822"/>
    <cellStyle name="Notitie 2 2 60 2" xfId="6659"/>
    <cellStyle name="Notitie 2 2 60 2 2" xfId="11069"/>
    <cellStyle name="Notitie 2 2 60 2 3" xfId="18587"/>
    <cellStyle name="Notitie 2 2 60 2 3 2" xfId="32885"/>
    <cellStyle name="Notitie 2 2 60 2 4" xfId="32886"/>
    <cellStyle name="Notitie 2 2 60 2 5" xfId="32887"/>
    <cellStyle name="Notitie 2 2 60 2 6" xfId="32888"/>
    <cellStyle name="Notitie 2 2 60 3" xfId="8658"/>
    <cellStyle name="Notitie 2 2 60 4" xfId="18588"/>
    <cellStyle name="Notitie 2 2 60 4 2" xfId="32889"/>
    <cellStyle name="Notitie 2 2 60 5" xfId="32890"/>
    <cellStyle name="Notitie 2 2 60 6" xfId="32891"/>
    <cellStyle name="Notitie 2 2 60 7" xfId="32892"/>
    <cellStyle name="Notitie 2 2 61" xfId="823"/>
    <cellStyle name="Notitie 2 2 61 2" xfId="6660"/>
    <cellStyle name="Notitie 2 2 61 2 2" xfId="11070"/>
    <cellStyle name="Notitie 2 2 61 2 3" xfId="18589"/>
    <cellStyle name="Notitie 2 2 61 2 3 2" xfId="32893"/>
    <cellStyle name="Notitie 2 2 61 2 4" xfId="32894"/>
    <cellStyle name="Notitie 2 2 61 2 5" xfId="32895"/>
    <cellStyle name="Notitie 2 2 61 2 6" xfId="32896"/>
    <cellStyle name="Notitie 2 2 61 3" xfId="8659"/>
    <cellStyle name="Notitie 2 2 61 4" xfId="18590"/>
    <cellStyle name="Notitie 2 2 61 4 2" xfId="32897"/>
    <cellStyle name="Notitie 2 2 61 5" xfId="32898"/>
    <cellStyle name="Notitie 2 2 61 6" xfId="32899"/>
    <cellStyle name="Notitie 2 2 61 7" xfId="32900"/>
    <cellStyle name="Notitie 2 2 62" xfId="824"/>
    <cellStyle name="Notitie 2 2 62 2" xfId="6661"/>
    <cellStyle name="Notitie 2 2 62 2 2" xfId="11071"/>
    <cellStyle name="Notitie 2 2 62 2 3" xfId="18591"/>
    <cellStyle name="Notitie 2 2 62 2 3 2" xfId="32901"/>
    <cellStyle name="Notitie 2 2 62 2 4" xfId="32902"/>
    <cellStyle name="Notitie 2 2 62 2 5" xfId="32903"/>
    <cellStyle name="Notitie 2 2 62 2 6" xfId="32904"/>
    <cellStyle name="Notitie 2 2 62 3" xfId="8660"/>
    <cellStyle name="Notitie 2 2 62 4" xfId="18592"/>
    <cellStyle name="Notitie 2 2 62 4 2" xfId="32905"/>
    <cellStyle name="Notitie 2 2 62 5" xfId="32906"/>
    <cellStyle name="Notitie 2 2 62 6" xfId="32907"/>
    <cellStyle name="Notitie 2 2 62 7" xfId="32908"/>
    <cellStyle name="Notitie 2 2 63" xfId="825"/>
    <cellStyle name="Notitie 2 2 63 2" xfId="6662"/>
    <cellStyle name="Notitie 2 2 63 2 2" xfId="11072"/>
    <cellStyle name="Notitie 2 2 63 2 3" xfId="18593"/>
    <cellStyle name="Notitie 2 2 63 2 3 2" xfId="32909"/>
    <cellStyle name="Notitie 2 2 63 2 4" xfId="32910"/>
    <cellStyle name="Notitie 2 2 63 2 5" xfId="32911"/>
    <cellStyle name="Notitie 2 2 63 2 6" xfId="32912"/>
    <cellStyle name="Notitie 2 2 63 3" xfId="8661"/>
    <cellStyle name="Notitie 2 2 63 4" xfId="18594"/>
    <cellStyle name="Notitie 2 2 63 4 2" xfId="32913"/>
    <cellStyle name="Notitie 2 2 63 5" xfId="32914"/>
    <cellStyle name="Notitie 2 2 63 6" xfId="32915"/>
    <cellStyle name="Notitie 2 2 63 7" xfId="32916"/>
    <cellStyle name="Notitie 2 2 64" xfId="826"/>
    <cellStyle name="Notitie 2 2 64 2" xfId="6663"/>
    <cellStyle name="Notitie 2 2 64 2 2" xfId="11073"/>
    <cellStyle name="Notitie 2 2 64 2 3" xfId="18595"/>
    <cellStyle name="Notitie 2 2 64 2 3 2" xfId="32917"/>
    <cellStyle name="Notitie 2 2 64 2 4" xfId="32918"/>
    <cellStyle name="Notitie 2 2 64 2 5" xfId="32919"/>
    <cellStyle name="Notitie 2 2 64 2 6" xfId="32920"/>
    <cellStyle name="Notitie 2 2 64 3" xfId="8662"/>
    <cellStyle name="Notitie 2 2 64 4" xfId="18596"/>
    <cellStyle name="Notitie 2 2 64 4 2" xfId="32921"/>
    <cellStyle name="Notitie 2 2 64 5" xfId="32922"/>
    <cellStyle name="Notitie 2 2 64 6" xfId="32923"/>
    <cellStyle name="Notitie 2 2 64 7" xfId="32924"/>
    <cellStyle name="Notitie 2 2 65" xfId="827"/>
    <cellStyle name="Notitie 2 2 65 2" xfId="6664"/>
    <cellStyle name="Notitie 2 2 65 2 2" xfId="11074"/>
    <cellStyle name="Notitie 2 2 65 2 3" xfId="18597"/>
    <cellStyle name="Notitie 2 2 65 2 3 2" xfId="32925"/>
    <cellStyle name="Notitie 2 2 65 2 4" xfId="32926"/>
    <cellStyle name="Notitie 2 2 65 2 5" xfId="32927"/>
    <cellStyle name="Notitie 2 2 65 2 6" xfId="32928"/>
    <cellStyle name="Notitie 2 2 65 3" xfId="8663"/>
    <cellStyle name="Notitie 2 2 65 4" xfId="18598"/>
    <cellStyle name="Notitie 2 2 65 4 2" xfId="32929"/>
    <cellStyle name="Notitie 2 2 65 5" xfId="32930"/>
    <cellStyle name="Notitie 2 2 65 6" xfId="32931"/>
    <cellStyle name="Notitie 2 2 65 7" xfId="32932"/>
    <cellStyle name="Notitie 2 2 66" xfId="828"/>
    <cellStyle name="Notitie 2 2 66 2" xfId="6665"/>
    <cellStyle name="Notitie 2 2 66 2 2" xfId="11075"/>
    <cellStyle name="Notitie 2 2 66 2 3" xfId="18599"/>
    <cellStyle name="Notitie 2 2 66 2 3 2" xfId="32933"/>
    <cellStyle name="Notitie 2 2 66 2 4" xfId="32934"/>
    <cellStyle name="Notitie 2 2 66 2 5" xfId="32935"/>
    <cellStyle name="Notitie 2 2 66 2 6" xfId="32936"/>
    <cellStyle name="Notitie 2 2 66 3" xfId="8664"/>
    <cellStyle name="Notitie 2 2 66 4" xfId="18600"/>
    <cellStyle name="Notitie 2 2 66 4 2" xfId="32937"/>
    <cellStyle name="Notitie 2 2 66 5" xfId="32938"/>
    <cellStyle name="Notitie 2 2 66 6" xfId="32939"/>
    <cellStyle name="Notitie 2 2 66 7" xfId="32940"/>
    <cellStyle name="Notitie 2 2 67" xfId="829"/>
    <cellStyle name="Notitie 2 2 67 2" xfId="6666"/>
    <cellStyle name="Notitie 2 2 67 2 2" xfId="11076"/>
    <cellStyle name="Notitie 2 2 67 2 3" xfId="18601"/>
    <cellStyle name="Notitie 2 2 67 2 3 2" xfId="32941"/>
    <cellStyle name="Notitie 2 2 67 2 4" xfId="32942"/>
    <cellStyle name="Notitie 2 2 67 2 5" xfId="32943"/>
    <cellStyle name="Notitie 2 2 67 2 6" xfId="32944"/>
    <cellStyle name="Notitie 2 2 67 3" xfId="8665"/>
    <cellStyle name="Notitie 2 2 67 4" xfId="18602"/>
    <cellStyle name="Notitie 2 2 67 4 2" xfId="32945"/>
    <cellStyle name="Notitie 2 2 67 5" xfId="32946"/>
    <cellStyle name="Notitie 2 2 67 6" xfId="32947"/>
    <cellStyle name="Notitie 2 2 67 7" xfId="32948"/>
    <cellStyle name="Notitie 2 2 68" xfId="830"/>
    <cellStyle name="Notitie 2 2 68 2" xfId="6667"/>
    <cellStyle name="Notitie 2 2 68 2 2" xfId="11077"/>
    <cellStyle name="Notitie 2 2 68 2 3" xfId="18603"/>
    <cellStyle name="Notitie 2 2 68 2 3 2" xfId="32949"/>
    <cellStyle name="Notitie 2 2 68 2 4" xfId="32950"/>
    <cellStyle name="Notitie 2 2 68 2 5" xfId="32951"/>
    <cellStyle name="Notitie 2 2 68 2 6" xfId="32952"/>
    <cellStyle name="Notitie 2 2 68 3" xfId="8666"/>
    <cellStyle name="Notitie 2 2 68 4" xfId="18604"/>
    <cellStyle name="Notitie 2 2 68 4 2" xfId="32953"/>
    <cellStyle name="Notitie 2 2 68 5" xfId="32954"/>
    <cellStyle name="Notitie 2 2 68 6" xfId="32955"/>
    <cellStyle name="Notitie 2 2 68 7" xfId="32956"/>
    <cellStyle name="Notitie 2 2 69" xfId="831"/>
    <cellStyle name="Notitie 2 2 69 2" xfId="6668"/>
    <cellStyle name="Notitie 2 2 69 2 2" xfId="11078"/>
    <cellStyle name="Notitie 2 2 69 2 3" xfId="18605"/>
    <cellStyle name="Notitie 2 2 69 2 3 2" xfId="32957"/>
    <cellStyle name="Notitie 2 2 69 2 4" xfId="32958"/>
    <cellStyle name="Notitie 2 2 69 2 5" xfId="32959"/>
    <cellStyle name="Notitie 2 2 69 2 6" xfId="32960"/>
    <cellStyle name="Notitie 2 2 69 3" xfId="8667"/>
    <cellStyle name="Notitie 2 2 69 4" xfId="18606"/>
    <cellStyle name="Notitie 2 2 69 4 2" xfId="32961"/>
    <cellStyle name="Notitie 2 2 69 5" xfId="32962"/>
    <cellStyle name="Notitie 2 2 69 6" xfId="32963"/>
    <cellStyle name="Notitie 2 2 69 7" xfId="32964"/>
    <cellStyle name="Notitie 2 2 7" xfId="832"/>
    <cellStyle name="Notitie 2 2 7 2" xfId="6669"/>
    <cellStyle name="Notitie 2 2 7 2 2" xfId="11079"/>
    <cellStyle name="Notitie 2 2 7 2 3" xfId="18607"/>
    <cellStyle name="Notitie 2 2 7 2 3 2" xfId="32965"/>
    <cellStyle name="Notitie 2 2 7 2 4" xfId="32966"/>
    <cellStyle name="Notitie 2 2 7 2 5" xfId="32967"/>
    <cellStyle name="Notitie 2 2 7 2 6" xfId="32968"/>
    <cellStyle name="Notitie 2 2 7 3" xfId="8668"/>
    <cellStyle name="Notitie 2 2 7 4" xfId="18608"/>
    <cellStyle name="Notitie 2 2 7 4 2" xfId="32969"/>
    <cellStyle name="Notitie 2 2 7 5" xfId="32970"/>
    <cellStyle name="Notitie 2 2 7 6" xfId="32971"/>
    <cellStyle name="Notitie 2 2 7 7" xfId="32972"/>
    <cellStyle name="Notitie 2 2 70" xfId="833"/>
    <cellStyle name="Notitie 2 2 70 2" xfId="6670"/>
    <cellStyle name="Notitie 2 2 70 2 2" xfId="11080"/>
    <cellStyle name="Notitie 2 2 70 2 3" xfId="18609"/>
    <cellStyle name="Notitie 2 2 70 2 3 2" xfId="32973"/>
    <cellStyle name="Notitie 2 2 70 2 4" xfId="32974"/>
    <cellStyle name="Notitie 2 2 70 2 5" xfId="32975"/>
    <cellStyle name="Notitie 2 2 70 2 6" xfId="32976"/>
    <cellStyle name="Notitie 2 2 70 3" xfId="8669"/>
    <cellStyle name="Notitie 2 2 70 4" xfId="18610"/>
    <cellStyle name="Notitie 2 2 70 4 2" xfId="32977"/>
    <cellStyle name="Notitie 2 2 70 5" xfId="32978"/>
    <cellStyle name="Notitie 2 2 70 6" xfId="32979"/>
    <cellStyle name="Notitie 2 2 70 7" xfId="32980"/>
    <cellStyle name="Notitie 2 2 71" xfId="834"/>
    <cellStyle name="Notitie 2 2 71 2" xfId="6671"/>
    <cellStyle name="Notitie 2 2 71 2 2" xfId="11081"/>
    <cellStyle name="Notitie 2 2 71 2 3" xfId="18611"/>
    <cellStyle name="Notitie 2 2 71 2 3 2" xfId="32981"/>
    <cellStyle name="Notitie 2 2 71 2 4" xfId="32982"/>
    <cellStyle name="Notitie 2 2 71 2 5" xfId="32983"/>
    <cellStyle name="Notitie 2 2 71 2 6" xfId="32984"/>
    <cellStyle name="Notitie 2 2 71 3" xfId="8670"/>
    <cellStyle name="Notitie 2 2 71 4" xfId="18612"/>
    <cellStyle name="Notitie 2 2 71 4 2" xfId="32985"/>
    <cellStyle name="Notitie 2 2 71 5" xfId="32986"/>
    <cellStyle name="Notitie 2 2 71 6" xfId="32987"/>
    <cellStyle name="Notitie 2 2 71 7" xfId="32988"/>
    <cellStyle name="Notitie 2 2 72" xfId="835"/>
    <cellStyle name="Notitie 2 2 72 2" xfId="6672"/>
    <cellStyle name="Notitie 2 2 72 2 2" xfId="11082"/>
    <cellStyle name="Notitie 2 2 72 2 3" xfId="18613"/>
    <cellStyle name="Notitie 2 2 72 2 3 2" xfId="32989"/>
    <cellStyle name="Notitie 2 2 72 2 4" xfId="32990"/>
    <cellStyle name="Notitie 2 2 72 2 5" xfId="32991"/>
    <cellStyle name="Notitie 2 2 72 2 6" xfId="32992"/>
    <cellStyle name="Notitie 2 2 72 3" xfId="8671"/>
    <cellStyle name="Notitie 2 2 72 4" xfId="18614"/>
    <cellStyle name="Notitie 2 2 72 4 2" xfId="32993"/>
    <cellStyle name="Notitie 2 2 72 5" xfId="32994"/>
    <cellStyle name="Notitie 2 2 72 6" xfId="32995"/>
    <cellStyle name="Notitie 2 2 72 7" xfId="32996"/>
    <cellStyle name="Notitie 2 2 73" xfId="836"/>
    <cellStyle name="Notitie 2 2 73 2" xfId="6673"/>
    <cellStyle name="Notitie 2 2 73 2 2" xfId="11083"/>
    <cellStyle name="Notitie 2 2 73 2 3" xfId="18615"/>
    <cellStyle name="Notitie 2 2 73 2 3 2" xfId="32997"/>
    <cellStyle name="Notitie 2 2 73 2 4" xfId="32998"/>
    <cellStyle name="Notitie 2 2 73 2 5" xfId="32999"/>
    <cellStyle name="Notitie 2 2 73 2 6" xfId="33000"/>
    <cellStyle name="Notitie 2 2 73 3" xfId="8672"/>
    <cellStyle name="Notitie 2 2 73 4" xfId="18616"/>
    <cellStyle name="Notitie 2 2 73 4 2" xfId="33001"/>
    <cellStyle name="Notitie 2 2 73 5" xfId="33002"/>
    <cellStyle name="Notitie 2 2 73 6" xfId="33003"/>
    <cellStyle name="Notitie 2 2 73 7" xfId="33004"/>
    <cellStyle name="Notitie 2 2 74" xfId="837"/>
    <cellStyle name="Notitie 2 2 74 2" xfId="6674"/>
    <cellStyle name="Notitie 2 2 74 2 2" xfId="11084"/>
    <cellStyle name="Notitie 2 2 74 2 3" xfId="18617"/>
    <cellStyle name="Notitie 2 2 74 2 3 2" xfId="33005"/>
    <cellStyle name="Notitie 2 2 74 2 4" xfId="33006"/>
    <cellStyle name="Notitie 2 2 74 2 5" xfId="33007"/>
    <cellStyle name="Notitie 2 2 74 2 6" xfId="33008"/>
    <cellStyle name="Notitie 2 2 74 3" xfId="8673"/>
    <cellStyle name="Notitie 2 2 74 4" xfId="18618"/>
    <cellStyle name="Notitie 2 2 74 4 2" xfId="33009"/>
    <cellStyle name="Notitie 2 2 74 5" xfId="33010"/>
    <cellStyle name="Notitie 2 2 74 6" xfId="33011"/>
    <cellStyle name="Notitie 2 2 74 7" xfId="33012"/>
    <cellStyle name="Notitie 2 2 75" xfId="838"/>
    <cellStyle name="Notitie 2 2 75 2" xfId="6675"/>
    <cellStyle name="Notitie 2 2 75 2 2" xfId="11085"/>
    <cellStyle name="Notitie 2 2 75 2 3" xfId="18619"/>
    <cellStyle name="Notitie 2 2 75 2 3 2" xfId="33013"/>
    <cellStyle name="Notitie 2 2 75 2 4" xfId="33014"/>
    <cellStyle name="Notitie 2 2 75 2 5" xfId="33015"/>
    <cellStyle name="Notitie 2 2 75 2 6" xfId="33016"/>
    <cellStyle name="Notitie 2 2 75 3" xfId="8674"/>
    <cellStyle name="Notitie 2 2 75 4" xfId="18620"/>
    <cellStyle name="Notitie 2 2 75 4 2" xfId="33017"/>
    <cellStyle name="Notitie 2 2 75 5" xfId="33018"/>
    <cellStyle name="Notitie 2 2 75 6" xfId="33019"/>
    <cellStyle name="Notitie 2 2 75 7" xfId="33020"/>
    <cellStyle name="Notitie 2 2 76" xfId="839"/>
    <cellStyle name="Notitie 2 2 76 2" xfId="6676"/>
    <cellStyle name="Notitie 2 2 76 2 2" xfId="11086"/>
    <cellStyle name="Notitie 2 2 76 2 3" xfId="18621"/>
    <cellStyle name="Notitie 2 2 76 2 3 2" xfId="33021"/>
    <cellStyle name="Notitie 2 2 76 2 4" xfId="33022"/>
    <cellStyle name="Notitie 2 2 76 2 5" xfId="33023"/>
    <cellStyle name="Notitie 2 2 76 2 6" xfId="33024"/>
    <cellStyle name="Notitie 2 2 76 3" xfId="8675"/>
    <cellStyle name="Notitie 2 2 76 4" xfId="18622"/>
    <cellStyle name="Notitie 2 2 76 4 2" xfId="33025"/>
    <cellStyle name="Notitie 2 2 76 5" xfId="33026"/>
    <cellStyle name="Notitie 2 2 76 6" xfId="33027"/>
    <cellStyle name="Notitie 2 2 76 7" xfId="33028"/>
    <cellStyle name="Notitie 2 2 77" xfId="840"/>
    <cellStyle name="Notitie 2 2 77 2" xfId="6677"/>
    <cellStyle name="Notitie 2 2 77 2 2" xfId="11087"/>
    <cellStyle name="Notitie 2 2 77 2 3" xfId="18623"/>
    <cellStyle name="Notitie 2 2 77 2 3 2" xfId="33029"/>
    <cellStyle name="Notitie 2 2 77 2 4" xfId="33030"/>
    <cellStyle name="Notitie 2 2 77 2 5" xfId="33031"/>
    <cellStyle name="Notitie 2 2 77 2 6" xfId="33032"/>
    <cellStyle name="Notitie 2 2 77 3" xfId="8676"/>
    <cellStyle name="Notitie 2 2 77 4" xfId="18624"/>
    <cellStyle name="Notitie 2 2 77 4 2" xfId="33033"/>
    <cellStyle name="Notitie 2 2 77 5" xfId="33034"/>
    <cellStyle name="Notitie 2 2 77 6" xfId="33035"/>
    <cellStyle name="Notitie 2 2 77 7" xfId="33036"/>
    <cellStyle name="Notitie 2 2 78" xfId="841"/>
    <cellStyle name="Notitie 2 2 78 2" xfId="6678"/>
    <cellStyle name="Notitie 2 2 78 2 2" xfId="11088"/>
    <cellStyle name="Notitie 2 2 78 2 3" xfId="18625"/>
    <cellStyle name="Notitie 2 2 78 2 3 2" xfId="33037"/>
    <cellStyle name="Notitie 2 2 78 2 4" xfId="33038"/>
    <cellStyle name="Notitie 2 2 78 2 5" xfId="33039"/>
    <cellStyle name="Notitie 2 2 78 2 6" xfId="33040"/>
    <cellStyle name="Notitie 2 2 78 3" xfId="8677"/>
    <cellStyle name="Notitie 2 2 78 4" xfId="18626"/>
    <cellStyle name="Notitie 2 2 78 4 2" xfId="33041"/>
    <cellStyle name="Notitie 2 2 78 5" xfId="33042"/>
    <cellStyle name="Notitie 2 2 78 6" xfId="33043"/>
    <cellStyle name="Notitie 2 2 78 7" xfId="33044"/>
    <cellStyle name="Notitie 2 2 79" xfId="842"/>
    <cellStyle name="Notitie 2 2 79 2" xfId="6679"/>
    <cellStyle name="Notitie 2 2 79 2 2" xfId="11089"/>
    <cellStyle name="Notitie 2 2 79 2 3" xfId="18627"/>
    <cellStyle name="Notitie 2 2 79 2 3 2" xfId="33045"/>
    <cellStyle name="Notitie 2 2 79 2 4" xfId="33046"/>
    <cellStyle name="Notitie 2 2 79 2 5" xfId="33047"/>
    <cellStyle name="Notitie 2 2 79 2 6" xfId="33048"/>
    <cellStyle name="Notitie 2 2 79 3" xfId="8678"/>
    <cellStyle name="Notitie 2 2 79 4" xfId="18628"/>
    <cellStyle name="Notitie 2 2 79 4 2" xfId="33049"/>
    <cellStyle name="Notitie 2 2 79 5" xfId="33050"/>
    <cellStyle name="Notitie 2 2 79 6" xfId="33051"/>
    <cellStyle name="Notitie 2 2 79 7" xfId="33052"/>
    <cellStyle name="Notitie 2 2 8" xfId="843"/>
    <cellStyle name="Notitie 2 2 8 2" xfId="6680"/>
    <cellStyle name="Notitie 2 2 8 2 2" xfId="11090"/>
    <cellStyle name="Notitie 2 2 8 2 3" xfId="18629"/>
    <cellStyle name="Notitie 2 2 8 2 3 2" xfId="33053"/>
    <cellStyle name="Notitie 2 2 8 2 4" xfId="33054"/>
    <cellStyle name="Notitie 2 2 8 2 5" xfId="33055"/>
    <cellStyle name="Notitie 2 2 8 2 6" xfId="33056"/>
    <cellStyle name="Notitie 2 2 8 3" xfId="8679"/>
    <cellStyle name="Notitie 2 2 8 4" xfId="18630"/>
    <cellStyle name="Notitie 2 2 8 4 2" xfId="33057"/>
    <cellStyle name="Notitie 2 2 8 5" xfId="33058"/>
    <cellStyle name="Notitie 2 2 8 6" xfId="33059"/>
    <cellStyle name="Notitie 2 2 8 7" xfId="33060"/>
    <cellStyle name="Notitie 2 2 80" xfId="6681"/>
    <cellStyle name="Notitie 2 2 80 2" xfId="11013"/>
    <cellStyle name="Notitie 2 2 80 3" xfId="18631"/>
    <cellStyle name="Notitie 2 2 80 3 2" xfId="33061"/>
    <cellStyle name="Notitie 2 2 80 4" xfId="33062"/>
    <cellStyle name="Notitie 2 2 80 5" xfId="33063"/>
    <cellStyle name="Notitie 2 2 80 6" xfId="33064"/>
    <cellStyle name="Notitie 2 2 81" xfId="8602"/>
    <cellStyle name="Notitie 2 2 82" xfId="18632"/>
    <cellStyle name="Notitie 2 2 82 2" xfId="33065"/>
    <cellStyle name="Notitie 2 2 83" xfId="33066"/>
    <cellStyle name="Notitie 2 2 84" xfId="33067"/>
    <cellStyle name="Notitie 2 2 85" xfId="33068"/>
    <cellStyle name="Notitie 2 2 9" xfId="844"/>
    <cellStyle name="Notitie 2 2 9 2" xfId="6682"/>
    <cellStyle name="Notitie 2 2 9 2 2" xfId="11091"/>
    <cellStyle name="Notitie 2 2 9 2 3" xfId="18633"/>
    <cellStyle name="Notitie 2 2 9 2 3 2" xfId="33069"/>
    <cellStyle name="Notitie 2 2 9 2 4" xfId="33070"/>
    <cellStyle name="Notitie 2 2 9 2 5" xfId="33071"/>
    <cellStyle name="Notitie 2 2 9 2 6" xfId="33072"/>
    <cellStyle name="Notitie 2 2 9 3" xfId="8680"/>
    <cellStyle name="Notitie 2 2 9 4" xfId="18634"/>
    <cellStyle name="Notitie 2 2 9 4 2" xfId="33073"/>
    <cellStyle name="Notitie 2 2 9 5" xfId="33074"/>
    <cellStyle name="Notitie 2 2 9 6" xfId="33075"/>
    <cellStyle name="Notitie 2 2 9 7" xfId="33076"/>
    <cellStyle name="Notitie 2 20" xfId="18635"/>
    <cellStyle name="Notitie 2 20 2" xfId="33077"/>
    <cellStyle name="Notitie 2 21" xfId="33078"/>
    <cellStyle name="Notitie 2 22" xfId="33079"/>
    <cellStyle name="Notitie 2 23" xfId="33080"/>
    <cellStyle name="Notitie 2 3" xfId="845"/>
    <cellStyle name="Notitie 2 3 2" xfId="6683"/>
    <cellStyle name="Notitie 2 3 2 2" xfId="11092"/>
    <cellStyle name="Notitie 2 3 2 3" xfId="18636"/>
    <cellStyle name="Notitie 2 3 2 3 2" xfId="33081"/>
    <cellStyle name="Notitie 2 3 2 4" xfId="33082"/>
    <cellStyle name="Notitie 2 3 2 5" xfId="33083"/>
    <cellStyle name="Notitie 2 3 2 6" xfId="33084"/>
    <cellStyle name="Notitie 2 3 3" xfId="8681"/>
    <cellStyle name="Notitie 2 3 4" xfId="18637"/>
    <cellStyle name="Notitie 2 3 4 2" xfId="33085"/>
    <cellStyle name="Notitie 2 3 5" xfId="33086"/>
    <cellStyle name="Notitie 2 3 6" xfId="33087"/>
    <cellStyle name="Notitie 2 3 7" xfId="33088"/>
    <cellStyle name="Notitie 2 4" xfId="846"/>
    <cellStyle name="Notitie 2 4 2" xfId="6684"/>
    <cellStyle name="Notitie 2 4 2 2" xfId="11093"/>
    <cellStyle name="Notitie 2 4 2 3" xfId="18638"/>
    <cellStyle name="Notitie 2 4 2 3 2" xfId="33089"/>
    <cellStyle name="Notitie 2 4 2 4" xfId="33090"/>
    <cellStyle name="Notitie 2 4 2 5" xfId="33091"/>
    <cellStyle name="Notitie 2 4 2 6" xfId="33092"/>
    <cellStyle name="Notitie 2 4 3" xfId="8682"/>
    <cellStyle name="Notitie 2 4 4" xfId="18639"/>
    <cellStyle name="Notitie 2 4 4 2" xfId="33093"/>
    <cellStyle name="Notitie 2 4 5" xfId="33094"/>
    <cellStyle name="Notitie 2 4 6" xfId="33095"/>
    <cellStyle name="Notitie 2 4 7" xfId="33096"/>
    <cellStyle name="Notitie 2 5" xfId="847"/>
    <cellStyle name="Notitie 2 5 2" xfId="6685"/>
    <cellStyle name="Notitie 2 5 2 2" xfId="11094"/>
    <cellStyle name="Notitie 2 5 2 3" xfId="18640"/>
    <cellStyle name="Notitie 2 5 2 3 2" xfId="33097"/>
    <cellStyle name="Notitie 2 5 2 4" xfId="33098"/>
    <cellStyle name="Notitie 2 5 2 5" xfId="33099"/>
    <cellStyle name="Notitie 2 5 2 6" xfId="33100"/>
    <cellStyle name="Notitie 2 5 3" xfId="8683"/>
    <cellStyle name="Notitie 2 5 4" xfId="18641"/>
    <cellStyle name="Notitie 2 5 4 2" xfId="33101"/>
    <cellStyle name="Notitie 2 5 5" xfId="33102"/>
    <cellStyle name="Notitie 2 5 6" xfId="33103"/>
    <cellStyle name="Notitie 2 5 7" xfId="33104"/>
    <cellStyle name="Notitie 2 6" xfId="848"/>
    <cellStyle name="Notitie 2 6 2" xfId="6686"/>
    <cellStyle name="Notitie 2 6 2 2" xfId="11095"/>
    <cellStyle name="Notitie 2 6 2 3" xfId="18642"/>
    <cellStyle name="Notitie 2 6 2 3 2" xfId="33105"/>
    <cellStyle name="Notitie 2 6 2 4" xfId="33106"/>
    <cellStyle name="Notitie 2 6 2 5" xfId="33107"/>
    <cellStyle name="Notitie 2 6 2 6" xfId="33108"/>
    <cellStyle name="Notitie 2 6 3" xfId="8684"/>
    <cellStyle name="Notitie 2 6 4" xfId="18643"/>
    <cellStyle name="Notitie 2 6 4 2" xfId="33109"/>
    <cellStyle name="Notitie 2 6 5" xfId="33110"/>
    <cellStyle name="Notitie 2 6 6" xfId="33111"/>
    <cellStyle name="Notitie 2 6 7" xfId="33112"/>
    <cellStyle name="Notitie 2 7" xfId="849"/>
    <cellStyle name="Notitie 2 7 2" xfId="6687"/>
    <cellStyle name="Notitie 2 7 2 2" xfId="11096"/>
    <cellStyle name="Notitie 2 7 2 3" xfId="18644"/>
    <cellStyle name="Notitie 2 7 2 3 2" xfId="33113"/>
    <cellStyle name="Notitie 2 7 2 4" xfId="33114"/>
    <cellStyle name="Notitie 2 7 2 5" xfId="33115"/>
    <cellStyle name="Notitie 2 7 2 6" xfId="33116"/>
    <cellStyle name="Notitie 2 7 3" xfId="8685"/>
    <cellStyle name="Notitie 2 7 4" xfId="18645"/>
    <cellStyle name="Notitie 2 7 4 2" xfId="33117"/>
    <cellStyle name="Notitie 2 7 5" xfId="33118"/>
    <cellStyle name="Notitie 2 7 6" xfId="33119"/>
    <cellStyle name="Notitie 2 7 7" xfId="33120"/>
    <cellStyle name="Notitie 2 8" xfId="850"/>
    <cellStyle name="Notitie 2 8 2" xfId="6688"/>
    <cellStyle name="Notitie 2 8 2 2" xfId="11097"/>
    <cellStyle name="Notitie 2 8 2 3" xfId="18646"/>
    <cellStyle name="Notitie 2 8 2 3 2" xfId="33121"/>
    <cellStyle name="Notitie 2 8 2 4" xfId="33122"/>
    <cellStyle name="Notitie 2 8 2 5" xfId="33123"/>
    <cellStyle name="Notitie 2 8 2 6" xfId="33124"/>
    <cellStyle name="Notitie 2 8 3" xfId="8686"/>
    <cellStyle name="Notitie 2 8 4" xfId="18647"/>
    <cellStyle name="Notitie 2 8 4 2" xfId="33125"/>
    <cellStyle name="Notitie 2 8 5" xfId="33126"/>
    <cellStyle name="Notitie 2 8 6" xfId="33127"/>
    <cellStyle name="Notitie 2 8 7" xfId="33128"/>
    <cellStyle name="Notitie 2 9" xfId="851"/>
    <cellStyle name="Notitie 2 9 2" xfId="6689"/>
    <cellStyle name="Notitie 2 9 2 2" xfId="11098"/>
    <cellStyle name="Notitie 2 9 2 3" xfId="18648"/>
    <cellStyle name="Notitie 2 9 2 3 2" xfId="33129"/>
    <cellStyle name="Notitie 2 9 2 4" xfId="33130"/>
    <cellStyle name="Notitie 2 9 2 5" xfId="33131"/>
    <cellStyle name="Notitie 2 9 2 6" xfId="33132"/>
    <cellStyle name="Notitie 2 9 3" xfId="8687"/>
    <cellStyle name="Notitie 2 9 4" xfId="18649"/>
    <cellStyle name="Notitie 2 9 4 2" xfId="33133"/>
    <cellStyle name="Notitie 2 9 5" xfId="33134"/>
    <cellStyle name="Notitie 2 9 6" xfId="33135"/>
    <cellStyle name="Notitie 2 9 7" xfId="33136"/>
    <cellStyle name="Notitie 3" xfId="852"/>
    <cellStyle name="Notitie 3 10" xfId="853"/>
    <cellStyle name="Notitie 3 10 2" xfId="6690"/>
    <cellStyle name="Notitie 3 10 2 2" xfId="11100"/>
    <cellStyle name="Notitie 3 10 2 3" xfId="18650"/>
    <cellStyle name="Notitie 3 10 2 3 2" xfId="33137"/>
    <cellStyle name="Notitie 3 10 2 4" xfId="33138"/>
    <cellStyle name="Notitie 3 10 2 5" xfId="33139"/>
    <cellStyle name="Notitie 3 10 2 6" xfId="33140"/>
    <cellStyle name="Notitie 3 10 3" xfId="8689"/>
    <cellStyle name="Notitie 3 10 4" xfId="18651"/>
    <cellStyle name="Notitie 3 10 4 2" xfId="33141"/>
    <cellStyle name="Notitie 3 10 5" xfId="33142"/>
    <cellStyle name="Notitie 3 10 6" xfId="33143"/>
    <cellStyle name="Notitie 3 10 7" xfId="33144"/>
    <cellStyle name="Notitie 3 11" xfId="854"/>
    <cellStyle name="Notitie 3 11 2" xfId="6691"/>
    <cellStyle name="Notitie 3 11 2 2" xfId="11101"/>
    <cellStyle name="Notitie 3 11 2 3" xfId="18652"/>
    <cellStyle name="Notitie 3 11 2 3 2" xfId="33145"/>
    <cellStyle name="Notitie 3 11 2 4" xfId="33146"/>
    <cellStyle name="Notitie 3 11 2 5" xfId="33147"/>
    <cellStyle name="Notitie 3 11 2 6" xfId="33148"/>
    <cellStyle name="Notitie 3 11 3" xfId="8690"/>
    <cellStyle name="Notitie 3 11 4" xfId="18653"/>
    <cellStyle name="Notitie 3 11 4 2" xfId="33149"/>
    <cellStyle name="Notitie 3 11 5" xfId="33150"/>
    <cellStyle name="Notitie 3 11 6" xfId="33151"/>
    <cellStyle name="Notitie 3 11 7" xfId="33152"/>
    <cellStyle name="Notitie 3 12" xfId="855"/>
    <cellStyle name="Notitie 3 12 2" xfId="6692"/>
    <cellStyle name="Notitie 3 12 2 2" xfId="11102"/>
    <cellStyle name="Notitie 3 12 2 3" xfId="18654"/>
    <cellStyle name="Notitie 3 12 2 3 2" xfId="33153"/>
    <cellStyle name="Notitie 3 12 2 4" xfId="33154"/>
    <cellStyle name="Notitie 3 12 2 5" xfId="33155"/>
    <cellStyle name="Notitie 3 12 2 6" xfId="33156"/>
    <cellStyle name="Notitie 3 12 3" xfId="8691"/>
    <cellStyle name="Notitie 3 12 4" xfId="18655"/>
    <cellStyle name="Notitie 3 12 4 2" xfId="33157"/>
    <cellStyle name="Notitie 3 12 5" xfId="33158"/>
    <cellStyle name="Notitie 3 12 6" xfId="33159"/>
    <cellStyle name="Notitie 3 12 7" xfId="33160"/>
    <cellStyle name="Notitie 3 13" xfId="856"/>
    <cellStyle name="Notitie 3 13 2" xfId="6693"/>
    <cellStyle name="Notitie 3 13 2 2" xfId="11103"/>
    <cellStyle name="Notitie 3 13 2 3" xfId="18656"/>
    <cellStyle name="Notitie 3 13 2 3 2" xfId="33161"/>
    <cellStyle name="Notitie 3 13 2 4" xfId="33162"/>
    <cellStyle name="Notitie 3 13 2 5" xfId="33163"/>
    <cellStyle name="Notitie 3 13 2 6" xfId="33164"/>
    <cellStyle name="Notitie 3 13 3" xfId="8692"/>
    <cellStyle name="Notitie 3 13 4" xfId="18657"/>
    <cellStyle name="Notitie 3 13 4 2" xfId="33165"/>
    <cellStyle name="Notitie 3 13 5" xfId="33166"/>
    <cellStyle name="Notitie 3 13 6" xfId="33167"/>
    <cellStyle name="Notitie 3 13 7" xfId="33168"/>
    <cellStyle name="Notitie 3 14" xfId="857"/>
    <cellStyle name="Notitie 3 14 2" xfId="6694"/>
    <cellStyle name="Notitie 3 14 2 2" xfId="11104"/>
    <cellStyle name="Notitie 3 14 2 3" xfId="18658"/>
    <cellStyle name="Notitie 3 14 2 3 2" xfId="33169"/>
    <cellStyle name="Notitie 3 14 2 4" xfId="33170"/>
    <cellStyle name="Notitie 3 14 2 5" xfId="33171"/>
    <cellStyle name="Notitie 3 14 2 6" xfId="33172"/>
    <cellStyle name="Notitie 3 14 3" xfId="8693"/>
    <cellStyle name="Notitie 3 14 4" xfId="18659"/>
    <cellStyle name="Notitie 3 14 4 2" xfId="33173"/>
    <cellStyle name="Notitie 3 14 5" xfId="33174"/>
    <cellStyle name="Notitie 3 14 6" xfId="33175"/>
    <cellStyle name="Notitie 3 14 7" xfId="33176"/>
    <cellStyle name="Notitie 3 15" xfId="858"/>
    <cellStyle name="Notitie 3 15 2" xfId="6695"/>
    <cellStyle name="Notitie 3 15 2 2" xfId="11105"/>
    <cellStyle name="Notitie 3 15 2 3" xfId="18660"/>
    <cellStyle name="Notitie 3 15 2 3 2" xfId="33177"/>
    <cellStyle name="Notitie 3 15 2 4" xfId="33178"/>
    <cellStyle name="Notitie 3 15 2 5" xfId="33179"/>
    <cellStyle name="Notitie 3 15 2 6" xfId="33180"/>
    <cellStyle name="Notitie 3 15 3" xfId="8694"/>
    <cellStyle name="Notitie 3 15 4" xfId="18661"/>
    <cellStyle name="Notitie 3 15 4 2" xfId="33181"/>
    <cellStyle name="Notitie 3 15 5" xfId="33182"/>
    <cellStyle name="Notitie 3 15 6" xfId="33183"/>
    <cellStyle name="Notitie 3 15 7" xfId="33184"/>
    <cellStyle name="Notitie 3 16" xfId="859"/>
    <cellStyle name="Notitie 3 16 2" xfId="6696"/>
    <cellStyle name="Notitie 3 16 2 2" xfId="11106"/>
    <cellStyle name="Notitie 3 16 2 3" xfId="18662"/>
    <cellStyle name="Notitie 3 16 2 3 2" xfId="33185"/>
    <cellStyle name="Notitie 3 16 2 4" xfId="33186"/>
    <cellStyle name="Notitie 3 16 2 5" xfId="33187"/>
    <cellStyle name="Notitie 3 16 2 6" xfId="33188"/>
    <cellStyle name="Notitie 3 16 3" xfId="8695"/>
    <cellStyle name="Notitie 3 16 4" xfId="18663"/>
    <cellStyle name="Notitie 3 16 4 2" xfId="33189"/>
    <cellStyle name="Notitie 3 16 5" xfId="33190"/>
    <cellStyle name="Notitie 3 16 6" xfId="33191"/>
    <cellStyle name="Notitie 3 16 7" xfId="33192"/>
    <cellStyle name="Notitie 3 17" xfId="860"/>
    <cellStyle name="Notitie 3 17 2" xfId="6697"/>
    <cellStyle name="Notitie 3 17 2 2" xfId="11107"/>
    <cellStyle name="Notitie 3 17 2 3" xfId="18664"/>
    <cellStyle name="Notitie 3 17 2 3 2" xfId="33193"/>
    <cellStyle name="Notitie 3 17 2 4" xfId="33194"/>
    <cellStyle name="Notitie 3 17 2 5" xfId="33195"/>
    <cellStyle name="Notitie 3 17 2 6" xfId="33196"/>
    <cellStyle name="Notitie 3 17 3" xfId="8696"/>
    <cellStyle name="Notitie 3 17 4" xfId="18665"/>
    <cellStyle name="Notitie 3 17 4 2" xfId="33197"/>
    <cellStyle name="Notitie 3 17 5" xfId="33198"/>
    <cellStyle name="Notitie 3 17 6" xfId="33199"/>
    <cellStyle name="Notitie 3 17 7" xfId="33200"/>
    <cellStyle name="Notitie 3 18" xfId="6698"/>
    <cellStyle name="Notitie 3 18 2" xfId="11099"/>
    <cellStyle name="Notitie 3 18 3" xfId="18666"/>
    <cellStyle name="Notitie 3 18 3 2" xfId="33201"/>
    <cellStyle name="Notitie 3 18 4" xfId="33202"/>
    <cellStyle name="Notitie 3 18 5" xfId="33203"/>
    <cellStyle name="Notitie 3 18 6" xfId="33204"/>
    <cellStyle name="Notitie 3 19" xfId="8688"/>
    <cellStyle name="Notitie 3 2" xfId="861"/>
    <cellStyle name="Notitie 3 2 10" xfId="862"/>
    <cellStyle name="Notitie 3 2 10 2" xfId="6699"/>
    <cellStyle name="Notitie 3 2 10 2 2" xfId="11109"/>
    <cellStyle name="Notitie 3 2 10 2 3" xfId="18667"/>
    <cellStyle name="Notitie 3 2 10 2 3 2" xfId="33205"/>
    <cellStyle name="Notitie 3 2 10 2 4" xfId="33206"/>
    <cellStyle name="Notitie 3 2 10 2 5" xfId="33207"/>
    <cellStyle name="Notitie 3 2 10 2 6" xfId="33208"/>
    <cellStyle name="Notitie 3 2 10 3" xfId="8698"/>
    <cellStyle name="Notitie 3 2 10 4" xfId="18668"/>
    <cellStyle name="Notitie 3 2 10 4 2" xfId="33209"/>
    <cellStyle name="Notitie 3 2 10 5" xfId="33210"/>
    <cellStyle name="Notitie 3 2 10 6" xfId="33211"/>
    <cellStyle name="Notitie 3 2 10 7" xfId="33212"/>
    <cellStyle name="Notitie 3 2 11" xfId="863"/>
    <cellStyle name="Notitie 3 2 11 2" xfId="6700"/>
    <cellStyle name="Notitie 3 2 11 2 2" xfId="11110"/>
    <cellStyle name="Notitie 3 2 11 2 3" xfId="18669"/>
    <cellStyle name="Notitie 3 2 11 2 3 2" xfId="33213"/>
    <cellStyle name="Notitie 3 2 11 2 4" xfId="33214"/>
    <cellStyle name="Notitie 3 2 11 2 5" xfId="33215"/>
    <cellStyle name="Notitie 3 2 11 2 6" xfId="33216"/>
    <cellStyle name="Notitie 3 2 11 3" xfId="8699"/>
    <cellStyle name="Notitie 3 2 11 4" xfId="18670"/>
    <cellStyle name="Notitie 3 2 11 4 2" xfId="33217"/>
    <cellStyle name="Notitie 3 2 11 5" xfId="33218"/>
    <cellStyle name="Notitie 3 2 11 6" xfId="33219"/>
    <cellStyle name="Notitie 3 2 11 7" xfId="33220"/>
    <cellStyle name="Notitie 3 2 12" xfId="864"/>
    <cellStyle name="Notitie 3 2 12 2" xfId="6701"/>
    <cellStyle name="Notitie 3 2 12 2 2" xfId="11111"/>
    <cellStyle name="Notitie 3 2 12 2 3" xfId="18671"/>
    <cellStyle name="Notitie 3 2 12 2 3 2" xfId="33221"/>
    <cellStyle name="Notitie 3 2 12 2 4" xfId="33222"/>
    <cellStyle name="Notitie 3 2 12 2 5" xfId="33223"/>
    <cellStyle name="Notitie 3 2 12 2 6" xfId="33224"/>
    <cellStyle name="Notitie 3 2 12 3" xfId="8700"/>
    <cellStyle name="Notitie 3 2 12 4" xfId="18672"/>
    <cellStyle name="Notitie 3 2 12 4 2" xfId="33225"/>
    <cellStyle name="Notitie 3 2 12 5" xfId="33226"/>
    <cellStyle name="Notitie 3 2 12 6" xfId="33227"/>
    <cellStyle name="Notitie 3 2 12 7" xfId="33228"/>
    <cellStyle name="Notitie 3 2 13" xfId="865"/>
    <cellStyle name="Notitie 3 2 13 2" xfId="6702"/>
    <cellStyle name="Notitie 3 2 13 2 2" xfId="11112"/>
    <cellStyle name="Notitie 3 2 13 2 3" xfId="18673"/>
    <cellStyle name="Notitie 3 2 13 2 3 2" xfId="33229"/>
    <cellStyle name="Notitie 3 2 13 2 4" xfId="33230"/>
    <cellStyle name="Notitie 3 2 13 2 5" xfId="33231"/>
    <cellStyle name="Notitie 3 2 13 2 6" xfId="33232"/>
    <cellStyle name="Notitie 3 2 13 3" xfId="8701"/>
    <cellStyle name="Notitie 3 2 13 4" xfId="18674"/>
    <cellStyle name="Notitie 3 2 13 4 2" xfId="33233"/>
    <cellStyle name="Notitie 3 2 13 5" xfId="33234"/>
    <cellStyle name="Notitie 3 2 13 6" xfId="33235"/>
    <cellStyle name="Notitie 3 2 13 7" xfId="33236"/>
    <cellStyle name="Notitie 3 2 14" xfId="866"/>
    <cellStyle name="Notitie 3 2 14 2" xfId="6703"/>
    <cellStyle name="Notitie 3 2 14 2 2" xfId="11113"/>
    <cellStyle name="Notitie 3 2 14 2 3" xfId="18675"/>
    <cellStyle name="Notitie 3 2 14 2 3 2" xfId="33237"/>
    <cellStyle name="Notitie 3 2 14 2 4" xfId="33238"/>
    <cellStyle name="Notitie 3 2 14 2 5" xfId="33239"/>
    <cellStyle name="Notitie 3 2 14 2 6" xfId="33240"/>
    <cellStyle name="Notitie 3 2 14 3" xfId="8702"/>
    <cellStyle name="Notitie 3 2 14 4" xfId="18676"/>
    <cellStyle name="Notitie 3 2 14 4 2" xfId="33241"/>
    <cellStyle name="Notitie 3 2 14 5" xfId="33242"/>
    <cellStyle name="Notitie 3 2 14 6" xfId="33243"/>
    <cellStyle name="Notitie 3 2 14 7" xfId="33244"/>
    <cellStyle name="Notitie 3 2 15" xfId="867"/>
    <cellStyle name="Notitie 3 2 15 2" xfId="6704"/>
    <cellStyle name="Notitie 3 2 15 2 2" xfId="11114"/>
    <cellStyle name="Notitie 3 2 15 2 3" xfId="18677"/>
    <cellStyle name="Notitie 3 2 15 2 3 2" xfId="33245"/>
    <cellStyle name="Notitie 3 2 15 2 4" xfId="33246"/>
    <cellStyle name="Notitie 3 2 15 2 5" xfId="33247"/>
    <cellStyle name="Notitie 3 2 15 2 6" xfId="33248"/>
    <cellStyle name="Notitie 3 2 15 3" xfId="8703"/>
    <cellStyle name="Notitie 3 2 15 4" xfId="18678"/>
    <cellStyle name="Notitie 3 2 15 4 2" xfId="33249"/>
    <cellStyle name="Notitie 3 2 15 5" xfId="33250"/>
    <cellStyle name="Notitie 3 2 15 6" xfId="33251"/>
    <cellStyle name="Notitie 3 2 15 7" xfId="33252"/>
    <cellStyle name="Notitie 3 2 16" xfId="868"/>
    <cellStyle name="Notitie 3 2 16 2" xfId="6705"/>
    <cellStyle name="Notitie 3 2 16 2 2" xfId="11115"/>
    <cellStyle name="Notitie 3 2 16 2 3" xfId="18679"/>
    <cellStyle name="Notitie 3 2 16 2 3 2" xfId="33253"/>
    <cellStyle name="Notitie 3 2 16 2 4" xfId="33254"/>
    <cellStyle name="Notitie 3 2 16 2 5" xfId="33255"/>
    <cellStyle name="Notitie 3 2 16 2 6" xfId="33256"/>
    <cellStyle name="Notitie 3 2 16 3" xfId="8704"/>
    <cellStyle name="Notitie 3 2 16 4" xfId="18680"/>
    <cellStyle name="Notitie 3 2 16 4 2" xfId="33257"/>
    <cellStyle name="Notitie 3 2 16 5" xfId="33258"/>
    <cellStyle name="Notitie 3 2 16 6" xfId="33259"/>
    <cellStyle name="Notitie 3 2 16 7" xfId="33260"/>
    <cellStyle name="Notitie 3 2 17" xfId="869"/>
    <cellStyle name="Notitie 3 2 17 2" xfId="6706"/>
    <cellStyle name="Notitie 3 2 17 2 2" xfId="11116"/>
    <cellStyle name="Notitie 3 2 17 2 3" xfId="18681"/>
    <cellStyle name="Notitie 3 2 17 2 3 2" xfId="33261"/>
    <cellStyle name="Notitie 3 2 17 2 4" xfId="33262"/>
    <cellStyle name="Notitie 3 2 17 2 5" xfId="33263"/>
    <cellStyle name="Notitie 3 2 17 2 6" xfId="33264"/>
    <cellStyle name="Notitie 3 2 17 3" xfId="8705"/>
    <cellStyle name="Notitie 3 2 17 4" xfId="18682"/>
    <cellStyle name="Notitie 3 2 17 4 2" xfId="33265"/>
    <cellStyle name="Notitie 3 2 17 5" xfId="33266"/>
    <cellStyle name="Notitie 3 2 17 6" xfId="33267"/>
    <cellStyle name="Notitie 3 2 17 7" xfId="33268"/>
    <cellStyle name="Notitie 3 2 18" xfId="870"/>
    <cellStyle name="Notitie 3 2 18 2" xfId="6707"/>
    <cellStyle name="Notitie 3 2 18 2 2" xfId="11117"/>
    <cellStyle name="Notitie 3 2 18 2 3" xfId="18683"/>
    <cellStyle name="Notitie 3 2 18 2 3 2" xfId="33269"/>
    <cellStyle name="Notitie 3 2 18 2 4" xfId="33270"/>
    <cellStyle name="Notitie 3 2 18 2 5" xfId="33271"/>
    <cellStyle name="Notitie 3 2 18 2 6" xfId="33272"/>
    <cellStyle name="Notitie 3 2 18 3" xfId="8706"/>
    <cellStyle name="Notitie 3 2 18 4" xfId="18684"/>
    <cellStyle name="Notitie 3 2 18 4 2" xfId="33273"/>
    <cellStyle name="Notitie 3 2 18 5" xfId="33274"/>
    <cellStyle name="Notitie 3 2 18 6" xfId="33275"/>
    <cellStyle name="Notitie 3 2 18 7" xfId="33276"/>
    <cellStyle name="Notitie 3 2 19" xfId="871"/>
    <cellStyle name="Notitie 3 2 19 2" xfId="6708"/>
    <cellStyle name="Notitie 3 2 19 2 2" xfId="11118"/>
    <cellStyle name="Notitie 3 2 19 2 3" xfId="18685"/>
    <cellStyle name="Notitie 3 2 19 2 3 2" xfId="33277"/>
    <cellStyle name="Notitie 3 2 19 2 4" xfId="33278"/>
    <cellStyle name="Notitie 3 2 19 2 5" xfId="33279"/>
    <cellStyle name="Notitie 3 2 19 2 6" xfId="33280"/>
    <cellStyle name="Notitie 3 2 19 3" xfId="8707"/>
    <cellStyle name="Notitie 3 2 19 4" xfId="18686"/>
    <cellStyle name="Notitie 3 2 19 4 2" xfId="33281"/>
    <cellStyle name="Notitie 3 2 19 5" xfId="33282"/>
    <cellStyle name="Notitie 3 2 19 6" xfId="33283"/>
    <cellStyle name="Notitie 3 2 19 7" xfId="33284"/>
    <cellStyle name="Notitie 3 2 2" xfId="872"/>
    <cellStyle name="Notitie 3 2 2 2" xfId="6709"/>
    <cellStyle name="Notitie 3 2 2 2 2" xfId="11119"/>
    <cellStyle name="Notitie 3 2 2 2 3" xfId="18687"/>
    <cellStyle name="Notitie 3 2 2 2 3 2" xfId="33285"/>
    <cellStyle name="Notitie 3 2 2 2 4" xfId="33286"/>
    <cellStyle name="Notitie 3 2 2 2 5" xfId="33287"/>
    <cellStyle name="Notitie 3 2 2 2 6" xfId="33288"/>
    <cellStyle name="Notitie 3 2 2 3" xfId="8708"/>
    <cellStyle name="Notitie 3 2 2 4" xfId="18688"/>
    <cellStyle name="Notitie 3 2 2 4 2" xfId="33289"/>
    <cellStyle name="Notitie 3 2 2 5" xfId="33290"/>
    <cellStyle name="Notitie 3 2 2 6" xfId="33291"/>
    <cellStyle name="Notitie 3 2 2 7" xfId="33292"/>
    <cellStyle name="Notitie 3 2 20" xfId="873"/>
    <cellStyle name="Notitie 3 2 20 2" xfId="6710"/>
    <cellStyle name="Notitie 3 2 20 2 2" xfId="11120"/>
    <cellStyle name="Notitie 3 2 20 2 3" xfId="18689"/>
    <cellStyle name="Notitie 3 2 20 2 3 2" xfId="33293"/>
    <cellStyle name="Notitie 3 2 20 2 4" xfId="33294"/>
    <cellStyle name="Notitie 3 2 20 2 5" xfId="33295"/>
    <cellStyle name="Notitie 3 2 20 2 6" xfId="33296"/>
    <cellStyle name="Notitie 3 2 20 3" xfId="8709"/>
    <cellStyle name="Notitie 3 2 20 4" xfId="18690"/>
    <cellStyle name="Notitie 3 2 20 4 2" xfId="33297"/>
    <cellStyle name="Notitie 3 2 20 5" xfId="33298"/>
    <cellStyle name="Notitie 3 2 20 6" xfId="33299"/>
    <cellStyle name="Notitie 3 2 20 7" xfId="33300"/>
    <cellStyle name="Notitie 3 2 21" xfId="874"/>
    <cellStyle name="Notitie 3 2 21 2" xfId="6711"/>
    <cellStyle name="Notitie 3 2 21 2 2" xfId="11121"/>
    <cellStyle name="Notitie 3 2 21 2 3" xfId="18691"/>
    <cellStyle name="Notitie 3 2 21 2 3 2" xfId="33301"/>
    <cellStyle name="Notitie 3 2 21 2 4" xfId="33302"/>
    <cellStyle name="Notitie 3 2 21 2 5" xfId="33303"/>
    <cellStyle name="Notitie 3 2 21 2 6" xfId="33304"/>
    <cellStyle name="Notitie 3 2 21 3" xfId="8710"/>
    <cellStyle name="Notitie 3 2 21 4" xfId="18692"/>
    <cellStyle name="Notitie 3 2 21 4 2" xfId="33305"/>
    <cellStyle name="Notitie 3 2 21 5" xfId="33306"/>
    <cellStyle name="Notitie 3 2 21 6" xfId="33307"/>
    <cellStyle name="Notitie 3 2 21 7" xfId="33308"/>
    <cellStyle name="Notitie 3 2 22" xfId="875"/>
    <cellStyle name="Notitie 3 2 22 2" xfId="6712"/>
    <cellStyle name="Notitie 3 2 22 2 2" xfId="11122"/>
    <cellStyle name="Notitie 3 2 22 2 3" xfId="18693"/>
    <cellStyle name="Notitie 3 2 22 2 3 2" xfId="33309"/>
    <cellStyle name="Notitie 3 2 22 2 4" xfId="33310"/>
    <cellStyle name="Notitie 3 2 22 2 5" xfId="33311"/>
    <cellStyle name="Notitie 3 2 22 2 6" xfId="33312"/>
    <cellStyle name="Notitie 3 2 22 3" xfId="8711"/>
    <cellStyle name="Notitie 3 2 22 4" xfId="18694"/>
    <cellStyle name="Notitie 3 2 22 4 2" xfId="33313"/>
    <cellStyle name="Notitie 3 2 22 5" xfId="33314"/>
    <cellStyle name="Notitie 3 2 22 6" xfId="33315"/>
    <cellStyle name="Notitie 3 2 22 7" xfId="33316"/>
    <cellStyle name="Notitie 3 2 23" xfId="876"/>
    <cellStyle name="Notitie 3 2 23 2" xfId="6713"/>
    <cellStyle name="Notitie 3 2 23 2 2" xfId="11123"/>
    <cellStyle name="Notitie 3 2 23 2 3" xfId="18695"/>
    <cellStyle name="Notitie 3 2 23 2 3 2" xfId="33317"/>
    <cellStyle name="Notitie 3 2 23 2 4" xfId="33318"/>
    <cellStyle name="Notitie 3 2 23 2 5" xfId="33319"/>
    <cellStyle name="Notitie 3 2 23 2 6" xfId="33320"/>
    <cellStyle name="Notitie 3 2 23 3" xfId="8712"/>
    <cellStyle name="Notitie 3 2 23 4" xfId="18696"/>
    <cellStyle name="Notitie 3 2 23 4 2" xfId="33321"/>
    <cellStyle name="Notitie 3 2 23 5" xfId="33322"/>
    <cellStyle name="Notitie 3 2 23 6" xfId="33323"/>
    <cellStyle name="Notitie 3 2 23 7" xfId="33324"/>
    <cellStyle name="Notitie 3 2 24" xfId="877"/>
    <cellStyle name="Notitie 3 2 24 2" xfId="6714"/>
    <cellStyle name="Notitie 3 2 24 2 2" xfId="11124"/>
    <cellStyle name="Notitie 3 2 24 2 3" xfId="18697"/>
    <cellStyle name="Notitie 3 2 24 2 3 2" xfId="33325"/>
    <cellStyle name="Notitie 3 2 24 2 4" xfId="33326"/>
    <cellStyle name="Notitie 3 2 24 2 5" xfId="33327"/>
    <cellStyle name="Notitie 3 2 24 2 6" xfId="33328"/>
    <cellStyle name="Notitie 3 2 24 3" xfId="8713"/>
    <cellStyle name="Notitie 3 2 24 4" xfId="18698"/>
    <cellStyle name="Notitie 3 2 24 4 2" xfId="33329"/>
    <cellStyle name="Notitie 3 2 24 5" xfId="33330"/>
    <cellStyle name="Notitie 3 2 24 6" xfId="33331"/>
    <cellStyle name="Notitie 3 2 24 7" xfId="33332"/>
    <cellStyle name="Notitie 3 2 25" xfId="878"/>
    <cellStyle name="Notitie 3 2 25 2" xfId="6715"/>
    <cellStyle name="Notitie 3 2 25 2 2" xfId="11125"/>
    <cellStyle name="Notitie 3 2 25 2 3" xfId="18699"/>
    <cellStyle name="Notitie 3 2 25 2 3 2" xfId="33333"/>
    <cellStyle name="Notitie 3 2 25 2 4" xfId="33334"/>
    <cellStyle name="Notitie 3 2 25 2 5" xfId="33335"/>
    <cellStyle name="Notitie 3 2 25 2 6" xfId="33336"/>
    <cellStyle name="Notitie 3 2 25 3" xfId="8714"/>
    <cellStyle name="Notitie 3 2 25 4" xfId="18700"/>
    <cellStyle name="Notitie 3 2 25 4 2" xfId="33337"/>
    <cellStyle name="Notitie 3 2 25 5" xfId="33338"/>
    <cellStyle name="Notitie 3 2 25 6" xfId="33339"/>
    <cellStyle name="Notitie 3 2 25 7" xfId="33340"/>
    <cellStyle name="Notitie 3 2 26" xfId="879"/>
    <cellStyle name="Notitie 3 2 26 2" xfId="6716"/>
    <cellStyle name="Notitie 3 2 26 2 2" xfId="11126"/>
    <cellStyle name="Notitie 3 2 26 2 3" xfId="18701"/>
    <cellStyle name="Notitie 3 2 26 2 3 2" xfId="33341"/>
    <cellStyle name="Notitie 3 2 26 2 4" xfId="33342"/>
    <cellStyle name="Notitie 3 2 26 2 5" xfId="33343"/>
    <cellStyle name="Notitie 3 2 26 2 6" xfId="33344"/>
    <cellStyle name="Notitie 3 2 26 3" xfId="8715"/>
    <cellStyle name="Notitie 3 2 26 4" xfId="18702"/>
    <cellStyle name="Notitie 3 2 26 4 2" xfId="33345"/>
    <cellStyle name="Notitie 3 2 26 5" xfId="33346"/>
    <cellStyle name="Notitie 3 2 26 6" xfId="33347"/>
    <cellStyle name="Notitie 3 2 26 7" xfId="33348"/>
    <cellStyle name="Notitie 3 2 27" xfId="880"/>
    <cellStyle name="Notitie 3 2 27 2" xfId="6717"/>
    <cellStyle name="Notitie 3 2 27 2 2" xfId="11127"/>
    <cellStyle name="Notitie 3 2 27 2 3" xfId="18703"/>
    <cellStyle name="Notitie 3 2 27 2 3 2" xfId="33349"/>
    <cellStyle name="Notitie 3 2 27 2 4" xfId="33350"/>
    <cellStyle name="Notitie 3 2 27 2 5" xfId="33351"/>
    <cellStyle name="Notitie 3 2 27 2 6" xfId="33352"/>
    <cellStyle name="Notitie 3 2 27 3" xfId="8716"/>
    <cellStyle name="Notitie 3 2 27 4" xfId="18704"/>
    <cellStyle name="Notitie 3 2 27 4 2" xfId="33353"/>
    <cellStyle name="Notitie 3 2 27 5" xfId="33354"/>
    <cellStyle name="Notitie 3 2 27 6" xfId="33355"/>
    <cellStyle name="Notitie 3 2 27 7" xfId="33356"/>
    <cellStyle name="Notitie 3 2 28" xfId="881"/>
    <cellStyle name="Notitie 3 2 28 2" xfId="6718"/>
    <cellStyle name="Notitie 3 2 28 2 2" xfId="11128"/>
    <cellStyle name="Notitie 3 2 28 2 3" xfId="18705"/>
    <cellStyle name="Notitie 3 2 28 2 3 2" xfId="33357"/>
    <cellStyle name="Notitie 3 2 28 2 4" xfId="33358"/>
    <cellStyle name="Notitie 3 2 28 2 5" xfId="33359"/>
    <cellStyle name="Notitie 3 2 28 2 6" xfId="33360"/>
    <cellStyle name="Notitie 3 2 28 3" xfId="8717"/>
    <cellStyle name="Notitie 3 2 28 4" xfId="18706"/>
    <cellStyle name="Notitie 3 2 28 4 2" xfId="33361"/>
    <cellStyle name="Notitie 3 2 28 5" xfId="33362"/>
    <cellStyle name="Notitie 3 2 28 6" xfId="33363"/>
    <cellStyle name="Notitie 3 2 28 7" xfId="33364"/>
    <cellStyle name="Notitie 3 2 29" xfId="882"/>
    <cellStyle name="Notitie 3 2 29 2" xfId="6719"/>
    <cellStyle name="Notitie 3 2 29 2 2" xfId="11129"/>
    <cellStyle name="Notitie 3 2 29 2 3" xfId="18707"/>
    <cellStyle name="Notitie 3 2 29 2 3 2" xfId="33365"/>
    <cellStyle name="Notitie 3 2 29 2 4" xfId="33366"/>
    <cellStyle name="Notitie 3 2 29 2 5" xfId="33367"/>
    <cellStyle name="Notitie 3 2 29 2 6" xfId="33368"/>
    <cellStyle name="Notitie 3 2 29 3" xfId="8718"/>
    <cellStyle name="Notitie 3 2 29 4" xfId="18708"/>
    <cellStyle name="Notitie 3 2 29 4 2" xfId="33369"/>
    <cellStyle name="Notitie 3 2 29 5" xfId="33370"/>
    <cellStyle name="Notitie 3 2 29 6" xfId="33371"/>
    <cellStyle name="Notitie 3 2 29 7" xfId="33372"/>
    <cellStyle name="Notitie 3 2 3" xfId="883"/>
    <cellStyle name="Notitie 3 2 3 2" xfId="6720"/>
    <cellStyle name="Notitie 3 2 3 2 2" xfId="11130"/>
    <cellStyle name="Notitie 3 2 3 2 3" xfId="18709"/>
    <cellStyle name="Notitie 3 2 3 2 3 2" xfId="33373"/>
    <cellStyle name="Notitie 3 2 3 2 4" xfId="33374"/>
    <cellStyle name="Notitie 3 2 3 2 5" xfId="33375"/>
    <cellStyle name="Notitie 3 2 3 2 6" xfId="33376"/>
    <cellStyle name="Notitie 3 2 3 3" xfId="8719"/>
    <cellStyle name="Notitie 3 2 3 4" xfId="18710"/>
    <cellStyle name="Notitie 3 2 3 4 2" xfId="33377"/>
    <cellStyle name="Notitie 3 2 3 5" xfId="33378"/>
    <cellStyle name="Notitie 3 2 3 6" xfId="33379"/>
    <cellStyle name="Notitie 3 2 3 7" xfId="33380"/>
    <cellStyle name="Notitie 3 2 30" xfId="884"/>
    <cellStyle name="Notitie 3 2 30 2" xfId="6721"/>
    <cellStyle name="Notitie 3 2 30 2 2" xfId="11131"/>
    <cellStyle name="Notitie 3 2 30 2 3" xfId="18711"/>
    <cellStyle name="Notitie 3 2 30 2 3 2" xfId="33381"/>
    <cellStyle name="Notitie 3 2 30 2 4" xfId="33382"/>
    <cellStyle name="Notitie 3 2 30 2 5" xfId="33383"/>
    <cellStyle name="Notitie 3 2 30 2 6" xfId="33384"/>
    <cellStyle name="Notitie 3 2 30 3" xfId="8720"/>
    <cellStyle name="Notitie 3 2 30 4" xfId="18712"/>
    <cellStyle name="Notitie 3 2 30 4 2" xfId="33385"/>
    <cellStyle name="Notitie 3 2 30 5" xfId="33386"/>
    <cellStyle name="Notitie 3 2 30 6" xfId="33387"/>
    <cellStyle name="Notitie 3 2 30 7" xfId="33388"/>
    <cellStyle name="Notitie 3 2 31" xfId="885"/>
    <cellStyle name="Notitie 3 2 31 2" xfId="6722"/>
    <cellStyle name="Notitie 3 2 31 2 2" xfId="11132"/>
    <cellStyle name="Notitie 3 2 31 2 3" xfId="18713"/>
    <cellStyle name="Notitie 3 2 31 2 3 2" xfId="33389"/>
    <cellStyle name="Notitie 3 2 31 2 4" xfId="33390"/>
    <cellStyle name="Notitie 3 2 31 2 5" xfId="33391"/>
    <cellStyle name="Notitie 3 2 31 2 6" xfId="33392"/>
    <cellStyle name="Notitie 3 2 31 3" xfId="8721"/>
    <cellStyle name="Notitie 3 2 31 4" xfId="18714"/>
    <cellStyle name="Notitie 3 2 31 4 2" xfId="33393"/>
    <cellStyle name="Notitie 3 2 31 5" xfId="33394"/>
    <cellStyle name="Notitie 3 2 31 6" xfId="33395"/>
    <cellStyle name="Notitie 3 2 31 7" xfId="33396"/>
    <cellStyle name="Notitie 3 2 32" xfId="886"/>
    <cellStyle name="Notitie 3 2 32 2" xfId="6723"/>
    <cellStyle name="Notitie 3 2 32 2 2" xfId="11133"/>
    <cellStyle name="Notitie 3 2 32 2 3" xfId="18715"/>
    <cellStyle name="Notitie 3 2 32 2 3 2" xfId="33397"/>
    <cellStyle name="Notitie 3 2 32 2 4" xfId="33398"/>
    <cellStyle name="Notitie 3 2 32 2 5" xfId="33399"/>
    <cellStyle name="Notitie 3 2 32 2 6" xfId="33400"/>
    <cellStyle name="Notitie 3 2 32 3" xfId="8722"/>
    <cellStyle name="Notitie 3 2 32 4" xfId="18716"/>
    <cellStyle name="Notitie 3 2 32 4 2" xfId="33401"/>
    <cellStyle name="Notitie 3 2 32 5" xfId="33402"/>
    <cellStyle name="Notitie 3 2 32 6" xfId="33403"/>
    <cellStyle name="Notitie 3 2 32 7" xfId="33404"/>
    <cellStyle name="Notitie 3 2 33" xfId="887"/>
    <cellStyle name="Notitie 3 2 33 2" xfId="6724"/>
    <cellStyle name="Notitie 3 2 33 2 2" xfId="11134"/>
    <cellStyle name="Notitie 3 2 33 2 3" xfId="18717"/>
    <cellStyle name="Notitie 3 2 33 2 3 2" xfId="33405"/>
    <cellStyle name="Notitie 3 2 33 2 4" xfId="33406"/>
    <cellStyle name="Notitie 3 2 33 2 5" xfId="33407"/>
    <cellStyle name="Notitie 3 2 33 2 6" xfId="33408"/>
    <cellStyle name="Notitie 3 2 33 3" xfId="8723"/>
    <cellStyle name="Notitie 3 2 33 4" xfId="18718"/>
    <cellStyle name="Notitie 3 2 33 4 2" xfId="33409"/>
    <cellStyle name="Notitie 3 2 33 5" xfId="33410"/>
    <cellStyle name="Notitie 3 2 33 6" xfId="33411"/>
    <cellStyle name="Notitie 3 2 33 7" xfId="33412"/>
    <cellStyle name="Notitie 3 2 34" xfId="888"/>
    <cellStyle name="Notitie 3 2 34 2" xfId="6725"/>
    <cellStyle name="Notitie 3 2 34 2 2" xfId="11135"/>
    <cellStyle name="Notitie 3 2 34 2 3" xfId="18719"/>
    <cellStyle name="Notitie 3 2 34 2 3 2" xfId="33413"/>
    <cellStyle name="Notitie 3 2 34 2 4" xfId="33414"/>
    <cellStyle name="Notitie 3 2 34 2 5" xfId="33415"/>
    <cellStyle name="Notitie 3 2 34 2 6" xfId="33416"/>
    <cellStyle name="Notitie 3 2 34 3" xfId="8724"/>
    <cellStyle name="Notitie 3 2 34 4" xfId="18720"/>
    <cellStyle name="Notitie 3 2 34 4 2" xfId="33417"/>
    <cellStyle name="Notitie 3 2 34 5" xfId="33418"/>
    <cellStyle name="Notitie 3 2 34 6" xfId="33419"/>
    <cellStyle name="Notitie 3 2 34 7" xfId="33420"/>
    <cellStyle name="Notitie 3 2 35" xfId="889"/>
    <cellStyle name="Notitie 3 2 35 2" xfId="6726"/>
    <cellStyle name="Notitie 3 2 35 2 2" xfId="11136"/>
    <cellStyle name="Notitie 3 2 35 2 3" xfId="18721"/>
    <cellStyle name="Notitie 3 2 35 2 3 2" xfId="33421"/>
    <cellStyle name="Notitie 3 2 35 2 4" xfId="33422"/>
    <cellStyle name="Notitie 3 2 35 2 5" xfId="33423"/>
    <cellStyle name="Notitie 3 2 35 2 6" xfId="33424"/>
    <cellStyle name="Notitie 3 2 35 3" xfId="8725"/>
    <cellStyle name="Notitie 3 2 35 4" xfId="18722"/>
    <cellStyle name="Notitie 3 2 35 4 2" xfId="33425"/>
    <cellStyle name="Notitie 3 2 35 5" xfId="33426"/>
    <cellStyle name="Notitie 3 2 35 6" xfId="33427"/>
    <cellStyle name="Notitie 3 2 35 7" xfId="33428"/>
    <cellStyle name="Notitie 3 2 36" xfId="890"/>
    <cellStyle name="Notitie 3 2 36 2" xfId="6727"/>
    <cellStyle name="Notitie 3 2 36 2 2" xfId="11137"/>
    <cellStyle name="Notitie 3 2 36 2 3" xfId="18723"/>
    <cellStyle name="Notitie 3 2 36 2 3 2" xfId="33429"/>
    <cellStyle name="Notitie 3 2 36 2 4" xfId="33430"/>
    <cellStyle name="Notitie 3 2 36 2 5" xfId="33431"/>
    <cellStyle name="Notitie 3 2 36 2 6" xfId="33432"/>
    <cellStyle name="Notitie 3 2 36 3" xfId="8726"/>
    <cellStyle name="Notitie 3 2 36 4" xfId="18724"/>
    <cellStyle name="Notitie 3 2 36 4 2" xfId="33433"/>
    <cellStyle name="Notitie 3 2 36 5" xfId="33434"/>
    <cellStyle name="Notitie 3 2 36 6" xfId="33435"/>
    <cellStyle name="Notitie 3 2 36 7" xfId="33436"/>
    <cellStyle name="Notitie 3 2 37" xfId="891"/>
    <cellStyle name="Notitie 3 2 37 2" xfId="6728"/>
    <cellStyle name="Notitie 3 2 37 2 2" xfId="11138"/>
    <cellStyle name="Notitie 3 2 37 2 3" xfId="18725"/>
    <cellStyle name="Notitie 3 2 37 2 3 2" xfId="33437"/>
    <cellStyle name="Notitie 3 2 37 2 4" xfId="33438"/>
    <cellStyle name="Notitie 3 2 37 2 5" xfId="33439"/>
    <cellStyle name="Notitie 3 2 37 2 6" xfId="33440"/>
    <cellStyle name="Notitie 3 2 37 3" xfId="8727"/>
    <cellStyle name="Notitie 3 2 37 4" xfId="18726"/>
    <cellStyle name="Notitie 3 2 37 4 2" xfId="33441"/>
    <cellStyle name="Notitie 3 2 37 5" xfId="33442"/>
    <cellStyle name="Notitie 3 2 37 6" xfId="33443"/>
    <cellStyle name="Notitie 3 2 37 7" xfId="33444"/>
    <cellStyle name="Notitie 3 2 38" xfId="892"/>
    <cellStyle name="Notitie 3 2 38 2" xfId="6729"/>
    <cellStyle name="Notitie 3 2 38 2 2" xfId="11139"/>
    <cellStyle name="Notitie 3 2 38 2 3" xfId="18727"/>
    <cellStyle name="Notitie 3 2 38 2 3 2" xfId="33445"/>
    <cellStyle name="Notitie 3 2 38 2 4" xfId="33446"/>
    <cellStyle name="Notitie 3 2 38 2 5" xfId="33447"/>
    <cellStyle name="Notitie 3 2 38 2 6" xfId="33448"/>
    <cellStyle name="Notitie 3 2 38 3" xfId="8728"/>
    <cellStyle name="Notitie 3 2 38 4" xfId="18728"/>
    <cellStyle name="Notitie 3 2 38 4 2" xfId="33449"/>
    <cellStyle name="Notitie 3 2 38 5" xfId="33450"/>
    <cellStyle name="Notitie 3 2 38 6" xfId="33451"/>
    <cellStyle name="Notitie 3 2 38 7" xfId="33452"/>
    <cellStyle name="Notitie 3 2 39" xfId="893"/>
    <cellStyle name="Notitie 3 2 39 2" xfId="6730"/>
    <cellStyle name="Notitie 3 2 39 2 2" xfId="11140"/>
    <cellStyle name="Notitie 3 2 39 2 3" xfId="18729"/>
    <cellStyle name="Notitie 3 2 39 2 3 2" xfId="33453"/>
    <cellStyle name="Notitie 3 2 39 2 4" xfId="33454"/>
    <cellStyle name="Notitie 3 2 39 2 5" xfId="33455"/>
    <cellStyle name="Notitie 3 2 39 2 6" xfId="33456"/>
    <cellStyle name="Notitie 3 2 39 3" xfId="8729"/>
    <cellStyle name="Notitie 3 2 39 4" xfId="18730"/>
    <cellStyle name="Notitie 3 2 39 4 2" xfId="33457"/>
    <cellStyle name="Notitie 3 2 39 5" xfId="33458"/>
    <cellStyle name="Notitie 3 2 39 6" xfId="33459"/>
    <cellStyle name="Notitie 3 2 39 7" xfId="33460"/>
    <cellStyle name="Notitie 3 2 4" xfId="894"/>
    <cellStyle name="Notitie 3 2 4 2" xfId="6731"/>
    <cellStyle name="Notitie 3 2 4 2 2" xfId="11141"/>
    <cellStyle name="Notitie 3 2 4 2 3" xfId="18731"/>
    <cellStyle name="Notitie 3 2 4 2 3 2" xfId="33461"/>
    <cellStyle name="Notitie 3 2 4 2 4" xfId="33462"/>
    <cellStyle name="Notitie 3 2 4 2 5" xfId="33463"/>
    <cellStyle name="Notitie 3 2 4 2 6" xfId="33464"/>
    <cellStyle name="Notitie 3 2 4 3" xfId="8730"/>
    <cellStyle name="Notitie 3 2 4 4" xfId="18732"/>
    <cellStyle name="Notitie 3 2 4 4 2" xfId="33465"/>
    <cellStyle name="Notitie 3 2 4 5" xfId="33466"/>
    <cellStyle name="Notitie 3 2 4 6" xfId="33467"/>
    <cellStyle name="Notitie 3 2 4 7" xfId="33468"/>
    <cellStyle name="Notitie 3 2 40" xfId="895"/>
    <cellStyle name="Notitie 3 2 40 2" xfId="6732"/>
    <cellStyle name="Notitie 3 2 40 2 2" xfId="11142"/>
    <cellStyle name="Notitie 3 2 40 2 3" xfId="18733"/>
    <cellStyle name="Notitie 3 2 40 2 3 2" xfId="33469"/>
    <cellStyle name="Notitie 3 2 40 2 4" xfId="33470"/>
    <cellStyle name="Notitie 3 2 40 2 5" xfId="33471"/>
    <cellStyle name="Notitie 3 2 40 2 6" xfId="33472"/>
    <cellStyle name="Notitie 3 2 40 3" xfId="8731"/>
    <cellStyle name="Notitie 3 2 40 4" xfId="18734"/>
    <cellStyle name="Notitie 3 2 40 4 2" xfId="33473"/>
    <cellStyle name="Notitie 3 2 40 5" xfId="33474"/>
    <cellStyle name="Notitie 3 2 40 6" xfId="33475"/>
    <cellStyle name="Notitie 3 2 40 7" xfId="33476"/>
    <cellStyle name="Notitie 3 2 41" xfId="896"/>
    <cellStyle name="Notitie 3 2 41 2" xfId="6733"/>
    <cellStyle name="Notitie 3 2 41 2 2" xfId="11143"/>
    <cellStyle name="Notitie 3 2 41 2 3" xfId="18735"/>
    <cellStyle name="Notitie 3 2 41 2 3 2" xfId="33477"/>
    <cellStyle name="Notitie 3 2 41 2 4" xfId="33478"/>
    <cellStyle name="Notitie 3 2 41 2 5" xfId="33479"/>
    <cellStyle name="Notitie 3 2 41 2 6" xfId="33480"/>
    <cellStyle name="Notitie 3 2 41 3" xfId="8732"/>
    <cellStyle name="Notitie 3 2 41 4" xfId="18736"/>
    <cellStyle name="Notitie 3 2 41 4 2" xfId="33481"/>
    <cellStyle name="Notitie 3 2 41 5" xfId="33482"/>
    <cellStyle name="Notitie 3 2 41 6" xfId="33483"/>
    <cellStyle name="Notitie 3 2 41 7" xfId="33484"/>
    <cellStyle name="Notitie 3 2 42" xfId="897"/>
    <cellStyle name="Notitie 3 2 42 2" xfId="6734"/>
    <cellStyle name="Notitie 3 2 42 2 2" xfId="11144"/>
    <cellStyle name="Notitie 3 2 42 2 3" xfId="18737"/>
    <cellStyle name="Notitie 3 2 42 2 3 2" xfId="33485"/>
    <cellStyle name="Notitie 3 2 42 2 4" xfId="33486"/>
    <cellStyle name="Notitie 3 2 42 2 5" xfId="33487"/>
    <cellStyle name="Notitie 3 2 42 2 6" xfId="33488"/>
    <cellStyle name="Notitie 3 2 42 3" xfId="8733"/>
    <cellStyle name="Notitie 3 2 42 4" xfId="18738"/>
    <cellStyle name="Notitie 3 2 42 4 2" xfId="33489"/>
    <cellStyle name="Notitie 3 2 42 5" xfId="33490"/>
    <cellStyle name="Notitie 3 2 42 6" xfId="33491"/>
    <cellStyle name="Notitie 3 2 42 7" xfId="33492"/>
    <cellStyle name="Notitie 3 2 43" xfId="898"/>
    <cellStyle name="Notitie 3 2 43 2" xfId="6735"/>
    <cellStyle name="Notitie 3 2 43 2 2" xfId="11145"/>
    <cellStyle name="Notitie 3 2 43 2 3" xfId="18739"/>
    <cellStyle name="Notitie 3 2 43 2 3 2" xfId="33493"/>
    <cellStyle name="Notitie 3 2 43 2 4" xfId="33494"/>
    <cellStyle name="Notitie 3 2 43 2 5" xfId="33495"/>
    <cellStyle name="Notitie 3 2 43 2 6" xfId="33496"/>
    <cellStyle name="Notitie 3 2 43 3" xfId="8734"/>
    <cellStyle name="Notitie 3 2 43 4" xfId="18740"/>
    <cellStyle name="Notitie 3 2 43 4 2" xfId="33497"/>
    <cellStyle name="Notitie 3 2 43 5" xfId="33498"/>
    <cellStyle name="Notitie 3 2 43 6" xfId="33499"/>
    <cellStyle name="Notitie 3 2 43 7" xfId="33500"/>
    <cellStyle name="Notitie 3 2 44" xfId="899"/>
    <cellStyle name="Notitie 3 2 44 2" xfId="6736"/>
    <cellStyle name="Notitie 3 2 44 2 2" xfId="11146"/>
    <cellStyle name="Notitie 3 2 44 2 3" xfId="18741"/>
    <cellStyle name="Notitie 3 2 44 2 3 2" xfId="33501"/>
    <cellStyle name="Notitie 3 2 44 2 4" xfId="33502"/>
    <cellStyle name="Notitie 3 2 44 2 5" xfId="33503"/>
    <cellStyle name="Notitie 3 2 44 2 6" xfId="33504"/>
    <cellStyle name="Notitie 3 2 44 3" xfId="8735"/>
    <cellStyle name="Notitie 3 2 44 4" xfId="18742"/>
    <cellStyle name="Notitie 3 2 44 4 2" xfId="33505"/>
    <cellStyle name="Notitie 3 2 44 5" xfId="33506"/>
    <cellStyle name="Notitie 3 2 44 6" xfId="33507"/>
    <cellStyle name="Notitie 3 2 44 7" xfId="33508"/>
    <cellStyle name="Notitie 3 2 45" xfId="900"/>
    <cellStyle name="Notitie 3 2 45 2" xfId="6737"/>
    <cellStyle name="Notitie 3 2 45 2 2" xfId="11147"/>
    <cellStyle name="Notitie 3 2 45 2 3" xfId="18743"/>
    <cellStyle name="Notitie 3 2 45 2 3 2" xfId="33509"/>
    <cellStyle name="Notitie 3 2 45 2 4" xfId="33510"/>
    <cellStyle name="Notitie 3 2 45 2 5" xfId="33511"/>
    <cellStyle name="Notitie 3 2 45 2 6" xfId="33512"/>
    <cellStyle name="Notitie 3 2 45 3" xfId="8736"/>
    <cellStyle name="Notitie 3 2 45 4" xfId="18744"/>
    <cellStyle name="Notitie 3 2 45 4 2" xfId="33513"/>
    <cellStyle name="Notitie 3 2 45 5" xfId="33514"/>
    <cellStyle name="Notitie 3 2 45 6" xfId="33515"/>
    <cellStyle name="Notitie 3 2 45 7" xfId="33516"/>
    <cellStyle name="Notitie 3 2 46" xfId="901"/>
    <cellStyle name="Notitie 3 2 46 2" xfId="6738"/>
    <cellStyle name="Notitie 3 2 46 2 2" xfId="11148"/>
    <cellStyle name="Notitie 3 2 46 2 3" xfId="18745"/>
    <cellStyle name="Notitie 3 2 46 2 3 2" xfId="33517"/>
    <cellStyle name="Notitie 3 2 46 2 4" xfId="33518"/>
    <cellStyle name="Notitie 3 2 46 2 5" xfId="33519"/>
    <cellStyle name="Notitie 3 2 46 2 6" xfId="33520"/>
    <cellStyle name="Notitie 3 2 46 3" xfId="8737"/>
    <cellStyle name="Notitie 3 2 46 4" xfId="18746"/>
    <cellStyle name="Notitie 3 2 46 4 2" xfId="33521"/>
    <cellStyle name="Notitie 3 2 46 5" xfId="33522"/>
    <cellStyle name="Notitie 3 2 46 6" xfId="33523"/>
    <cellStyle name="Notitie 3 2 46 7" xfId="33524"/>
    <cellStyle name="Notitie 3 2 47" xfId="902"/>
    <cellStyle name="Notitie 3 2 47 2" xfId="6739"/>
    <cellStyle name="Notitie 3 2 47 2 2" xfId="11149"/>
    <cellStyle name="Notitie 3 2 47 2 3" xfId="18747"/>
    <cellStyle name="Notitie 3 2 47 2 3 2" xfId="33525"/>
    <cellStyle name="Notitie 3 2 47 2 4" xfId="33526"/>
    <cellStyle name="Notitie 3 2 47 2 5" xfId="33527"/>
    <cellStyle name="Notitie 3 2 47 2 6" xfId="33528"/>
    <cellStyle name="Notitie 3 2 47 3" xfId="8738"/>
    <cellStyle name="Notitie 3 2 47 4" xfId="18748"/>
    <cellStyle name="Notitie 3 2 47 4 2" xfId="33529"/>
    <cellStyle name="Notitie 3 2 47 5" xfId="33530"/>
    <cellStyle name="Notitie 3 2 47 6" xfId="33531"/>
    <cellStyle name="Notitie 3 2 47 7" xfId="33532"/>
    <cellStyle name="Notitie 3 2 48" xfId="903"/>
    <cellStyle name="Notitie 3 2 48 2" xfId="6740"/>
    <cellStyle name="Notitie 3 2 48 2 2" xfId="11150"/>
    <cellStyle name="Notitie 3 2 48 2 3" xfId="18749"/>
    <cellStyle name="Notitie 3 2 48 2 3 2" xfId="33533"/>
    <cellStyle name="Notitie 3 2 48 2 4" xfId="33534"/>
    <cellStyle name="Notitie 3 2 48 2 5" xfId="33535"/>
    <cellStyle name="Notitie 3 2 48 2 6" xfId="33536"/>
    <cellStyle name="Notitie 3 2 48 3" xfId="8739"/>
    <cellStyle name="Notitie 3 2 48 4" xfId="18750"/>
    <cellStyle name="Notitie 3 2 48 4 2" xfId="33537"/>
    <cellStyle name="Notitie 3 2 48 5" xfId="33538"/>
    <cellStyle name="Notitie 3 2 48 6" xfId="33539"/>
    <cellStyle name="Notitie 3 2 48 7" xfId="33540"/>
    <cellStyle name="Notitie 3 2 49" xfId="904"/>
    <cellStyle name="Notitie 3 2 49 2" xfId="6741"/>
    <cellStyle name="Notitie 3 2 49 2 2" xfId="11151"/>
    <cellStyle name="Notitie 3 2 49 2 3" xfId="18751"/>
    <cellStyle name="Notitie 3 2 49 2 3 2" xfId="33541"/>
    <cellStyle name="Notitie 3 2 49 2 4" xfId="33542"/>
    <cellStyle name="Notitie 3 2 49 2 5" xfId="33543"/>
    <cellStyle name="Notitie 3 2 49 2 6" xfId="33544"/>
    <cellStyle name="Notitie 3 2 49 3" xfId="8740"/>
    <cellStyle name="Notitie 3 2 49 4" xfId="18752"/>
    <cellStyle name="Notitie 3 2 49 4 2" xfId="33545"/>
    <cellStyle name="Notitie 3 2 49 5" xfId="33546"/>
    <cellStyle name="Notitie 3 2 49 6" xfId="33547"/>
    <cellStyle name="Notitie 3 2 49 7" xfId="33548"/>
    <cellStyle name="Notitie 3 2 5" xfId="905"/>
    <cellStyle name="Notitie 3 2 5 2" xfId="6742"/>
    <cellStyle name="Notitie 3 2 5 2 2" xfId="11152"/>
    <cellStyle name="Notitie 3 2 5 2 3" xfId="18753"/>
    <cellStyle name="Notitie 3 2 5 2 3 2" xfId="33549"/>
    <cellStyle name="Notitie 3 2 5 2 4" xfId="33550"/>
    <cellStyle name="Notitie 3 2 5 2 5" xfId="33551"/>
    <cellStyle name="Notitie 3 2 5 2 6" xfId="33552"/>
    <cellStyle name="Notitie 3 2 5 3" xfId="8741"/>
    <cellStyle name="Notitie 3 2 5 4" xfId="18754"/>
    <cellStyle name="Notitie 3 2 5 4 2" xfId="33553"/>
    <cellStyle name="Notitie 3 2 5 5" xfId="33554"/>
    <cellStyle name="Notitie 3 2 5 6" xfId="33555"/>
    <cellStyle name="Notitie 3 2 5 7" xfId="33556"/>
    <cellStyle name="Notitie 3 2 50" xfId="906"/>
    <cellStyle name="Notitie 3 2 50 2" xfId="6743"/>
    <cellStyle name="Notitie 3 2 50 2 2" xfId="11153"/>
    <cellStyle name="Notitie 3 2 50 2 3" xfId="18755"/>
    <cellStyle name="Notitie 3 2 50 2 3 2" xfId="33557"/>
    <cellStyle name="Notitie 3 2 50 2 4" xfId="33558"/>
    <cellStyle name="Notitie 3 2 50 2 5" xfId="33559"/>
    <cellStyle name="Notitie 3 2 50 2 6" xfId="33560"/>
    <cellStyle name="Notitie 3 2 50 3" xfId="8742"/>
    <cellStyle name="Notitie 3 2 50 4" xfId="18756"/>
    <cellStyle name="Notitie 3 2 50 4 2" xfId="33561"/>
    <cellStyle name="Notitie 3 2 50 5" xfId="33562"/>
    <cellStyle name="Notitie 3 2 50 6" xfId="33563"/>
    <cellStyle name="Notitie 3 2 50 7" xfId="33564"/>
    <cellStyle name="Notitie 3 2 51" xfId="907"/>
    <cellStyle name="Notitie 3 2 51 2" xfId="6744"/>
    <cellStyle name="Notitie 3 2 51 2 2" xfId="11154"/>
    <cellStyle name="Notitie 3 2 51 2 3" xfId="18757"/>
    <cellStyle name="Notitie 3 2 51 2 3 2" xfId="33565"/>
    <cellStyle name="Notitie 3 2 51 2 4" xfId="33566"/>
    <cellStyle name="Notitie 3 2 51 2 5" xfId="33567"/>
    <cellStyle name="Notitie 3 2 51 2 6" xfId="33568"/>
    <cellStyle name="Notitie 3 2 51 3" xfId="8743"/>
    <cellStyle name="Notitie 3 2 51 4" xfId="18758"/>
    <cellStyle name="Notitie 3 2 51 4 2" xfId="33569"/>
    <cellStyle name="Notitie 3 2 51 5" xfId="33570"/>
    <cellStyle name="Notitie 3 2 51 6" xfId="33571"/>
    <cellStyle name="Notitie 3 2 51 7" xfId="33572"/>
    <cellStyle name="Notitie 3 2 52" xfId="908"/>
    <cellStyle name="Notitie 3 2 52 2" xfId="6745"/>
    <cellStyle name="Notitie 3 2 52 2 2" xfId="11155"/>
    <cellStyle name="Notitie 3 2 52 2 3" xfId="18759"/>
    <cellStyle name="Notitie 3 2 52 2 3 2" xfId="33573"/>
    <cellStyle name="Notitie 3 2 52 2 4" xfId="33574"/>
    <cellStyle name="Notitie 3 2 52 2 5" xfId="33575"/>
    <cellStyle name="Notitie 3 2 52 2 6" xfId="33576"/>
    <cellStyle name="Notitie 3 2 52 3" xfId="8744"/>
    <cellStyle name="Notitie 3 2 52 4" xfId="18760"/>
    <cellStyle name="Notitie 3 2 52 4 2" xfId="33577"/>
    <cellStyle name="Notitie 3 2 52 5" xfId="33578"/>
    <cellStyle name="Notitie 3 2 52 6" xfId="33579"/>
    <cellStyle name="Notitie 3 2 52 7" xfId="33580"/>
    <cellStyle name="Notitie 3 2 53" xfId="909"/>
    <cellStyle name="Notitie 3 2 53 2" xfId="6746"/>
    <cellStyle name="Notitie 3 2 53 2 2" xfId="11156"/>
    <cellStyle name="Notitie 3 2 53 2 3" xfId="18761"/>
    <cellStyle name="Notitie 3 2 53 2 3 2" xfId="33581"/>
    <cellStyle name="Notitie 3 2 53 2 4" xfId="33582"/>
    <cellStyle name="Notitie 3 2 53 2 5" xfId="33583"/>
    <cellStyle name="Notitie 3 2 53 2 6" xfId="33584"/>
    <cellStyle name="Notitie 3 2 53 3" xfId="8745"/>
    <cellStyle name="Notitie 3 2 53 4" xfId="18762"/>
    <cellStyle name="Notitie 3 2 53 4 2" xfId="33585"/>
    <cellStyle name="Notitie 3 2 53 5" xfId="33586"/>
    <cellStyle name="Notitie 3 2 53 6" xfId="33587"/>
    <cellStyle name="Notitie 3 2 53 7" xfId="33588"/>
    <cellStyle name="Notitie 3 2 54" xfId="910"/>
    <cellStyle name="Notitie 3 2 54 2" xfId="6747"/>
    <cellStyle name="Notitie 3 2 54 2 2" xfId="11157"/>
    <cellStyle name="Notitie 3 2 54 2 3" xfId="18763"/>
    <cellStyle name="Notitie 3 2 54 2 3 2" xfId="33589"/>
    <cellStyle name="Notitie 3 2 54 2 4" xfId="33590"/>
    <cellStyle name="Notitie 3 2 54 2 5" xfId="33591"/>
    <cellStyle name="Notitie 3 2 54 2 6" xfId="33592"/>
    <cellStyle name="Notitie 3 2 54 3" xfId="8746"/>
    <cellStyle name="Notitie 3 2 54 4" xfId="18764"/>
    <cellStyle name="Notitie 3 2 54 4 2" xfId="33593"/>
    <cellStyle name="Notitie 3 2 54 5" xfId="33594"/>
    <cellStyle name="Notitie 3 2 54 6" xfId="33595"/>
    <cellStyle name="Notitie 3 2 54 7" xfId="33596"/>
    <cellStyle name="Notitie 3 2 55" xfId="911"/>
    <cellStyle name="Notitie 3 2 55 2" xfId="6748"/>
    <cellStyle name="Notitie 3 2 55 2 2" xfId="11158"/>
    <cellStyle name="Notitie 3 2 55 2 3" xfId="18765"/>
    <cellStyle name="Notitie 3 2 55 2 3 2" xfId="33597"/>
    <cellStyle name="Notitie 3 2 55 2 4" xfId="33598"/>
    <cellStyle name="Notitie 3 2 55 2 5" xfId="33599"/>
    <cellStyle name="Notitie 3 2 55 2 6" xfId="33600"/>
    <cellStyle name="Notitie 3 2 55 3" xfId="8747"/>
    <cellStyle name="Notitie 3 2 55 4" xfId="18766"/>
    <cellStyle name="Notitie 3 2 55 4 2" xfId="33601"/>
    <cellStyle name="Notitie 3 2 55 5" xfId="33602"/>
    <cellStyle name="Notitie 3 2 55 6" xfId="33603"/>
    <cellStyle name="Notitie 3 2 55 7" xfId="33604"/>
    <cellStyle name="Notitie 3 2 56" xfId="912"/>
    <cellStyle name="Notitie 3 2 56 2" xfId="6749"/>
    <cellStyle name="Notitie 3 2 56 2 2" xfId="11159"/>
    <cellStyle name="Notitie 3 2 56 2 3" xfId="18767"/>
    <cellStyle name="Notitie 3 2 56 2 3 2" xfId="33605"/>
    <cellStyle name="Notitie 3 2 56 2 4" xfId="33606"/>
    <cellStyle name="Notitie 3 2 56 2 5" xfId="33607"/>
    <cellStyle name="Notitie 3 2 56 2 6" xfId="33608"/>
    <cellStyle name="Notitie 3 2 56 3" xfId="8748"/>
    <cellStyle name="Notitie 3 2 56 4" xfId="18768"/>
    <cellStyle name="Notitie 3 2 56 4 2" xfId="33609"/>
    <cellStyle name="Notitie 3 2 56 5" xfId="33610"/>
    <cellStyle name="Notitie 3 2 56 6" xfId="33611"/>
    <cellStyle name="Notitie 3 2 56 7" xfId="33612"/>
    <cellStyle name="Notitie 3 2 57" xfId="913"/>
    <cellStyle name="Notitie 3 2 57 2" xfId="6750"/>
    <cellStyle name="Notitie 3 2 57 2 2" xfId="11160"/>
    <cellStyle name="Notitie 3 2 57 2 3" xfId="18769"/>
    <cellStyle name="Notitie 3 2 57 2 3 2" xfId="33613"/>
    <cellStyle name="Notitie 3 2 57 2 4" xfId="33614"/>
    <cellStyle name="Notitie 3 2 57 2 5" xfId="33615"/>
    <cellStyle name="Notitie 3 2 57 2 6" xfId="33616"/>
    <cellStyle name="Notitie 3 2 57 3" xfId="8749"/>
    <cellStyle name="Notitie 3 2 57 4" xfId="18770"/>
    <cellStyle name="Notitie 3 2 57 4 2" xfId="33617"/>
    <cellStyle name="Notitie 3 2 57 5" xfId="33618"/>
    <cellStyle name="Notitie 3 2 57 6" xfId="33619"/>
    <cellStyle name="Notitie 3 2 57 7" xfId="33620"/>
    <cellStyle name="Notitie 3 2 58" xfId="914"/>
    <cellStyle name="Notitie 3 2 58 2" xfId="6751"/>
    <cellStyle name="Notitie 3 2 58 2 2" xfId="11161"/>
    <cellStyle name="Notitie 3 2 58 2 3" xfId="18771"/>
    <cellStyle name="Notitie 3 2 58 2 3 2" xfId="33621"/>
    <cellStyle name="Notitie 3 2 58 2 4" xfId="33622"/>
    <cellStyle name="Notitie 3 2 58 2 5" xfId="33623"/>
    <cellStyle name="Notitie 3 2 58 2 6" xfId="33624"/>
    <cellStyle name="Notitie 3 2 58 3" xfId="8750"/>
    <cellStyle name="Notitie 3 2 58 4" xfId="18772"/>
    <cellStyle name="Notitie 3 2 58 4 2" xfId="33625"/>
    <cellStyle name="Notitie 3 2 58 5" xfId="33626"/>
    <cellStyle name="Notitie 3 2 58 6" xfId="33627"/>
    <cellStyle name="Notitie 3 2 58 7" xfId="33628"/>
    <cellStyle name="Notitie 3 2 59" xfId="915"/>
    <cellStyle name="Notitie 3 2 59 2" xfId="6752"/>
    <cellStyle name="Notitie 3 2 59 2 2" xfId="11162"/>
    <cellStyle name="Notitie 3 2 59 2 3" xfId="18773"/>
    <cellStyle name="Notitie 3 2 59 2 3 2" xfId="33629"/>
    <cellStyle name="Notitie 3 2 59 2 4" xfId="33630"/>
    <cellStyle name="Notitie 3 2 59 2 5" xfId="33631"/>
    <cellStyle name="Notitie 3 2 59 2 6" xfId="33632"/>
    <cellStyle name="Notitie 3 2 59 3" xfId="8751"/>
    <cellStyle name="Notitie 3 2 59 4" xfId="18774"/>
    <cellStyle name="Notitie 3 2 59 4 2" xfId="33633"/>
    <cellStyle name="Notitie 3 2 59 5" xfId="33634"/>
    <cellStyle name="Notitie 3 2 59 6" xfId="33635"/>
    <cellStyle name="Notitie 3 2 59 7" xfId="33636"/>
    <cellStyle name="Notitie 3 2 6" xfId="916"/>
    <cellStyle name="Notitie 3 2 6 2" xfId="6753"/>
    <cellStyle name="Notitie 3 2 6 2 2" xfId="11163"/>
    <cellStyle name="Notitie 3 2 6 2 3" xfId="18775"/>
    <cellStyle name="Notitie 3 2 6 2 3 2" xfId="33637"/>
    <cellStyle name="Notitie 3 2 6 2 4" xfId="33638"/>
    <cellStyle name="Notitie 3 2 6 2 5" xfId="33639"/>
    <cellStyle name="Notitie 3 2 6 2 6" xfId="33640"/>
    <cellStyle name="Notitie 3 2 6 3" xfId="8752"/>
    <cellStyle name="Notitie 3 2 6 4" xfId="18776"/>
    <cellStyle name="Notitie 3 2 6 4 2" xfId="33641"/>
    <cellStyle name="Notitie 3 2 6 5" xfId="33642"/>
    <cellStyle name="Notitie 3 2 6 6" xfId="33643"/>
    <cellStyle name="Notitie 3 2 6 7" xfId="33644"/>
    <cellStyle name="Notitie 3 2 60" xfId="917"/>
    <cellStyle name="Notitie 3 2 60 2" xfId="6754"/>
    <cellStyle name="Notitie 3 2 60 2 2" xfId="11164"/>
    <cellStyle name="Notitie 3 2 60 2 3" xfId="18777"/>
    <cellStyle name="Notitie 3 2 60 2 3 2" xfId="33645"/>
    <cellStyle name="Notitie 3 2 60 2 4" xfId="33646"/>
    <cellStyle name="Notitie 3 2 60 2 5" xfId="33647"/>
    <cellStyle name="Notitie 3 2 60 2 6" xfId="33648"/>
    <cellStyle name="Notitie 3 2 60 3" xfId="8753"/>
    <cellStyle name="Notitie 3 2 60 4" xfId="18778"/>
    <cellStyle name="Notitie 3 2 60 4 2" xfId="33649"/>
    <cellStyle name="Notitie 3 2 60 5" xfId="33650"/>
    <cellStyle name="Notitie 3 2 60 6" xfId="33651"/>
    <cellStyle name="Notitie 3 2 60 7" xfId="33652"/>
    <cellStyle name="Notitie 3 2 61" xfId="918"/>
    <cellStyle name="Notitie 3 2 61 2" xfId="6755"/>
    <cellStyle name="Notitie 3 2 61 2 2" xfId="11165"/>
    <cellStyle name="Notitie 3 2 61 2 3" xfId="18779"/>
    <cellStyle name="Notitie 3 2 61 2 3 2" xfId="33653"/>
    <cellStyle name="Notitie 3 2 61 2 4" xfId="33654"/>
    <cellStyle name="Notitie 3 2 61 2 5" xfId="33655"/>
    <cellStyle name="Notitie 3 2 61 2 6" xfId="33656"/>
    <cellStyle name="Notitie 3 2 61 3" xfId="8754"/>
    <cellStyle name="Notitie 3 2 61 4" xfId="18780"/>
    <cellStyle name="Notitie 3 2 61 4 2" xfId="33657"/>
    <cellStyle name="Notitie 3 2 61 5" xfId="33658"/>
    <cellStyle name="Notitie 3 2 61 6" xfId="33659"/>
    <cellStyle name="Notitie 3 2 61 7" xfId="33660"/>
    <cellStyle name="Notitie 3 2 62" xfId="919"/>
    <cellStyle name="Notitie 3 2 62 2" xfId="6756"/>
    <cellStyle name="Notitie 3 2 62 2 2" xfId="11166"/>
    <cellStyle name="Notitie 3 2 62 2 3" xfId="18781"/>
    <cellStyle name="Notitie 3 2 62 2 3 2" xfId="33661"/>
    <cellStyle name="Notitie 3 2 62 2 4" xfId="33662"/>
    <cellStyle name="Notitie 3 2 62 2 5" xfId="33663"/>
    <cellStyle name="Notitie 3 2 62 2 6" xfId="33664"/>
    <cellStyle name="Notitie 3 2 62 3" xfId="8755"/>
    <cellStyle name="Notitie 3 2 62 4" xfId="18782"/>
    <cellStyle name="Notitie 3 2 62 4 2" xfId="33665"/>
    <cellStyle name="Notitie 3 2 62 5" xfId="33666"/>
    <cellStyle name="Notitie 3 2 62 6" xfId="33667"/>
    <cellStyle name="Notitie 3 2 62 7" xfId="33668"/>
    <cellStyle name="Notitie 3 2 63" xfId="920"/>
    <cellStyle name="Notitie 3 2 63 2" xfId="6757"/>
    <cellStyle name="Notitie 3 2 63 2 2" xfId="11167"/>
    <cellStyle name="Notitie 3 2 63 2 3" xfId="18783"/>
    <cellStyle name="Notitie 3 2 63 2 3 2" xfId="33669"/>
    <cellStyle name="Notitie 3 2 63 2 4" xfId="33670"/>
    <cellStyle name="Notitie 3 2 63 2 5" xfId="33671"/>
    <cellStyle name="Notitie 3 2 63 2 6" xfId="33672"/>
    <cellStyle name="Notitie 3 2 63 3" xfId="8756"/>
    <cellStyle name="Notitie 3 2 63 4" xfId="18784"/>
    <cellStyle name="Notitie 3 2 63 4 2" xfId="33673"/>
    <cellStyle name="Notitie 3 2 63 5" xfId="33674"/>
    <cellStyle name="Notitie 3 2 63 6" xfId="33675"/>
    <cellStyle name="Notitie 3 2 63 7" xfId="33676"/>
    <cellStyle name="Notitie 3 2 64" xfId="921"/>
    <cellStyle name="Notitie 3 2 64 2" xfId="6758"/>
    <cellStyle name="Notitie 3 2 64 2 2" xfId="11168"/>
    <cellStyle name="Notitie 3 2 64 2 3" xfId="18785"/>
    <cellStyle name="Notitie 3 2 64 2 3 2" xfId="33677"/>
    <cellStyle name="Notitie 3 2 64 2 4" xfId="33678"/>
    <cellStyle name="Notitie 3 2 64 2 5" xfId="33679"/>
    <cellStyle name="Notitie 3 2 64 2 6" xfId="33680"/>
    <cellStyle name="Notitie 3 2 64 3" xfId="8757"/>
    <cellStyle name="Notitie 3 2 64 4" xfId="18786"/>
    <cellStyle name="Notitie 3 2 64 4 2" xfId="33681"/>
    <cellStyle name="Notitie 3 2 64 5" xfId="33682"/>
    <cellStyle name="Notitie 3 2 64 6" xfId="33683"/>
    <cellStyle name="Notitie 3 2 64 7" xfId="33684"/>
    <cellStyle name="Notitie 3 2 65" xfId="922"/>
    <cellStyle name="Notitie 3 2 65 2" xfId="6759"/>
    <cellStyle name="Notitie 3 2 65 2 2" xfId="11169"/>
    <cellStyle name="Notitie 3 2 65 2 3" xfId="18787"/>
    <cellStyle name="Notitie 3 2 65 2 3 2" xfId="33685"/>
    <cellStyle name="Notitie 3 2 65 2 4" xfId="33686"/>
    <cellStyle name="Notitie 3 2 65 2 5" xfId="33687"/>
    <cellStyle name="Notitie 3 2 65 2 6" xfId="33688"/>
    <cellStyle name="Notitie 3 2 65 3" xfId="8758"/>
    <cellStyle name="Notitie 3 2 65 4" xfId="18788"/>
    <cellStyle name="Notitie 3 2 65 4 2" xfId="33689"/>
    <cellStyle name="Notitie 3 2 65 5" xfId="33690"/>
    <cellStyle name="Notitie 3 2 65 6" xfId="33691"/>
    <cellStyle name="Notitie 3 2 65 7" xfId="33692"/>
    <cellStyle name="Notitie 3 2 66" xfId="923"/>
    <cellStyle name="Notitie 3 2 66 2" xfId="6760"/>
    <cellStyle name="Notitie 3 2 66 2 2" xfId="11170"/>
    <cellStyle name="Notitie 3 2 66 2 3" xfId="18789"/>
    <cellStyle name="Notitie 3 2 66 2 3 2" xfId="33693"/>
    <cellStyle name="Notitie 3 2 66 2 4" xfId="33694"/>
    <cellStyle name="Notitie 3 2 66 2 5" xfId="33695"/>
    <cellStyle name="Notitie 3 2 66 2 6" xfId="33696"/>
    <cellStyle name="Notitie 3 2 66 3" xfId="8759"/>
    <cellStyle name="Notitie 3 2 66 4" xfId="18790"/>
    <cellStyle name="Notitie 3 2 66 4 2" xfId="33697"/>
    <cellStyle name="Notitie 3 2 66 5" xfId="33698"/>
    <cellStyle name="Notitie 3 2 66 6" xfId="33699"/>
    <cellStyle name="Notitie 3 2 66 7" xfId="33700"/>
    <cellStyle name="Notitie 3 2 67" xfId="924"/>
    <cellStyle name="Notitie 3 2 67 2" xfId="6761"/>
    <cellStyle name="Notitie 3 2 67 2 2" xfId="11171"/>
    <cellStyle name="Notitie 3 2 67 2 3" xfId="18791"/>
    <cellStyle name="Notitie 3 2 67 2 3 2" xfId="33701"/>
    <cellStyle name="Notitie 3 2 67 2 4" xfId="33702"/>
    <cellStyle name="Notitie 3 2 67 2 5" xfId="33703"/>
    <cellStyle name="Notitie 3 2 67 2 6" xfId="33704"/>
    <cellStyle name="Notitie 3 2 67 3" xfId="8760"/>
    <cellStyle name="Notitie 3 2 67 4" xfId="18792"/>
    <cellStyle name="Notitie 3 2 67 4 2" xfId="33705"/>
    <cellStyle name="Notitie 3 2 67 5" xfId="33706"/>
    <cellStyle name="Notitie 3 2 67 6" xfId="33707"/>
    <cellStyle name="Notitie 3 2 67 7" xfId="33708"/>
    <cellStyle name="Notitie 3 2 68" xfId="925"/>
    <cellStyle name="Notitie 3 2 68 2" xfId="6762"/>
    <cellStyle name="Notitie 3 2 68 2 2" xfId="11172"/>
    <cellStyle name="Notitie 3 2 68 2 3" xfId="18793"/>
    <cellStyle name="Notitie 3 2 68 2 3 2" xfId="33709"/>
    <cellStyle name="Notitie 3 2 68 2 4" xfId="33710"/>
    <cellStyle name="Notitie 3 2 68 2 5" xfId="33711"/>
    <cellStyle name="Notitie 3 2 68 2 6" xfId="33712"/>
    <cellStyle name="Notitie 3 2 68 3" xfId="8761"/>
    <cellStyle name="Notitie 3 2 68 4" xfId="18794"/>
    <cellStyle name="Notitie 3 2 68 4 2" xfId="33713"/>
    <cellStyle name="Notitie 3 2 68 5" xfId="33714"/>
    <cellStyle name="Notitie 3 2 68 6" xfId="33715"/>
    <cellStyle name="Notitie 3 2 68 7" xfId="33716"/>
    <cellStyle name="Notitie 3 2 69" xfId="926"/>
    <cellStyle name="Notitie 3 2 69 2" xfId="6763"/>
    <cellStyle name="Notitie 3 2 69 2 2" xfId="11173"/>
    <cellStyle name="Notitie 3 2 69 2 3" xfId="18795"/>
    <cellStyle name="Notitie 3 2 69 2 3 2" xfId="33717"/>
    <cellStyle name="Notitie 3 2 69 2 4" xfId="33718"/>
    <cellStyle name="Notitie 3 2 69 2 5" xfId="33719"/>
    <cellStyle name="Notitie 3 2 69 2 6" xfId="33720"/>
    <cellStyle name="Notitie 3 2 69 3" xfId="8762"/>
    <cellStyle name="Notitie 3 2 69 4" xfId="18796"/>
    <cellStyle name="Notitie 3 2 69 4 2" xfId="33721"/>
    <cellStyle name="Notitie 3 2 69 5" xfId="33722"/>
    <cellStyle name="Notitie 3 2 69 6" xfId="33723"/>
    <cellStyle name="Notitie 3 2 69 7" xfId="33724"/>
    <cellStyle name="Notitie 3 2 7" xfId="927"/>
    <cellStyle name="Notitie 3 2 7 2" xfId="6764"/>
    <cellStyle name="Notitie 3 2 7 2 2" xfId="11174"/>
    <cellStyle name="Notitie 3 2 7 2 3" xfId="18797"/>
    <cellStyle name="Notitie 3 2 7 2 3 2" xfId="33725"/>
    <cellStyle name="Notitie 3 2 7 2 4" xfId="33726"/>
    <cellStyle name="Notitie 3 2 7 2 5" xfId="33727"/>
    <cellStyle name="Notitie 3 2 7 2 6" xfId="33728"/>
    <cellStyle name="Notitie 3 2 7 3" xfId="8763"/>
    <cellStyle name="Notitie 3 2 7 4" xfId="18798"/>
    <cellStyle name="Notitie 3 2 7 4 2" xfId="33729"/>
    <cellStyle name="Notitie 3 2 7 5" xfId="33730"/>
    <cellStyle name="Notitie 3 2 7 6" xfId="33731"/>
    <cellStyle name="Notitie 3 2 7 7" xfId="33732"/>
    <cellStyle name="Notitie 3 2 70" xfId="928"/>
    <cellStyle name="Notitie 3 2 70 2" xfId="6765"/>
    <cellStyle name="Notitie 3 2 70 2 2" xfId="11175"/>
    <cellStyle name="Notitie 3 2 70 2 3" xfId="18799"/>
    <cellStyle name="Notitie 3 2 70 2 3 2" xfId="33733"/>
    <cellStyle name="Notitie 3 2 70 2 4" xfId="33734"/>
    <cellStyle name="Notitie 3 2 70 2 5" xfId="33735"/>
    <cellStyle name="Notitie 3 2 70 2 6" xfId="33736"/>
    <cellStyle name="Notitie 3 2 70 3" xfId="8764"/>
    <cellStyle name="Notitie 3 2 70 4" xfId="18800"/>
    <cellStyle name="Notitie 3 2 70 4 2" xfId="33737"/>
    <cellStyle name="Notitie 3 2 70 5" xfId="33738"/>
    <cellStyle name="Notitie 3 2 70 6" xfId="33739"/>
    <cellStyle name="Notitie 3 2 70 7" xfId="33740"/>
    <cellStyle name="Notitie 3 2 71" xfId="929"/>
    <cellStyle name="Notitie 3 2 71 2" xfId="6766"/>
    <cellStyle name="Notitie 3 2 71 2 2" xfId="11176"/>
    <cellStyle name="Notitie 3 2 71 2 3" xfId="18801"/>
    <cellStyle name="Notitie 3 2 71 2 3 2" xfId="33741"/>
    <cellStyle name="Notitie 3 2 71 2 4" xfId="33742"/>
    <cellStyle name="Notitie 3 2 71 2 5" xfId="33743"/>
    <cellStyle name="Notitie 3 2 71 2 6" xfId="33744"/>
    <cellStyle name="Notitie 3 2 71 3" xfId="8765"/>
    <cellStyle name="Notitie 3 2 71 4" xfId="18802"/>
    <cellStyle name="Notitie 3 2 71 4 2" xfId="33745"/>
    <cellStyle name="Notitie 3 2 71 5" xfId="33746"/>
    <cellStyle name="Notitie 3 2 71 6" xfId="33747"/>
    <cellStyle name="Notitie 3 2 71 7" xfId="33748"/>
    <cellStyle name="Notitie 3 2 72" xfId="930"/>
    <cellStyle name="Notitie 3 2 72 2" xfId="6767"/>
    <cellStyle name="Notitie 3 2 72 2 2" xfId="11177"/>
    <cellStyle name="Notitie 3 2 72 2 3" xfId="18803"/>
    <cellStyle name="Notitie 3 2 72 2 3 2" xfId="33749"/>
    <cellStyle name="Notitie 3 2 72 2 4" xfId="33750"/>
    <cellStyle name="Notitie 3 2 72 2 5" xfId="33751"/>
    <cellStyle name="Notitie 3 2 72 2 6" xfId="33752"/>
    <cellStyle name="Notitie 3 2 72 3" xfId="8766"/>
    <cellStyle name="Notitie 3 2 72 4" xfId="18804"/>
    <cellStyle name="Notitie 3 2 72 4 2" xfId="33753"/>
    <cellStyle name="Notitie 3 2 72 5" xfId="33754"/>
    <cellStyle name="Notitie 3 2 72 6" xfId="33755"/>
    <cellStyle name="Notitie 3 2 72 7" xfId="33756"/>
    <cellStyle name="Notitie 3 2 73" xfId="931"/>
    <cellStyle name="Notitie 3 2 73 2" xfId="6768"/>
    <cellStyle name="Notitie 3 2 73 2 2" xfId="11178"/>
    <cellStyle name="Notitie 3 2 73 2 3" xfId="18805"/>
    <cellStyle name="Notitie 3 2 73 2 3 2" xfId="33757"/>
    <cellStyle name="Notitie 3 2 73 2 4" xfId="33758"/>
    <cellStyle name="Notitie 3 2 73 2 5" xfId="33759"/>
    <cellStyle name="Notitie 3 2 73 2 6" xfId="33760"/>
    <cellStyle name="Notitie 3 2 73 3" xfId="8767"/>
    <cellStyle name="Notitie 3 2 73 4" xfId="18806"/>
    <cellStyle name="Notitie 3 2 73 4 2" xfId="33761"/>
    <cellStyle name="Notitie 3 2 73 5" xfId="33762"/>
    <cellStyle name="Notitie 3 2 73 6" xfId="33763"/>
    <cellStyle name="Notitie 3 2 73 7" xfId="33764"/>
    <cellStyle name="Notitie 3 2 74" xfId="932"/>
    <cellStyle name="Notitie 3 2 74 2" xfId="6769"/>
    <cellStyle name="Notitie 3 2 74 2 2" xfId="11179"/>
    <cellStyle name="Notitie 3 2 74 2 3" xfId="18807"/>
    <cellStyle name="Notitie 3 2 74 2 3 2" xfId="33765"/>
    <cellStyle name="Notitie 3 2 74 2 4" xfId="33766"/>
    <cellStyle name="Notitie 3 2 74 2 5" xfId="33767"/>
    <cellStyle name="Notitie 3 2 74 2 6" xfId="33768"/>
    <cellStyle name="Notitie 3 2 74 3" xfId="8768"/>
    <cellStyle name="Notitie 3 2 74 4" xfId="18808"/>
    <cellStyle name="Notitie 3 2 74 4 2" xfId="33769"/>
    <cellStyle name="Notitie 3 2 74 5" xfId="33770"/>
    <cellStyle name="Notitie 3 2 74 6" xfId="33771"/>
    <cellStyle name="Notitie 3 2 74 7" xfId="33772"/>
    <cellStyle name="Notitie 3 2 75" xfId="933"/>
    <cellStyle name="Notitie 3 2 75 2" xfId="6770"/>
    <cellStyle name="Notitie 3 2 75 2 2" xfId="11180"/>
    <cellStyle name="Notitie 3 2 75 2 3" xfId="18809"/>
    <cellStyle name="Notitie 3 2 75 2 3 2" xfId="33773"/>
    <cellStyle name="Notitie 3 2 75 2 4" xfId="33774"/>
    <cellStyle name="Notitie 3 2 75 2 5" xfId="33775"/>
    <cellStyle name="Notitie 3 2 75 2 6" xfId="33776"/>
    <cellStyle name="Notitie 3 2 75 3" xfId="8769"/>
    <cellStyle name="Notitie 3 2 75 4" xfId="18810"/>
    <cellStyle name="Notitie 3 2 75 4 2" xfId="33777"/>
    <cellStyle name="Notitie 3 2 75 5" xfId="33778"/>
    <cellStyle name="Notitie 3 2 75 6" xfId="33779"/>
    <cellStyle name="Notitie 3 2 75 7" xfId="33780"/>
    <cellStyle name="Notitie 3 2 76" xfId="934"/>
    <cellStyle name="Notitie 3 2 76 2" xfId="6771"/>
    <cellStyle name="Notitie 3 2 76 2 2" xfId="11181"/>
    <cellStyle name="Notitie 3 2 76 2 3" xfId="18811"/>
    <cellStyle name="Notitie 3 2 76 2 3 2" xfId="33781"/>
    <cellStyle name="Notitie 3 2 76 2 4" xfId="33782"/>
    <cellStyle name="Notitie 3 2 76 2 5" xfId="33783"/>
    <cellStyle name="Notitie 3 2 76 2 6" xfId="33784"/>
    <cellStyle name="Notitie 3 2 76 3" xfId="8770"/>
    <cellStyle name="Notitie 3 2 76 4" xfId="18812"/>
    <cellStyle name="Notitie 3 2 76 4 2" xfId="33785"/>
    <cellStyle name="Notitie 3 2 76 5" xfId="33786"/>
    <cellStyle name="Notitie 3 2 76 6" xfId="33787"/>
    <cellStyle name="Notitie 3 2 76 7" xfId="33788"/>
    <cellStyle name="Notitie 3 2 77" xfId="935"/>
    <cellStyle name="Notitie 3 2 77 2" xfId="6772"/>
    <cellStyle name="Notitie 3 2 77 2 2" xfId="11182"/>
    <cellStyle name="Notitie 3 2 77 2 3" xfId="18813"/>
    <cellStyle name="Notitie 3 2 77 2 3 2" xfId="33789"/>
    <cellStyle name="Notitie 3 2 77 2 4" xfId="33790"/>
    <cellStyle name="Notitie 3 2 77 2 5" xfId="33791"/>
    <cellStyle name="Notitie 3 2 77 2 6" xfId="33792"/>
    <cellStyle name="Notitie 3 2 77 3" xfId="8771"/>
    <cellStyle name="Notitie 3 2 77 4" xfId="18814"/>
    <cellStyle name="Notitie 3 2 77 4 2" xfId="33793"/>
    <cellStyle name="Notitie 3 2 77 5" xfId="33794"/>
    <cellStyle name="Notitie 3 2 77 6" xfId="33795"/>
    <cellStyle name="Notitie 3 2 77 7" xfId="33796"/>
    <cellStyle name="Notitie 3 2 78" xfId="936"/>
    <cellStyle name="Notitie 3 2 78 2" xfId="6773"/>
    <cellStyle name="Notitie 3 2 78 2 2" xfId="11183"/>
    <cellStyle name="Notitie 3 2 78 2 3" xfId="18815"/>
    <cellStyle name="Notitie 3 2 78 2 3 2" xfId="33797"/>
    <cellStyle name="Notitie 3 2 78 2 4" xfId="33798"/>
    <cellStyle name="Notitie 3 2 78 2 5" xfId="33799"/>
    <cellStyle name="Notitie 3 2 78 2 6" xfId="33800"/>
    <cellStyle name="Notitie 3 2 78 3" xfId="8772"/>
    <cellStyle name="Notitie 3 2 78 4" xfId="18816"/>
    <cellStyle name="Notitie 3 2 78 4 2" xfId="33801"/>
    <cellStyle name="Notitie 3 2 78 5" xfId="33802"/>
    <cellStyle name="Notitie 3 2 78 6" xfId="33803"/>
    <cellStyle name="Notitie 3 2 78 7" xfId="33804"/>
    <cellStyle name="Notitie 3 2 79" xfId="937"/>
    <cellStyle name="Notitie 3 2 79 2" xfId="6774"/>
    <cellStyle name="Notitie 3 2 79 2 2" xfId="11184"/>
    <cellStyle name="Notitie 3 2 79 2 3" xfId="18817"/>
    <cellStyle name="Notitie 3 2 79 2 3 2" xfId="33805"/>
    <cellStyle name="Notitie 3 2 79 2 4" xfId="33806"/>
    <cellStyle name="Notitie 3 2 79 2 5" xfId="33807"/>
    <cellStyle name="Notitie 3 2 79 2 6" xfId="33808"/>
    <cellStyle name="Notitie 3 2 79 3" xfId="8773"/>
    <cellStyle name="Notitie 3 2 79 4" xfId="18818"/>
    <cellStyle name="Notitie 3 2 79 4 2" xfId="33809"/>
    <cellStyle name="Notitie 3 2 79 5" xfId="33810"/>
    <cellStyle name="Notitie 3 2 79 6" xfId="33811"/>
    <cellStyle name="Notitie 3 2 79 7" xfId="33812"/>
    <cellStyle name="Notitie 3 2 8" xfId="938"/>
    <cellStyle name="Notitie 3 2 8 2" xfId="6775"/>
    <cellStyle name="Notitie 3 2 8 2 2" xfId="11185"/>
    <cellStyle name="Notitie 3 2 8 2 3" xfId="18819"/>
    <cellStyle name="Notitie 3 2 8 2 3 2" xfId="33813"/>
    <cellStyle name="Notitie 3 2 8 2 4" xfId="33814"/>
    <cellStyle name="Notitie 3 2 8 2 5" xfId="33815"/>
    <cellStyle name="Notitie 3 2 8 2 6" xfId="33816"/>
    <cellStyle name="Notitie 3 2 8 3" xfId="8774"/>
    <cellStyle name="Notitie 3 2 8 4" xfId="18820"/>
    <cellStyle name="Notitie 3 2 8 4 2" xfId="33817"/>
    <cellStyle name="Notitie 3 2 8 5" xfId="33818"/>
    <cellStyle name="Notitie 3 2 8 6" xfId="33819"/>
    <cellStyle name="Notitie 3 2 8 7" xfId="33820"/>
    <cellStyle name="Notitie 3 2 80" xfId="6776"/>
    <cellStyle name="Notitie 3 2 80 2" xfId="11108"/>
    <cellStyle name="Notitie 3 2 80 3" xfId="18821"/>
    <cellStyle name="Notitie 3 2 80 3 2" xfId="33821"/>
    <cellStyle name="Notitie 3 2 80 4" xfId="33822"/>
    <cellStyle name="Notitie 3 2 80 5" xfId="33823"/>
    <cellStyle name="Notitie 3 2 80 6" xfId="33824"/>
    <cellStyle name="Notitie 3 2 81" xfId="8697"/>
    <cellStyle name="Notitie 3 2 82" xfId="18822"/>
    <cellStyle name="Notitie 3 2 82 2" xfId="33825"/>
    <cellStyle name="Notitie 3 2 83" xfId="33826"/>
    <cellStyle name="Notitie 3 2 84" xfId="33827"/>
    <cellStyle name="Notitie 3 2 85" xfId="33828"/>
    <cellStyle name="Notitie 3 2 9" xfId="939"/>
    <cellStyle name="Notitie 3 2 9 2" xfId="6777"/>
    <cellStyle name="Notitie 3 2 9 2 2" xfId="11186"/>
    <cellStyle name="Notitie 3 2 9 2 3" xfId="18823"/>
    <cellStyle name="Notitie 3 2 9 2 3 2" xfId="33829"/>
    <cellStyle name="Notitie 3 2 9 2 4" xfId="33830"/>
    <cellStyle name="Notitie 3 2 9 2 5" xfId="33831"/>
    <cellStyle name="Notitie 3 2 9 2 6" xfId="33832"/>
    <cellStyle name="Notitie 3 2 9 3" xfId="8775"/>
    <cellStyle name="Notitie 3 2 9 4" xfId="18824"/>
    <cellStyle name="Notitie 3 2 9 4 2" xfId="33833"/>
    <cellStyle name="Notitie 3 2 9 5" xfId="33834"/>
    <cellStyle name="Notitie 3 2 9 6" xfId="33835"/>
    <cellStyle name="Notitie 3 2 9 7" xfId="33836"/>
    <cellStyle name="Notitie 3 20" xfId="18825"/>
    <cellStyle name="Notitie 3 20 2" xfId="33837"/>
    <cellStyle name="Notitie 3 21" xfId="33838"/>
    <cellStyle name="Notitie 3 22" xfId="33839"/>
    <cellStyle name="Notitie 3 23" xfId="33840"/>
    <cellStyle name="Notitie 3 3" xfId="940"/>
    <cellStyle name="Notitie 3 3 2" xfId="6778"/>
    <cellStyle name="Notitie 3 3 2 2" xfId="11187"/>
    <cellStyle name="Notitie 3 3 2 3" xfId="18826"/>
    <cellStyle name="Notitie 3 3 2 3 2" xfId="33841"/>
    <cellStyle name="Notitie 3 3 2 4" xfId="33842"/>
    <cellStyle name="Notitie 3 3 2 5" xfId="33843"/>
    <cellStyle name="Notitie 3 3 2 6" xfId="33844"/>
    <cellStyle name="Notitie 3 3 3" xfId="8776"/>
    <cellStyle name="Notitie 3 3 4" xfId="18827"/>
    <cellStyle name="Notitie 3 3 4 2" xfId="33845"/>
    <cellStyle name="Notitie 3 3 5" xfId="33846"/>
    <cellStyle name="Notitie 3 3 6" xfId="33847"/>
    <cellStyle name="Notitie 3 3 7" xfId="33848"/>
    <cellStyle name="Notitie 3 4" xfId="941"/>
    <cellStyle name="Notitie 3 4 2" xfId="6779"/>
    <cellStyle name="Notitie 3 4 2 2" xfId="11188"/>
    <cellStyle name="Notitie 3 4 2 3" xfId="18828"/>
    <cellStyle name="Notitie 3 4 2 3 2" xfId="33849"/>
    <cellStyle name="Notitie 3 4 2 4" xfId="33850"/>
    <cellStyle name="Notitie 3 4 2 5" xfId="33851"/>
    <cellStyle name="Notitie 3 4 2 6" xfId="33852"/>
    <cellStyle name="Notitie 3 4 3" xfId="8777"/>
    <cellStyle name="Notitie 3 4 4" xfId="18829"/>
    <cellStyle name="Notitie 3 4 4 2" xfId="33853"/>
    <cellStyle name="Notitie 3 4 5" xfId="33854"/>
    <cellStyle name="Notitie 3 4 6" xfId="33855"/>
    <cellStyle name="Notitie 3 4 7" xfId="33856"/>
    <cellStyle name="Notitie 3 5" xfId="942"/>
    <cellStyle name="Notitie 3 5 2" xfId="6780"/>
    <cellStyle name="Notitie 3 5 2 2" xfId="11189"/>
    <cellStyle name="Notitie 3 5 2 3" xfId="18830"/>
    <cellStyle name="Notitie 3 5 2 3 2" xfId="33857"/>
    <cellStyle name="Notitie 3 5 2 4" xfId="33858"/>
    <cellStyle name="Notitie 3 5 2 5" xfId="33859"/>
    <cellStyle name="Notitie 3 5 2 6" xfId="33860"/>
    <cellStyle name="Notitie 3 5 3" xfId="8778"/>
    <cellStyle name="Notitie 3 5 4" xfId="18831"/>
    <cellStyle name="Notitie 3 5 4 2" xfId="33861"/>
    <cellStyle name="Notitie 3 5 5" xfId="33862"/>
    <cellStyle name="Notitie 3 5 6" xfId="33863"/>
    <cellStyle name="Notitie 3 5 7" xfId="33864"/>
    <cellStyle name="Notitie 3 6" xfId="943"/>
    <cellStyle name="Notitie 3 6 2" xfId="6781"/>
    <cellStyle name="Notitie 3 6 2 2" xfId="11190"/>
    <cellStyle name="Notitie 3 6 2 3" xfId="18832"/>
    <cellStyle name="Notitie 3 6 2 3 2" xfId="33865"/>
    <cellStyle name="Notitie 3 6 2 4" xfId="33866"/>
    <cellStyle name="Notitie 3 6 2 5" xfId="33867"/>
    <cellStyle name="Notitie 3 6 2 6" xfId="33868"/>
    <cellStyle name="Notitie 3 6 3" xfId="8779"/>
    <cellStyle name="Notitie 3 6 4" xfId="18833"/>
    <cellStyle name="Notitie 3 6 4 2" xfId="33869"/>
    <cellStyle name="Notitie 3 6 5" xfId="33870"/>
    <cellStyle name="Notitie 3 6 6" xfId="33871"/>
    <cellStyle name="Notitie 3 6 7" xfId="33872"/>
    <cellStyle name="Notitie 3 7" xfId="944"/>
    <cellStyle name="Notitie 3 7 2" xfId="6782"/>
    <cellStyle name="Notitie 3 7 2 2" xfId="11191"/>
    <cellStyle name="Notitie 3 7 2 3" xfId="18834"/>
    <cellStyle name="Notitie 3 7 2 3 2" xfId="33873"/>
    <cellStyle name="Notitie 3 7 2 4" xfId="33874"/>
    <cellStyle name="Notitie 3 7 2 5" xfId="33875"/>
    <cellStyle name="Notitie 3 7 2 6" xfId="33876"/>
    <cellStyle name="Notitie 3 7 3" xfId="8780"/>
    <cellStyle name="Notitie 3 7 4" xfId="18835"/>
    <cellStyle name="Notitie 3 7 4 2" xfId="33877"/>
    <cellStyle name="Notitie 3 7 5" xfId="33878"/>
    <cellStyle name="Notitie 3 7 6" xfId="33879"/>
    <cellStyle name="Notitie 3 7 7" xfId="33880"/>
    <cellStyle name="Notitie 3 8" xfId="945"/>
    <cellStyle name="Notitie 3 8 2" xfId="6783"/>
    <cellStyle name="Notitie 3 8 2 2" xfId="11192"/>
    <cellStyle name="Notitie 3 8 2 3" xfId="18836"/>
    <cellStyle name="Notitie 3 8 2 3 2" xfId="33881"/>
    <cellStyle name="Notitie 3 8 2 4" xfId="33882"/>
    <cellStyle name="Notitie 3 8 2 5" xfId="33883"/>
    <cellStyle name="Notitie 3 8 2 6" xfId="33884"/>
    <cellStyle name="Notitie 3 8 3" xfId="8781"/>
    <cellStyle name="Notitie 3 8 4" xfId="18837"/>
    <cellStyle name="Notitie 3 8 4 2" xfId="33885"/>
    <cellStyle name="Notitie 3 8 5" xfId="33886"/>
    <cellStyle name="Notitie 3 8 6" xfId="33887"/>
    <cellStyle name="Notitie 3 8 7" xfId="33888"/>
    <cellStyle name="Notitie 3 9" xfId="946"/>
    <cellStyle name="Notitie 3 9 2" xfId="6784"/>
    <cellStyle name="Notitie 3 9 2 2" xfId="11193"/>
    <cellStyle name="Notitie 3 9 2 3" xfId="18838"/>
    <cellStyle name="Notitie 3 9 2 3 2" xfId="33889"/>
    <cellStyle name="Notitie 3 9 2 4" xfId="33890"/>
    <cellStyle name="Notitie 3 9 2 5" xfId="33891"/>
    <cellStyle name="Notitie 3 9 2 6" xfId="33892"/>
    <cellStyle name="Notitie 3 9 3" xfId="8782"/>
    <cellStyle name="Notitie 3 9 4" xfId="18839"/>
    <cellStyle name="Notitie 3 9 4 2" xfId="33893"/>
    <cellStyle name="Notitie 3 9 5" xfId="33894"/>
    <cellStyle name="Notitie 3 9 6" xfId="33895"/>
    <cellStyle name="Notitie 3 9 7" xfId="33896"/>
    <cellStyle name="Notitie 4" xfId="947"/>
    <cellStyle name="Notitie 4 10" xfId="948"/>
    <cellStyle name="Notitie 4 10 2" xfId="6785"/>
    <cellStyle name="Notitie 4 10 2 2" xfId="11195"/>
    <cellStyle name="Notitie 4 10 2 3" xfId="18840"/>
    <cellStyle name="Notitie 4 10 2 3 2" xfId="33897"/>
    <cellStyle name="Notitie 4 10 2 4" xfId="33898"/>
    <cellStyle name="Notitie 4 10 2 5" xfId="33899"/>
    <cellStyle name="Notitie 4 10 2 6" xfId="33900"/>
    <cellStyle name="Notitie 4 10 3" xfId="8784"/>
    <cellStyle name="Notitie 4 10 4" xfId="18841"/>
    <cellStyle name="Notitie 4 10 4 2" xfId="33901"/>
    <cellStyle name="Notitie 4 10 5" xfId="33902"/>
    <cellStyle name="Notitie 4 10 6" xfId="33903"/>
    <cellStyle name="Notitie 4 10 7" xfId="33904"/>
    <cellStyle name="Notitie 4 11" xfId="949"/>
    <cellStyle name="Notitie 4 11 2" xfId="6786"/>
    <cellStyle name="Notitie 4 11 2 2" xfId="11196"/>
    <cellStyle name="Notitie 4 11 2 3" xfId="18842"/>
    <cellStyle name="Notitie 4 11 2 3 2" xfId="33905"/>
    <cellStyle name="Notitie 4 11 2 4" xfId="33906"/>
    <cellStyle name="Notitie 4 11 2 5" xfId="33907"/>
    <cellStyle name="Notitie 4 11 2 6" xfId="33908"/>
    <cellStyle name="Notitie 4 11 3" xfId="8785"/>
    <cellStyle name="Notitie 4 11 4" xfId="18843"/>
    <cellStyle name="Notitie 4 11 4 2" xfId="33909"/>
    <cellStyle name="Notitie 4 11 5" xfId="33910"/>
    <cellStyle name="Notitie 4 11 6" xfId="33911"/>
    <cellStyle name="Notitie 4 11 7" xfId="33912"/>
    <cellStyle name="Notitie 4 12" xfId="950"/>
    <cellStyle name="Notitie 4 12 2" xfId="6787"/>
    <cellStyle name="Notitie 4 12 2 2" xfId="11197"/>
    <cellStyle name="Notitie 4 12 2 3" xfId="18844"/>
    <cellStyle name="Notitie 4 12 2 3 2" xfId="33913"/>
    <cellStyle name="Notitie 4 12 2 4" xfId="33914"/>
    <cellStyle name="Notitie 4 12 2 5" xfId="33915"/>
    <cellStyle name="Notitie 4 12 2 6" xfId="33916"/>
    <cellStyle name="Notitie 4 12 3" xfId="8786"/>
    <cellStyle name="Notitie 4 12 4" xfId="18845"/>
    <cellStyle name="Notitie 4 12 4 2" xfId="33917"/>
    <cellStyle name="Notitie 4 12 5" xfId="33918"/>
    <cellStyle name="Notitie 4 12 6" xfId="33919"/>
    <cellStyle name="Notitie 4 12 7" xfId="33920"/>
    <cellStyle name="Notitie 4 13" xfId="951"/>
    <cellStyle name="Notitie 4 13 2" xfId="6788"/>
    <cellStyle name="Notitie 4 13 2 2" xfId="11198"/>
    <cellStyle name="Notitie 4 13 2 3" xfId="18846"/>
    <cellStyle name="Notitie 4 13 2 3 2" xfId="33921"/>
    <cellStyle name="Notitie 4 13 2 4" xfId="33922"/>
    <cellStyle name="Notitie 4 13 2 5" xfId="33923"/>
    <cellStyle name="Notitie 4 13 2 6" xfId="33924"/>
    <cellStyle name="Notitie 4 13 3" xfId="8787"/>
    <cellStyle name="Notitie 4 13 4" xfId="18847"/>
    <cellStyle name="Notitie 4 13 4 2" xfId="33925"/>
    <cellStyle name="Notitie 4 13 5" xfId="33926"/>
    <cellStyle name="Notitie 4 13 6" xfId="33927"/>
    <cellStyle name="Notitie 4 13 7" xfId="33928"/>
    <cellStyle name="Notitie 4 14" xfId="952"/>
    <cellStyle name="Notitie 4 14 2" xfId="6789"/>
    <cellStyle name="Notitie 4 14 2 2" xfId="11199"/>
    <cellStyle name="Notitie 4 14 2 3" xfId="18848"/>
    <cellStyle name="Notitie 4 14 2 3 2" xfId="33929"/>
    <cellStyle name="Notitie 4 14 2 4" xfId="33930"/>
    <cellStyle name="Notitie 4 14 2 5" xfId="33931"/>
    <cellStyle name="Notitie 4 14 2 6" xfId="33932"/>
    <cellStyle name="Notitie 4 14 3" xfId="8788"/>
    <cellStyle name="Notitie 4 14 4" xfId="18849"/>
    <cellStyle name="Notitie 4 14 4 2" xfId="33933"/>
    <cellStyle name="Notitie 4 14 5" xfId="33934"/>
    <cellStyle name="Notitie 4 14 6" xfId="33935"/>
    <cellStyle name="Notitie 4 14 7" xfId="33936"/>
    <cellStyle name="Notitie 4 15" xfId="953"/>
    <cellStyle name="Notitie 4 15 2" xfId="6790"/>
    <cellStyle name="Notitie 4 15 2 2" xfId="11200"/>
    <cellStyle name="Notitie 4 15 2 3" xfId="18850"/>
    <cellStyle name="Notitie 4 15 2 3 2" xfId="33937"/>
    <cellStyle name="Notitie 4 15 2 4" xfId="33938"/>
    <cellStyle name="Notitie 4 15 2 5" xfId="33939"/>
    <cellStyle name="Notitie 4 15 2 6" xfId="33940"/>
    <cellStyle name="Notitie 4 15 3" xfId="8789"/>
    <cellStyle name="Notitie 4 15 4" xfId="18851"/>
    <cellStyle name="Notitie 4 15 4 2" xfId="33941"/>
    <cellStyle name="Notitie 4 15 5" xfId="33942"/>
    <cellStyle name="Notitie 4 15 6" xfId="33943"/>
    <cellStyle name="Notitie 4 15 7" xfId="33944"/>
    <cellStyle name="Notitie 4 16" xfId="954"/>
    <cellStyle name="Notitie 4 16 2" xfId="6791"/>
    <cellStyle name="Notitie 4 16 2 2" xfId="11201"/>
    <cellStyle name="Notitie 4 16 2 3" xfId="18852"/>
    <cellStyle name="Notitie 4 16 2 3 2" xfId="33945"/>
    <cellStyle name="Notitie 4 16 2 4" xfId="33946"/>
    <cellStyle name="Notitie 4 16 2 5" xfId="33947"/>
    <cellStyle name="Notitie 4 16 2 6" xfId="33948"/>
    <cellStyle name="Notitie 4 16 3" xfId="8790"/>
    <cellStyle name="Notitie 4 16 4" xfId="18853"/>
    <cellStyle name="Notitie 4 16 4 2" xfId="33949"/>
    <cellStyle name="Notitie 4 16 5" xfId="33950"/>
    <cellStyle name="Notitie 4 16 6" xfId="33951"/>
    <cellStyle name="Notitie 4 16 7" xfId="33952"/>
    <cellStyle name="Notitie 4 17" xfId="955"/>
    <cellStyle name="Notitie 4 17 2" xfId="6792"/>
    <cellStyle name="Notitie 4 17 2 2" xfId="11202"/>
    <cellStyle name="Notitie 4 17 2 3" xfId="18854"/>
    <cellStyle name="Notitie 4 17 2 3 2" xfId="33953"/>
    <cellStyle name="Notitie 4 17 2 4" xfId="33954"/>
    <cellStyle name="Notitie 4 17 2 5" xfId="33955"/>
    <cellStyle name="Notitie 4 17 2 6" xfId="33956"/>
    <cellStyle name="Notitie 4 17 3" xfId="8791"/>
    <cellStyle name="Notitie 4 17 4" xfId="18855"/>
    <cellStyle name="Notitie 4 17 4 2" xfId="33957"/>
    <cellStyle name="Notitie 4 17 5" xfId="33958"/>
    <cellStyle name="Notitie 4 17 6" xfId="33959"/>
    <cellStyle name="Notitie 4 17 7" xfId="33960"/>
    <cellStyle name="Notitie 4 18" xfId="6793"/>
    <cellStyle name="Notitie 4 18 2" xfId="11194"/>
    <cellStyle name="Notitie 4 18 3" xfId="18856"/>
    <cellStyle name="Notitie 4 18 3 2" xfId="33961"/>
    <cellStyle name="Notitie 4 18 4" xfId="33962"/>
    <cellStyle name="Notitie 4 18 5" xfId="33963"/>
    <cellStyle name="Notitie 4 18 6" xfId="33964"/>
    <cellStyle name="Notitie 4 19" xfId="8783"/>
    <cellStyle name="Notitie 4 2" xfId="956"/>
    <cellStyle name="Notitie 4 2 10" xfId="957"/>
    <cellStyle name="Notitie 4 2 10 2" xfId="6794"/>
    <cellStyle name="Notitie 4 2 10 2 2" xfId="11204"/>
    <cellStyle name="Notitie 4 2 10 2 3" xfId="18857"/>
    <cellStyle name="Notitie 4 2 10 2 3 2" xfId="33965"/>
    <cellStyle name="Notitie 4 2 10 2 4" xfId="33966"/>
    <cellStyle name="Notitie 4 2 10 2 5" xfId="33967"/>
    <cellStyle name="Notitie 4 2 10 2 6" xfId="33968"/>
    <cellStyle name="Notitie 4 2 10 3" xfId="8793"/>
    <cellStyle name="Notitie 4 2 10 4" xfId="18858"/>
    <cellStyle name="Notitie 4 2 10 4 2" xfId="33969"/>
    <cellStyle name="Notitie 4 2 10 5" xfId="33970"/>
    <cellStyle name="Notitie 4 2 10 6" xfId="33971"/>
    <cellStyle name="Notitie 4 2 10 7" xfId="33972"/>
    <cellStyle name="Notitie 4 2 11" xfId="958"/>
    <cellStyle name="Notitie 4 2 11 2" xfId="6795"/>
    <cellStyle name="Notitie 4 2 11 2 2" xfId="11205"/>
    <cellStyle name="Notitie 4 2 11 2 3" xfId="18859"/>
    <cellStyle name="Notitie 4 2 11 2 3 2" xfId="33973"/>
    <cellStyle name="Notitie 4 2 11 2 4" xfId="33974"/>
    <cellStyle name="Notitie 4 2 11 2 5" xfId="33975"/>
    <cellStyle name="Notitie 4 2 11 2 6" xfId="33976"/>
    <cellStyle name="Notitie 4 2 11 3" xfId="8794"/>
    <cellStyle name="Notitie 4 2 11 4" xfId="18860"/>
    <cellStyle name="Notitie 4 2 11 4 2" xfId="33977"/>
    <cellStyle name="Notitie 4 2 11 5" xfId="33978"/>
    <cellStyle name="Notitie 4 2 11 6" xfId="33979"/>
    <cellStyle name="Notitie 4 2 11 7" xfId="33980"/>
    <cellStyle name="Notitie 4 2 12" xfId="959"/>
    <cellStyle name="Notitie 4 2 12 2" xfId="6796"/>
    <cellStyle name="Notitie 4 2 12 2 2" xfId="11206"/>
    <cellStyle name="Notitie 4 2 12 2 3" xfId="18861"/>
    <cellStyle name="Notitie 4 2 12 2 3 2" xfId="33981"/>
    <cellStyle name="Notitie 4 2 12 2 4" xfId="33982"/>
    <cellStyle name="Notitie 4 2 12 2 5" xfId="33983"/>
    <cellStyle name="Notitie 4 2 12 2 6" xfId="33984"/>
    <cellStyle name="Notitie 4 2 12 3" xfId="8795"/>
    <cellStyle name="Notitie 4 2 12 4" xfId="18862"/>
    <cellStyle name="Notitie 4 2 12 4 2" xfId="33985"/>
    <cellStyle name="Notitie 4 2 12 5" xfId="33986"/>
    <cellStyle name="Notitie 4 2 12 6" xfId="33987"/>
    <cellStyle name="Notitie 4 2 12 7" xfId="33988"/>
    <cellStyle name="Notitie 4 2 13" xfId="960"/>
    <cellStyle name="Notitie 4 2 13 2" xfId="6797"/>
    <cellStyle name="Notitie 4 2 13 2 2" xfId="11207"/>
    <cellStyle name="Notitie 4 2 13 2 3" xfId="18863"/>
    <cellStyle name="Notitie 4 2 13 2 3 2" xfId="33989"/>
    <cellStyle name="Notitie 4 2 13 2 4" xfId="33990"/>
    <cellStyle name="Notitie 4 2 13 2 5" xfId="33991"/>
    <cellStyle name="Notitie 4 2 13 2 6" xfId="33992"/>
    <cellStyle name="Notitie 4 2 13 3" xfId="8796"/>
    <cellStyle name="Notitie 4 2 13 4" xfId="18864"/>
    <cellStyle name="Notitie 4 2 13 4 2" xfId="33993"/>
    <cellStyle name="Notitie 4 2 13 5" xfId="33994"/>
    <cellStyle name="Notitie 4 2 13 6" xfId="33995"/>
    <cellStyle name="Notitie 4 2 13 7" xfId="33996"/>
    <cellStyle name="Notitie 4 2 14" xfId="961"/>
    <cellStyle name="Notitie 4 2 14 2" xfId="6798"/>
    <cellStyle name="Notitie 4 2 14 2 2" xfId="11208"/>
    <cellStyle name="Notitie 4 2 14 2 3" xfId="18865"/>
    <cellStyle name="Notitie 4 2 14 2 3 2" xfId="33997"/>
    <cellStyle name="Notitie 4 2 14 2 4" xfId="33998"/>
    <cellStyle name="Notitie 4 2 14 2 5" xfId="33999"/>
    <cellStyle name="Notitie 4 2 14 2 6" xfId="34000"/>
    <cellStyle name="Notitie 4 2 14 3" xfId="8797"/>
    <cellStyle name="Notitie 4 2 14 4" xfId="18866"/>
    <cellStyle name="Notitie 4 2 14 4 2" xfId="34001"/>
    <cellStyle name="Notitie 4 2 14 5" xfId="34002"/>
    <cellStyle name="Notitie 4 2 14 6" xfId="34003"/>
    <cellStyle name="Notitie 4 2 14 7" xfId="34004"/>
    <cellStyle name="Notitie 4 2 15" xfId="962"/>
    <cellStyle name="Notitie 4 2 15 2" xfId="6799"/>
    <cellStyle name="Notitie 4 2 15 2 2" xfId="11209"/>
    <cellStyle name="Notitie 4 2 15 2 3" xfId="18867"/>
    <cellStyle name="Notitie 4 2 15 2 3 2" xfId="34005"/>
    <cellStyle name="Notitie 4 2 15 2 4" xfId="34006"/>
    <cellStyle name="Notitie 4 2 15 2 5" xfId="34007"/>
    <cellStyle name="Notitie 4 2 15 2 6" xfId="34008"/>
    <cellStyle name="Notitie 4 2 15 3" xfId="8798"/>
    <cellStyle name="Notitie 4 2 15 4" xfId="18868"/>
    <cellStyle name="Notitie 4 2 15 4 2" xfId="34009"/>
    <cellStyle name="Notitie 4 2 15 5" xfId="34010"/>
    <cellStyle name="Notitie 4 2 15 6" xfId="34011"/>
    <cellStyle name="Notitie 4 2 15 7" xfId="34012"/>
    <cellStyle name="Notitie 4 2 16" xfId="963"/>
    <cellStyle name="Notitie 4 2 16 2" xfId="6800"/>
    <cellStyle name="Notitie 4 2 16 2 2" xfId="11210"/>
    <cellStyle name="Notitie 4 2 16 2 3" xfId="18869"/>
    <cellStyle name="Notitie 4 2 16 2 3 2" xfId="34013"/>
    <cellStyle name="Notitie 4 2 16 2 4" xfId="34014"/>
    <cellStyle name="Notitie 4 2 16 2 5" xfId="34015"/>
    <cellStyle name="Notitie 4 2 16 2 6" xfId="34016"/>
    <cellStyle name="Notitie 4 2 16 3" xfId="8799"/>
    <cellStyle name="Notitie 4 2 16 4" xfId="18870"/>
    <cellStyle name="Notitie 4 2 16 4 2" xfId="34017"/>
    <cellStyle name="Notitie 4 2 16 5" xfId="34018"/>
    <cellStyle name="Notitie 4 2 16 6" xfId="34019"/>
    <cellStyle name="Notitie 4 2 16 7" xfId="34020"/>
    <cellStyle name="Notitie 4 2 17" xfId="964"/>
    <cellStyle name="Notitie 4 2 17 2" xfId="6801"/>
    <cellStyle name="Notitie 4 2 17 2 2" xfId="11211"/>
    <cellStyle name="Notitie 4 2 17 2 3" xfId="18871"/>
    <cellStyle name="Notitie 4 2 17 2 3 2" xfId="34021"/>
    <cellStyle name="Notitie 4 2 17 2 4" xfId="34022"/>
    <cellStyle name="Notitie 4 2 17 2 5" xfId="34023"/>
    <cellStyle name="Notitie 4 2 17 2 6" xfId="34024"/>
    <cellStyle name="Notitie 4 2 17 3" xfId="8800"/>
    <cellStyle name="Notitie 4 2 17 4" xfId="18872"/>
    <cellStyle name="Notitie 4 2 17 4 2" xfId="34025"/>
    <cellStyle name="Notitie 4 2 17 5" xfId="34026"/>
    <cellStyle name="Notitie 4 2 17 6" xfId="34027"/>
    <cellStyle name="Notitie 4 2 17 7" xfId="34028"/>
    <cellStyle name="Notitie 4 2 18" xfId="965"/>
    <cellStyle name="Notitie 4 2 18 2" xfId="6802"/>
    <cellStyle name="Notitie 4 2 18 2 2" xfId="11212"/>
    <cellStyle name="Notitie 4 2 18 2 3" xfId="18873"/>
    <cellStyle name="Notitie 4 2 18 2 3 2" xfId="34029"/>
    <cellStyle name="Notitie 4 2 18 2 4" xfId="34030"/>
    <cellStyle name="Notitie 4 2 18 2 5" xfId="34031"/>
    <cellStyle name="Notitie 4 2 18 2 6" xfId="34032"/>
    <cellStyle name="Notitie 4 2 18 3" xfId="8801"/>
    <cellStyle name="Notitie 4 2 18 4" xfId="18874"/>
    <cellStyle name="Notitie 4 2 18 4 2" xfId="34033"/>
    <cellStyle name="Notitie 4 2 18 5" xfId="34034"/>
    <cellStyle name="Notitie 4 2 18 6" xfId="34035"/>
    <cellStyle name="Notitie 4 2 18 7" xfId="34036"/>
    <cellStyle name="Notitie 4 2 19" xfId="966"/>
    <cellStyle name="Notitie 4 2 19 2" xfId="6803"/>
    <cellStyle name="Notitie 4 2 19 2 2" xfId="11213"/>
    <cellStyle name="Notitie 4 2 19 2 3" xfId="18875"/>
    <cellStyle name="Notitie 4 2 19 2 3 2" xfId="34037"/>
    <cellStyle name="Notitie 4 2 19 2 4" xfId="34038"/>
    <cellStyle name="Notitie 4 2 19 2 5" xfId="34039"/>
    <cellStyle name="Notitie 4 2 19 2 6" xfId="34040"/>
    <cellStyle name="Notitie 4 2 19 3" xfId="8802"/>
    <cellStyle name="Notitie 4 2 19 4" xfId="18876"/>
    <cellStyle name="Notitie 4 2 19 4 2" xfId="34041"/>
    <cellStyle name="Notitie 4 2 19 5" xfId="34042"/>
    <cellStyle name="Notitie 4 2 19 6" xfId="34043"/>
    <cellStyle name="Notitie 4 2 19 7" xfId="34044"/>
    <cellStyle name="Notitie 4 2 2" xfId="967"/>
    <cellStyle name="Notitie 4 2 2 2" xfId="6804"/>
    <cellStyle name="Notitie 4 2 2 2 2" xfId="11214"/>
    <cellStyle name="Notitie 4 2 2 2 3" xfId="18877"/>
    <cellStyle name="Notitie 4 2 2 2 3 2" xfId="34045"/>
    <cellStyle name="Notitie 4 2 2 2 4" xfId="34046"/>
    <cellStyle name="Notitie 4 2 2 2 5" xfId="34047"/>
    <cellStyle name="Notitie 4 2 2 2 6" xfId="34048"/>
    <cellStyle name="Notitie 4 2 2 3" xfId="8803"/>
    <cellStyle name="Notitie 4 2 2 4" xfId="18878"/>
    <cellStyle name="Notitie 4 2 2 4 2" xfId="34049"/>
    <cellStyle name="Notitie 4 2 2 5" xfId="34050"/>
    <cellStyle name="Notitie 4 2 2 6" xfId="34051"/>
    <cellStyle name="Notitie 4 2 2 7" xfId="34052"/>
    <cellStyle name="Notitie 4 2 20" xfId="968"/>
    <cellStyle name="Notitie 4 2 20 2" xfId="6805"/>
    <cellStyle name="Notitie 4 2 20 2 2" xfId="11215"/>
    <cellStyle name="Notitie 4 2 20 2 3" xfId="18879"/>
    <cellStyle name="Notitie 4 2 20 2 3 2" xfId="34053"/>
    <cellStyle name="Notitie 4 2 20 2 4" xfId="34054"/>
    <cellStyle name="Notitie 4 2 20 2 5" xfId="34055"/>
    <cellStyle name="Notitie 4 2 20 2 6" xfId="34056"/>
    <cellStyle name="Notitie 4 2 20 3" xfId="8804"/>
    <cellStyle name="Notitie 4 2 20 4" xfId="18880"/>
    <cellStyle name="Notitie 4 2 20 4 2" xfId="34057"/>
    <cellStyle name="Notitie 4 2 20 5" xfId="34058"/>
    <cellStyle name="Notitie 4 2 20 6" xfId="34059"/>
    <cellStyle name="Notitie 4 2 20 7" xfId="34060"/>
    <cellStyle name="Notitie 4 2 21" xfId="969"/>
    <cellStyle name="Notitie 4 2 21 2" xfId="6806"/>
    <cellStyle name="Notitie 4 2 21 2 2" xfId="11216"/>
    <cellStyle name="Notitie 4 2 21 2 3" xfId="18881"/>
    <cellStyle name="Notitie 4 2 21 2 3 2" xfId="34061"/>
    <cellStyle name="Notitie 4 2 21 2 4" xfId="34062"/>
    <cellStyle name="Notitie 4 2 21 2 5" xfId="34063"/>
    <cellStyle name="Notitie 4 2 21 2 6" xfId="34064"/>
    <cellStyle name="Notitie 4 2 21 3" xfId="8805"/>
    <cellStyle name="Notitie 4 2 21 4" xfId="18882"/>
    <cellStyle name="Notitie 4 2 21 4 2" xfId="34065"/>
    <cellStyle name="Notitie 4 2 21 5" xfId="34066"/>
    <cellStyle name="Notitie 4 2 21 6" xfId="34067"/>
    <cellStyle name="Notitie 4 2 21 7" xfId="34068"/>
    <cellStyle name="Notitie 4 2 22" xfId="970"/>
    <cellStyle name="Notitie 4 2 22 2" xfId="6807"/>
    <cellStyle name="Notitie 4 2 22 2 2" xfId="11217"/>
    <cellStyle name="Notitie 4 2 22 2 3" xfId="18883"/>
    <cellStyle name="Notitie 4 2 22 2 3 2" xfId="34069"/>
    <cellStyle name="Notitie 4 2 22 2 4" xfId="34070"/>
    <cellStyle name="Notitie 4 2 22 2 5" xfId="34071"/>
    <cellStyle name="Notitie 4 2 22 2 6" xfId="34072"/>
    <cellStyle name="Notitie 4 2 22 3" xfId="8806"/>
    <cellStyle name="Notitie 4 2 22 4" xfId="18884"/>
    <cellStyle name="Notitie 4 2 22 4 2" xfId="34073"/>
    <cellStyle name="Notitie 4 2 22 5" xfId="34074"/>
    <cellStyle name="Notitie 4 2 22 6" xfId="34075"/>
    <cellStyle name="Notitie 4 2 22 7" xfId="34076"/>
    <cellStyle name="Notitie 4 2 23" xfId="971"/>
    <cellStyle name="Notitie 4 2 23 2" xfId="6808"/>
    <cellStyle name="Notitie 4 2 23 2 2" xfId="11218"/>
    <cellStyle name="Notitie 4 2 23 2 3" xfId="18885"/>
    <cellStyle name="Notitie 4 2 23 2 3 2" xfId="34077"/>
    <cellStyle name="Notitie 4 2 23 2 4" xfId="34078"/>
    <cellStyle name="Notitie 4 2 23 2 5" xfId="34079"/>
    <cellStyle name="Notitie 4 2 23 2 6" xfId="34080"/>
    <cellStyle name="Notitie 4 2 23 3" xfId="8807"/>
    <cellStyle name="Notitie 4 2 23 4" xfId="18886"/>
    <cellStyle name="Notitie 4 2 23 4 2" xfId="34081"/>
    <cellStyle name="Notitie 4 2 23 5" xfId="34082"/>
    <cellStyle name="Notitie 4 2 23 6" xfId="34083"/>
    <cellStyle name="Notitie 4 2 23 7" xfId="34084"/>
    <cellStyle name="Notitie 4 2 24" xfId="972"/>
    <cellStyle name="Notitie 4 2 24 2" xfId="6809"/>
    <cellStyle name="Notitie 4 2 24 2 2" xfId="11219"/>
    <cellStyle name="Notitie 4 2 24 2 3" xfId="18887"/>
    <cellStyle name="Notitie 4 2 24 2 3 2" xfId="34085"/>
    <cellStyle name="Notitie 4 2 24 2 4" xfId="34086"/>
    <cellStyle name="Notitie 4 2 24 2 5" xfId="34087"/>
    <cellStyle name="Notitie 4 2 24 2 6" xfId="34088"/>
    <cellStyle name="Notitie 4 2 24 3" xfId="8808"/>
    <cellStyle name="Notitie 4 2 24 4" xfId="18888"/>
    <cellStyle name="Notitie 4 2 24 4 2" xfId="34089"/>
    <cellStyle name="Notitie 4 2 24 5" xfId="34090"/>
    <cellStyle name="Notitie 4 2 24 6" xfId="34091"/>
    <cellStyle name="Notitie 4 2 24 7" xfId="34092"/>
    <cellStyle name="Notitie 4 2 25" xfId="973"/>
    <cellStyle name="Notitie 4 2 25 2" xfId="6810"/>
    <cellStyle name="Notitie 4 2 25 2 2" xfId="11220"/>
    <cellStyle name="Notitie 4 2 25 2 3" xfId="18889"/>
    <cellStyle name="Notitie 4 2 25 2 3 2" xfId="34093"/>
    <cellStyle name="Notitie 4 2 25 2 4" xfId="34094"/>
    <cellStyle name="Notitie 4 2 25 2 5" xfId="34095"/>
    <cellStyle name="Notitie 4 2 25 2 6" xfId="34096"/>
    <cellStyle name="Notitie 4 2 25 3" xfId="8809"/>
    <cellStyle name="Notitie 4 2 25 4" xfId="18890"/>
    <cellStyle name="Notitie 4 2 25 4 2" xfId="34097"/>
    <cellStyle name="Notitie 4 2 25 5" xfId="34098"/>
    <cellStyle name="Notitie 4 2 25 6" xfId="34099"/>
    <cellStyle name="Notitie 4 2 25 7" xfId="34100"/>
    <cellStyle name="Notitie 4 2 26" xfId="974"/>
    <cellStyle name="Notitie 4 2 26 2" xfId="6811"/>
    <cellStyle name="Notitie 4 2 26 2 2" xfId="11221"/>
    <cellStyle name="Notitie 4 2 26 2 3" xfId="18891"/>
    <cellStyle name="Notitie 4 2 26 2 3 2" xfId="34101"/>
    <cellStyle name="Notitie 4 2 26 2 4" xfId="34102"/>
    <cellStyle name="Notitie 4 2 26 2 5" xfId="34103"/>
    <cellStyle name="Notitie 4 2 26 2 6" xfId="34104"/>
    <cellStyle name="Notitie 4 2 26 3" xfId="8810"/>
    <cellStyle name="Notitie 4 2 26 4" xfId="18892"/>
    <cellStyle name="Notitie 4 2 26 4 2" xfId="34105"/>
    <cellStyle name="Notitie 4 2 26 5" xfId="34106"/>
    <cellStyle name="Notitie 4 2 26 6" xfId="34107"/>
    <cellStyle name="Notitie 4 2 26 7" xfId="34108"/>
    <cellStyle name="Notitie 4 2 27" xfId="975"/>
    <cellStyle name="Notitie 4 2 27 2" xfId="6812"/>
    <cellStyle name="Notitie 4 2 27 2 2" xfId="11222"/>
    <cellStyle name="Notitie 4 2 27 2 3" xfId="18893"/>
    <cellStyle name="Notitie 4 2 27 2 3 2" xfId="34109"/>
    <cellStyle name="Notitie 4 2 27 2 4" xfId="34110"/>
    <cellStyle name="Notitie 4 2 27 2 5" xfId="34111"/>
    <cellStyle name="Notitie 4 2 27 2 6" xfId="34112"/>
    <cellStyle name="Notitie 4 2 27 3" xfId="8811"/>
    <cellStyle name="Notitie 4 2 27 4" xfId="18894"/>
    <cellStyle name="Notitie 4 2 27 4 2" xfId="34113"/>
    <cellStyle name="Notitie 4 2 27 5" xfId="34114"/>
    <cellStyle name="Notitie 4 2 27 6" xfId="34115"/>
    <cellStyle name="Notitie 4 2 27 7" xfId="34116"/>
    <cellStyle name="Notitie 4 2 28" xfId="976"/>
    <cellStyle name="Notitie 4 2 28 2" xfId="6813"/>
    <cellStyle name="Notitie 4 2 28 2 2" xfId="11223"/>
    <cellStyle name="Notitie 4 2 28 2 3" xfId="18895"/>
    <cellStyle name="Notitie 4 2 28 2 3 2" xfId="34117"/>
    <cellStyle name="Notitie 4 2 28 2 4" xfId="34118"/>
    <cellStyle name="Notitie 4 2 28 2 5" xfId="34119"/>
    <cellStyle name="Notitie 4 2 28 2 6" xfId="34120"/>
    <cellStyle name="Notitie 4 2 28 3" xfId="8812"/>
    <cellStyle name="Notitie 4 2 28 4" xfId="18896"/>
    <cellStyle name="Notitie 4 2 28 4 2" xfId="34121"/>
    <cellStyle name="Notitie 4 2 28 5" xfId="34122"/>
    <cellStyle name="Notitie 4 2 28 6" xfId="34123"/>
    <cellStyle name="Notitie 4 2 28 7" xfId="34124"/>
    <cellStyle name="Notitie 4 2 29" xfId="977"/>
    <cellStyle name="Notitie 4 2 29 2" xfId="6814"/>
    <cellStyle name="Notitie 4 2 29 2 2" xfId="11224"/>
    <cellStyle name="Notitie 4 2 29 2 3" xfId="18897"/>
    <cellStyle name="Notitie 4 2 29 2 3 2" xfId="34125"/>
    <cellStyle name="Notitie 4 2 29 2 4" xfId="34126"/>
    <cellStyle name="Notitie 4 2 29 2 5" xfId="34127"/>
    <cellStyle name="Notitie 4 2 29 2 6" xfId="34128"/>
    <cellStyle name="Notitie 4 2 29 3" xfId="8813"/>
    <cellStyle name="Notitie 4 2 29 4" xfId="18898"/>
    <cellStyle name="Notitie 4 2 29 4 2" xfId="34129"/>
    <cellStyle name="Notitie 4 2 29 5" xfId="34130"/>
    <cellStyle name="Notitie 4 2 29 6" xfId="34131"/>
    <cellStyle name="Notitie 4 2 29 7" xfId="34132"/>
    <cellStyle name="Notitie 4 2 3" xfId="978"/>
    <cellStyle name="Notitie 4 2 3 2" xfId="6815"/>
    <cellStyle name="Notitie 4 2 3 2 2" xfId="11225"/>
    <cellStyle name="Notitie 4 2 3 2 3" xfId="18899"/>
    <cellStyle name="Notitie 4 2 3 2 3 2" xfId="34133"/>
    <cellStyle name="Notitie 4 2 3 2 4" xfId="34134"/>
    <cellStyle name="Notitie 4 2 3 2 5" xfId="34135"/>
    <cellStyle name="Notitie 4 2 3 2 6" xfId="34136"/>
    <cellStyle name="Notitie 4 2 3 3" xfId="8814"/>
    <cellStyle name="Notitie 4 2 3 4" xfId="18900"/>
    <cellStyle name="Notitie 4 2 3 4 2" xfId="34137"/>
    <cellStyle name="Notitie 4 2 3 5" xfId="34138"/>
    <cellStyle name="Notitie 4 2 3 6" xfId="34139"/>
    <cellStyle name="Notitie 4 2 3 7" xfId="34140"/>
    <cellStyle name="Notitie 4 2 30" xfId="979"/>
    <cellStyle name="Notitie 4 2 30 2" xfId="6816"/>
    <cellStyle name="Notitie 4 2 30 2 2" xfId="11226"/>
    <cellStyle name="Notitie 4 2 30 2 3" xfId="18901"/>
    <cellStyle name="Notitie 4 2 30 2 3 2" xfId="34141"/>
    <cellStyle name="Notitie 4 2 30 2 4" xfId="34142"/>
    <cellStyle name="Notitie 4 2 30 2 5" xfId="34143"/>
    <cellStyle name="Notitie 4 2 30 2 6" xfId="34144"/>
    <cellStyle name="Notitie 4 2 30 3" xfId="8815"/>
    <cellStyle name="Notitie 4 2 30 4" xfId="18902"/>
    <cellStyle name="Notitie 4 2 30 4 2" xfId="34145"/>
    <cellStyle name="Notitie 4 2 30 5" xfId="34146"/>
    <cellStyle name="Notitie 4 2 30 6" xfId="34147"/>
    <cellStyle name="Notitie 4 2 30 7" xfId="34148"/>
    <cellStyle name="Notitie 4 2 31" xfId="980"/>
    <cellStyle name="Notitie 4 2 31 2" xfId="6817"/>
    <cellStyle name="Notitie 4 2 31 2 2" xfId="11227"/>
    <cellStyle name="Notitie 4 2 31 2 3" xfId="18903"/>
    <cellStyle name="Notitie 4 2 31 2 3 2" xfId="34149"/>
    <cellStyle name="Notitie 4 2 31 2 4" xfId="34150"/>
    <cellStyle name="Notitie 4 2 31 2 5" xfId="34151"/>
    <cellStyle name="Notitie 4 2 31 2 6" xfId="34152"/>
    <cellStyle name="Notitie 4 2 31 3" xfId="8816"/>
    <cellStyle name="Notitie 4 2 31 4" xfId="18904"/>
    <cellStyle name="Notitie 4 2 31 4 2" xfId="34153"/>
    <cellStyle name="Notitie 4 2 31 5" xfId="34154"/>
    <cellStyle name="Notitie 4 2 31 6" xfId="34155"/>
    <cellStyle name="Notitie 4 2 31 7" xfId="34156"/>
    <cellStyle name="Notitie 4 2 32" xfId="981"/>
    <cellStyle name="Notitie 4 2 32 2" xfId="6818"/>
    <cellStyle name="Notitie 4 2 32 2 2" xfId="11228"/>
    <cellStyle name="Notitie 4 2 32 2 3" xfId="18905"/>
    <cellStyle name="Notitie 4 2 32 2 3 2" xfId="34157"/>
    <cellStyle name="Notitie 4 2 32 2 4" xfId="34158"/>
    <cellStyle name="Notitie 4 2 32 2 5" xfId="34159"/>
    <cellStyle name="Notitie 4 2 32 2 6" xfId="34160"/>
    <cellStyle name="Notitie 4 2 32 3" xfId="8817"/>
    <cellStyle name="Notitie 4 2 32 4" xfId="18906"/>
    <cellStyle name="Notitie 4 2 32 4 2" xfId="34161"/>
    <cellStyle name="Notitie 4 2 32 5" xfId="34162"/>
    <cellStyle name="Notitie 4 2 32 6" xfId="34163"/>
    <cellStyle name="Notitie 4 2 32 7" xfId="34164"/>
    <cellStyle name="Notitie 4 2 33" xfId="982"/>
    <cellStyle name="Notitie 4 2 33 2" xfId="6819"/>
    <cellStyle name="Notitie 4 2 33 2 2" xfId="11229"/>
    <cellStyle name="Notitie 4 2 33 2 3" xfId="18907"/>
    <cellStyle name="Notitie 4 2 33 2 3 2" xfId="34165"/>
    <cellStyle name="Notitie 4 2 33 2 4" xfId="34166"/>
    <cellStyle name="Notitie 4 2 33 2 5" xfId="34167"/>
    <cellStyle name="Notitie 4 2 33 2 6" xfId="34168"/>
    <cellStyle name="Notitie 4 2 33 3" xfId="8818"/>
    <cellStyle name="Notitie 4 2 33 4" xfId="18908"/>
    <cellStyle name="Notitie 4 2 33 4 2" xfId="34169"/>
    <cellStyle name="Notitie 4 2 33 5" xfId="34170"/>
    <cellStyle name="Notitie 4 2 33 6" xfId="34171"/>
    <cellStyle name="Notitie 4 2 33 7" xfId="34172"/>
    <cellStyle name="Notitie 4 2 34" xfId="983"/>
    <cellStyle name="Notitie 4 2 34 2" xfId="6820"/>
    <cellStyle name="Notitie 4 2 34 2 2" xfId="11230"/>
    <cellStyle name="Notitie 4 2 34 2 3" xfId="18909"/>
    <cellStyle name="Notitie 4 2 34 2 3 2" xfId="34173"/>
    <cellStyle name="Notitie 4 2 34 2 4" xfId="34174"/>
    <cellStyle name="Notitie 4 2 34 2 5" xfId="34175"/>
    <cellStyle name="Notitie 4 2 34 2 6" xfId="34176"/>
    <cellStyle name="Notitie 4 2 34 3" xfId="8819"/>
    <cellStyle name="Notitie 4 2 34 4" xfId="18910"/>
    <cellStyle name="Notitie 4 2 34 4 2" xfId="34177"/>
    <cellStyle name="Notitie 4 2 34 5" xfId="34178"/>
    <cellStyle name="Notitie 4 2 34 6" xfId="34179"/>
    <cellStyle name="Notitie 4 2 34 7" xfId="34180"/>
    <cellStyle name="Notitie 4 2 35" xfId="984"/>
    <cellStyle name="Notitie 4 2 35 2" xfId="6821"/>
    <cellStyle name="Notitie 4 2 35 2 2" xfId="11231"/>
    <cellStyle name="Notitie 4 2 35 2 3" xfId="18911"/>
    <cellStyle name="Notitie 4 2 35 2 3 2" xfId="34181"/>
    <cellStyle name="Notitie 4 2 35 2 4" xfId="34182"/>
    <cellStyle name="Notitie 4 2 35 2 5" xfId="34183"/>
    <cellStyle name="Notitie 4 2 35 2 6" xfId="34184"/>
    <cellStyle name="Notitie 4 2 35 3" xfId="8820"/>
    <cellStyle name="Notitie 4 2 35 4" xfId="18912"/>
    <cellStyle name="Notitie 4 2 35 4 2" xfId="34185"/>
    <cellStyle name="Notitie 4 2 35 5" xfId="34186"/>
    <cellStyle name="Notitie 4 2 35 6" xfId="34187"/>
    <cellStyle name="Notitie 4 2 35 7" xfId="34188"/>
    <cellStyle name="Notitie 4 2 36" xfId="985"/>
    <cellStyle name="Notitie 4 2 36 2" xfId="6822"/>
    <cellStyle name="Notitie 4 2 36 2 2" xfId="11232"/>
    <cellStyle name="Notitie 4 2 36 2 3" xfId="18913"/>
    <cellStyle name="Notitie 4 2 36 2 3 2" xfId="34189"/>
    <cellStyle name="Notitie 4 2 36 2 4" xfId="34190"/>
    <cellStyle name="Notitie 4 2 36 2 5" xfId="34191"/>
    <cellStyle name="Notitie 4 2 36 2 6" xfId="34192"/>
    <cellStyle name="Notitie 4 2 36 3" xfId="8821"/>
    <cellStyle name="Notitie 4 2 36 4" xfId="18914"/>
    <cellStyle name="Notitie 4 2 36 4 2" xfId="34193"/>
    <cellStyle name="Notitie 4 2 36 5" xfId="34194"/>
    <cellStyle name="Notitie 4 2 36 6" xfId="34195"/>
    <cellStyle name="Notitie 4 2 36 7" xfId="34196"/>
    <cellStyle name="Notitie 4 2 37" xfId="986"/>
    <cellStyle name="Notitie 4 2 37 2" xfId="6823"/>
    <cellStyle name="Notitie 4 2 37 2 2" xfId="11233"/>
    <cellStyle name="Notitie 4 2 37 2 3" xfId="18915"/>
    <cellStyle name="Notitie 4 2 37 2 3 2" xfId="34197"/>
    <cellStyle name="Notitie 4 2 37 2 4" xfId="34198"/>
    <cellStyle name="Notitie 4 2 37 2 5" xfId="34199"/>
    <cellStyle name="Notitie 4 2 37 2 6" xfId="34200"/>
    <cellStyle name="Notitie 4 2 37 3" xfId="8822"/>
    <cellStyle name="Notitie 4 2 37 4" xfId="18916"/>
    <cellStyle name="Notitie 4 2 37 4 2" xfId="34201"/>
    <cellStyle name="Notitie 4 2 37 5" xfId="34202"/>
    <cellStyle name="Notitie 4 2 37 6" xfId="34203"/>
    <cellStyle name="Notitie 4 2 37 7" xfId="34204"/>
    <cellStyle name="Notitie 4 2 38" xfId="987"/>
    <cellStyle name="Notitie 4 2 38 2" xfId="6824"/>
    <cellStyle name="Notitie 4 2 38 2 2" xfId="11234"/>
    <cellStyle name="Notitie 4 2 38 2 3" xfId="18917"/>
    <cellStyle name="Notitie 4 2 38 2 3 2" xfId="34205"/>
    <cellStyle name="Notitie 4 2 38 2 4" xfId="34206"/>
    <cellStyle name="Notitie 4 2 38 2 5" xfId="34207"/>
    <cellStyle name="Notitie 4 2 38 2 6" xfId="34208"/>
    <cellStyle name="Notitie 4 2 38 3" xfId="8823"/>
    <cellStyle name="Notitie 4 2 38 4" xfId="18918"/>
    <cellStyle name="Notitie 4 2 38 4 2" xfId="34209"/>
    <cellStyle name="Notitie 4 2 38 5" xfId="34210"/>
    <cellStyle name="Notitie 4 2 38 6" xfId="34211"/>
    <cellStyle name="Notitie 4 2 38 7" xfId="34212"/>
    <cellStyle name="Notitie 4 2 39" xfId="988"/>
    <cellStyle name="Notitie 4 2 39 2" xfId="6825"/>
    <cellStyle name="Notitie 4 2 39 2 2" xfId="11235"/>
    <cellStyle name="Notitie 4 2 39 2 3" xfId="18919"/>
    <cellStyle name="Notitie 4 2 39 2 3 2" xfId="34213"/>
    <cellStyle name="Notitie 4 2 39 2 4" xfId="34214"/>
    <cellStyle name="Notitie 4 2 39 2 5" xfId="34215"/>
    <cellStyle name="Notitie 4 2 39 2 6" xfId="34216"/>
    <cellStyle name="Notitie 4 2 39 3" xfId="8824"/>
    <cellStyle name="Notitie 4 2 39 4" xfId="18920"/>
    <cellStyle name="Notitie 4 2 39 4 2" xfId="34217"/>
    <cellStyle name="Notitie 4 2 39 5" xfId="34218"/>
    <cellStyle name="Notitie 4 2 39 6" xfId="34219"/>
    <cellStyle name="Notitie 4 2 39 7" xfId="34220"/>
    <cellStyle name="Notitie 4 2 4" xfId="989"/>
    <cellStyle name="Notitie 4 2 4 2" xfId="6826"/>
    <cellStyle name="Notitie 4 2 4 2 2" xfId="11236"/>
    <cellStyle name="Notitie 4 2 4 2 3" xfId="18921"/>
    <cellStyle name="Notitie 4 2 4 2 3 2" xfId="34221"/>
    <cellStyle name="Notitie 4 2 4 2 4" xfId="34222"/>
    <cellStyle name="Notitie 4 2 4 2 5" xfId="34223"/>
    <cellStyle name="Notitie 4 2 4 2 6" xfId="34224"/>
    <cellStyle name="Notitie 4 2 4 3" xfId="8825"/>
    <cellStyle name="Notitie 4 2 4 4" xfId="18922"/>
    <cellStyle name="Notitie 4 2 4 4 2" xfId="34225"/>
    <cellStyle name="Notitie 4 2 4 5" xfId="34226"/>
    <cellStyle name="Notitie 4 2 4 6" xfId="34227"/>
    <cellStyle name="Notitie 4 2 4 7" xfId="34228"/>
    <cellStyle name="Notitie 4 2 40" xfId="990"/>
    <cellStyle name="Notitie 4 2 40 2" xfId="6827"/>
    <cellStyle name="Notitie 4 2 40 2 2" xfId="11237"/>
    <cellStyle name="Notitie 4 2 40 2 3" xfId="18923"/>
    <cellStyle name="Notitie 4 2 40 2 3 2" xfId="34229"/>
    <cellStyle name="Notitie 4 2 40 2 4" xfId="34230"/>
    <cellStyle name="Notitie 4 2 40 2 5" xfId="34231"/>
    <cellStyle name="Notitie 4 2 40 2 6" xfId="34232"/>
    <cellStyle name="Notitie 4 2 40 3" xfId="8826"/>
    <cellStyle name="Notitie 4 2 40 4" xfId="18924"/>
    <cellStyle name="Notitie 4 2 40 4 2" xfId="34233"/>
    <cellStyle name="Notitie 4 2 40 5" xfId="34234"/>
    <cellStyle name="Notitie 4 2 40 6" xfId="34235"/>
    <cellStyle name="Notitie 4 2 40 7" xfId="34236"/>
    <cellStyle name="Notitie 4 2 41" xfId="991"/>
    <cellStyle name="Notitie 4 2 41 2" xfId="6828"/>
    <cellStyle name="Notitie 4 2 41 2 2" xfId="11238"/>
    <cellStyle name="Notitie 4 2 41 2 3" xfId="18925"/>
    <cellStyle name="Notitie 4 2 41 2 3 2" xfId="34237"/>
    <cellStyle name="Notitie 4 2 41 2 4" xfId="34238"/>
    <cellStyle name="Notitie 4 2 41 2 5" xfId="34239"/>
    <cellStyle name="Notitie 4 2 41 2 6" xfId="34240"/>
    <cellStyle name="Notitie 4 2 41 3" xfId="8827"/>
    <cellStyle name="Notitie 4 2 41 4" xfId="18926"/>
    <cellStyle name="Notitie 4 2 41 4 2" xfId="34241"/>
    <cellStyle name="Notitie 4 2 41 5" xfId="34242"/>
    <cellStyle name="Notitie 4 2 41 6" xfId="34243"/>
    <cellStyle name="Notitie 4 2 41 7" xfId="34244"/>
    <cellStyle name="Notitie 4 2 42" xfId="992"/>
    <cellStyle name="Notitie 4 2 42 2" xfId="6829"/>
    <cellStyle name="Notitie 4 2 42 2 2" xfId="11239"/>
    <cellStyle name="Notitie 4 2 42 2 3" xfId="18927"/>
    <cellStyle name="Notitie 4 2 42 2 3 2" xfId="34245"/>
    <cellStyle name="Notitie 4 2 42 2 4" xfId="34246"/>
    <cellStyle name="Notitie 4 2 42 2 5" xfId="34247"/>
    <cellStyle name="Notitie 4 2 42 2 6" xfId="34248"/>
    <cellStyle name="Notitie 4 2 42 3" xfId="8828"/>
    <cellStyle name="Notitie 4 2 42 4" xfId="18928"/>
    <cellStyle name="Notitie 4 2 42 4 2" xfId="34249"/>
    <cellStyle name="Notitie 4 2 42 5" xfId="34250"/>
    <cellStyle name="Notitie 4 2 42 6" xfId="34251"/>
    <cellStyle name="Notitie 4 2 42 7" xfId="34252"/>
    <cellStyle name="Notitie 4 2 43" xfId="993"/>
    <cellStyle name="Notitie 4 2 43 2" xfId="6830"/>
    <cellStyle name="Notitie 4 2 43 2 2" xfId="11240"/>
    <cellStyle name="Notitie 4 2 43 2 3" xfId="18929"/>
    <cellStyle name="Notitie 4 2 43 2 3 2" xfId="34253"/>
    <cellStyle name="Notitie 4 2 43 2 4" xfId="34254"/>
    <cellStyle name="Notitie 4 2 43 2 5" xfId="34255"/>
    <cellStyle name="Notitie 4 2 43 2 6" xfId="34256"/>
    <cellStyle name="Notitie 4 2 43 3" xfId="8829"/>
    <cellStyle name="Notitie 4 2 43 4" xfId="18930"/>
    <cellStyle name="Notitie 4 2 43 4 2" xfId="34257"/>
    <cellStyle name="Notitie 4 2 43 5" xfId="34258"/>
    <cellStyle name="Notitie 4 2 43 6" xfId="34259"/>
    <cellStyle name="Notitie 4 2 43 7" xfId="34260"/>
    <cellStyle name="Notitie 4 2 44" xfId="994"/>
    <cellStyle name="Notitie 4 2 44 2" xfId="6831"/>
    <cellStyle name="Notitie 4 2 44 2 2" xfId="11241"/>
    <cellStyle name="Notitie 4 2 44 2 3" xfId="18931"/>
    <cellStyle name="Notitie 4 2 44 2 3 2" xfId="34261"/>
    <cellStyle name="Notitie 4 2 44 2 4" xfId="34262"/>
    <cellStyle name="Notitie 4 2 44 2 5" xfId="34263"/>
    <cellStyle name="Notitie 4 2 44 2 6" xfId="34264"/>
    <cellStyle name="Notitie 4 2 44 3" xfId="8830"/>
    <cellStyle name="Notitie 4 2 44 4" xfId="18932"/>
    <cellStyle name="Notitie 4 2 44 4 2" xfId="34265"/>
    <cellStyle name="Notitie 4 2 44 5" xfId="34266"/>
    <cellStyle name="Notitie 4 2 44 6" xfId="34267"/>
    <cellStyle name="Notitie 4 2 44 7" xfId="34268"/>
    <cellStyle name="Notitie 4 2 45" xfId="995"/>
    <cellStyle name="Notitie 4 2 45 2" xfId="6832"/>
    <cellStyle name="Notitie 4 2 45 2 2" xfId="11242"/>
    <cellStyle name="Notitie 4 2 45 2 3" xfId="18933"/>
    <cellStyle name="Notitie 4 2 45 2 3 2" xfId="34269"/>
    <cellStyle name="Notitie 4 2 45 2 4" xfId="34270"/>
    <cellStyle name="Notitie 4 2 45 2 5" xfId="34271"/>
    <cellStyle name="Notitie 4 2 45 2 6" xfId="34272"/>
    <cellStyle name="Notitie 4 2 45 3" xfId="8831"/>
    <cellStyle name="Notitie 4 2 45 4" xfId="18934"/>
    <cellStyle name="Notitie 4 2 45 4 2" xfId="34273"/>
    <cellStyle name="Notitie 4 2 45 5" xfId="34274"/>
    <cellStyle name="Notitie 4 2 45 6" xfId="34275"/>
    <cellStyle name="Notitie 4 2 45 7" xfId="34276"/>
    <cellStyle name="Notitie 4 2 46" xfId="996"/>
    <cellStyle name="Notitie 4 2 46 2" xfId="6833"/>
    <cellStyle name="Notitie 4 2 46 2 2" xfId="11243"/>
    <cellStyle name="Notitie 4 2 46 2 3" xfId="18935"/>
    <cellStyle name="Notitie 4 2 46 2 3 2" xfId="34277"/>
    <cellStyle name="Notitie 4 2 46 2 4" xfId="34278"/>
    <cellStyle name="Notitie 4 2 46 2 5" xfId="34279"/>
    <cellStyle name="Notitie 4 2 46 2 6" xfId="34280"/>
    <cellStyle name="Notitie 4 2 46 3" xfId="8832"/>
    <cellStyle name="Notitie 4 2 46 4" xfId="18936"/>
    <cellStyle name="Notitie 4 2 46 4 2" xfId="34281"/>
    <cellStyle name="Notitie 4 2 46 5" xfId="34282"/>
    <cellStyle name="Notitie 4 2 46 6" xfId="34283"/>
    <cellStyle name="Notitie 4 2 46 7" xfId="34284"/>
    <cellStyle name="Notitie 4 2 47" xfId="997"/>
    <cellStyle name="Notitie 4 2 47 2" xfId="6834"/>
    <cellStyle name="Notitie 4 2 47 2 2" xfId="11244"/>
    <cellStyle name="Notitie 4 2 47 2 3" xfId="18937"/>
    <cellStyle name="Notitie 4 2 47 2 3 2" xfId="34285"/>
    <cellStyle name="Notitie 4 2 47 2 4" xfId="34286"/>
    <cellStyle name="Notitie 4 2 47 2 5" xfId="34287"/>
    <cellStyle name="Notitie 4 2 47 2 6" xfId="34288"/>
    <cellStyle name="Notitie 4 2 47 3" xfId="8833"/>
    <cellStyle name="Notitie 4 2 47 4" xfId="18938"/>
    <cellStyle name="Notitie 4 2 47 4 2" xfId="34289"/>
    <cellStyle name="Notitie 4 2 47 5" xfId="34290"/>
    <cellStyle name="Notitie 4 2 47 6" xfId="34291"/>
    <cellStyle name="Notitie 4 2 47 7" xfId="34292"/>
    <cellStyle name="Notitie 4 2 48" xfId="998"/>
    <cellStyle name="Notitie 4 2 48 2" xfId="6835"/>
    <cellStyle name="Notitie 4 2 48 2 2" xfId="11245"/>
    <cellStyle name="Notitie 4 2 48 2 3" xfId="18939"/>
    <cellStyle name="Notitie 4 2 48 2 3 2" xfId="34293"/>
    <cellStyle name="Notitie 4 2 48 2 4" xfId="34294"/>
    <cellStyle name="Notitie 4 2 48 2 5" xfId="34295"/>
    <cellStyle name="Notitie 4 2 48 2 6" xfId="34296"/>
    <cellStyle name="Notitie 4 2 48 3" xfId="8834"/>
    <cellStyle name="Notitie 4 2 48 4" xfId="18940"/>
    <cellStyle name="Notitie 4 2 48 4 2" xfId="34297"/>
    <cellStyle name="Notitie 4 2 48 5" xfId="34298"/>
    <cellStyle name="Notitie 4 2 48 6" xfId="34299"/>
    <cellStyle name="Notitie 4 2 48 7" xfId="34300"/>
    <cellStyle name="Notitie 4 2 49" xfId="999"/>
    <cellStyle name="Notitie 4 2 49 2" xfId="6836"/>
    <cellStyle name="Notitie 4 2 49 2 2" xfId="11246"/>
    <cellStyle name="Notitie 4 2 49 2 3" xfId="18941"/>
    <cellStyle name="Notitie 4 2 49 2 3 2" xfId="34301"/>
    <cellStyle name="Notitie 4 2 49 2 4" xfId="34302"/>
    <cellStyle name="Notitie 4 2 49 2 5" xfId="34303"/>
    <cellStyle name="Notitie 4 2 49 2 6" xfId="34304"/>
    <cellStyle name="Notitie 4 2 49 3" xfId="8835"/>
    <cellStyle name="Notitie 4 2 49 4" xfId="18942"/>
    <cellStyle name="Notitie 4 2 49 4 2" xfId="34305"/>
    <cellStyle name="Notitie 4 2 49 5" xfId="34306"/>
    <cellStyle name="Notitie 4 2 49 6" xfId="34307"/>
    <cellStyle name="Notitie 4 2 49 7" xfId="34308"/>
    <cellStyle name="Notitie 4 2 5" xfId="1000"/>
    <cellStyle name="Notitie 4 2 5 2" xfId="6837"/>
    <cellStyle name="Notitie 4 2 5 2 2" xfId="11247"/>
    <cellStyle name="Notitie 4 2 5 2 3" xfId="18943"/>
    <cellStyle name="Notitie 4 2 5 2 3 2" xfId="34309"/>
    <cellStyle name="Notitie 4 2 5 2 4" xfId="34310"/>
    <cellStyle name="Notitie 4 2 5 2 5" xfId="34311"/>
    <cellStyle name="Notitie 4 2 5 2 6" xfId="34312"/>
    <cellStyle name="Notitie 4 2 5 3" xfId="8836"/>
    <cellStyle name="Notitie 4 2 5 4" xfId="18944"/>
    <cellStyle name="Notitie 4 2 5 4 2" xfId="34313"/>
    <cellStyle name="Notitie 4 2 5 5" xfId="34314"/>
    <cellStyle name="Notitie 4 2 5 6" xfId="34315"/>
    <cellStyle name="Notitie 4 2 5 7" xfId="34316"/>
    <cellStyle name="Notitie 4 2 50" xfId="1001"/>
    <cellStyle name="Notitie 4 2 50 2" xfId="6838"/>
    <cellStyle name="Notitie 4 2 50 2 2" xfId="11248"/>
    <cellStyle name="Notitie 4 2 50 2 3" xfId="18945"/>
    <cellStyle name="Notitie 4 2 50 2 3 2" xfId="34317"/>
    <cellStyle name="Notitie 4 2 50 2 4" xfId="34318"/>
    <cellStyle name="Notitie 4 2 50 2 5" xfId="34319"/>
    <cellStyle name="Notitie 4 2 50 2 6" xfId="34320"/>
    <cellStyle name="Notitie 4 2 50 3" xfId="8837"/>
    <cellStyle name="Notitie 4 2 50 4" xfId="18946"/>
    <cellStyle name="Notitie 4 2 50 4 2" xfId="34321"/>
    <cellStyle name="Notitie 4 2 50 5" xfId="34322"/>
    <cellStyle name="Notitie 4 2 50 6" xfId="34323"/>
    <cellStyle name="Notitie 4 2 50 7" xfId="34324"/>
    <cellStyle name="Notitie 4 2 51" xfId="1002"/>
    <cellStyle name="Notitie 4 2 51 2" xfId="6839"/>
    <cellStyle name="Notitie 4 2 51 2 2" xfId="11249"/>
    <cellStyle name="Notitie 4 2 51 2 3" xfId="18947"/>
    <cellStyle name="Notitie 4 2 51 2 3 2" xfId="34325"/>
    <cellStyle name="Notitie 4 2 51 2 4" xfId="34326"/>
    <cellStyle name="Notitie 4 2 51 2 5" xfId="34327"/>
    <cellStyle name="Notitie 4 2 51 2 6" xfId="34328"/>
    <cellStyle name="Notitie 4 2 51 3" xfId="8838"/>
    <cellStyle name="Notitie 4 2 51 4" xfId="18948"/>
    <cellStyle name="Notitie 4 2 51 4 2" xfId="34329"/>
    <cellStyle name="Notitie 4 2 51 5" xfId="34330"/>
    <cellStyle name="Notitie 4 2 51 6" xfId="34331"/>
    <cellStyle name="Notitie 4 2 51 7" xfId="34332"/>
    <cellStyle name="Notitie 4 2 52" xfId="1003"/>
    <cellStyle name="Notitie 4 2 52 2" xfId="6840"/>
    <cellStyle name="Notitie 4 2 52 2 2" xfId="11250"/>
    <cellStyle name="Notitie 4 2 52 2 3" xfId="18949"/>
    <cellStyle name="Notitie 4 2 52 2 3 2" xfId="34333"/>
    <cellStyle name="Notitie 4 2 52 2 4" xfId="34334"/>
    <cellStyle name="Notitie 4 2 52 2 5" xfId="34335"/>
    <cellStyle name="Notitie 4 2 52 2 6" xfId="34336"/>
    <cellStyle name="Notitie 4 2 52 3" xfId="8839"/>
    <cellStyle name="Notitie 4 2 52 4" xfId="18950"/>
    <cellStyle name="Notitie 4 2 52 4 2" xfId="34337"/>
    <cellStyle name="Notitie 4 2 52 5" xfId="34338"/>
    <cellStyle name="Notitie 4 2 52 6" xfId="34339"/>
    <cellStyle name="Notitie 4 2 52 7" xfId="34340"/>
    <cellStyle name="Notitie 4 2 53" xfId="1004"/>
    <cellStyle name="Notitie 4 2 53 2" xfId="6841"/>
    <cellStyle name="Notitie 4 2 53 2 2" xfId="11251"/>
    <cellStyle name="Notitie 4 2 53 2 3" xfId="18951"/>
    <cellStyle name="Notitie 4 2 53 2 3 2" xfId="34341"/>
    <cellStyle name="Notitie 4 2 53 2 4" xfId="34342"/>
    <cellStyle name="Notitie 4 2 53 2 5" xfId="34343"/>
    <cellStyle name="Notitie 4 2 53 2 6" xfId="34344"/>
    <cellStyle name="Notitie 4 2 53 3" xfId="8840"/>
    <cellStyle name="Notitie 4 2 53 4" xfId="18952"/>
    <cellStyle name="Notitie 4 2 53 4 2" xfId="34345"/>
    <cellStyle name="Notitie 4 2 53 5" xfId="34346"/>
    <cellStyle name="Notitie 4 2 53 6" xfId="34347"/>
    <cellStyle name="Notitie 4 2 53 7" xfId="34348"/>
    <cellStyle name="Notitie 4 2 54" xfId="1005"/>
    <cellStyle name="Notitie 4 2 54 2" xfId="6842"/>
    <cellStyle name="Notitie 4 2 54 2 2" xfId="11252"/>
    <cellStyle name="Notitie 4 2 54 2 3" xfId="18953"/>
    <cellStyle name="Notitie 4 2 54 2 3 2" xfId="34349"/>
    <cellStyle name="Notitie 4 2 54 2 4" xfId="34350"/>
    <cellStyle name="Notitie 4 2 54 2 5" xfId="34351"/>
    <cellStyle name="Notitie 4 2 54 2 6" xfId="34352"/>
    <cellStyle name="Notitie 4 2 54 3" xfId="8841"/>
    <cellStyle name="Notitie 4 2 54 4" xfId="18954"/>
    <cellStyle name="Notitie 4 2 54 4 2" xfId="34353"/>
    <cellStyle name="Notitie 4 2 54 5" xfId="34354"/>
    <cellStyle name="Notitie 4 2 54 6" xfId="34355"/>
    <cellStyle name="Notitie 4 2 54 7" xfId="34356"/>
    <cellStyle name="Notitie 4 2 55" xfId="1006"/>
    <cellStyle name="Notitie 4 2 55 2" xfId="6843"/>
    <cellStyle name="Notitie 4 2 55 2 2" xfId="11253"/>
    <cellStyle name="Notitie 4 2 55 2 3" xfId="18955"/>
    <cellStyle name="Notitie 4 2 55 2 3 2" xfId="34357"/>
    <cellStyle name="Notitie 4 2 55 2 4" xfId="34358"/>
    <cellStyle name="Notitie 4 2 55 2 5" xfId="34359"/>
    <cellStyle name="Notitie 4 2 55 2 6" xfId="34360"/>
    <cellStyle name="Notitie 4 2 55 3" xfId="8842"/>
    <cellStyle name="Notitie 4 2 55 4" xfId="18956"/>
    <cellStyle name="Notitie 4 2 55 4 2" xfId="34361"/>
    <cellStyle name="Notitie 4 2 55 5" xfId="34362"/>
    <cellStyle name="Notitie 4 2 55 6" xfId="34363"/>
    <cellStyle name="Notitie 4 2 55 7" xfId="34364"/>
    <cellStyle name="Notitie 4 2 56" xfId="1007"/>
    <cellStyle name="Notitie 4 2 56 2" xfId="6844"/>
    <cellStyle name="Notitie 4 2 56 2 2" xfId="11254"/>
    <cellStyle name="Notitie 4 2 56 2 3" xfId="18957"/>
    <cellStyle name="Notitie 4 2 56 2 3 2" xfId="34365"/>
    <cellStyle name="Notitie 4 2 56 2 4" xfId="34366"/>
    <cellStyle name="Notitie 4 2 56 2 5" xfId="34367"/>
    <cellStyle name="Notitie 4 2 56 2 6" xfId="34368"/>
    <cellStyle name="Notitie 4 2 56 3" xfId="8843"/>
    <cellStyle name="Notitie 4 2 56 4" xfId="18958"/>
    <cellStyle name="Notitie 4 2 56 4 2" xfId="34369"/>
    <cellStyle name="Notitie 4 2 56 5" xfId="34370"/>
    <cellStyle name="Notitie 4 2 56 6" xfId="34371"/>
    <cellStyle name="Notitie 4 2 56 7" xfId="34372"/>
    <cellStyle name="Notitie 4 2 57" xfId="1008"/>
    <cellStyle name="Notitie 4 2 57 2" xfId="6845"/>
    <cellStyle name="Notitie 4 2 57 2 2" xfId="11255"/>
    <cellStyle name="Notitie 4 2 57 2 3" xfId="18959"/>
    <cellStyle name="Notitie 4 2 57 2 3 2" xfId="34373"/>
    <cellStyle name="Notitie 4 2 57 2 4" xfId="34374"/>
    <cellStyle name="Notitie 4 2 57 2 5" xfId="34375"/>
    <cellStyle name="Notitie 4 2 57 2 6" xfId="34376"/>
    <cellStyle name="Notitie 4 2 57 3" xfId="8844"/>
    <cellStyle name="Notitie 4 2 57 4" xfId="18960"/>
    <cellStyle name="Notitie 4 2 57 4 2" xfId="34377"/>
    <cellStyle name="Notitie 4 2 57 5" xfId="34378"/>
    <cellStyle name="Notitie 4 2 57 6" xfId="34379"/>
    <cellStyle name="Notitie 4 2 57 7" xfId="34380"/>
    <cellStyle name="Notitie 4 2 58" xfId="1009"/>
    <cellStyle name="Notitie 4 2 58 2" xfId="6846"/>
    <cellStyle name="Notitie 4 2 58 2 2" xfId="11256"/>
    <cellStyle name="Notitie 4 2 58 2 3" xfId="18961"/>
    <cellStyle name="Notitie 4 2 58 2 3 2" xfId="34381"/>
    <cellStyle name="Notitie 4 2 58 2 4" xfId="34382"/>
    <cellStyle name="Notitie 4 2 58 2 5" xfId="34383"/>
    <cellStyle name="Notitie 4 2 58 2 6" xfId="34384"/>
    <cellStyle name="Notitie 4 2 58 3" xfId="8845"/>
    <cellStyle name="Notitie 4 2 58 4" xfId="18962"/>
    <cellStyle name="Notitie 4 2 58 4 2" xfId="34385"/>
    <cellStyle name="Notitie 4 2 58 5" xfId="34386"/>
    <cellStyle name="Notitie 4 2 58 6" xfId="34387"/>
    <cellStyle name="Notitie 4 2 58 7" xfId="34388"/>
    <cellStyle name="Notitie 4 2 59" xfId="1010"/>
    <cellStyle name="Notitie 4 2 59 2" xfId="6847"/>
    <cellStyle name="Notitie 4 2 59 2 2" xfId="11257"/>
    <cellStyle name="Notitie 4 2 59 2 3" xfId="18963"/>
    <cellStyle name="Notitie 4 2 59 2 3 2" xfId="34389"/>
    <cellStyle name="Notitie 4 2 59 2 4" xfId="34390"/>
    <cellStyle name="Notitie 4 2 59 2 5" xfId="34391"/>
    <cellStyle name="Notitie 4 2 59 2 6" xfId="34392"/>
    <cellStyle name="Notitie 4 2 59 3" xfId="8846"/>
    <cellStyle name="Notitie 4 2 59 4" xfId="18964"/>
    <cellStyle name="Notitie 4 2 59 4 2" xfId="34393"/>
    <cellStyle name="Notitie 4 2 59 5" xfId="34394"/>
    <cellStyle name="Notitie 4 2 59 6" xfId="34395"/>
    <cellStyle name="Notitie 4 2 59 7" xfId="34396"/>
    <cellStyle name="Notitie 4 2 6" xfId="1011"/>
    <cellStyle name="Notitie 4 2 6 2" xfId="6848"/>
    <cellStyle name="Notitie 4 2 6 2 2" xfId="11258"/>
    <cellStyle name="Notitie 4 2 6 2 3" xfId="18965"/>
    <cellStyle name="Notitie 4 2 6 2 3 2" xfId="34397"/>
    <cellStyle name="Notitie 4 2 6 2 4" xfId="34398"/>
    <cellStyle name="Notitie 4 2 6 2 5" xfId="34399"/>
    <cellStyle name="Notitie 4 2 6 2 6" xfId="34400"/>
    <cellStyle name="Notitie 4 2 6 3" xfId="8847"/>
    <cellStyle name="Notitie 4 2 6 4" xfId="18966"/>
    <cellStyle name="Notitie 4 2 6 4 2" xfId="34401"/>
    <cellStyle name="Notitie 4 2 6 5" xfId="34402"/>
    <cellStyle name="Notitie 4 2 6 6" xfId="34403"/>
    <cellStyle name="Notitie 4 2 6 7" xfId="34404"/>
    <cellStyle name="Notitie 4 2 60" xfId="1012"/>
    <cellStyle name="Notitie 4 2 60 2" xfId="6849"/>
    <cellStyle name="Notitie 4 2 60 2 2" xfId="11259"/>
    <cellStyle name="Notitie 4 2 60 2 3" xfId="18967"/>
    <cellStyle name="Notitie 4 2 60 2 3 2" xfId="34405"/>
    <cellStyle name="Notitie 4 2 60 2 4" xfId="34406"/>
    <cellStyle name="Notitie 4 2 60 2 5" xfId="34407"/>
    <cellStyle name="Notitie 4 2 60 2 6" xfId="34408"/>
    <cellStyle name="Notitie 4 2 60 3" xfId="8848"/>
    <cellStyle name="Notitie 4 2 60 4" xfId="18968"/>
    <cellStyle name="Notitie 4 2 60 4 2" xfId="34409"/>
    <cellStyle name="Notitie 4 2 60 5" xfId="34410"/>
    <cellStyle name="Notitie 4 2 60 6" xfId="34411"/>
    <cellStyle name="Notitie 4 2 60 7" xfId="34412"/>
    <cellStyle name="Notitie 4 2 61" xfId="1013"/>
    <cellStyle name="Notitie 4 2 61 2" xfId="6850"/>
    <cellStyle name="Notitie 4 2 61 2 2" xfId="11260"/>
    <cellStyle name="Notitie 4 2 61 2 3" xfId="18969"/>
    <cellStyle name="Notitie 4 2 61 2 3 2" xfId="34413"/>
    <cellStyle name="Notitie 4 2 61 2 4" xfId="34414"/>
    <cellStyle name="Notitie 4 2 61 2 5" xfId="34415"/>
    <cellStyle name="Notitie 4 2 61 2 6" xfId="34416"/>
    <cellStyle name="Notitie 4 2 61 3" xfId="8849"/>
    <cellStyle name="Notitie 4 2 61 4" xfId="18970"/>
    <cellStyle name="Notitie 4 2 61 4 2" xfId="34417"/>
    <cellStyle name="Notitie 4 2 61 5" xfId="34418"/>
    <cellStyle name="Notitie 4 2 61 6" xfId="34419"/>
    <cellStyle name="Notitie 4 2 61 7" xfId="34420"/>
    <cellStyle name="Notitie 4 2 62" xfId="1014"/>
    <cellStyle name="Notitie 4 2 62 2" xfId="6851"/>
    <cellStyle name="Notitie 4 2 62 2 2" xfId="11261"/>
    <cellStyle name="Notitie 4 2 62 2 3" xfId="18971"/>
    <cellStyle name="Notitie 4 2 62 2 3 2" xfId="34421"/>
    <cellStyle name="Notitie 4 2 62 2 4" xfId="34422"/>
    <cellStyle name="Notitie 4 2 62 2 5" xfId="34423"/>
    <cellStyle name="Notitie 4 2 62 2 6" xfId="34424"/>
    <cellStyle name="Notitie 4 2 62 3" xfId="8850"/>
    <cellStyle name="Notitie 4 2 62 4" xfId="18972"/>
    <cellStyle name="Notitie 4 2 62 4 2" xfId="34425"/>
    <cellStyle name="Notitie 4 2 62 5" xfId="34426"/>
    <cellStyle name="Notitie 4 2 62 6" xfId="34427"/>
    <cellStyle name="Notitie 4 2 62 7" xfId="34428"/>
    <cellStyle name="Notitie 4 2 63" xfId="1015"/>
    <cellStyle name="Notitie 4 2 63 2" xfId="6852"/>
    <cellStyle name="Notitie 4 2 63 2 2" xfId="11262"/>
    <cellStyle name="Notitie 4 2 63 2 3" xfId="18973"/>
    <cellStyle name="Notitie 4 2 63 2 3 2" xfId="34429"/>
    <cellStyle name="Notitie 4 2 63 2 4" xfId="34430"/>
    <cellStyle name="Notitie 4 2 63 2 5" xfId="34431"/>
    <cellStyle name="Notitie 4 2 63 2 6" xfId="34432"/>
    <cellStyle name="Notitie 4 2 63 3" xfId="8851"/>
    <cellStyle name="Notitie 4 2 63 4" xfId="18974"/>
    <cellStyle name="Notitie 4 2 63 4 2" xfId="34433"/>
    <cellStyle name="Notitie 4 2 63 5" xfId="34434"/>
    <cellStyle name="Notitie 4 2 63 6" xfId="34435"/>
    <cellStyle name="Notitie 4 2 63 7" xfId="34436"/>
    <cellStyle name="Notitie 4 2 64" xfId="1016"/>
    <cellStyle name="Notitie 4 2 64 2" xfId="6853"/>
    <cellStyle name="Notitie 4 2 64 2 2" xfId="11263"/>
    <cellStyle name="Notitie 4 2 64 2 3" xfId="18975"/>
    <cellStyle name="Notitie 4 2 64 2 3 2" xfId="34437"/>
    <cellStyle name="Notitie 4 2 64 2 4" xfId="34438"/>
    <cellStyle name="Notitie 4 2 64 2 5" xfId="34439"/>
    <cellStyle name="Notitie 4 2 64 2 6" xfId="34440"/>
    <cellStyle name="Notitie 4 2 64 3" xfId="8852"/>
    <cellStyle name="Notitie 4 2 64 4" xfId="18976"/>
    <cellStyle name="Notitie 4 2 64 4 2" xfId="34441"/>
    <cellStyle name="Notitie 4 2 64 5" xfId="34442"/>
    <cellStyle name="Notitie 4 2 64 6" xfId="34443"/>
    <cellStyle name="Notitie 4 2 64 7" xfId="34444"/>
    <cellStyle name="Notitie 4 2 65" xfId="1017"/>
    <cellStyle name="Notitie 4 2 65 2" xfId="6854"/>
    <cellStyle name="Notitie 4 2 65 2 2" xfId="11264"/>
    <cellStyle name="Notitie 4 2 65 2 3" xfId="18977"/>
    <cellStyle name="Notitie 4 2 65 2 3 2" xfId="34445"/>
    <cellStyle name="Notitie 4 2 65 2 4" xfId="34446"/>
    <cellStyle name="Notitie 4 2 65 2 5" xfId="34447"/>
    <cellStyle name="Notitie 4 2 65 2 6" xfId="34448"/>
    <cellStyle name="Notitie 4 2 65 3" xfId="8853"/>
    <cellStyle name="Notitie 4 2 65 4" xfId="18978"/>
    <cellStyle name="Notitie 4 2 65 4 2" xfId="34449"/>
    <cellStyle name="Notitie 4 2 65 5" xfId="34450"/>
    <cellStyle name="Notitie 4 2 65 6" xfId="34451"/>
    <cellStyle name="Notitie 4 2 65 7" xfId="34452"/>
    <cellStyle name="Notitie 4 2 66" xfId="1018"/>
    <cellStyle name="Notitie 4 2 66 2" xfId="6855"/>
    <cellStyle name="Notitie 4 2 66 2 2" xfId="11265"/>
    <cellStyle name="Notitie 4 2 66 2 3" xfId="18979"/>
    <cellStyle name="Notitie 4 2 66 2 3 2" xfId="34453"/>
    <cellStyle name="Notitie 4 2 66 2 4" xfId="34454"/>
    <cellStyle name="Notitie 4 2 66 2 5" xfId="34455"/>
    <cellStyle name="Notitie 4 2 66 2 6" xfId="34456"/>
    <cellStyle name="Notitie 4 2 66 3" xfId="8854"/>
    <cellStyle name="Notitie 4 2 66 4" xfId="18980"/>
    <cellStyle name="Notitie 4 2 66 4 2" xfId="34457"/>
    <cellStyle name="Notitie 4 2 66 5" xfId="34458"/>
    <cellStyle name="Notitie 4 2 66 6" xfId="34459"/>
    <cellStyle name="Notitie 4 2 66 7" xfId="34460"/>
    <cellStyle name="Notitie 4 2 67" xfId="1019"/>
    <cellStyle name="Notitie 4 2 67 2" xfId="6856"/>
    <cellStyle name="Notitie 4 2 67 2 2" xfId="11266"/>
    <cellStyle name="Notitie 4 2 67 2 3" xfId="18981"/>
    <cellStyle name="Notitie 4 2 67 2 3 2" xfId="34461"/>
    <cellStyle name="Notitie 4 2 67 2 4" xfId="34462"/>
    <cellStyle name="Notitie 4 2 67 2 5" xfId="34463"/>
    <cellStyle name="Notitie 4 2 67 2 6" xfId="34464"/>
    <cellStyle name="Notitie 4 2 67 3" xfId="8855"/>
    <cellStyle name="Notitie 4 2 67 4" xfId="18982"/>
    <cellStyle name="Notitie 4 2 67 4 2" xfId="34465"/>
    <cellStyle name="Notitie 4 2 67 5" xfId="34466"/>
    <cellStyle name="Notitie 4 2 67 6" xfId="34467"/>
    <cellStyle name="Notitie 4 2 67 7" xfId="34468"/>
    <cellStyle name="Notitie 4 2 68" xfId="1020"/>
    <cellStyle name="Notitie 4 2 68 2" xfId="6857"/>
    <cellStyle name="Notitie 4 2 68 2 2" xfId="11267"/>
    <cellStyle name="Notitie 4 2 68 2 3" xfId="18983"/>
    <cellStyle name="Notitie 4 2 68 2 3 2" xfId="34469"/>
    <cellStyle name="Notitie 4 2 68 2 4" xfId="34470"/>
    <cellStyle name="Notitie 4 2 68 2 5" xfId="34471"/>
    <cellStyle name="Notitie 4 2 68 2 6" xfId="34472"/>
    <cellStyle name="Notitie 4 2 68 3" xfId="8856"/>
    <cellStyle name="Notitie 4 2 68 4" xfId="18984"/>
    <cellStyle name="Notitie 4 2 68 4 2" xfId="34473"/>
    <cellStyle name="Notitie 4 2 68 5" xfId="34474"/>
    <cellStyle name="Notitie 4 2 68 6" xfId="34475"/>
    <cellStyle name="Notitie 4 2 68 7" xfId="34476"/>
    <cellStyle name="Notitie 4 2 69" xfId="1021"/>
    <cellStyle name="Notitie 4 2 69 2" xfId="6858"/>
    <cellStyle name="Notitie 4 2 69 2 2" xfId="11268"/>
    <cellStyle name="Notitie 4 2 69 2 3" xfId="18985"/>
    <cellStyle name="Notitie 4 2 69 2 3 2" xfId="34477"/>
    <cellStyle name="Notitie 4 2 69 2 4" xfId="34478"/>
    <cellStyle name="Notitie 4 2 69 2 5" xfId="34479"/>
    <cellStyle name="Notitie 4 2 69 2 6" xfId="34480"/>
    <cellStyle name="Notitie 4 2 69 3" xfId="8857"/>
    <cellStyle name="Notitie 4 2 69 4" xfId="18986"/>
    <cellStyle name="Notitie 4 2 69 4 2" xfId="34481"/>
    <cellStyle name="Notitie 4 2 69 5" xfId="34482"/>
    <cellStyle name="Notitie 4 2 69 6" xfId="34483"/>
    <cellStyle name="Notitie 4 2 69 7" xfId="34484"/>
    <cellStyle name="Notitie 4 2 7" xfId="1022"/>
    <cellStyle name="Notitie 4 2 7 2" xfId="6859"/>
    <cellStyle name="Notitie 4 2 7 2 2" xfId="11269"/>
    <cellStyle name="Notitie 4 2 7 2 3" xfId="18987"/>
    <cellStyle name="Notitie 4 2 7 2 3 2" xfId="34485"/>
    <cellStyle name="Notitie 4 2 7 2 4" xfId="34486"/>
    <cellStyle name="Notitie 4 2 7 2 5" xfId="34487"/>
    <cellStyle name="Notitie 4 2 7 2 6" xfId="34488"/>
    <cellStyle name="Notitie 4 2 7 3" xfId="8858"/>
    <cellStyle name="Notitie 4 2 7 4" xfId="18988"/>
    <cellStyle name="Notitie 4 2 7 4 2" xfId="34489"/>
    <cellStyle name="Notitie 4 2 7 5" xfId="34490"/>
    <cellStyle name="Notitie 4 2 7 6" xfId="34491"/>
    <cellStyle name="Notitie 4 2 7 7" xfId="34492"/>
    <cellStyle name="Notitie 4 2 70" xfId="1023"/>
    <cellStyle name="Notitie 4 2 70 2" xfId="6860"/>
    <cellStyle name="Notitie 4 2 70 2 2" xfId="11270"/>
    <cellStyle name="Notitie 4 2 70 2 3" xfId="18989"/>
    <cellStyle name="Notitie 4 2 70 2 3 2" xfId="34493"/>
    <cellStyle name="Notitie 4 2 70 2 4" xfId="34494"/>
    <cellStyle name="Notitie 4 2 70 2 5" xfId="34495"/>
    <cellStyle name="Notitie 4 2 70 2 6" xfId="34496"/>
    <cellStyle name="Notitie 4 2 70 3" xfId="8859"/>
    <cellStyle name="Notitie 4 2 70 4" xfId="18990"/>
    <cellStyle name="Notitie 4 2 70 4 2" xfId="34497"/>
    <cellStyle name="Notitie 4 2 70 5" xfId="34498"/>
    <cellStyle name="Notitie 4 2 70 6" xfId="34499"/>
    <cellStyle name="Notitie 4 2 70 7" xfId="34500"/>
    <cellStyle name="Notitie 4 2 71" xfId="1024"/>
    <cellStyle name="Notitie 4 2 71 2" xfId="6861"/>
    <cellStyle name="Notitie 4 2 71 2 2" xfId="11271"/>
    <cellStyle name="Notitie 4 2 71 2 3" xfId="18991"/>
    <cellStyle name="Notitie 4 2 71 2 3 2" xfId="34501"/>
    <cellStyle name="Notitie 4 2 71 2 4" xfId="34502"/>
    <cellStyle name="Notitie 4 2 71 2 5" xfId="34503"/>
    <cellStyle name="Notitie 4 2 71 2 6" xfId="34504"/>
    <cellStyle name="Notitie 4 2 71 3" xfId="8860"/>
    <cellStyle name="Notitie 4 2 71 4" xfId="18992"/>
    <cellStyle name="Notitie 4 2 71 4 2" xfId="34505"/>
    <cellStyle name="Notitie 4 2 71 5" xfId="34506"/>
    <cellStyle name="Notitie 4 2 71 6" xfId="34507"/>
    <cellStyle name="Notitie 4 2 71 7" xfId="34508"/>
    <cellStyle name="Notitie 4 2 72" xfId="1025"/>
    <cellStyle name="Notitie 4 2 72 2" xfId="6862"/>
    <cellStyle name="Notitie 4 2 72 2 2" xfId="11272"/>
    <cellStyle name="Notitie 4 2 72 2 3" xfId="18993"/>
    <cellStyle name="Notitie 4 2 72 2 3 2" xfId="34509"/>
    <cellStyle name="Notitie 4 2 72 2 4" xfId="34510"/>
    <cellStyle name="Notitie 4 2 72 2 5" xfId="34511"/>
    <cellStyle name="Notitie 4 2 72 2 6" xfId="34512"/>
    <cellStyle name="Notitie 4 2 72 3" xfId="8861"/>
    <cellStyle name="Notitie 4 2 72 4" xfId="18994"/>
    <cellStyle name="Notitie 4 2 72 4 2" xfId="34513"/>
    <cellStyle name="Notitie 4 2 72 5" xfId="34514"/>
    <cellStyle name="Notitie 4 2 72 6" xfId="34515"/>
    <cellStyle name="Notitie 4 2 72 7" xfId="34516"/>
    <cellStyle name="Notitie 4 2 73" xfId="1026"/>
    <cellStyle name="Notitie 4 2 73 2" xfId="6863"/>
    <cellStyle name="Notitie 4 2 73 2 2" xfId="11273"/>
    <cellStyle name="Notitie 4 2 73 2 3" xfId="18995"/>
    <cellStyle name="Notitie 4 2 73 2 3 2" xfId="34517"/>
    <cellStyle name="Notitie 4 2 73 2 4" xfId="34518"/>
    <cellStyle name="Notitie 4 2 73 2 5" xfId="34519"/>
    <cellStyle name="Notitie 4 2 73 2 6" xfId="34520"/>
    <cellStyle name="Notitie 4 2 73 3" xfId="8862"/>
    <cellStyle name="Notitie 4 2 73 4" xfId="18996"/>
    <cellStyle name="Notitie 4 2 73 4 2" xfId="34521"/>
    <cellStyle name="Notitie 4 2 73 5" xfId="34522"/>
    <cellStyle name="Notitie 4 2 73 6" xfId="34523"/>
    <cellStyle name="Notitie 4 2 73 7" xfId="34524"/>
    <cellStyle name="Notitie 4 2 74" xfId="1027"/>
    <cellStyle name="Notitie 4 2 74 2" xfId="6864"/>
    <cellStyle name="Notitie 4 2 74 2 2" xfId="11274"/>
    <cellStyle name="Notitie 4 2 74 2 3" xfId="18997"/>
    <cellStyle name="Notitie 4 2 74 2 3 2" xfId="34525"/>
    <cellStyle name="Notitie 4 2 74 2 4" xfId="34526"/>
    <cellStyle name="Notitie 4 2 74 2 5" xfId="34527"/>
    <cellStyle name="Notitie 4 2 74 2 6" xfId="34528"/>
    <cellStyle name="Notitie 4 2 74 3" xfId="8863"/>
    <cellStyle name="Notitie 4 2 74 4" xfId="18998"/>
    <cellStyle name="Notitie 4 2 74 4 2" xfId="34529"/>
    <cellStyle name="Notitie 4 2 74 5" xfId="34530"/>
    <cellStyle name="Notitie 4 2 74 6" xfId="34531"/>
    <cellStyle name="Notitie 4 2 74 7" xfId="34532"/>
    <cellStyle name="Notitie 4 2 75" xfId="1028"/>
    <cellStyle name="Notitie 4 2 75 2" xfId="6865"/>
    <cellStyle name="Notitie 4 2 75 2 2" xfId="11275"/>
    <cellStyle name="Notitie 4 2 75 2 3" xfId="18999"/>
    <cellStyle name="Notitie 4 2 75 2 3 2" xfId="34533"/>
    <cellStyle name="Notitie 4 2 75 2 4" xfId="34534"/>
    <cellStyle name="Notitie 4 2 75 2 5" xfId="34535"/>
    <cellStyle name="Notitie 4 2 75 2 6" xfId="34536"/>
    <cellStyle name="Notitie 4 2 75 3" xfId="8864"/>
    <cellStyle name="Notitie 4 2 75 4" xfId="19000"/>
    <cellStyle name="Notitie 4 2 75 4 2" xfId="34537"/>
    <cellStyle name="Notitie 4 2 75 5" xfId="34538"/>
    <cellStyle name="Notitie 4 2 75 6" xfId="34539"/>
    <cellStyle name="Notitie 4 2 75 7" xfId="34540"/>
    <cellStyle name="Notitie 4 2 76" xfId="1029"/>
    <cellStyle name="Notitie 4 2 76 2" xfId="6866"/>
    <cellStyle name="Notitie 4 2 76 2 2" xfId="11276"/>
    <cellStyle name="Notitie 4 2 76 2 3" xfId="19001"/>
    <cellStyle name="Notitie 4 2 76 2 3 2" xfId="34541"/>
    <cellStyle name="Notitie 4 2 76 2 4" xfId="34542"/>
    <cellStyle name="Notitie 4 2 76 2 5" xfId="34543"/>
    <cellStyle name="Notitie 4 2 76 2 6" xfId="34544"/>
    <cellStyle name="Notitie 4 2 76 3" xfId="8865"/>
    <cellStyle name="Notitie 4 2 76 4" xfId="19002"/>
    <cellStyle name="Notitie 4 2 76 4 2" xfId="34545"/>
    <cellStyle name="Notitie 4 2 76 5" xfId="34546"/>
    <cellStyle name="Notitie 4 2 76 6" xfId="34547"/>
    <cellStyle name="Notitie 4 2 76 7" xfId="34548"/>
    <cellStyle name="Notitie 4 2 77" xfId="1030"/>
    <cellStyle name="Notitie 4 2 77 2" xfId="6867"/>
    <cellStyle name="Notitie 4 2 77 2 2" xfId="11277"/>
    <cellStyle name="Notitie 4 2 77 2 3" xfId="19003"/>
    <cellStyle name="Notitie 4 2 77 2 3 2" xfId="34549"/>
    <cellStyle name="Notitie 4 2 77 2 4" xfId="34550"/>
    <cellStyle name="Notitie 4 2 77 2 5" xfId="34551"/>
    <cellStyle name="Notitie 4 2 77 2 6" xfId="34552"/>
    <cellStyle name="Notitie 4 2 77 3" xfId="8866"/>
    <cellStyle name="Notitie 4 2 77 4" xfId="19004"/>
    <cellStyle name="Notitie 4 2 77 4 2" xfId="34553"/>
    <cellStyle name="Notitie 4 2 77 5" xfId="34554"/>
    <cellStyle name="Notitie 4 2 77 6" xfId="34555"/>
    <cellStyle name="Notitie 4 2 77 7" xfId="34556"/>
    <cellStyle name="Notitie 4 2 78" xfId="1031"/>
    <cellStyle name="Notitie 4 2 78 2" xfId="6868"/>
    <cellStyle name="Notitie 4 2 78 2 2" xfId="11278"/>
    <cellStyle name="Notitie 4 2 78 2 3" xfId="19005"/>
    <cellStyle name="Notitie 4 2 78 2 3 2" xfId="34557"/>
    <cellStyle name="Notitie 4 2 78 2 4" xfId="34558"/>
    <cellStyle name="Notitie 4 2 78 2 5" xfId="34559"/>
    <cellStyle name="Notitie 4 2 78 2 6" xfId="34560"/>
    <cellStyle name="Notitie 4 2 78 3" xfId="8867"/>
    <cellStyle name="Notitie 4 2 78 4" xfId="19006"/>
    <cellStyle name="Notitie 4 2 78 4 2" xfId="34561"/>
    <cellStyle name="Notitie 4 2 78 5" xfId="34562"/>
    <cellStyle name="Notitie 4 2 78 6" xfId="34563"/>
    <cellStyle name="Notitie 4 2 78 7" xfId="34564"/>
    <cellStyle name="Notitie 4 2 79" xfId="1032"/>
    <cellStyle name="Notitie 4 2 79 2" xfId="6869"/>
    <cellStyle name="Notitie 4 2 79 2 2" xfId="11279"/>
    <cellStyle name="Notitie 4 2 79 2 3" xfId="19007"/>
    <cellStyle name="Notitie 4 2 79 2 3 2" xfId="34565"/>
    <cellStyle name="Notitie 4 2 79 2 4" xfId="34566"/>
    <cellStyle name="Notitie 4 2 79 2 5" xfId="34567"/>
    <cellStyle name="Notitie 4 2 79 2 6" xfId="34568"/>
    <cellStyle name="Notitie 4 2 79 3" xfId="8868"/>
    <cellStyle name="Notitie 4 2 79 4" xfId="19008"/>
    <cellStyle name="Notitie 4 2 79 4 2" xfId="34569"/>
    <cellStyle name="Notitie 4 2 79 5" xfId="34570"/>
    <cellStyle name="Notitie 4 2 79 6" xfId="34571"/>
    <cellStyle name="Notitie 4 2 79 7" xfId="34572"/>
    <cellStyle name="Notitie 4 2 8" xfId="1033"/>
    <cellStyle name="Notitie 4 2 8 2" xfId="6870"/>
    <cellStyle name="Notitie 4 2 8 2 2" xfId="11280"/>
    <cellStyle name="Notitie 4 2 8 2 3" xfId="19009"/>
    <cellStyle name="Notitie 4 2 8 2 3 2" xfId="34573"/>
    <cellStyle name="Notitie 4 2 8 2 4" xfId="34574"/>
    <cellStyle name="Notitie 4 2 8 2 5" xfId="34575"/>
    <cellStyle name="Notitie 4 2 8 2 6" xfId="34576"/>
    <cellStyle name="Notitie 4 2 8 3" xfId="8869"/>
    <cellStyle name="Notitie 4 2 8 4" xfId="19010"/>
    <cellStyle name="Notitie 4 2 8 4 2" xfId="34577"/>
    <cellStyle name="Notitie 4 2 8 5" xfId="34578"/>
    <cellStyle name="Notitie 4 2 8 6" xfId="34579"/>
    <cellStyle name="Notitie 4 2 8 7" xfId="34580"/>
    <cellStyle name="Notitie 4 2 80" xfId="6871"/>
    <cellStyle name="Notitie 4 2 80 2" xfId="11203"/>
    <cellStyle name="Notitie 4 2 80 3" xfId="19011"/>
    <cellStyle name="Notitie 4 2 80 3 2" xfId="34581"/>
    <cellStyle name="Notitie 4 2 80 4" xfId="34582"/>
    <cellStyle name="Notitie 4 2 80 5" xfId="34583"/>
    <cellStyle name="Notitie 4 2 80 6" xfId="34584"/>
    <cellStyle name="Notitie 4 2 81" xfId="8792"/>
    <cellStyle name="Notitie 4 2 82" xfId="19012"/>
    <cellStyle name="Notitie 4 2 82 2" xfId="34585"/>
    <cellStyle name="Notitie 4 2 83" xfId="34586"/>
    <cellStyle name="Notitie 4 2 84" xfId="34587"/>
    <cellStyle name="Notitie 4 2 85" xfId="34588"/>
    <cellStyle name="Notitie 4 2 9" xfId="1034"/>
    <cellStyle name="Notitie 4 2 9 2" xfId="6872"/>
    <cellStyle name="Notitie 4 2 9 2 2" xfId="11281"/>
    <cellStyle name="Notitie 4 2 9 2 3" xfId="19013"/>
    <cellStyle name="Notitie 4 2 9 2 3 2" xfId="34589"/>
    <cellStyle name="Notitie 4 2 9 2 4" xfId="34590"/>
    <cellStyle name="Notitie 4 2 9 2 5" xfId="34591"/>
    <cellStyle name="Notitie 4 2 9 2 6" xfId="34592"/>
    <cellStyle name="Notitie 4 2 9 3" xfId="8870"/>
    <cellStyle name="Notitie 4 2 9 4" xfId="19014"/>
    <cellStyle name="Notitie 4 2 9 4 2" xfId="34593"/>
    <cellStyle name="Notitie 4 2 9 5" xfId="34594"/>
    <cellStyle name="Notitie 4 2 9 6" xfId="34595"/>
    <cellStyle name="Notitie 4 2 9 7" xfId="34596"/>
    <cellStyle name="Notitie 4 20" xfId="19015"/>
    <cellStyle name="Notitie 4 20 2" xfId="34597"/>
    <cellStyle name="Notitie 4 21" xfId="34598"/>
    <cellStyle name="Notitie 4 22" xfId="34599"/>
    <cellStyle name="Notitie 4 23" xfId="34600"/>
    <cellStyle name="Notitie 4 3" xfId="1035"/>
    <cellStyle name="Notitie 4 3 2" xfId="6873"/>
    <cellStyle name="Notitie 4 3 2 2" xfId="11282"/>
    <cellStyle name="Notitie 4 3 2 3" xfId="19016"/>
    <cellStyle name="Notitie 4 3 2 3 2" xfId="34601"/>
    <cellStyle name="Notitie 4 3 2 4" xfId="34602"/>
    <cellStyle name="Notitie 4 3 2 5" xfId="34603"/>
    <cellStyle name="Notitie 4 3 2 6" xfId="34604"/>
    <cellStyle name="Notitie 4 3 3" xfId="8871"/>
    <cellStyle name="Notitie 4 3 4" xfId="19017"/>
    <cellStyle name="Notitie 4 3 4 2" xfId="34605"/>
    <cellStyle name="Notitie 4 3 5" xfId="34606"/>
    <cellStyle name="Notitie 4 3 6" xfId="34607"/>
    <cellStyle name="Notitie 4 3 7" xfId="34608"/>
    <cellStyle name="Notitie 4 4" xfId="1036"/>
    <cellStyle name="Notitie 4 4 2" xfId="6874"/>
    <cellStyle name="Notitie 4 4 2 2" xfId="11283"/>
    <cellStyle name="Notitie 4 4 2 3" xfId="19018"/>
    <cellStyle name="Notitie 4 4 2 3 2" xfId="34609"/>
    <cellStyle name="Notitie 4 4 2 4" xfId="34610"/>
    <cellStyle name="Notitie 4 4 2 5" xfId="34611"/>
    <cellStyle name="Notitie 4 4 2 6" xfId="34612"/>
    <cellStyle name="Notitie 4 4 3" xfId="8872"/>
    <cellStyle name="Notitie 4 4 4" xfId="19019"/>
    <cellStyle name="Notitie 4 4 4 2" xfId="34613"/>
    <cellStyle name="Notitie 4 4 5" xfId="34614"/>
    <cellStyle name="Notitie 4 4 6" xfId="34615"/>
    <cellStyle name="Notitie 4 4 7" xfId="34616"/>
    <cellStyle name="Notitie 4 5" xfId="1037"/>
    <cellStyle name="Notitie 4 5 2" xfId="6875"/>
    <cellStyle name="Notitie 4 5 2 2" xfId="11284"/>
    <cellStyle name="Notitie 4 5 2 3" xfId="19020"/>
    <cellStyle name="Notitie 4 5 2 3 2" xfId="34617"/>
    <cellStyle name="Notitie 4 5 2 4" xfId="34618"/>
    <cellStyle name="Notitie 4 5 2 5" xfId="34619"/>
    <cellStyle name="Notitie 4 5 2 6" xfId="34620"/>
    <cellStyle name="Notitie 4 5 3" xfId="8873"/>
    <cellStyle name="Notitie 4 5 4" xfId="19021"/>
    <cellStyle name="Notitie 4 5 4 2" xfId="34621"/>
    <cellStyle name="Notitie 4 5 5" xfId="34622"/>
    <cellStyle name="Notitie 4 5 6" xfId="34623"/>
    <cellStyle name="Notitie 4 5 7" xfId="34624"/>
    <cellStyle name="Notitie 4 6" xfId="1038"/>
    <cellStyle name="Notitie 4 6 2" xfId="6876"/>
    <cellStyle name="Notitie 4 6 2 2" xfId="11285"/>
    <cellStyle name="Notitie 4 6 2 3" xfId="19022"/>
    <cellStyle name="Notitie 4 6 2 3 2" xfId="34625"/>
    <cellStyle name="Notitie 4 6 2 4" xfId="34626"/>
    <cellStyle name="Notitie 4 6 2 5" xfId="34627"/>
    <cellStyle name="Notitie 4 6 2 6" xfId="34628"/>
    <cellStyle name="Notitie 4 6 3" xfId="8874"/>
    <cellStyle name="Notitie 4 6 4" xfId="19023"/>
    <cellStyle name="Notitie 4 6 4 2" xfId="34629"/>
    <cellStyle name="Notitie 4 6 5" xfId="34630"/>
    <cellStyle name="Notitie 4 6 6" xfId="34631"/>
    <cellStyle name="Notitie 4 6 7" xfId="34632"/>
    <cellStyle name="Notitie 4 7" xfId="1039"/>
    <cellStyle name="Notitie 4 7 2" xfId="6877"/>
    <cellStyle name="Notitie 4 7 2 2" xfId="11286"/>
    <cellStyle name="Notitie 4 7 2 3" xfId="19024"/>
    <cellStyle name="Notitie 4 7 2 3 2" xfId="34633"/>
    <cellStyle name="Notitie 4 7 2 4" xfId="34634"/>
    <cellStyle name="Notitie 4 7 2 5" xfId="34635"/>
    <cellStyle name="Notitie 4 7 2 6" xfId="34636"/>
    <cellStyle name="Notitie 4 7 3" xfId="8875"/>
    <cellStyle name="Notitie 4 7 4" xfId="19025"/>
    <cellStyle name="Notitie 4 7 4 2" xfId="34637"/>
    <cellStyle name="Notitie 4 7 5" xfId="34638"/>
    <cellStyle name="Notitie 4 7 6" xfId="34639"/>
    <cellStyle name="Notitie 4 7 7" xfId="34640"/>
    <cellStyle name="Notitie 4 8" xfId="1040"/>
    <cellStyle name="Notitie 4 8 2" xfId="6878"/>
    <cellStyle name="Notitie 4 8 2 2" xfId="11287"/>
    <cellStyle name="Notitie 4 8 2 3" xfId="19026"/>
    <cellStyle name="Notitie 4 8 2 3 2" xfId="34641"/>
    <cellStyle name="Notitie 4 8 2 4" xfId="34642"/>
    <cellStyle name="Notitie 4 8 2 5" xfId="34643"/>
    <cellStyle name="Notitie 4 8 2 6" xfId="34644"/>
    <cellStyle name="Notitie 4 8 3" xfId="8876"/>
    <cellStyle name="Notitie 4 8 4" xfId="19027"/>
    <cellStyle name="Notitie 4 8 4 2" xfId="34645"/>
    <cellStyle name="Notitie 4 8 5" xfId="34646"/>
    <cellStyle name="Notitie 4 8 6" xfId="34647"/>
    <cellStyle name="Notitie 4 8 7" xfId="34648"/>
    <cellStyle name="Notitie 4 9" xfId="1041"/>
    <cellStyle name="Notitie 4 9 2" xfId="6879"/>
    <cellStyle name="Notitie 4 9 2 2" xfId="11288"/>
    <cellStyle name="Notitie 4 9 2 3" xfId="19028"/>
    <cellStyle name="Notitie 4 9 2 3 2" xfId="34649"/>
    <cellStyle name="Notitie 4 9 2 4" xfId="34650"/>
    <cellStyle name="Notitie 4 9 2 5" xfId="34651"/>
    <cellStyle name="Notitie 4 9 2 6" xfId="34652"/>
    <cellStyle name="Notitie 4 9 3" xfId="8877"/>
    <cellStyle name="Notitie 4 9 4" xfId="19029"/>
    <cellStyle name="Notitie 4 9 4 2" xfId="34653"/>
    <cellStyle name="Notitie 4 9 5" xfId="34654"/>
    <cellStyle name="Notitie 4 9 6" xfId="34655"/>
    <cellStyle name="Notitie 4 9 7" xfId="34656"/>
    <cellStyle name="Ongeldig 2" xfId="1042"/>
    <cellStyle name="Ongeldig 3" xfId="1043"/>
    <cellStyle name="Output" xfId="1044"/>
    <cellStyle name="Output 10" xfId="1045"/>
    <cellStyle name="Output 10 2" xfId="6880"/>
    <cellStyle name="Output 10 2 2" xfId="11290"/>
    <cellStyle name="Output 10 2 3" xfId="19030"/>
    <cellStyle name="Output 10 2 3 2" xfId="34657"/>
    <cellStyle name="Output 10 2 4" xfId="34658"/>
    <cellStyle name="Output 10 2 5" xfId="34659"/>
    <cellStyle name="Output 10 2 6" xfId="34660"/>
    <cellStyle name="Output 10 3" xfId="8879"/>
    <cellStyle name="Output 10 4" xfId="19031"/>
    <cellStyle name="Output 10 4 2" xfId="34661"/>
    <cellStyle name="Output 10 5" xfId="34662"/>
    <cellStyle name="Output 10 6" xfId="34663"/>
    <cellStyle name="Output 10 7" xfId="34664"/>
    <cellStyle name="Output 11" xfId="1046"/>
    <cellStyle name="Output 11 2" xfId="6881"/>
    <cellStyle name="Output 11 2 2" xfId="11291"/>
    <cellStyle name="Output 11 2 3" xfId="19032"/>
    <cellStyle name="Output 11 2 3 2" xfId="34665"/>
    <cellStyle name="Output 11 2 4" xfId="34666"/>
    <cellStyle name="Output 11 2 5" xfId="34667"/>
    <cellStyle name="Output 11 2 6" xfId="34668"/>
    <cellStyle name="Output 11 3" xfId="8880"/>
    <cellStyle name="Output 11 4" xfId="19033"/>
    <cellStyle name="Output 11 4 2" xfId="34669"/>
    <cellStyle name="Output 11 5" xfId="34670"/>
    <cellStyle name="Output 11 6" xfId="34671"/>
    <cellStyle name="Output 11 7" xfId="34672"/>
    <cellStyle name="Output 12" xfId="1047"/>
    <cellStyle name="Output 12 2" xfId="6882"/>
    <cellStyle name="Output 12 2 2" xfId="11292"/>
    <cellStyle name="Output 12 2 3" xfId="19034"/>
    <cellStyle name="Output 12 2 3 2" xfId="34673"/>
    <cellStyle name="Output 12 2 4" xfId="34674"/>
    <cellStyle name="Output 12 2 5" xfId="34675"/>
    <cellStyle name="Output 12 2 6" xfId="34676"/>
    <cellStyle name="Output 12 3" xfId="8881"/>
    <cellStyle name="Output 12 4" xfId="19035"/>
    <cellStyle name="Output 12 4 2" xfId="34677"/>
    <cellStyle name="Output 12 5" xfId="34678"/>
    <cellStyle name="Output 12 6" xfId="34679"/>
    <cellStyle name="Output 12 7" xfId="34680"/>
    <cellStyle name="Output 13" xfId="1048"/>
    <cellStyle name="Output 13 2" xfId="6883"/>
    <cellStyle name="Output 13 2 2" xfId="11293"/>
    <cellStyle name="Output 13 2 3" xfId="19036"/>
    <cellStyle name="Output 13 2 3 2" xfId="34681"/>
    <cellStyle name="Output 13 2 4" xfId="34682"/>
    <cellStyle name="Output 13 2 5" xfId="34683"/>
    <cellStyle name="Output 13 2 6" xfId="34684"/>
    <cellStyle name="Output 13 3" xfId="8882"/>
    <cellStyle name="Output 13 4" xfId="19037"/>
    <cellStyle name="Output 13 4 2" xfId="34685"/>
    <cellStyle name="Output 13 5" xfId="34686"/>
    <cellStyle name="Output 13 6" xfId="34687"/>
    <cellStyle name="Output 13 7" xfId="34688"/>
    <cellStyle name="Output 14" xfId="1049"/>
    <cellStyle name="Output 14 2" xfId="6884"/>
    <cellStyle name="Output 14 2 2" xfId="11294"/>
    <cellStyle name="Output 14 2 3" xfId="19038"/>
    <cellStyle name="Output 14 2 3 2" xfId="34689"/>
    <cellStyle name="Output 14 2 4" xfId="34690"/>
    <cellStyle name="Output 14 2 5" xfId="34691"/>
    <cellStyle name="Output 14 2 6" xfId="34692"/>
    <cellStyle name="Output 14 3" xfId="8883"/>
    <cellStyle name="Output 14 4" xfId="19039"/>
    <cellStyle name="Output 14 4 2" xfId="34693"/>
    <cellStyle name="Output 14 5" xfId="34694"/>
    <cellStyle name="Output 14 6" xfId="34695"/>
    <cellStyle name="Output 14 7" xfId="34696"/>
    <cellStyle name="Output 15" xfId="1050"/>
    <cellStyle name="Output 15 2" xfId="6885"/>
    <cellStyle name="Output 15 2 2" xfId="11295"/>
    <cellStyle name="Output 15 2 3" xfId="19040"/>
    <cellStyle name="Output 15 2 3 2" xfId="34697"/>
    <cellStyle name="Output 15 2 4" xfId="34698"/>
    <cellStyle name="Output 15 2 5" xfId="34699"/>
    <cellStyle name="Output 15 2 6" xfId="34700"/>
    <cellStyle name="Output 15 3" xfId="8884"/>
    <cellStyle name="Output 15 4" xfId="19041"/>
    <cellStyle name="Output 15 4 2" xfId="34701"/>
    <cellStyle name="Output 15 5" xfId="34702"/>
    <cellStyle name="Output 15 6" xfId="34703"/>
    <cellStyle name="Output 15 7" xfId="34704"/>
    <cellStyle name="Output 16" xfId="1051"/>
    <cellStyle name="Output 16 2" xfId="6886"/>
    <cellStyle name="Output 16 2 2" xfId="11296"/>
    <cellStyle name="Output 16 2 3" xfId="19042"/>
    <cellStyle name="Output 16 2 3 2" xfId="34705"/>
    <cellStyle name="Output 16 2 4" xfId="34706"/>
    <cellStyle name="Output 16 2 5" xfId="34707"/>
    <cellStyle name="Output 16 2 6" xfId="34708"/>
    <cellStyle name="Output 16 3" xfId="8885"/>
    <cellStyle name="Output 16 4" xfId="19043"/>
    <cellStyle name="Output 16 4 2" xfId="34709"/>
    <cellStyle name="Output 16 5" xfId="34710"/>
    <cellStyle name="Output 16 6" xfId="34711"/>
    <cellStyle name="Output 16 7" xfId="34712"/>
    <cellStyle name="Output 17" xfId="1052"/>
    <cellStyle name="Output 17 2" xfId="6887"/>
    <cellStyle name="Output 17 2 2" xfId="11297"/>
    <cellStyle name="Output 17 2 3" xfId="19044"/>
    <cellStyle name="Output 17 2 3 2" xfId="34713"/>
    <cellStyle name="Output 17 2 4" xfId="34714"/>
    <cellStyle name="Output 17 2 5" xfId="34715"/>
    <cellStyle name="Output 17 2 6" xfId="34716"/>
    <cellStyle name="Output 17 3" xfId="8886"/>
    <cellStyle name="Output 17 4" xfId="19045"/>
    <cellStyle name="Output 17 4 2" xfId="34717"/>
    <cellStyle name="Output 17 5" xfId="34718"/>
    <cellStyle name="Output 17 6" xfId="34719"/>
    <cellStyle name="Output 17 7" xfId="34720"/>
    <cellStyle name="Output 18" xfId="1053"/>
    <cellStyle name="Output 18 2" xfId="6888"/>
    <cellStyle name="Output 18 2 2" xfId="11298"/>
    <cellStyle name="Output 18 2 3" xfId="19046"/>
    <cellStyle name="Output 18 2 3 2" xfId="34721"/>
    <cellStyle name="Output 18 2 4" xfId="34722"/>
    <cellStyle name="Output 18 2 5" xfId="34723"/>
    <cellStyle name="Output 18 2 6" xfId="34724"/>
    <cellStyle name="Output 18 3" xfId="8887"/>
    <cellStyle name="Output 18 4" xfId="19047"/>
    <cellStyle name="Output 18 4 2" xfId="34725"/>
    <cellStyle name="Output 18 5" xfId="34726"/>
    <cellStyle name="Output 18 6" xfId="34727"/>
    <cellStyle name="Output 18 7" xfId="34728"/>
    <cellStyle name="Output 19" xfId="1054"/>
    <cellStyle name="Output 19 2" xfId="6889"/>
    <cellStyle name="Output 19 2 2" xfId="11299"/>
    <cellStyle name="Output 19 2 3" xfId="19048"/>
    <cellStyle name="Output 19 2 3 2" xfId="34729"/>
    <cellStyle name="Output 19 2 4" xfId="34730"/>
    <cellStyle name="Output 19 2 5" xfId="34731"/>
    <cellStyle name="Output 19 2 6" xfId="34732"/>
    <cellStyle name="Output 19 3" xfId="8888"/>
    <cellStyle name="Output 19 4" xfId="19049"/>
    <cellStyle name="Output 19 4 2" xfId="34733"/>
    <cellStyle name="Output 19 5" xfId="34734"/>
    <cellStyle name="Output 19 6" xfId="34735"/>
    <cellStyle name="Output 19 7" xfId="34736"/>
    <cellStyle name="Output 2" xfId="1055"/>
    <cellStyle name="Output 2 10" xfId="1056"/>
    <cellStyle name="Output 2 10 2" xfId="6890"/>
    <cellStyle name="Output 2 10 2 2" xfId="11301"/>
    <cellStyle name="Output 2 10 2 3" xfId="19050"/>
    <cellStyle name="Output 2 10 2 3 2" xfId="34737"/>
    <cellStyle name="Output 2 10 2 4" xfId="34738"/>
    <cellStyle name="Output 2 10 2 5" xfId="34739"/>
    <cellStyle name="Output 2 10 2 6" xfId="34740"/>
    <cellStyle name="Output 2 10 3" xfId="8890"/>
    <cellStyle name="Output 2 10 4" xfId="19051"/>
    <cellStyle name="Output 2 10 4 2" xfId="34741"/>
    <cellStyle name="Output 2 10 5" xfId="34742"/>
    <cellStyle name="Output 2 10 6" xfId="34743"/>
    <cellStyle name="Output 2 10 7" xfId="34744"/>
    <cellStyle name="Output 2 11" xfId="1057"/>
    <cellStyle name="Output 2 11 2" xfId="6891"/>
    <cellStyle name="Output 2 11 2 2" xfId="11302"/>
    <cellStyle name="Output 2 11 2 3" xfId="19052"/>
    <cellStyle name="Output 2 11 2 3 2" xfId="34745"/>
    <cellStyle name="Output 2 11 2 4" xfId="34746"/>
    <cellStyle name="Output 2 11 2 5" xfId="34747"/>
    <cellStyle name="Output 2 11 2 6" xfId="34748"/>
    <cellStyle name="Output 2 11 3" xfId="8891"/>
    <cellStyle name="Output 2 11 4" xfId="19053"/>
    <cellStyle name="Output 2 11 4 2" xfId="34749"/>
    <cellStyle name="Output 2 11 5" xfId="34750"/>
    <cellStyle name="Output 2 11 6" xfId="34751"/>
    <cellStyle name="Output 2 11 7" xfId="34752"/>
    <cellStyle name="Output 2 12" xfId="1058"/>
    <cellStyle name="Output 2 12 2" xfId="6892"/>
    <cellStyle name="Output 2 12 2 2" xfId="11303"/>
    <cellStyle name="Output 2 12 2 3" xfId="19054"/>
    <cellStyle name="Output 2 12 2 3 2" xfId="34753"/>
    <cellStyle name="Output 2 12 2 4" xfId="34754"/>
    <cellStyle name="Output 2 12 2 5" xfId="34755"/>
    <cellStyle name="Output 2 12 2 6" xfId="34756"/>
    <cellStyle name="Output 2 12 3" xfId="8892"/>
    <cellStyle name="Output 2 12 4" xfId="19055"/>
    <cellStyle name="Output 2 12 4 2" xfId="34757"/>
    <cellStyle name="Output 2 12 5" xfId="34758"/>
    <cellStyle name="Output 2 12 6" xfId="34759"/>
    <cellStyle name="Output 2 12 7" xfId="34760"/>
    <cellStyle name="Output 2 13" xfId="1059"/>
    <cellStyle name="Output 2 13 2" xfId="6893"/>
    <cellStyle name="Output 2 13 2 2" xfId="11304"/>
    <cellStyle name="Output 2 13 2 3" xfId="19056"/>
    <cellStyle name="Output 2 13 2 3 2" xfId="34761"/>
    <cellStyle name="Output 2 13 2 4" xfId="34762"/>
    <cellStyle name="Output 2 13 2 5" xfId="34763"/>
    <cellStyle name="Output 2 13 2 6" xfId="34764"/>
    <cellStyle name="Output 2 13 3" xfId="8893"/>
    <cellStyle name="Output 2 13 4" xfId="19057"/>
    <cellStyle name="Output 2 13 4 2" xfId="34765"/>
    <cellStyle name="Output 2 13 5" xfId="34766"/>
    <cellStyle name="Output 2 13 6" xfId="34767"/>
    <cellStyle name="Output 2 13 7" xfId="34768"/>
    <cellStyle name="Output 2 14" xfId="1060"/>
    <cellStyle name="Output 2 14 2" xfId="6894"/>
    <cellStyle name="Output 2 14 2 2" xfId="11305"/>
    <cellStyle name="Output 2 14 2 3" xfId="19058"/>
    <cellStyle name="Output 2 14 2 3 2" xfId="34769"/>
    <cellStyle name="Output 2 14 2 4" xfId="34770"/>
    <cellStyle name="Output 2 14 2 5" xfId="34771"/>
    <cellStyle name="Output 2 14 2 6" xfId="34772"/>
    <cellStyle name="Output 2 14 3" xfId="8894"/>
    <cellStyle name="Output 2 14 4" xfId="19059"/>
    <cellStyle name="Output 2 14 4 2" xfId="34773"/>
    <cellStyle name="Output 2 14 5" xfId="34774"/>
    <cellStyle name="Output 2 14 6" xfId="34775"/>
    <cellStyle name="Output 2 14 7" xfId="34776"/>
    <cellStyle name="Output 2 15" xfId="1061"/>
    <cellStyle name="Output 2 15 2" xfId="6895"/>
    <cellStyle name="Output 2 15 2 2" xfId="11306"/>
    <cellStyle name="Output 2 15 2 3" xfId="19060"/>
    <cellStyle name="Output 2 15 2 3 2" xfId="34777"/>
    <cellStyle name="Output 2 15 2 4" xfId="34778"/>
    <cellStyle name="Output 2 15 2 5" xfId="34779"/>
    <cellStyle name="Output 2 15 2 6" xfId="34780"/>
    <cellStyle name="Output 2 15 3" xfId="8895"/>
    <cellStyle name="Output 2 15 4" xfId="19061"/>
    <cellStyle name="Output 2 15 4 2" xfId="34781"/>
    <cellStyle name="Output 2 15 5" xfId="34782"/>
    <cellStyle name="Output 2 15 6" xfId="34783"/>
    <cellStyle name="Output 2 15 7" xfId="34784"/>
    <cellStyle name="Output 2 16" xfId="1062"/>
    <cellStyle name="Output 2 16 2" xfId="6896"/>
    <cellStyle name="Output 2 16 2 2" xfId="11307"/>
    <cellStyle name="Output 2 16 2 3" xfId="19062"/>
    <cellStyle name="Output 2 16 2 3 2" xfId="34785"/>
    <cellStyle name="Output 2 16 2 4" xfId="34786"/>
    <cellStyle name="Output 2 16 2 5" xfId="34787"/>
    <cellStyle name="Output 2 16 2 6" xfId="34788"/>
    <cellStyle name="Output 2 16 3" xfId="8896"/>
    <cellStyle name="Output 2 16 4" xfId="19063"/>
    <cellStyle name="Output 2 16 4 2" xfId="34789"/>
    <cellStyle name="Output 2 16 5" xfId="34790"/>
    <cellStyle name="Output 2 16 6" xfId="34791"/>
    <cellStyle name="Output 2 16 7" xfId="34792"/>
    <cellStyle name="Output 2 17" xfId="1063"/>
    <cellStyle name="Output 2 17 2" xfId="6897"/>
    <cellStyle name="Output 2 17 2 2" xfId="11308"/>
    <cellStyle name="Output 2 17 2 3" xfId="19064"/>
    <cellStyle name="Output 2 17 2 3 2" xfId="34793"/>
    <cellStyle name="Output 2 17 2 4" xfId="34794"/>
    <cellStyle name="Output 2 17 2 5" xfId="34795"/>
    <cellStyle name="Output 2 17 2 6" xfId="34796"/>
    <cellStyle name="Output 2 17 3" xfId="8897"/>
    <cellStyle name="Output 2 17 4" xfId="19065"/>
    <cellStyle name="Output 2 17 4 2" xfId="34797"/>
    <cellStyle name="Output 2 17 5" xfId="34798"/>
    <cellStyle name="Output 2 17 6" xfId="34799"/>
    <cellStyle name="Output 2 17 7" xfId="34800"/>
    <cellStyle name="Output 2 18" xfId="1064"/>
    <cellStyle name="Output 2 18 2" xfId="6898"/>
    <cellStyle name="Output 2 18 2 2" xfId="11309"/>
    <cellStyle name="Output 2 18 2 3" xfId="19066"/>
    <cellStyle name="Output 2 18 2 3 2" xfId="34801"/>
    <cellStyle name="Output 2 18 2 4" xfId="34802"/>
    <cellStyle name="Output 2 18 2 5" xfId="34803"/>
    <cellStyle name="Output 2 18 2 6" xfId="34804"/>
    <cellStyle name="Output 2 18 3" xfId="8898"/>
    <cellStyle name="Output 2 18 4" xfId="19067"/>
    <cellStyle name="Output 2 18 4 2" xfId="34805"/>
    <cellStyle name="Output 2 18 5" xfId="34806"/>
    <cellStyle name="Output 2 18 6" xfId="34807"/>
    <cellStyle name="Output 2 18 7" xfId="34808"/>
    <cellStyle name="Output 2 19" xfId="1065"/>
    <cellStyle name="Output 2 19 2" xfId="6899"/>
    <cellStyle name="Output 2 19 2 2" xfId="11310"/>
    <cellStyle name="Output 2 19 2 3" xfId="19068"/>
    <cellStyle name="Output 2 19 2 3 2" xfId="34809"/>
    <cellStyle name="Output 2 19 2 4" xfId="34810"/>
    <cellStyle name="Output 2 19 2 5" xfId="34811"/>
    <cellStyle name="Output 2 19 2 6" xfId="34812"/>
    <cellStyle name="Output 2 19 3" xfId="8899"/>
    <cellStyle name="Output 2 19 4" xfId="19069"/>
    <cellStyle name="Output 2 19 4 2" xfId="34813"/>
    <cellStyle name="Output 2 19 5" xfId="34814"/>
    <cellStyle name="Output 2 19 6" xfId="34815"/>
    <cellStyle name="Output 2 19 7" xfId="34816"/>
    <cellStyle name="Output 2 2" xfId="1066"/>
    <cellStyle name="Output 2 2 2" xfId="6900"/>
    <cellStyle name="Output 2 2 2 2" xfId="11311"/>
    <cellStyle name="Output 2 2 2 3" xfId="19070"/>
    <cellStyle name="Output 2 2 2 3 2" xfId="34817"/>
    <cellStyle name="Output 2 2 2 4" xfId="34818"/>
    <cellStyle name="Output 2 2 2 5" xfId="34819"/>
    <cellStyle name="Output 2 2 2 6" xfId="34820"/>
    <cellStyle name="Output 2 2 3" xfId="8900"/>
    <cellStyle name="Output 2 2 4" xfId="19071"/>
    <cellStyle name="Output 2 2 4 2" xfId="34821"/>
    <cellStyle name="Output 2 2 5" xfId="34822"/>
    <cellStyle name="Output 2 2 6" xfId="34823"/>
    <cellStyle name="Output 2 2 7" xfId="34824"/>
    <cellStyle name="Output 2 20" xfId="1067"/>
    <cellStyle name="Output 2 20 2" xfId="6901"/>
    <cellStyle name="Output 2 20 2 2" xfId="11312"/>
    <cellStyle name="Output 2 20 2 3" xfId="19072"/>
    <cellStyle name="Output 2 20 2 3 2" xfId="34825"/>
    <cellStyle name="Output 2 20 2 4" xfId="34826"/>
    <cellStyle name="Output 2 20 2 5" xfId="34827"/>
    <cellStyle name="Output 2 20 2 6" xfId="34828"/>
    <cellStyle name="Output 2 20 3" xfId="8901"/>
    <cellStyle name="Output 2 20 4" xfId="19073"/>
    <cellStyle name="Output 2 20 4 2" xfId="34829"/>
    <cellStyle name="Output 2 20 5" xfId="34830"/>
    <cellStyle name="Output 2 20 6" xfId="34831"/>
    <cellStyle name="Output 2 20 7" xfId="34832"/>
    <cellStyle name="Output 2 21" xfId="1068"/>
    <cellStyle name="Output 2 21 2" xfId="6902"/>
    <cellStyle name="Output 2 21 2 2" xfId="11313"/>
    <cellStyle name="Output 2 21 2 3" xfId="19074"/>
    <cellStyle name="Output 2 21 2 3 2" xfId="34833"/>
    <cellStyle name="Output 2 21 2 4" xfId="34834"/>
    <cellStyle name="Output 2 21 2 5" xfId="34835"/>
    <cellStyle name="Output 2 21 2 6" xfId="34836"/>
    <cellStyle name="Output 2 21 3" xfId="8902"/>
    <cellStyle name="Output 2 21 4" xfId="19075"/>
    <cellStyle name="Output 2 21 4 2" xfId="34837"/>
    <cellStyle name="Output 2 21 5" xfId="34838"/>
    <cellStyle name="Output 2 21 6" xfId="34839"/>
    <cellStyle name="Output 2 21 7" xfId="34840"/>
    <cellStyle name="Output 2 22" xfId="1069"/>
    <cellStyle name="Output 2 22 2" xfId="6903"/>
    <cellStyle name="Output 2 22 2 2" xfId="11314"/>
    <cellStyle name="Output 2 22 2 3" xfId="19076"/>
    <cellStyle name="Output 2 22 2 3 2" xfId="34841"/>
    <cellStyle name="Output 2 22 2 4" xfId="34842"/>
    <cellStyle name="Output 2 22 2 5" xfId="34843"/>
    <cellStyle name="Output 2 22 2 6" xfId="34844"/>
    <cellStyle name="Output 2 22 3" xfId="8903"/>
    <cellStyle name="Output 2 22 4" xfId="19077"/>
    <cellStyle name="Output 2 22 4 2" xfId="34845"/>
    <cellStyle name="Output 2 22 5" xfId="34846"/>
    <cellStyle name="Output 2 22 6" xfId="34847"/>
    <cellStyle name="Output 2 22 7" xfId="34848"/>
    <cellStyle name="Output 2 23" xfId="1070"/>
    <cellStyle name="Output 2 23 2" xfId="6904"/>
    <cellStyle name="Output 2 23 2 2" xfId="11315"/>
    <cellStyle name="Output 2 23 2 3" xfId="19078"/>
    <cellStyle name="Output 2 23 2 3 2" xfId="34849"/>
    <cellStyle name="Output 2 23 2 4" xfId="34850"/>
    <cellStyle name="Output 2 23 2 5" xfId="34851"/>
    <cellStyle name="Output 2 23 2 6" xfId="34852"/>
    <cellStyle name="Output 2 23 3" xfId="8904"/>
    <cellStyle name="Output 2 23 4" xfId="19079"/>
    <cellStyle name="Output 2 23 4 2" xfId="34853"/>
    <cellStyle name="Output 2 23 5" xfId="34854"/>
    <cellStyle name="Output 2 23 6" xfId="34855"/>
    <cellStyle name="Output 2 23 7" xfId="34856"/>
    <cellStyle name="Output 2 24" xfId="1071"/>
    <cellStyle name="Output 2 24 2" xfId="6905"/>
    <cellStyle name="Output 2 24 2 2" xfId="11316"/>
    <cellStyle name="Output 2 24 2 3" xfId="19080"/>
    <cellStyle name="Output 2 24 2 3 2" xfId="34857"/>
    <cellStyle name="Output 2 24 2 4" xfId="34858"/>
    <cellStyle name="Output 2 24 2 5" xfId="34859"/>
    <cellStyle name="Output 2 24 2 6" xfId="34860"/>
    <cellStyle name="Output 2 24 3" xfId="8905"/>
    <cellStyle name="Output 2 24 4" xfId="19081"/>
    <cellStyle name="Output 2 24 4 2" xfId="34861"/>
    <cellStyle name="Output 2 24 5" xfId="34862"/>
    <cellStyle name="Output 2 24 6" xfId="34863"/>
    <cellStyle name="Output 2 24 7" xfId="34864"/>
    <cellStyle name="Output 2 25" xfId="1072"/>
    <cellStyle name="Output 2 25 2" xfId="6906"/>
    <cellStyle name="Output 2 25 2 2" xfId="11317"/>
    <cellStyle name="Output 2 25 2 3" xfId="19082"/>
    <cellStyle name="Output 2 25 2 3 2" xfId="34865"/>
    <cellStyle name="Output 2 25 2 4" xfId="34866"/>
    <cellStyle name="Output 2 25 2 5" xfId="34867"/>
    <cellStyle name="Output 2 25 2 6" xfId="34868"/>
    <cellStyle name="Output 2 25 3" xfId="8906"/>
    <cellStyle name="Output 2 25 4" xfId="19083"/>
    <cellStyle name="Output 2 25 4 2" xfId="34869"/>
    <cellStyle name="Output 2 25 5" xfId="34870"/>
    <cellStyle name="Output 2 25 6" xfId="34871"/>
    <cellStyle name="Output 2 25 7" xfId="34872"/>
    <cellStyle name="Output 2 26" xfId="1073"/>
    <cellStyle name="Output 2 26 2" xfId="6907"/>
    <cellStyle name="Output 2 26 2 2" xfId="11318"/>
    <cellStyle name="Output 2 26 2 3" xfId="19084"/>
    <cellStyle name="Output 2 26 2 3 2" xfId="34873"/>
    <cellStyle name="Output 2 26 2 4" xfId="34874"/>
    <cellStyle name="Output 2 26 2 5" xfId="34875"/>
    <cellStyle name="Output 2 26 2 6" xfId="34876"/>
    <cellStyle name="Output 2 26 3" xfId="8907"/>
    <cellStyle name="Output 2 26 4" xfId="19085"/>
    <cellStyle name="Output 2 26 4 2" xfId="34877"/>
    <cellStyle name="Output 2 26 5" xfId="34878"/>
    <cellStyle name="Output 2 26 6" xfId="34879"/>
    <cellStyle name="Output 2 26 7" xfId="34880"/>
    <cellStyle name="Output 2 27" xfId="1074"/>
    <cellStyle name="Output 2 27 2" xfId="6908"/>
    <cellStyle name="Output 2 27 2 2" xfId="11319"/>
    <cellStyle name="Output 2 27 2 3" xfId="19086"/>
    <cellStyle name="Output 2 27 2 3 2" xfId="34881"/>
    <cellStyle name="Output 2 27 2 4" xfId="34882"/>
    <cellStyle name="Output 2 27 2 5" xfId="34883"/>
    <cellStyle name="Output 2 27 2 6" xfId="34884"/>
    <cellStyle name="Output 2 27 3" xfId="8908"/>
    <cellStyle name="Output 2 27 4" xfId="19087"/>
    <cellStyle name="Output 2 27 4 2" xfId="34885"/>
    <cellStyle name="Output 2 27 5" xfId="34886"/>
    <cellStyle name="Output 2 27 6" xfId="34887"/>
    <cellStyle name="Output 2 27 7" xfId="34888"/>
    <cellStyle name="Output 2 28" xfId="1075"/>
    <cellStyle name="Output 2 28 2" xfId="6909"/>
    <cellStyle name="Output 2 28 2 2" xfId="11320"/>
    <cellStyle name="Output 2 28 2 3" xfId="19088"/>
    <cellStyle name="Output 2 28 2 3 2" xfId="34889"/>
    <cellStyle name="Output 2 28 2 4" xfId="34890"/>
    <cellStyle name="Output 2 28 2 5" xfId="34891"/>
    <cellStyle name="Output 2 28 2 6" xfId="34892"/>
    <cellStyle name="Output 2 28 3" xfId="8909"/>
    <cellStyle name="Output 2 28 4" xfId="19089"/>
    <cellStyle name="Output 2 28 4 2" xfId="34893"/>
    <cellStyle name="Output 2 28 5" xfId="34894"/>
    <cellStyle name="Output 2 28 6" xfId="34895"/>
    <cellStyle name="Output 2 28 7" xfId="34896"/>
    <cellStyle name="Output 2 29" xfId="1076"/>
    <cellStyle name="Output 2 29 2" xfId="6910"/>
    <cellStyle name="Output 2 29 2 2" xfId="11321"/>
    <cellStyle name="Output 2 29 2 3" xfId="19090"/>
    <cellStyle name="Output 2 29 2 3 2" xfId="34897"/>
    <cellStyle name="Output 2 29 2 4" xfId="34898"/>
    <cellStyle name="Output 2 29 2 5" xfId="34899"/>
    <cellStyle name="Output 2 29 2 6" xfId="34900"/>
    <cellStyle name="Output 2 29 3" xfId="8910"/>
    <cellStyle name="Output 2 29 4" xfId="19091"/>
    <cellStyle name="Output 2 29 4 2" xfId="34901"/>
    <cellStyle name="Output 2 29 5" xfId="34902"/>
    <cellStyle name="Output 2 29 6" xfId="34903"/>
    <cellStyle name="Output 2 29 7" xfId="34904"/>
    <cellStyle name="Output 2 3" xfId="1077"/>
    <cellStyle name="Output 2 3 2" xfId="6911"/>
    <cellStyle name="Output 2 3 2 2" xfId="11322"/>
    <cellStyle name="Output 2 3 2 3" xfId="19092"/>
    <cellStyle name="Output 2 3 2 3 2" xfId="34905"/>
    <cellStyle name="Output 2 3 2 4" xfId="34906"/>
    <cellStyle name="Output 2 3 2 5" xfId="34907"/>
    <cellStyle name="Output 2 3 2 6" xfId="34908"/>
    <cellStyle name="Output 2 3 3" xfId="8911"/>
    <cellStyle name="Output 2 3 4" xfId="19093"/>
    <cellStyle name="Output 2 3 4 2" xfId="34909"/>
    <cellStyle name="Output 2 3 5" xfId="34910"/>
    <cellStyle name="Output 2 3 6" xfId="34911"/>
    <cellStyle name="Output 2 3 7" xfId="34912"/>
    <cellStyle name="Output 2 30" xfId="1078"/>
    <cellStyle name="Output 2 30 2" xfId="6912"/>
    <cellStyle name="Output 2 30 2 2" xfId="11323"/>
    <cellStyle name="Output 2 30 2 3" xfId="19094"/>
    <cellStyle name="Output 2 30 2 3 2" xfId="34913"/>
    <cellStyle name="Output 2 30 2 4" xfId="34914"/>
    <cellStyle name="Output 2 30 2 5" xfId="34915"/>
    <cellStyle name="Output 2 30 2 6" xfId="34916"/>
    <cellStyle name="Output 2 30 3" xfId="8912"/>
    <cellStyle name="Output 2 30 4" xfId="19095"/>
    <cellStyle name="Output 2 30 4 2" xfId="34917"/>
    <cellStyle name="Output 2 30 5" xfId="34918"/>
    <cellStyle name="Output 2 30 6" xfId="34919"/>
    <cellStyle name="Output 2 30 7" xfId="34920"/>
    <cellStyle name="Output 2 31" xfId="1079"/>
    <cellStyle name="Output 2 31 2" xfId="6913"/>
    <cellStyle name="Output 2 31 2 2" xfId="11324"/>
    <cellStyle name="Output 2 31 2 3" xfId="19096"/>
    <cellStyle name="Output 2 31 2 3 2" xfId="34921"/>
    <cellStyle name="Output 2 31 2 4" xfId="34922"/>
    <cellStyle name="Output 2 31 2 5" xfId="34923"/>
    <cellStyle name="Output 2 31 2 6" xfId="34924"/>
    <cellStyle name="Output 2 31 3" xfId="8913"/>
    <cellStyle name="Output 2 31 4" xfId="19097"/>
    <cellStyle name="Output 2 31 4 2" xfId="34925"/>
    <cellStyle name="Output 2 31 5" xfId="34926"/>
    <cellStyle name="Output 2 31 6" xfId="34927"/>
    <cellStyle name="Output 2 31 7" xfId="34928"/>
    <cellStyle name="Output 2 32" xfId="1080"/>
    <cellStyle name="Output 2 32 2" xfId="6914"/>
    <cellStyle name="Output 2 32 2 2" xfId="11325"/>
    <cellStyle name="Output 2 32 2 3" xfId="19098"/>
    <cellStyle name="Output 2 32 2 3 2" xfId="34929"/>
    <cellStyle name="Output 2 32 2 4" xfId="34930"/>
    <cellStyle name="Output 2 32 2 5" xfId="34931"/>
    <cellStyle name="Output 2 32 2 6" xfId="34932"/>
    <cellStyle name="Output 2 32 3" xfId="8914"/>
    <cellStyle name="Output 2 32 4" xfId="19099"/>
    <cellStyle name="Output 2 32 4 2" xfId="34933"/>
    <cellStyle name="Output 2 32 5" xfId="34934"/>
    <cellStyle name="Output 2 32 6" xfId="34935"/>
    <cellStyle name="Output 2 32 7" xfId="34936"/>
    <cellStyle name="Output 2 33" xfId="1081"/>
    <cellStyle name="Output 2 33 2" xfId="6915"/>
    <cellStyle name="Output 2 33 2 2" xfId="11326"/>
    <cellStyle name="Output 2 33 2 3" xfId="19100"/>
    <cellStyle name="Output 2 33 2 3 2" xfId="34937"/>
    <cellStyle name="Output 2 33 2 4" xfId="34938"/>
    <cellStyle name="Output 2 33 2 5" xfId="34939"/>
    <cellStyle name="Output 2 33 2 6" xfId="34940"/>
    <cellStyle name="Output 2 33 3" xfId="8915"/>
    <cellStyle name="Output 2 33 4" xfId="19101"/>
    <cellStyle name="Output 2 33 4 2" xfId="34941"/>
    <cellStyle name="Output 2 33 5" xfId="34942"/>
    <cellStyle name="Output 2 33 6" xfId="34943"/>
    <cellStyle name="Output 2 33 7" xfId="34944"/>
    <cellStyle name="Output 2 34" xfId="1082"/>
    <cellStyle name="Output 2 34 2" xfId="6916"/>
    <cellStyle name="Output 2 34 2 2" xfId="11327"/>
    <cellStyle name="Output 2 34 2 3" xfId="19102"/>
    <cellStyle name="Output 2 34 2 3 2" xfId="34945"/>
    <cellStyle name="Output 2 34 2 4" xfId="34946"/>
    <cellStyle name="Output 2 34 2 5" xfId="34947"/>
    <cellStyle name="Output 2 34 2 6" xfId="34948"/>
    <cellStyle name="Output 2 34 3" xfId="8916"/>
    <cellStyle name="Output 2 34 4" xfId="19103"/>
    <cellStyle name="Output 2 34 4 2" xfId="34949"/>
    <cellStyle name="Output 2 34 5" xfId="34950"/>
    <cellStyle name="Output 2 34 6" xfId="34951"/>
    <cellStyle name="Output 2 34 7" xfId="34952"/>
    <cellStyle name="Output 2 35" xfId="1083"/>
    <cellStyle name="Output 2 35 2" xfId="6917"/>
    <cellStyle name="Output 2 35 2 2" xfId="11328"/>
    <cellStyle name="Output 2 35 2 3" xfId="19104"/>
    <cellStyle name="Output 2 35 2 3 2" xfId="34953"/>
    <cellStyle name="Output 2 35 2 4" xfId="34954"/>
    <cellStyle name="Output 2 35 2 5" xfId="34955"/>
    <cellStyle name="Output 2 35 2 6" xfId="34956"/>
    <cellStyle name="Output 2 35 3" xfId="8917"/>
    <cellStyle name="Output 2 35 4" xfId="19105"/>
    <cellStyle name="Output 2 35 4 2" xfId="34957"/>
    <cellStyle name="Output 2 35 5" xfId="34958"/>
    <cellStyle name="Output 2 35 6" xfId="34959"/>
    <cellStyle name="Output 2 35 7" xfId="34960"/>
    <cellStyle name="Output 2 36" xfId="1084"/>
    <cellStyle name="Output 2 36 2" xfId="6918"/>
    <cellStyle name="Output 2 36 2 2" xfId="11329"/>
    <cellStyle name="Output 2 36 2 3" xfId="19106"/>
    <cellStyle name="Output 2 36 2 3 2" xfId="34961"/>
    <cellStyle name="Output 2 36 2 4" xfId="34962"/>
    <cellStyle name="Output 2 36 2 5" xfId="34963"/>
    <cellStyle name="Output 2 36 2 6" xfId="34964"/>
    <cellStyle name="Output 2 36 3" xfId="8918"/>
    <cellStyle name="Output 2 36 4" xfId="19107"/>
    <cellStyle name="Output 2 36 4 2" xfId="34965"/>
    <cellStyle name="Output 2 36 5" xfId="34966"/>
    <cellStyle name="Output 2 36 6" xfId="34967"/>
    <cellStyle name="Output 2 36 7" xfId="34968"/>
    <cellStyle name="Output 2 37" xfId="1085"/>
    <cellStyle name="Output 2 37 2" xfId="6919"/>
    <cellStyle name="Output 2 37 2 2" xfId="11330"/>
    <cellStyle name="Output 2 37 2 3" xfId="19108"/>
    <cellStyle name="Output 2 37 2 3 2" xfId="34969"/>
    <cellStyle name="Output 2 37 2 4" xfId="34970"/>
    <cellStyle name="Output 2 37 2 5" xfId="34971"/>
    <cellStyle name="Output 2 37 2 6" xfId="34972"/>
    <cellStyle name="Output 2 37 3" xfId="8919"/>
    <cellStyle name="Output 2 37 4" xfId="19109"/>
    <cellStyle name="Output 2 37 4 2" xfId="34973"/>
    <cellStyle name="Output 2 37 5" xfId="34974"/>
    <cellStyle name="Output 2 37 6" xfId="34975"/>
    <cellStyle name="Output 2 37 7" xfId="34976"/>
    <cellStyle name="Output 2 38" xfId="1086"/>
    <cellStyle name="Output 2 38 2" xfId="6920"/>
    <cellStyle name="Output 2 38 2 2" xfId="11331"/>
    <cellStyle name="Output 2 38 2 3" xfId="19110"/>
    <cellStyle name="Output 2 38 2 3 2" xfId="34977"/>
    <cellStyle name="Output 2 38 2 4" xfId="34978"/>
    <cellStyle name="Output 2 38 2 5" xfId="34979"/>
    <cellStyle name="Output 2 38 2 6" xfId="34980"/>
    <cellStyle name="Output 2 38 3" xfId="8920"/>
    <cellStyle name="Output 2 38 4" xfId="19111"/>
    <cellStyle name="Output 2 38 4 2" xfId="34981"/>
    <cellStyle name="Output 2 38 5" xfId="34982"/>
    <cellStyle name="Output 2 38 6" xfId="34983"/>
    <cellStyle name="Output 2 38 7" xfId="34984"/>
    <cellStyle name="Output 2 39" xfId="1087"/>
    <cellStyle name="Output 2 39 2" xfId="6921"/>
    <cellStyle name="Output 2 39 2 2" xfId="11332"/>
    <cellStyle name="Output 2 39 2 3" xfId="19112"/>
    <cellStyle name="Output 2 39 2 3 2" xfId="34985"/>
    <cellStyle name="Output 2 39 2 4" xfId="34986"/>
    <cellStyle name="Output 2 39 2 5" xfId="34987"/>
    <cellStyle name="Output 2 39 2 6" xfId="34988"/>
    <cellStyle name="Output 2 39 3" xfId="8921"/>
    <cellStyle name="Output 2 39 4" xfId="19113"/>
    <cellStyle name="Output 2 39 4 2" xfId="34989"/>
    <cellStyle name="Output 2 39 5" xfId="34990"/>
    <cellStyle name="Output 2 39 6" xfId="34991"/>
    <cellStyle name="Output 2 39 7" xfId="34992"/>
    <cellStyle name="Output 2 4" xfId="1088"/>
    <cellStyle name="Output 2 4 2" xfId="6922"/>
    <cellStyle name="Output 2 4 2 2" xfId="11333"/>
    <cellStyle name="Output 2 4 2 3" xfId="19114"/>
    <cellStyle name="Output 2 4 2 3 2" xfId="34993"/>
    <cellStyle name="Output 2 4 2 4" xfId="34994"/>
    <cellStyle name="Output 2 4 2 5" xfId="34995"/>
    <cellStyle name="Output 2 4 2 6" xfId="34996"/>
    <cellStyle name="Output 2 4 3" xfId="8922"/>
    <cellStyle name="Output 2 4 4" xfId="19115"/>
    <cellStyle name="Output 2 4 4 2" xfId="34997"/>
    <cellStyle name="Output 2 4 5" xfId="34998"/>
    <cellStyle name="Output 2 4 6" xfId="34999"/>
    <cellStyle name="Output 2 4 7" xfId="35000"/>
    <cellStyle name="Output 2 40" xfId="1089"/>
    <cellStyle name="Output 2 40 2" xfId="6923"/>
    <cellStyle name="Output 2 40 2 2" xfId="11334"/>
    <cellStyle name="Output 2 40 2 3" xfId="19116"/>
    <cellStyle name="Output 2 40 2 3 2" xfId="35001"/>
    <cellStyle name="Output 2 40 2 4" xfId="35002"/>
    <cellStyle name="Output 2 40 2 5" xfId="35003"/>
    <cellStyle name="Output 2 40 2 6" xfId="35004"/>
    <cellStyle name="Output 2 40 3" xfId="8923"/>
    <cellStyle name="Output 2 40 4" xfId="19117"/>
    <cellStyle name="Output 2 40 4 2" xfId="35005"/>
    <cellStyle name="Output 2 40 5" xfId="35006"/>
    <cellStyle name="Output 2 40 6" xfId="35007"/>
    <cellStyle name="Output 2 40 7" xfId="35008"/>
    <cellStyle name="Output 2 41" xfId="1090"/>
    <cellStyle name="Output 2 41 2" xfId="6924"/>
    <cellStyle name="Output 2 41 2 2" xfId="11335"/>
    <cellStyle name="Output 2 41 2 3" xfId="19118"/>
    <cellStyle name="Output 2 41 2 3 2" xfId="35009"/>
    <cellStyle name="Output 2 41 2 4" xfId="35010"/>
    <cellStyle name="Output 2 41 2 5" xfId="35011"/>
    <cellStyle name="Output 2 41 2 6" xfId="35012"/>
    <cellStyle name="Output 2 41 3" xfId="8924"/>
    <cellStyle name="Output 2 41 4" xfId="19119"/>
    <cellStyle name="Output 2 41 4 2" xfId="35013"/>
    <cellStyle name="Output 2 41 5" xfId="35014"/>
    <cellStyle name="Output 2 41 6" xfId="35015"/>
    <cellStyle name="Output 2 41 7" xfId="35016"/>
    <cellStyle name="Output 2 42" xfId="1091"/>
    <cellStyle name="Output 2 42 2" xfId="6925"/>
    <cellStyle name="Output 2 42 2 2" xfId="11336"/>
    <cellStyle name="Output 2 42 2 3" xfId="19120"/>
    <cellStyle name="Output 2 42 2 3 2" xfId="35017"/>
    <cellStyle name="Output 2 42 2 4" xfId="35018"/>
    <cellStyle name="Output 2 42 2 5" xfId="35019"/>
    <cellStyle name="Output 2 42 2 6" xfId="35020"/>
    <cellStyle name="Output 2 42 3" xfId="8925"/>
    <cellStyle name="Output 2 42 4" xfId="19121"/>
    <cellStyle name="Output 2 42 4 2" xfId="35021"/>
    <cellStyle name="Output 2 42 5" xfId="35022"/>
    <cellStyle name="Output 2 42 6" xfId="35023"/>
    <cellStyle name="Output 2 42 7" xfId="35024"/>
    <cellStyle name="Output 2 43" xfId="1092"/>
    <cellStyle name="Output 2 43 2" xfId="6926"/>
    <cellStyle name="Output 2 43 2 2" xfId="11337"/>
    <cellStyle name="Output 2 43 2 3" xfId="19122"/>
    <cellStyle name="Output 2 43 2 3 2" xfId="35025"/>
    <cellStyle name="Output 2 43 2 4" xfId="35026"/>
    <cellStyle name="Output 2 43 2 5" xfId="35027"/>
    <cellStyle name="Output 2 43 2 6" xfId="35028"/>
    <cellStyle name="Output 2 43 3" xfId="8926"/>
    <cellStyle name="Output 2 43 4" xfId="19123"/>
    <cellStyle name="Output 2 43 4 2" xfId="35029"/>
    <cellStyle name="Output 2 43 5" xfId="35030"/>
    <cellStyle name="Output 2 43 6" xfId="35031"/>
    <cellStyle name="Output 2 43 7" xfId="35032"/>
    <cellStyle name="Output 2 44" xfId="1093"/>
    <cellStyle name="Output 2 44 2" xfId="6927"/>
    <cellStyle name="Output 2 44 2 2" xfId="11338"/>
    <cellStyle name="Output 2 44 2 3" xfId="19124"/>
    <cellStyle name="Output 2 44 2 3 2" xfId="35033"/>
    <cellStyle name="Output 2 44 2 4" xfId="35034"/>
    <cellStyle name="Output 2 44 2 5" xfId="35035"/>
    <cellStyle name="Output 2 44 2 6" xfId="35036"/>
    <cellStyle name="Output 2 44 3" xfId="8927"/>
    <cellStyle name="Output 2 44 4" xfId="19125"/>
    <cellStyle name="Output 2 44 4 2" xfId="35037"/>
    <cellStyle name="Output 2 44 5" xfId="35038"/>
    <cellStyle name="Output 2 44 6" xfId="35039"/>
    <cellStyle name="Output 2 44 7" xfId="35040"/>
    <cellStyle name="Output 2 45" xfId="1094"/>
    <cellStyle name="Output 2 45 2" xfId="6928"/>
    <cellStyle name="Output 2 45 2 2" xfId="11339"/>
    <cellStyle name="Output 2 45 2 3" xfId="19126"/>
    <cellStyle name="Output 2 45 2 3 2" xfId="35041"/>
    <cellStyle name="Output 2 45 2 4" xfId="35042"/>
    <cellStyle name="Output 2 45 2 5" xfId="35043"/>
    <cellStyle name="Output 2 45 2 6" xfId="35044"/>
    <cellStyle name="Output 2 45 3" xfId="8928"/>
    <cellStyle name="Output 2 45 4" xfId="19127"/>
    <cellStyle name="Output 2 45 4 2" xfId="35045"/>
    <cellStyle name="Output 2 45 5" xfId="35046"/>
    <cellStyle name="Output 2 45 6" xfId="35047"/>
    <cellStyle name="Output 2 45 7" xfId="35048"/>
    <cellStyle name="Output 2 46" xfId="1095"/>
    <cellStyle name="Output 2 46 2" xfId="6929"/>
    <cellStyle name="Output 2 46 2 2" xfId="11340"/>
    <cellStyle name="Output 2 46 2 3" xfId="19128"/>
    <cellStyle name="Output 2 46 2 3 2" xfId="35049"/>
    <cellStyle name="Output 2 46 2 4" xfId="35050"/>
    <cellStyle name="Output 2 46 2 5" xfId="35051"/>
    <cellStyle name="Output 2 46 2 6" xfId="35052"/>
    <cellStyle name="Output 2 46 3" xfId="8929"/>
    <cellStyle name="Output 2 46 4" xfId="19129"/>
    <cellStyle name="Output 2 46 4 2" xfId="35053"/>
    <cellStyle name="Output 2 46 5" xfId="35054"/>
    <cellStyle name="Output 2 46 6" xfId="35055"/>
    <cellStyle name="Output 2 46 7" xfId="35056"/>
    <cellStyle name="Output 2 47" xfId="1096"/>
    <cellStyle name="Output 2 47 2" xfId="6930"/>
    <cellStyle name="Output 2 47 2 2" xfId="11341"/>
    <cellStyle name="Output 2 47 2 3" xfId="19130"/>
    <cellStyle name="Output 2 47 2 3 2" xfId="35057"/>
    <cellStyle name="Output 2 47 2 4" xfId="35058"/>
    <cellStyle name="Output 2 47 2 5" xfId="35059"/>
    <cellStyle name="Output 2 47 2 6" xfId="35060"/>
    <cellStyle name="Output 2 47 3" xfId="8930"/>
    <cellStyle name="Output 2 47 4" xfId="19131"/>
    <cellStyle name="Output 2 47 4 2" xfId="35061"/>
    <cellStyle name="Output 2 47 5" xfId="35062"/>
    <cellStyle name="Output 2 47 6" xfId="35063"/>
    <cellStyle name="Output 2 47 7" xfId="35064"/>
    <cellStyle name="Output 2 48" xfId="1097"/>
    <cellStyle name="Output 2 48 2" xfId="6931"/>
    <cellStyle name="Output 2 48 2 2" xfId="11342"/>
    <cellStyle name="Output 2 48 2 3" xfId="19132"/>
    <cellStyle name="Output 2 48 2 3 2" xfId="35065"/>
    <cellStyle name="Output 2 48 2 4" xfId="35066"/>
    <cellStyle name="Output 2 48 2 5" xfId="35067"/>
    <cellStyle name="Output 2 48 2 6" xfId="35068"/>
    <cellStyle name="Output 2 48 3" xfId="8931"/>
    <cellStyle name="Output 2 48 4" xfId="19133"/>
    <cellStyle name="Output 2 48 4 2" xfId="35069"/>
    <cellStyle name="Output 2 48 5" xfId="35070"/>
    <cellStyle name="Output 2 48 6" xfId="35071"/>
    <cellStyle name="Output 2 48 7" xfId="35072"/>
    <cellStyle name="Output 2 49" xfId="1098"/>
    <cellStyle name="Output 2 49 2" xfId="6932"/>
    <cellStyle name="Output 2 49 2 2" xfId="11343"/>
    <cellStyle name="Output 2 49 2 3" xfId="19134"/>
    <cellStyle name="Output 2 49 2 3 2" xfId="35073"/>
    <cellStyle name="Output 2 49 2 4" xfId="35074"/>
    <cellStyle name="Output 2 49 2 5" xfId="35075"/>
    <cellStyle name="Output 2 49 2 6" xfId="35076"/>
    <cellStyle name="Output 2 49 3" xfId="8932"/>
    <cellStyle name="Output 2 49 4" xfId="19135"/>
    <cellStyle name="Output 2 49 4 2" xfId="35077"/>
    <cellStyle name="Output 2 49 5" xfId="35078"/>
    <cellStyle name="Output 2 49 6" xfId="35079"/>
    <cellStyle name="Output 2 49 7" xfId="35080"/>
    <cellStyle name="Output 2 5" xfId="1099"/>
    <cellStyle name="Output 2 5 2" xfId="6933"/>
    <cellStyle name="Output 2 5 2 2" xfId="11344"/>
    <cellStyle name="Output 2 5 2 3" xfId="19136"/>
    <cellStyle name="Output 2 5 2 3 2" xfId="35081"/>
    <cellStyle name="Output 2 5 2 4" xfId="35082"/>
    <cellStyle name="Output 2 5 2 5" xfId="35083"/>
    <cellStyle name="Output 2 5 2 6" xfId="35084"/>
    <cellStyle name="Output 2 5 3" xfId="8933"/>
    <cellStyle name="Output 2 5 4" xfId="19137"/>
    <cellStyle name="Output 2 5 4 2" xfId="35085"/>
    <cellStyle name="Output 2 5 5" xfId="35086"/>
    <cellStyle name="Output 2 5 6" xfId="35087"/>
    <cellStyle name="Output 2 5 7" xfId="35088"/>
    <cellStyle name="Output 2 50" xfId="1100"/>
    <cellStyle name="Output 2 50 2" xfId="6934"/>
    <cellStyle name="Output 2 50 2 2" xfId="11345"/>
    <cellStyle name="Output 2 50 2 3" xfId="19138"/>
    <cellStyle name="Output 2 50 2 3 2" xfId="35089"/>
    <cellStyle name="Output 2 50 2 4" xfId="35090"/>
    <cellStyle name="Output 2 50 2 5" xfId="35091"/>
    <cellStyle name="Output 2 50 2 6" xfId="35092"/>
    <cellStyle name="Output 2 50 3" xfId="8934"/>
    <cellStyle name="Output 2 50 4" xfId="19139"/>
    <cellStyle name="Output 2 50 4 2" xfId="35093"/>
    <cellStyle name="Output 2 50 5" xfId="35094"/>
    <cellStyle name="Output 2 50 6" xfId="35095"/>
    <cellStyle name="Output 2 50 7" xfId="35096"/>
    <cellStyle name="Output 2 51" xfId="1101"/>
    <cellStyle name="Output 2 51 2" xfId="6935"/>
    <cellStyle name="Output 2 51 2 2" xfId="11346"/>
    <cellStyle name="Output 2 51 2 3" xfId="19140"/>
    <cellStyle name="Output 2 51 2 3 2" xfId="35097"/>
    <cellStyle name="Output 2 51 2 4" xfId="35098"/>
    <cellStyle name="Output 2 51 2 5" xfId="35099"/>
    <cellStyle name="Output 2 51 2 6" xfId="35100"/>
    <cellStyle name="Output 2 51 3" xfId="8935"/>
    <cellStyle name="Output 2 51 4" xfId="19141"/>
    <cellStyle name="Output 2 51 4 2" xfId="35101"/>
    <cellStyle name="Output 2 51 5" xfId="35102"/>
    <cellStyle name="Output 2 51 6" xfId="35103"/>
    <cellStyle name="Output 2 51 7" xfId="35104"/>
    <cellStyle name="Output 2 52" xfId="1102"/>
    <cellStyle name="Output 2 52 2" xfId="6936"/>
    <cellStyle name="Output 2 52 2 2" xfId="11347"/>
    <cellStyle name="Output 2 52 2 3" xfId="19142"/>
    <cellStyle name="Output 2 52 2 3 2" xfId="35105"/>
    <cellStyle name="Output 2 52 2 4" xfId="35106"/>
    <cellStyle name="Output 2 52 2 5" xfId="35107"/>
    <cellStyle name="Output 2 52 2 6" xfId="35108"/>
    <cellStyle name="Output 2 52 3" xfId="8936"/>
    <cellStyle name="Output 2 52 4" xfId="19143"/>
    <cellStyle name="Output 2 52 4 2" xfId="35109"/>
    <cellStyle name="Output 2 52 5" xfId="35110"/>
    <cellStyle name="Output 2 52 6" xfId="35111"/>
    <cellStyle name="Output 2 52 7" xfId="35112"/>
    <cellStyle name="Output 2 53" xfId="1103"/>
    <cellStyle name="Output 2 53 2" xfId="6937"/>
    <cellStyle name="Output 2 53 2 2" xfId="11348"/>
    <cellStyle name="Output 2 53 2 3" xfId="19144"/>
    <cellStyle name="Output 2 53 2 3 2" xfId="35113"/>
    <cellStyle name="Output 2 53 2 4" xfId="35114"/>
    <cellStyle name="Output 2 53 2 5" xfId="35115"/>
    <cellStyle name="Output 2 53 2 6" xfId="35116"/>
    <cellStyle name="Output 2 53 3" xfId="8937"/>
    <cellStyle name="Output 2 53 4" xfId="19145"/>
    <cellStyle name="Output 2 53 4 2" xfId="35117"/>
    <cellStyle name="Output 2 53 5" xfId="35118"/>
    <cellStyle name="Output 2 53 6" xfId="35119"/>
    <cellStyle name="Output 2 53 7" xfId="35120"/>
    <cellStyle name="Output 2 54" xfId="1104"/>
    <cellStyle name="Output 2 54 2" xfId="6938"/>
    <cellStyle name="Output 2 54 2 2" xfId="11349"/>
    <cellStyle name="Output 2 54 2 3" xfId="19146"/>
    <cellStyle name="Output 2 54 2 3 2" xfId="35121"/>
    <cellStyle name="Output 2 54 2 4" xfId="35122"/>
    <cellStyle name="Output 2 54 2 5" xfId="35123"/>
    <cellStyle name="Output 2 54 2 6" xfId="35124"/>
    <cellStyle name="Output 2 54 3" xfId="8938"/>
    <cellStyle name="Output 2 54 4" xfId="19147"/>
    <cellStyle name="Output 2 54 4 2" xfId="35125"/>
    <cellStyle name="Output 2 54 5" xfId="35126"/>
    <cellStyle name="Output 2 54 6" xfId="35127"/>
    <cellStyle name="Output 2 54 7" xfId="35128"/>
    <cellStyle name="Output 2 55" xfId="1105"/>
    <cellStyle name="Output 2 55 2" xfId="6939"/>
    <cellStyle name="Output 2 55 2 2" xfId="11350"/>
    <cellStyle name="Output 2 55 2 3" xfId="19148"/>
    <cellStyle name="Output 2 55 2 3 2" xfId="35129"/>
    <cellStyle name="Output 2 55 2 4" xfId="35130"/>
    <cellStyle name="Output 2 55 2 5" xfId="35131"/>
    <cellStyle name="Output 2 55 2 6" xfId="35132"/>
    <cellStyle name="Output 2 55 3" xfId="8939"/>
    <cellStyle name="Output 2 55 4" xfId="19149"/>
    <cellStyle name="Output 2 55 4 2" xfId="35133"/>
    <cellStyle name="Output 2 55 5" xfId="35134"/>
    <cellStyle name="Output 2 55 6" xfId="35135"/>
    <cellStyle name="Output 2 55 7" xfId="35136"/>
    <cellStyle name="Output 2 56" xfId="1106"/>
    <cellStyle name="Output 2 56 2" xfId="6940"/>
    <cellStyle name="Output 2 56 2 2" xfId="11351"/>
    <cellStyle name="Output 2 56 2 3" xfId="19150"/>
    <cellStyle name="Output 2 56 2 3 2" xfId="35137"/>
    <cellStyle name="Output 2 56 2 4" xfId="35138"/>
    <cellStyle name="Output 2 56 2 5" xfId="35139"/>
    <cellStyle name="Output 2 56 2 6" xfId="35140"/>
    <cellStyle name="Output 2 56 3" xfId="8940"/>
    <cellStyle name="Output 2 56 4" xfId="19151"/>
    <cellStyle name="Output 2 56 4 2" xfId="35141"/>
    <cellStyle name="Output 2 56 5" xfId="35142"/>
    <cellStyle name="Output 2 56 6" xfId="35143"/>
    <cellStyle name="Output 2 56 7" xfId="35144"/>
    <cellStyle name="Output 2 57" xfId="1107"/>
    <cellStyle name="Output 2 57 2" xfId="6941"/>
    <cellStyle name="Output 2 57 2 2" xfId="11352"/>
    <cellStyle name="Output 2 57 2 3" xfId="19152"/>
    <cellStyle name="Output 2 57 2 3 2" xfId="35145"/>
    <cellStyle name="Output 2 57 2 4" xfId="35146"/>
    <cellStyle name="Output 2 57 2 5" xfId="35147"/>
    <cellStyle name="Output 2 57 2 6" xfId="35148"/>
    <cellStyle name="Output 2 57 3" xfId="8941"/>
    <cellStyle name="Output 2 57 4" xfId="19153"/>
    <cellStyle name="Output 2 57 4 2" xfId="35149"/>
    <cellStyle name="Output 2 57 5" xfId="35150"/>
    <cellStyle name="Output 2 57 6" xfId="35151"/>
    <cellStyle name="Output 2 57 7" xfId="35152"/>
    <cellStyle name="Output 2 58" xfId="1108"/>
    <cellStyle name="Output 2 58 2" xfId="6942"/>
    <cellStyle name="Output 2 58 2 2" xfId="11353"/>
    <cellStyle name="Output 2 58 2 3" xfId="19154"/>
    <cellStyle name="Output 2 58 2 3 2" xfId="35153"/>
    <cellStyle name="Output 2 58 2 4" xfId="35154"/>
    <cellStyle name="Output 2 58 2 5" xfId="35155"/>
    <cellStyle name="Output 2 58 2 6" xfId="35156"/>
    <cellStyle name="Output 2 58 3" xfId="8942"/>
    <cellStyle name="Output 2 58 4" xfId="19155"/>
    <cellStyle name="Output 2 58 4 2" xfId="35157"/>
    <cellStyle name="Output 2 58 5" xfId="35158"/>
    <cellStyle name="Output 2 58 6" xfId="35159"/>
    <cellStyle name="Output 2 58 7" xfId="35160"/>
    <cellStyle name="Output 2 59" xfId="1109"/>
    <cellStyle name="Output 2 59 2" xfId="6943"/>
    <cellStyle name="Output 2 59 2 2" xfId="11354"/>
    <cellStyle name="Output 2 59 2 3" xfId="19156"/>
    <cellStyle name="Output 2 59 2 3 2" xfId="35161"/>
    <cellStyle name="Output 2 59 2 4" xfId="35162"/>
    <cellStyle name="Output 2 59 2 5" xfId="35163"/>
    <cellStyle name="Output 2 59 2 6" xfId="35164"/>
    <cellStyle name="Output 2 59 3" xfId="8943"/>
    <cellStyle name="Output 2 59 4" xfId="19157"/>
    <cellStyle name="Output 2 59 4 2" xfId="35165"/>
    <cellStyle name="Output 2 59 5" xfId="35166"/>
    <cellStyle name="Output 2 59 6" xfId="35167"/>
    <cellStyle name="Output 2 59 7" xfId="35168"/>
    <cellStyle name="Output 2 6" xfId="1110"/>
    <cellStyle name="Output 2 6 2" xfId="6944"/>
    <cellStyle name="Output 2 6 2 2" xfId="11355"/>
    <cellStyle name="Output 2 6 2 3" xfId="19158"/>
    <cellStyle name="Output 2 6 2 3 2" xfId="35169"/>
    <cellStyle name="Output 2 6 2 4" xfId="35170"/>
    <cellStyle name="Output 2 6 2 5" xfId="35171"/>
    <cellStyle name="Output 2 6 2 6" xfId="35172"/>
    <cellStyle name="Output 2 6 3" xfId="8944"/>
    <cellStyle name="Output 2 6 4" xfId="19159"/>
    <cellStyle name="Output 2 6 4 2" xfId="35173"/>
    <cellStyle name="Output 2 6 5" xfId="35174"/>
    <cellStyle name="Output 2 6 6" xfId="35175"/>
    <cellStyle name="Output 2 6 7" xfId="35176"/>
    <cellStyle name="Output 2 60" xfId="1111"/>
    <cellStyle name="Output 2 60 2" xfId="6945"/>
    <cellStyle name="Output 2 60 2 2" xfId="11356"/>
    <cellStyle name="Output 2 60 2 3" xfId="19160"/>
    <cellStyle name="Output 2 60 2 3 2" xfId="35177"/>
    <cellStyle name="Output 2 60 2 4" xfId="35178"/>
    <cellStyle name="Output 2 60 2 5" xfId="35179"/>
    <cellStyle name="Output 2 60 2 6" xfId="35180"/>
    <cellStyle name="Output 2 60 3" xfId="8945"/>
    <cellStyle name="Output 2 60 4" xfId="19161"/>
    <cellStyle name="Output 2 60 4 2" xfId="35181"/>
    <cellStyle name="Output 2 60 5" xfId="35182"/>
    <cellStyle name="Output 2 60 6" xfId="35183"/>
    <cellStyle name="Output 2 60 7" xfId="35184"/>
    <cellStyle name="Output 2 61" xfId="1112"/>
    <cellStyle name="Output 2 61 2" xfId="6946"/>
    <cellStyle name="Output 2 61 2 2" xfId="11357"/>
    <cellStyle name="Output 2 61 2 3" xfId="19162"/>
    <cellStyle name="Output 2 61 2 3 2" xfId="35185"/>
    <cellStyle name="Output 2 61 2 4" xfId="35186"/>
    <cellStyle name="Output 2 61 2 5" xfId="35187"/>
    <cellStyle name="Output 2 61 2 6" xfId="35188"/>
    <cellStyle name="Output 2 61 3" xfId="8946"/>
    <cellStyle name="Output 2 61 4" xfId="19163"/>
    <cellStyle name="Output 2 61 4 2" xfId="35189"/>
    <cellStyle name="Output 2 61 5" xfId="35190"/>
    <cellStyle name="Output 2 61 6" xfId="35191"/>
    <cellStyle name="Output 2 61 7" xfId="35192"/>
    <cellStyle name="Output 2 62" xfId="1113"/>
    <cellStyle name="Output 2 62 2" xfId="6947"/>
    <cellStyle name="Output 2 62 2 2" xfId="11358"/>
    <cellStyle name="Output 2 62 2 3" xfId="19164"/>
    <cellStyle name="Output 2 62 2 3 2" xfId="35193"/>
    <cellStyle name="Output 2 62 2 4" xfId="35194"/>
    <cellStyle name="Output 2 62 2 5" xfId="35195"/>
    <cellStyle name="Output 2 62 2 6" xfId="35196"/>
    <cellStyle name="Output 2 62 3" xfId="8947"/>
    <cellStyle name="Output 2 62 4" xfId="19165"/>
    <cellStyle name="Output 2 62 4 2" xfId="35197"/>
    <cellStyle name="Output 2 62 5" xfId="35198"/>
    <cellStyle name="Output 2 62 6" xfId="35199"/>
    <cellStyle name="Output 2 62 7" xfId="35200"/>
    <cellStyle name="Output 2 63" xfId="1114"/>
    <cellStyle name="Output 2 63 2" xfId="6948"/>
    <cellStyle name="Output 2 63 2 2" xfId="11359"/>
    <cellStyle name="Output 2 63 2 3" xfId="19166"/>
    <cellStyle name="Output 2 63 2 3 2" xfId="35201"/>
    <cellStyle name="Output 2 63 2 4" xfId="35202"/>
    <cellStyle name="Output 2 63 2 5" xfId="35203"/>
    <cellStyle name="Output 2 63 2 6" xfId="35204"/>
    <cellStyle name="Output 2 63 3" xfId="8948"/>
    <cellStyle name="Output 2 63 4" xfId="19167"/>
    <cellStyle name="Output 2 63 4 2" xfId="35205"/>
    <cellStyle name="Output 2 63 5" xfId="35206"/>
    <cellStyle name="Output 2 63 6" xfId="35207"/>
    <cellStyle name="Output 2 63 7" xfId="35208"/>
    <cellStyle name="Output 2 64" xfId="1115"/>
    <cellStyle name="Output 2 64 2" xfId="6949"/>
    <cellStyle name="Output 2 64 2 2" xfId="11360"/>
    <cellStyle name="Output 2 64 2 3" xfId="19168"/>
    <cellStyle name="Output 2 64 2 3 2" xfId="35209"/>
    <cellStyle name="Output 2 64 2 4" xfId="35210"/>
    <cellStyle name="Output 2 64 2 5" xfId="35211"/>
    <cellStyle name="Output 2 64 2 6" xfId="35212"/>
    <cellStyle name="Output 2 64 3" xfId="8949"/>
    <cellStyle name="Output 2 64 4" xfId="19169"/>
    <cellStyle name="Output 2 64 4 2" xfId="35213"/>
    <cellStyle name="Output 2 64 5" xfId="35214"/>
    <cellStyle name="Output 2 64 6" xfId="35215"/>
    <cellStyle name="Output 2 64 7" xfId="35216"/>
    <cellStyle name="Output 2 65" xfId="1116"/>
    <cellStyle name="Output 2 65 2" xfId="6950"/>
    <cellStyle name="Output 2 65 2 2" xfId="11361"/>
    <cellStyle name="Output 2 65 2 3" xfId="19170"/>
    <cellStyle name="Output 2 65 2 3 2" xfId="35217"/>
    <cellStyle name="Output 2 65 2 4" xfId="35218"/>
    <cellStyle name="Output 2 65 2 5" xfId="35219"/>
    <cellStyle name="Output 2 65 2 6" xfId="35220"/>
    <cellStyle name="Output 2 65 3" xfId="8950"/>
    <cellStyle name="Output 2 65 4" xfId="19171"/>
    <cellStyle name="Output 2 65 4 2" xfId="35221"/>
    <cellStyle name="Output 2 65 5" xfId="35222"/>
    <cellStyle name="Output 2 65 6" xfId="35223"/>
    <cellStyle name="Output 2 65 7" xfId="35224"/>
    <cellStyle name="Output 2 66" xfId="1117"/>
    <cellStyle name="Output 2 66 2" xfId="6951"/>
    <cellStyle name="Output 2 66 2 2" xfId="11362"/>
    <cellStyle name="Output 2 66 2 3" xfId="19172"/>
    <cellStyle name="Output 2 66 2 3 2" xfId="35225"/>
    <cellStyle name="Output 2 66 2 4" xfId="35226"/>
    <cellStyle name="Output 2 66 2 5" xfId="35227"/>
    <cellStyle name="Output 2 66 2 6" xfId="35228"/>
    <cellStyle name="Output 2 66 3" xfId="8951"/>
    <cellStyle name="Output 2 66 4" xfId="19173"/>
    <cellStyle name="Output 2 66 4 2" xfId="35229"/>
    <cellStyle name="Output 2 66 5" xfId="35230"/>
    <cellStyle name="Output 2 66 6" xfId="35231"/>
    <cellStyle name="Output 2 66 7" xfId="35232"/>
    <cellStyle name="Output 2 67" xfId="1118"/>
    <cellStyle name="Output 2 67 2" xfId="6952"/>
    <cellStyle name="Output 2 67 2 2" xfId="11363"/>
    <cellStyle name="Output 2 67 2 3" xfId="19174"/>
    <cellStyle name="Output 2 67 2 3 2" xfId="35233"/>
    <cellStyle name="Output 2 67 2 4" xfId="35234"/>
    <cellStyle name="Output 2 67 2 5" xfId="35235"/>
    <cellStyle name="Output 2 67 2 6" xfId="35236"/>
    <cellStyle name="Output 2 67 3" xfId="8952"/>
    <cellStyle name="Output 2 67 4" xfId="19175"/>
    <cellStyle name="Output 2 67 4 2" xfId="35237"/>
    <cellStyle name="Output 2 67 5" xfId="35238"/>
    <cellStyle name="Output 2 67 6" xfId="35239"/>
    <cellStyle name="Output 2 67 7" xfId="35240"/>
    <cellStyle name="Output 2 68" xfId="1119"/>
    <cellStyle name="Output 2 68 2" xfId="6953"/>
    <cellStyle name="Output 2 68 2 2" xfId="11364"/>
    <cellStyle name="Output 2 68 2 3" xfId="19176"/>
    <cellStyle name="Output 2 68 2 3 2" xfId="35241"/>
    <cellStyle name="Output 2 68 2 4" xfId="35242"/>
    <cellStyle name="Output 2 68 2 5" xfId="35243"/>
    <cellStyle name="Output 2 68 2 6" xfId="35244"/>
    <cellStyle name="Output 2 68 3" xfId="8953"/>
    <cellStyle name="Output 2 68 4" xfId="19177"/>
    <cellStyle name="Output 2 68 4 2" xfId="35245"/>
    <cellStyle name="Output 2 68 5" xfId="35246"/>
    <cellStyle name="Output 2 68 6" xfId="35247"/>
    <cellStyle name="Output 2 68 7" xfId="35248"/>
    <cellStyle name="Output 2 69" xfId="1120"/>
    <cellStyle name="Output 2 69 2" xfId="6954"/>
    <cellStyle name="Output 2 69 2 2" xfId="11365"/>
    <cellStyle name="Output 2 69 2 3" xfId="19178"/>
    <cellStyle name="Output 2 69 2 3 2" xfId="35249"/>
    <cellStyle name="Output 2 69 2 4" xfId="35250"/>
    <cellStyle name="Output 2 69 2 5" xfId="35251"/>
    <cellStyle name="Output 2 69 2 6" xfId="35252"/>
    <cellStyle name="Output 2 69 3" xfId="8954"/>
    <cellStyle name="Output 2 69 4" xfId="19179"/>
    <cellStyle name="Output 2 69 4 2" xfId="35253"/>
    <cellStyle name="Output 2 69 5" xfId="35254"/>
    <cellStyle name="Output 2 69 6" xfId="35255"/>
    <cellStyle name="Output 2 69 7" xfId="35256"/>
    <cellStyle name="Output 2 7" xfId="1121"/>
    <cellStyle name="Output 2 7 2" xfId="6955"/>
    <cellStyle name="Output 2 7 2 2" xfId="11366"/>
    <cellStyle name="Output 2 7 2 3" xfId="19180"/>
    <cellStyle name="Output 2 7 2 3 2" xfId="35257"/>
    <cellStyle name="Output 2 7 2 4" xfId="35258"/>
    <cellStyle name="Output 2 7 2 5" xfId="35259"/>
    <cellStyle name="Output 2 7 2 6" xfId="35260"/>
    <cellStyle name="Output 2 7 3" xfId="8955"/>
    <cellStyle name="Output 2 7 4" xfId="19181"/>
    <cellStyle name="Output 2 7 4 2" xfId="35261"/>
    <cellStyle name="Output 2 7 5" xfId="35262"/>
    <cellStyle name="Output 2 7 6" xfId="35263"/>
    <cellStyle name="Output 2 7 7" xfId="35264"/>
    <cellStyle name="Output 2 70" xfId="1122"/>
    <cellStyle name="Output 2 70 2" xfId="6956"/>
    <cellStyle name="Output 2 70 2 2" xfId="11367"/>
    <cellStyle name="Output 2 70 2 3" xfId="19182"/>
    <cellStyle name="Output 2 70 2 3 2" xfId="35265"/>
    <cellStyle name="Output 2 70 2 4" xfId="35266"/>
    <cellStyle name="Output 2 70 2 5" xfId="35267"/>
    <cellStyle name="Output 2 70 2 6" xfId="35268"/>
    <cellStyle name="Output 2 70 3" xfId="8956"/>
    <cellStyle name="Output 2 70 4" xfId="19183"/>
    <cellStyle name="Output 2 70 4 2" xfId="35269"/>
    <cellStyle name="Output 2 70 5" xfId="35270"/>
    <cellStyle name="Output 2 70 6" xfId="35271"/>
    <cellStyle name="Output 2 70 7" xfId="35272"/>
    <cellStyle name="Output 2 71" xfId="1123"/>
    <cellStyle name="Output 2 71 2" xfId="6957"/>
    <cellStyle name="Output 2 71 2 2" xfId="11368"/>
    <cellStyle name="Output 2 71 2 3" xfId="19184"/>
    <cellStyle name="Output 2 71 2 3 2" xfId="35273"/>
    <cellStyle name="Output 2 71 2 4" xfId="35274"/>
    <cellStyle name="Output 2 71 2 5" xfId="35275"/>
    <cellStyle name="Output 2 71 2 6" xfId="35276"/>
    <cellStyle name="Output 2 71 3" xfId="8957"/>
    <cellStyle name="Output 2 71 4" xfId="19185"/>
    <cellStyle name="Output 2 71 4 2" xfId="35277"/>
    <cellStyle name="Output 2 71 5" xfId="35278"/>
    <cellStyle name="Output 2 71 6" xfId="35279"/>
    <cellStyle name="Output 2 71 7" xfId="35280"/>
    <cellStyle name="Output 2 72" xfId="1124"/>
    <cellStyle name="Output 2 72 2" xfId="6958"/>
    <cellStyle name="Output 2 72 2 2" xfId="11369"/>
    <cellStyle name="Output 2 72 2 3" xfId="19186"/>
    <cellStyle name="Output 2 72 2 3 2" xfId="35281"/>
    <cellStyle name="Output 2 72 2 4" xfId="35282"/>
    <cellStyle name="Output 2 72 2 5" xfId="35283"/>
    <cellStyle name="Output 2 72 2 6" xfId="35284"/>
    <cellStyle name="Output 2 72 3" xfId="8958"/>
    <cellStyle name="Output 2 72 4" xfId="19187"/>
    <cellStyle name="Output 2 72 4 2" xfId="35285"/>
    <cellStyle name="Output 2 72 5" xfId="35286"/>
    <cellStyle name="Output 2 72 6" xfId="35287"/>
    <cellStyle name="Output 2 72 7" xfId="35288"/>
    <cellStyle name="Output 2 73" xfId="1125"/>
    <cellStyle name="Output 2 73 2" xfId="6959"/>
    <cellStyle name="Output 2 73 2 2" xfId="11370"/>
    <cellStyle name="Output 2 73 2 3" xfId="19188"/>
    <cellStyle name="Output 2 73 2 3 2" xfId="35289"/>
    <cellStyle name="Output 2 73 2 4" xfId="35290"/>
    <cellStyle name="Output 2 73 2 5" xfId="35291"/>
    <cellStyle name="Output 2 73 2 6" xfId="35292"/>
    <cellStyle name="Output 2 73 3" xfId="8959"/>
    <cellStyle name="Output 2 73 4" xfId="19189"/>
    <cellStyle name="Output 2 73 4 2" xfId="35293"/>
    <cellStyle name="Output 2 73 5" xfId="35294"/>
    <cellStyle name="Output 2 73 6" xfId="35295"/>
    <cellStyle name="Output 2 73 7" xfId="35296"/>
    <cellStyle name="Output 2 74" xfId="1126"/>
    <cellStyle name="Output 2 74 2" xfId="6960"/>
    <cellStyle name="Output 2 74 2 2" xfId="11371"/>
    <cellStyle name="Output 2 74 2 3" xfId="19190"/>
    <cellStyle name="Output 2 74 2 3 2" xfId="35297"/>
    <cellStyle name="Output 2 74 2 4" xfId="35298"/>
    <cellStyle name="Output 2 74 2 5" xfId="35299"/>
    <cellStyle name="Output 2 74 2 6" xfId="35300"/>
    <cellStyle name="Output 2 74 3" xfId="8960"/>
    <cellStyle name="Output 2 74 4" xfId="19191"/>
    <cellStyle name="Output 2 74 4 2" xfId="35301"/>
    <cellStyle name="Output 2 74 5" xfId="35302"/>
    <cellStyle name="Output 2 74 6" xfId="35303"/>
    <cellStyle name="Output 2 74 7" xfId="35304"/>
    <cellStyle name="Output 2 75" xfId="1127"/>
    <cellStyle name="Output 2 75 2" xfId="6961"/>
    <cellStyle name="Output 2 75 2 2" xfId="11372"/>
    <cellStyle name="Output 2 75 2 3" xfId="19192"/>
    <cellStyle name="Output 2 75 2 3 2" xfId="35305"/>
    <cellStyle name="Output 2 75 2 4" xfId="35306"/>
    <cellStyle name="Output 2 75 2 5" xfId="35307"/>
    <cellStyle name="Output 2 75 2 6" xfId="35308"/>
    <cellStyle name="Output 2 75 3" xfId="8961"/>
    <cellStyle name="Output 2 75 4" xfId="19193"/>
    <cellStyle name="Output 2 75 4 2" xfId="35309"/>
    <cellStyle name="Output 2 75 5" xfId="35310"/>
    <cellStyle name="Output 2 75 6" xfId="35311"/>
    <cellStyle name="Output 2 75 7" xfId="35312"/>
    <cellStyle name="Output 2 76" xfId="1128"/>
    <cellStyle name="Output 2 76 2" xfId="6962"/>
    <cellStyle name="Output 2 76 2 2" xfId="11373"/>
    <cellStyle name="Output 2 76 2 3" xfId="19194"/>
    <cellStyle name="Output 2 76 2 3 2" xfId="35313"/>
    <cellStyle name="Output 2 76 2 4" xfId="35314"/>
    <cellStyle name="Output 2 76 2 5" xfId="35315"/>
    <cellStyle name="Output 2 76 2 6" xfId="35316"/>
    <cellStyle name="Output 2 76 3" xfId="8962"/>
    <cellStyle name="Output 2 76 4" xfId="19195"/>
    <cellStyle name="Output 2 76 4 2" xfId="35317"/>
    <cellStyle name="Output 2 76 5" xfId="35318"/>
    <cellStyle name="Output 2 76 6" xfId="35319"/>
    <cellStyle name="Output 2 76 7" xfId="35320"/>
    <cellStyle name="Output 2 77" xfId="1129"/>
    <cellStyle name="Output 2 77 2" xfId="6963"/>
    <cellStyle name="Output 2 77 2 2" xfId="11374"/>
    <cellStyle name="Output 2 77 2 3" xfId="19196"/>
    <cellStyle name="Output 2 77 2 3 2" xfId="35321"/>
    <cellStyle name="Output 2 77 2 4" xfId="35322"/>
    <cellStyle name="Output 2 77 2 5" xfId="35323"/>
    <cellStyle name="Output 2 77 2 6" xfId="35324"/>
    <cellStyle name="Output 2 77 3" xfId="8963"/>
    <cellStyle name="Output 2 77 4" xfId="19197"/>
    <cellStyle name="Output 2 77 4 2" xfId="35325"/>
    <cellStyle name="Output 2 77 5" xfId="35326"/>
    <cellStyle name="Output 2 77 6" xfId="35327"/>
    <cellStyle name="Output 2 77 7" xfId="35328"/>
    <cellStyle name="Output 2 78" xfId="1130"/>
    <cellStyle name="Output 2 78 2" xfId="6964"/>
    <cellStyle name="Output 2 78 2 2" xfId="11375"/>
    <cellStyle name="Output 2 78 2 3" xfId="19198"/>
    <cellStyle name="Output 2 78 2 3 2" xfId="35329"/>
    <cellStyle name="Output 2 78 2 4" xfId="35330"/>
    <cellStyle name="Output 2 78 2 5" xfId="35331"/>
    <cellStyle name="Output 2 78 2 6" xfId="35332"/>
    <cellStyle name="Output 2 78 3" xfId="8964"/>
    <cellStyle name="Output 2 78 4" xfId="19199"/>
    <cellStyle name="Output 2 78 4 2" xfId="35333"/>
    <cellStyle name="Output 2 78 5" xfId="35334"/>
    <cellStyle name="Output 2 78 6" xfId="35335"/>
    <cellStyle name="Output 2 78 7" xfId="35336"/>
    <cellStyle name="Output 2 79" xfId="1131"/>
    <cellStyle name="Output 2 79 2" xfId="6965"/>
    <cellStyle name="Output 2 79 2 2" xfId="11376"/>
    <cellStyle name="Output 2 79 2 3" xfId="19200"/>
    <cellStyle name="Output 2 79 2 3 2" xfId="35337"/>
    <cellStyle name="Output 2 79 2 4" xfId="35338"/>
    <cellStyle name="Output 2 79 2 5" xfId="35339"/>
    <cellStyle name="Output 2 79 2 6" xfId="35340"/>
    <cellStyle name="Output 2 79 3" xfId="8965"/>
    <cellStyle name="Output 2 79 4" xfId="19201"/>
    <cellStyle name="Output 2 79 4 2" xfId="35341"/>
    <cellStyle name="Output 2 79 5" xfId="35342"/>
    <cellStyle name="Output 2 79 6" xfId="35343"/>
    <cellStyle name="Output 2 79 7" xfId="35344"/>
    <cellStyle name="Output 2 8" xfId="1132"/>
    <cellStyle name="Output 2 8 2" xfId="6966"/>
    <cellStyle name="Output 2 8 2 2" xfId="11377"/>
    <cellStyle name="Output 2 8 2 3" xfId="19202"/>
    <cellStyle name="Output 2 8 2 3 2" xfId="35345"/>
    <cellStyle name="Output 2 8 2 4" xfId="35346"/>
    <cellStyle name="Output 2 8 2 5" xfId="35347"/>
    <cellStyle name="Output 2 8 2 6" xfId="35348"/>
    <cellStyle name="Output 2 8 3" xfId="8966"/>
    <cellStyle name="Output 2 8 4" xfId="19203"/>
    <cellStyle name="Output 2 8 4 2" xfId="35349"/>
    <cellStyle name="Output 2 8 5" xfId="35350"/>
    <cellStyle name="Output 2 8 6" xfId="35351"/>
    <cellStyle name="Output 2 8 7" xfId="35352"/>
    <cellStyle name="Output 2 80" xfId="1133"/>
    <cellStyle name="Output 2 80 2" xfId="6967"/>
    <cellStyle name="Output 2 80 2 2" xfId="11378"/>
    <cellStyle name="Output 2 80 2 3" xfId="19204"/>
    <cellStyle name="Output 2 80 2 3 2" xfId="35353"/>
    <cellStyle name="Output 2 80 2 4" xfId="35354"/>
    <cellStyle name="Output 2 80 2 5" xfId="35355"/>
    <cellStyle name="Output 2 80 2 6" xfId="35356"/>
    <cellStyle name="Output 2 80 3" xfId="8967"/>
    <cellStyle name="Output 2 80 4" xfId="19205"/>
    <cellStyle name="Output 2 80 4 2" xfId="35357"/>
    <cellStyle name="Output 2 80 5" xfId="35358"/>
    <cellStyle name="Output 2 80 6" xfId="35359"/>
    <cellStyle name="Output 2 80 7" xfId="35360"/>
    <cellStyle name="Output 2 81" xfId="6968"/>
    <cellStyle name="Output 2 81 2" xfId="11300"/>
    <cellStyle name="Output 2 81 3" xfId="19206"/>
    <cellStyle name="Output 2 81 3 2" xfId="35361"/>
    <cellStyle name="Output 2 81 4" xfId="35362"/>
    <cellStyle name="Output 2 81 5" xfId="35363"/>
    <cellStyle name="Output 2 81 6" xfId="35364"/>
    <cellStyle name="Output 2 82" xfId="8889"/>
    <cellStyle name="Output 2 83" xfId="19207"/>
    <cellStyle name="Output 2 83 2" xfId="35365"/>
    <cellStyle name="Output 2 84" xfId="35366"/>
    <cellStyle name="Output 2 85" xfId="35367"/>
    <cellStyle name="Output 2 86" xfId="35368"/>
    <cellStyle name="Output 2 9" xfId="1134"/>
    <cellStyle name="Output 2 9 2" xfId="6969"/>
    <cellStyle name="Output 2 9 2 2" xfId="11379"/>
    <cellStyle name="Output 2 9 2 3" xfId="19208"/>
    <cellStyle name="Output 2 9 2 3 2" xfId="35369"/>
    <cellStyle name="Output 2 9 2 4" xfId="35370"/>
    <cellStyle name="Output 2 9 2 5" xfId="35371"/>
    <cellStyle name="Output 2 9 2 6" xfId="35372"/>
    <cellStyle name="Output 2 9 3" xfId="8968"/>
    <cellStyle name="Output 2 9 4" xfId="19209"/>
    <cellStyle name="Output 2 9 4 2" xfId="35373"/>
    <cellStyle name="Output 2 9 5" xfId="35374"/>
    <cellStyle name="Output 2 9 6" xfId="35375"/>
    <cellStyle name="Output 2 9 7" xfId="35376"/>
    <cellStyle name="Output 20" xfId="1135"/>
    <cellStyle name="Output 20 2" xfId="6970"/>
    <cellStyle name="Output 20 2 2" xfId="11380"/>
    <cellStyle name="Output 20 2 3" xfId="19210"/>
    <cellStyle name="Output 20 2 3 2" xfId="35377"/>
    <cellStyle name="Output 20 2 4" xfId="35378"/>
    <cellStyle name="Output 20 2 5" xfId="35379"/>
    <cellStyle name="Output 20 2 6" xfId="35380"/>
    <cellStyle name="Output 20 3" xfId="8969"/>
    <cellStyle name="Output 20 4" xfId="19211"/>
    <cellStyle name="Output 20 4 2" xfId="35381"/>
    <cellStyle name="Output 20 5" xfId="35382"/>
    <cellStyle name="Output 20 6" xfId="35383"/>
    <cellStyle name="Output 20 7" xfId="35384"/>
    <cellStyle name="Output 21" xfId="1136"/>
    <cellStyle name="Output 21 2" xfId="6971"/>
    <cellStyle name="Output 21 2 2" xfId="11381"/>
    <cellStyle name="Output 21 2 3" xfId="19212"/>
    <cellStyle name="Output 21 2 3 2" xfId="35385"/>
    <cellStyle name="Output 21 2 4" xfId="35386"/>
    <cellStyle name="Output 21 2 5" xfId="35387"/>
    <cellStyle name="Output 21 2 6" xfId="35388"/>
    <cellStyle name="Output 21 3" xfId="8970"/>
    <cellStyle name="Output 21 4" xfId="19213"/>
    <cellStyle name="Output 21 4 2" xfId="35389"/>
    <cellStyle name="Output 21 5" xfId="35390"/>
    <cellStyle name="Output 21 6" xfId="35391"/>
    <cellStyle name="Output 21 7" xfId="35392"/>
    <cellStyle name="Output 22" xfId="1137"/>
    <cellStyle name="Output 22 2" xfId="6972"/>
    <cellStyle name="Output 22 2 2" xfId="11382"/>
    <cellStyle name="Output 22 2 3" xfId="19214"/>
    <cellStyle name="Output 22 2 3 2" xfId="35393"/>
    <cellStyle name="Output 22 2 4" xfId="35394"/>
    <cellStyle name="Output 22 2 5" xfId="35395"/>
    <cellStyle name="Output 22 2 6" xfId="35396"/>
    <cellStyle name="Output 22 3" xfId="8971"/>
    <cellStyle name="Output 22 4" xfId="19215"/>
    <cellStyle name="Output 22 4 2" xfId="35397"/>
    <cellStyle name="Output 22 5" xfId="35398"/>
    <cellStyle name="Output 22 6" xfId="35399"/>
    <cellStyle name="Output 22 7" xfId="35400"/>
    <cellStyle name="Output 23" xfId="1138"/>
    <cellStyle name="Output 23 2" xfId="6973"/>
    <cellStyle name="Output 23 2 2" xfId="11383"/>
    <cellStyle name="Output 23 2 3" xfId="19216"/>
    <cellStyle name="Output 23 2 3 2" xfId="35401"/>
    <cellStyle name="Output 23 2 4" xfId="35402"/>
    <cellStyle name="Output 23 2 5" xfId="35403"/>
    <cellStyle name="Output 23 2 6" xfId="35404"/>
    <cellStyle name="Output 23 3" xfId="8972"/>
    <cellStyle name="Output 23 4" xfId="19217"/>
    <cellStyle name="Output 23 4 2" xfId="35405"/>
    <cellStyle name="Output 23 5" xfId="35406"/>
    <cellStyle name="Output 23 6" xfId="35407"/>
    <cellStyle name="Output 23 7" xfId="35408"/>
    <cellStyle name="Output 24" xfId="1139"/>
    <cellStyle name="Output 24 2" xfId="6974"/>
    <cellStyle name="Output 24 2 2" xfId="11384"/>
    <cellStyle name="Output 24 2 3" xfId="19218"/>
    <cellStyle name="Output 24 2 3 2" xfId="35409"/>
    <cellStyle name="Output 24 2 4" xfId="35410"/>
    <cellStyle name="Output 24 2 5" xfId="35411"/>
    <cellStyle name="Output 24 2 6" xfId="35412"/>
    <cellStyle name="Output 24 3" xfId="8973"/>
    <cellStyle name="Output 24 4" xfId="19219"/>
    <cellStyle name="Output 24 4 2" xfId="35413"/>
    <cellStyle name="Output 24 5" xfId="35414"/>
    <cellStyle name="Output 24 6" xfId="35415"/>
    <cellStyle name="Output 24 7" xfId="35416"/>
    <cellStyle name="Output 25" xfId="1140"/>
    <cellStyle name="Output 25 2" xfId="6975"/>
    <cellStyle name="Output 25 2 2" xfId="11385"/>
    <cellStyle name="Output 25 2 3" xfId="19220"/>
    <cellStyle name="Output 25 2 3 2" xfId="35417"/>
    <cellStyle name="Output 25 2 4" xfId="35418"/>
    <cellStyle name="Output 25 2 5" xfId="35419"/>
    <cellStyle name="Output 25 2 6" xfId="35420"/>
    <cellStyle name="Output 25 3" xfId="8974"/>
    <cellStyle name="Output 25 4" xfId="19221"/>
    <cellStyle name="Output 25 4 2" xfId="35421"/>
    <cellStyle name="Output 25 5" xfId="35422"/>
    <cellStyle name="Output 25 6" xfId="35423"/>
    <cellStyle name="Output 25 7" xfId="35424"/>
    <cellStyle name="Output 26" xfId="1141"/>
    <cellStyle name="Output 26 2" xfId="6976"/>
    <cellStyle name="Output 26 2 2" xfId="11386"/>
    <cellStyle name="Output 26 2 3" xfId="19222"/>
    <cellStyle name="Output 26 2 3 2" xfId="35425"/>
    <cellStyle name="Output 26 2 4" xfId="35426"/>
    <cellStyle name="Output 26 2 5" xfId="35427"/>
    <cellStyle name="Output 26 2 6" xfId="35428"/>
    <cellStyle name="Output 26 3" xfId="8975"/>
    <cellStyle name="Output 26 4" xfId="19223"/>
    <cellStyle name="Output 26 4 2" xfId="35429"/>
    <cellStyle name="Output 26 5" xfId="35430"/>
    <cellStyle name="Output 26 6" xfId="35431"/>
    <cellStyle name="Output 26 7" xfId="35432"/>
    <cellStyle name="Output 27" xfId="1142"/>
    <cellStyle name="Output 27 2" xfId="6977"/>
    <cellStyle name="Output 27 2 2" xfId="11387"/>
    <cellStyle name="Output 27 2 3" xfId="19224"/>
    <cellStyle name="Output 27 2 3 2" xfId="35433"/>
    <cellStyle name="Output 27 2 4" xfId="35434"/>
    <cellStyle name="Output 27 2 5" xfId="35435"/>
    <cellStyle name="Output 27 2 6" xfId="35436"/>
    <cellStyle name="Output 27 3" xfId="8976"/>
    <cellStyle name="Output 27 4" xfId="19225"/>
    <cellStyle name="Output 27 4 2" xfId="35437"/>
    <cellStyle name="Output 27 5" xfId="35438"/>
    <cellStyle name="Output 27 6" xfId="35439"/>
    <cellStyle name="Output 27 7" xfId="35440"/>
    <cellStyle name="Output 28" xfId="1143"/>
    <cellStyle name="Output 28 2" xfId="6978"/>
    <cellStyle name="Output 28 2 2" xfId="11388"/>
    <cellStyle name="Output 28 2 3" xfId="19226"/>
    <cellStyle name="Output 28 2 3 2" xfId="35441"/>
    <cellStyle name="Output 28 2 4" xfId="35442"/>
    <cellStyle name="Output 28 2 5" xfId="35443"/>
    <cellStyle name="Output 28 2 6" xfId="35444"/>
    <cellStyle name="Output 28 3" xfId="8977"/>
    <cellStyle name="Output 28 4" xfId="19227"/>
    <cellStyle name="Output 28 4 2" xfId="35445"/>
    <cellStyle name="Output 28 5" xfId="35446"/>
    <cellStyle name="Output 28 6" xfId="35447"/>
    <cellStyle name="Output 28 7" xfId="35448"/>
    <cellStyle name="Output 29" xfId="1144"/>
    <cellStyle name="Output 29 2" xfId="6979"/>
    <cellStyle name="Output 29 2 2" xfId="11389"/>
    <cellStyle name="Output 29 2 3" xfId="19228"/>
    <cellStyle name="Output 29 2 3 2" xfId="35449"/>
    <cellStyle name="Output 29 2 4" xfId="35450"/>
    <cellStyle name="Output 29 2 5" xfId="35451"/>
    <cellStyle name="Output 29 2 6" xfId="35452"/>
    <cellStyle name="Output 29 3" xfId="8978"/>
    <cellStyle name="Output 29 4" xfId="19229"/>
    <cellStyle name="Output 29 4 2" xfId="35453"/>
    <cellStyle name="Output 29 5" xfId="35454"/>
    <cellStyle name="Output 29 6" xfId="35455"/>
    <cellStyle name="Output 29 7" xfId="35456"/>
    <cellStyle name="Output 3" xfId="1145"/>
    <cellStyle name="Output 3 2" xfId="6980"/>
    <cellStyle name="Output 3 2 2" xfId="11390"/>
    <cellStyle name="Output 3 2 3" xfId="19230"/>
    <cellStyle name="Output 3 2 3 2" xfId="35457"/>
    <cellStyle name="Output 3 2 4" xfId="35458"/>
    <cellStyle name="Output 3 2 5" xfId="35459"/>
    <cellStyle name="Output 3 2 6" xfId="35460"/>
    <cellStyle name="Output 3 3" xfId="8979"/>
    <cellStyle name="Output 3 4" xfId="19231"/>
    <cellStyle name="Output 3 4 2" xfId="35461"/>
    <cellStyle name="Output 3 5" xfId="35462"/>
    <cellStyle name="Output 3 6" xfId="35463"/>
    <cellStyle name="Output 3 7" xfId="35464"/>
    <cellStyle name="Output 30" xfId="1146"/>
    <cellStyle name="Output 30 2" xfId="6981"/>
    <cellStyle name="Output 30 2 2" xfId="11391"/>
    <cellStyle name="Output 30 2 3" xfId="19232"/>
    <cellStyle name="Output 30 2 3 2" xfId="35465"/>
    <cellStyle name="Output 30 2 4" xfId="35466"/>
    <cellStyle name="Output 30 2 5" xfId="35467"/>
    <cellStyle name="Output 30 2 6" xfId="35468"/>
    <cellStyle name="Output 30 3" xfId="8980"/>
    <cellStyle name="Output 30 4" xfId="19233"/>
    <cellStyle name="Output 30 4 2" xfId="35469"/>
    <cellStyle name="Output 30 5" xfId="35470"/>
    <cellStyle name="Output 30 6" xfId="35471"/>
    <cellStyle name="Output 30 7" xfId="35472"/>
    <cellStyle name="Output 31" xfId="6982"/>
    <cellStyle name="Output 31 2" xfId="11289"/>
    <cellStyle name="Output 31 3" xfId="19234"/>
    <cellStyle name="Output 31 3 2" xfId="35473"/>
    <cellStyle name="Output 31 4" xfId="35474"/>
    <cellStyle name="Output 31 5" xfId="35475"/>
    <cellStyle name="Output 31 6" xfId="35476"/>
    <cellStyle name="Output 32" xfId="8878"/>
    <cellStyle name="Output 33" xfId="19235"/>
    <cellStyle name="Output 33 2" xfId="35477"/>
    <cellStyle name="Output 34" xfId="35478"/>
    <cellStyle name="Output 35" xfId="35479"/>
    <cellStyle name="Output 36" xfId="35480"/>
    <cellStyle name="Output 4" xfId="1147"/>
    <cellStyle name="Output 4 2" xfId="6983"/>
    <cellStyle name="Output 4 2 2" xfId="11392"/>
    <cellStyle name="Output 4 2 3" xfId="19236"/>
    <cellStyle name="Output 4 2 3 2" xfId="35481"/>
    <cellStyle name="Output 4 2 4" xfId="35482"/>
    <cellStyle name="Output 4 2 5" xfId="35483"/>
    <cellStyle name="Output 4 2 6" xfId="35484"/>
    <cellStyle name="Output 4 3" xfId="8981"/>
    <cellStyle name="Output 4 4" xfId="19237"/>
    <cellStyle name="Output 4 4 2" xfId="35485"/>
    <cellStyle name="Output 4 5" xfId="35486"/>
    <cellStyle name="Output 4 6" xfId="35487"/>
    <cellStyle name="Output 4 7" xfId="35488"/>
    <cellStyle name="Output 5" xfId="1148"/>
    <cellStyle name="Output 5 2" xfId="6984"/>
    <cellStyle name="Output 5 2 2" xfId="11393"/>
    <cellStyle name="Output 5 2 3" xfId="19238"/>
    <cellStyle name="Output 5 2 3 2" xfId="35489"/>
    <cellStyle name="Output 5 2 4" xfId="35490"/>
    <cellStyle name="Output 5 2 5" xfId="35491"/>
    <cellStyle name="Output 5 2 6" xfId="35492"/>
    <cellStyle name="Output 5 3" xfId="8982"/>
    <cellStyle name="Output 5 4" xfId="19239"/>
    <cellStyle name="Output 5 4 2" xfId="35493"/>
    <cellStyle name="Output 5 5" xfId="35494"/>
    <cellStyle name="Output 5 6" xfId="35495"/>
    <cellStyle name="Output 5 7" xfId="35496"/>
    <cellStyle name="Output 6" xfId="1149"/>
    <cellStyle name="Output 6 2" xfId="6985"/>
    <cellStyle name="Output 6 2 2" xfId="11394"/>
    <cellStyle name="Output 6 2 3" xfId="19240"/>
    <cellStyle name="Output 6 2 3 2" xfId="35497"/>
    <cellStyle name="Output 6 2 4" xfId="35498"/>
    <cellStyle name="Output 6 2 5" xfId="35499"/>
    <cellStyle name="Output 6 2 6" xfId="35500"/>
    <cellStyle name="Output 6 3" xfId="8983"/>
    <cellStyle name="Output 6 4" xfId="19241"/>
    <cellStyle name="Output 6 4 2" xfId="35501"/>
    <cellStyle name="Output 6 5" xfId="35502"/>
    <cellStyle name="Output 6 6" xfId="35503"/>
    <cellStyle name="Output 6 7" xfId="35504"/>
    <cellStyle name="Output 7" xfId="1150"/>
    <cellStyle name="Output 7 2" xfId="6986"/>
    <cellStyle name="Output 7 2 2" xfId="11395"/>
    <cellStyle name="Output 7 2 3" xfId="19242"/>
    <cellStyle name="Output 7 2 3 2" xfId="35505"/>
    <cellStyle name="Output 7 2 4" xfId="35506"/>
    <cellStyle name="Output 7 2 5" xfId="35507"/>
    <cellStyle name="Output 7 2 6" xfId="35508"/>
    <cellStyle name="Output 7 3" xfId="8984"/>
    <cellStyle name="Output 7 4" xfId="19243"/>
    <cellStyle name="Output 7 4 2" xfId="35509"/>
    <cellStyle name="Output 7 5" xfId="35510"/>
    <cellStyle name="Output 7 6" xfId="35511"/>
    <cellStyle name="Output 7 7" xfId="35512"/>
    <cellStyle name="Output 8" xfId="1151"/>
    <cellStyle name="Output 8 2" xfId="6987"/>
    <cellStyle name="Output 8 2 2" xfId="11396"/>
    <cellStyle name="Output 8 2 3" xfId="19244"/>
    <cellStyle name="Output 8 2 3 2" xfId="35513"/>
    <cellStyle name="Output 8 2 4" xfId="35514"/>
    <cellStyle name="Output 8 2 5" xfId="35515"/>
    <cellStyle name="Output 8 2 6" xfId="35516"/>
    <cellStyle name="Output 8 3" xfId="8985"/>
    <cellStyle name="Output 8 4" xfId="19245"/>
    <cellStyle name="Output 8 4 2" xfId="35517"/>
    <cellStyle name="Output 8 5" xfId="35518"/>
    <cellStyle name="Output 8 6" xfId="35519"/>
    <cellStyle name="Output 8 7" xfId="35520"/>
    <cellStyle name="Output 9" xfId="1152"/>
    <cellStyle name="Output 9 2" xfId="6988"/>
    <cellStyle name="Output 9 2 2" xfId="11397"/>
    <cellStyle name="Output 9 2 3" xfId="19246"/>
    <cellStyle name="Output 9 2 3 2" xfId="35521"/>
    <cellStyle name="Output 9 2 4" xfId="35522"/>
    <cellStyle name="Output 9 2 5" xfId="35523"/>
    <cellStyle name="Output 9 2 6" xfId="35524"/>
    <cellStyle name="Output 9 3" xfId="8986"/>
    <cellStyle name="Output 9 4" xfId="19247"/>
    <cellStyle name="Output 9 4 2" xfId="35525"/>
    <cellStyle name="Output 9 5" xfId="35526"/>
    <cellStyle name="Output 9 6" xfId="35527"/>
    <cellStyle name="Output 9 7" xfId="35528"/>
    <cellStyle name="Percent 2" xfId="6989"/>
    <cellStyle name="Percent 2 2" xfId="6990"/>
    <cellStyle name="Percent 3" xfId="6991"/>
    <cellStyle name="Percent 3 2" xfId="6992"/>
    <cellStyle name="Percent 3 3" xfId="10335"/>
    <cellStyle name="Percent 3 3 2" xfId="19248"/>
    <cellStyle name="Percent 3 4" xfId="19249"/>
    <cellStyle name="Procent" xfId="1153" builtinId="5"/>
    <cellStyle name="Procent 10" xfId="7703"/>
    <cellStyle name="Procent 11" xfId="19250"/>
    <cellStyle name="Procent 12" xfId="19251"/>
    <cellStyle name="Procent 12 2" xfId="27048"/>
    <cellStyle name="Procent 13" xfId="27051"/>
    <cellStyle name="Procent 13 2" xfId="39924"/>
    <cellStyle name="Procent 14" xfId="39921"/>
    <cellStyle name="Procent 15" xfId="40008"/>
    <cellStyle name="Procent 16" xfId="39937"/>
    <cellStyle name="Procent 17" xfId="40011"/>
    <cellStyle name="Procent 18" xfId="40014"/>
    <cellStyle name="Procent 19" xfId="40017"/>
    <cellStyle name="Procent 2" xfId="1154"/>
    <cellStyle name="Procent 2 2" xfId="1155"/>
    <cellStyle name="Procent 2 2 2" xfId="1750"/>
    <cellStyle name="Procent 2 2 3" xfId="2267"/>
    <cellStyle name="Procent 2 2 4" xfId="6993"/>
    <cellStyle name="Procent 2 2 4 2" xfId="39942"/>
    <cellStyle name="Procent 3" xfId="1156"/>
    <cellStyle name="Procent 4" xfId="1157"/>
    <cellStyle name="Procent 4 2" xfId="1158"/>
    <cellStyle name="Procent 4 3" xfId="1159"/>
    <cellStyle name="Procent 4 3 10" xfId="2788"/>
    <cellStyle name="Procent 4 3 10 2" xfId="4822"/>
    <cellStyle name="Procent 4 3 10 2 2" xfId="12825"/>
    <cellStyle name="Procent 4 3 10 2 2 2" xfId="19252"/>
    <cellStyle name="Procent 4 3 10 2 3" xfId="19253"/>
    <cellStyle name="Procent 4 3 10 3" xfId="12824"/>
    <cellStyle name="Procent 4 3 10 3 2" xfId="19254"/>
    <cellStyle name="Procent 4 3 10 4" xfId="19255"/>
    <cellStyle name="Procent 4 3 11" xfId="3805"/>
    <cellStyle name="Procent 4 3 11 2" xfId="12826"/>
    <cellStyle name="Procent 4 3 11 2 2" xfId="19256"/>
    <cellStyle name="Procent 4 3 11 3" xfId="19257"/>
    <cellStyle name="Procent 4 3 12" xfId="6994"/>
    <cellStyle name="Procent 4 3 12 2" xfId="11398"/>
    <cellStyle name="Procent 4 3 12 2 2" xfId="19258"/>
    <cellStyle name="Procent 4 3 12 3" xfId="19259"/>
    <cellStyle name="Procent 4 3 13" xfId="8987"/>
    <cellStyle name="Procent 4 3 13 2" xfId="19260"/>
    <cellStyle name="Procent 4 3 14" xfId="19261"/>
    <cellStyle name="Procent 4 3 2" xfId="1752"/>
    <cellStyle name="Procent 4 3 2 10" xfId="6995"/>
    <cellStyle name="Procent 4 3 2 10 2" xfId="11949"/>
    <cellStyle name="Procent 4 3 2 10 2 2" xfId="19262"/>
    <cellStyle name="Procent 4 3 2 10 3" xfId="19263"/>
    <cellStyle name="Procent 4 3 2 11" xfId="8988"/>
    <cellStyle name="Procent 4 3 2 11 2" xfId="19264"/>
    <cellStyle name="Procent 4 3 2 12" xfId="19265"/>
    <cellStyle name="Procent 4 3 2 2" xfId="1796"/>
    <cellStyle name="Procent 4 3 2 2 2" xfId="1922"/>
    <cellStyle name="Procent 4 3 2 2 2 2" xfId="2174"/>
    <cellStyle name="Procent 4 3 2 2 2 2 2" xfId="2718"/>
    <cellStyle name="Procent 4 3 2 2 2 2 2 2" xfId="3735"/>
    <cellStyle name="Procent 4 3 2 2 2 2 2 2 2" xfId="5769"/>
    <cellStyle name="Procent 4 3 2 2 2 2 2 2 2 2" xfId="12828"/>
    <cellStyle name="Procent 4 3 2 2 2 2 2 2 2 2 2" xfId="19266"/>
    <cellStyle name="Procent 4 3 2 2 2 2 2 2 2 3" xfId="19267"/>
    <cellStyle name="Procent 4 3 2 2 2 2 2 2 3" xfId="12827"/>
    <cellStyle name="Procent 4 3 2 2 2 2 2 2 3 2" xfId="19268"/>
    <cellStyle name="Procent 4 3 2 2 2 2 2 2 4" xfId="19269"/>
    <cellStyle name="Procent 4 3 2 2 2 2 2 3" xfId="4752"/>
    <cellStyle name="Procent 4 3 2 2 2 2 2 3 2" xfId="12829"/>
    <cellStyle name="Procent 4 3 2 2 2 2 2 3 2 2" xfId="19270"/>
    <cellStyle name="Procent 4 3 2 2 2 2 2 3 3" xfId="19271"/>
    <cellStyle name="Procent 4 3 2 2 2 2 2 4" xfId="6996"/>
    <cellStyle name="Procent 4 3 2 2 2 2 2 4 2" xfId="12154"/>
    <cellStyle name="Procent 4 3 2 2 2 2 2 4 2 2" xfId="19272"/>
    <cellStyle name="Procent 4 3 2 2 2 2 2 4 3" xfId="19273"/>
    <cellStyle name="Procent 4 3 2 2 2 2 2 5" xfId="8992"/>
    <cellStyle name="Procent 4 3 2 2 2 2 2 5 2" xfId="19274"/>
    <cellStyle name="Procent 4 3 2 2 2 2 2 6" xfId="19275"/>
    <cellStyle name="Procent 4 3 2 2 2 2 3" xfId="3222"/>
    <cellStyle name="Procent 4 3 2 2 2 2 3 2" xfId="5256"/>
    <cellStyle name="Procent 4 3 2 2 2 2 3 2 2" xfId="12831"/>
    <cellStyle name="Procent 4 3 2 2 2 2 3 2 2 2" xfId="19276"/>
    <cellStyle name="Procent 4 3 2 2 2 2 3 2 3" xfId="19277"/>
    <cellStyle name="Procent 4 3 2 2 2 2 3 3" xfId="12830"/>
    <cellStyle name="Procent 4 3 2 2 2 2 3 3 2" xfId="19278"/>
    <cellStyle name="Procent 4 3 2 2 2 2 3 4" xfId="19279"/>
    <cellStyle name="Procent 4 3 2 2 2 2 4" xfId="4239"/>
    <cellStyle name="Procent 4 3 2 2 2 2 4 2" xfId="12832"/>
    <cellStyle name="Procent 4 3 2 2 2 2 4 2 2" xfId="19280"/>
    <cellStyle name="Procent 4 3 2 2 2 2 4 3" xfId="19281"/>
    <cellStyle name="Procent 4 3 2 2 2 2 5" xfId="6997"/>
    <cellStyle name="Procent 4 3 2 2 2 2 5 2" xfId="12039"/>
    <cellStyle name="Procent 4 3 2 2 2 2 5 2 2" xfId="19282"/>
    <cellStyle name="Procent 4 3 2 2 2 2 5 3" xfId="19283"/>
    <cellStyle name="Procent 4 3 2 2 2 2 6" xfId="8991"/>
    <cellStyle name="Procent 4 3 2 2 2 2 6 2" xfId="19284"/>
    <cellStyle name="Procent 4 3 2 2 2 2 7" xfId="19285"/>
    <cellStyle name="Procent 4 3 2 2 2 3" xfId="2466"/>
    <cellStyle name="Procent 4 3 2 2 2 3 2" xfId="3483"/>
    <cellStyle name="Procent 4 3 2 2 2 3 2 2" xfId="5517"/>
    <cellStyle name="Procent 4 3 2 2 2 3 2 2 2" xfId="12834"/>
    <cellStyle name="Procent 4 3 2 2 2 3 2 2 2 2" xfId="19286"/>
    <cellStyle name="Procent 4 3 2 2 2 3 2 2 3" xfId="19287"/>
    <cellStyle name="Procent 4 3 2 2 2 3 2 3" xfId="12833"/>
    <cellStyle name="Procent 4 3 2 2 2 3 2 3 2" xfId="19288"/>
    <cellStyle name="Procent 4 3 2 2 2 3 2 4" xfId="19289"/>
    <cellStyle name="Procent 4 3 2 2 2 3 3" xfId="4500"/>
    <cellStyle name="Procent 4 3 2 2 2 3 3 2" xfId="12835"/>
    <cellStyle name="Procent 4 3 2 2 2 3 3 2 2" xfId="19290"/>
    <cellStyle name="Procent 4 3 2 2 2 3 3 3" xfId="19291"/>
    <cellStyle name="Procent 4 3 2 2 2 3 4" xfId="6998"/>
    <cellStyle name="Procent 4 3 2 2 2 3 4 2" xfId="12100"/>
    <cellStyle name="Procent 4 3 2 2 2 3 4 2 2" xfId="19292"/>
    <cellStyle name="Procent 4 3 2 2 2 3 4 3" xfId="19293"/>
    <cellStyle name="Procent 4 3 2 2 2 3 5" xfId="8993"/>
    <cellStyle name="Procent 4 3 2 2 2 3 5 2" xfId="19294"/>
    <cellStyle name="Procent 4 3 2 2 2 3 6" xfId="19295"/>
    <cellStyle name="Procent 4 3 2 2 2 4" xfId="2970"/>
    <cellStyle name="Procent 4 3 2 2 2 4 2" xfId="5004"/>
    <cellStyle name="Procent 4 3 2 2 2 4 2 2" xfId="12837"/>
    <cellStyle name="Procent 4 3 2 2 2 4 2 2 2" xfId="19296"/>
    <cellStyle name="Procent 4 3 2 2 2 4 2 3" xfId="19297"/>
    <cellStyle name="Procent 4 3 2 2 2 4 3" xfId="12836"/>
    <cellStyle name="Procent 4 3 2 2 2 4 3 2" xfId="19298"/>
    <cellStyle name="Procent 4 3 2 2 2 4 4" xfId="19299"/>
    <cellStyle name="Procent 4 3 2 2 2 5" xfId="3987"/>
    <cellStyle name="Procent 4 3 2 2 2 5 2" xfId="12838"/>
    <cellStyle name="Procent 4 3 2 2 2 5 2 2" xfId="19300"/>
    <cellStyle name="Procent 4 3 2 2 2 5 3" xfId="19301"/>
    <cellStyle name="Procent 4 3 2 2 2 6" xfId="6999"/>
    <cellStyle name="Procent 4 3 2 2 2 6 2" xfId="11985"/>
    <cellStyle name="Procent 4 3 2 2 2 6 2 2" xfId="19302"/>
    <cellStyle name="Procent 4 3 2 2 2 6 3" xfId="19303"/>
    <cellStyle name="Procent 4 3 2 2 2 7" xfId="8990"/>
    <cellStyle name="Procent 4 3 2 2 2 7 2" xfId="19304"/>
    <cellStyle name="Procent 4 3 2 2 2 8" xfId="19305"/>
    <cellStyle name="Procent 4 3 2 2 3" xfId="2048"/>
    <cellStyle name="Procent 4 3 2 2 3 2" xfId="2592"/>
    <cellStyle name="Procent 4 3 2 2 3 2 2" xfId="3609"/>
    <cellStyle name="Procent 4 3 2 2 3 2 2 2" xfId="5643"/>
    <cellStyle name="Procent 4 3 2 2 3 2 2 2 2" xfId="12840"/>
    <cellStyle name="Procent 4 3 2 2 3 2 2 2 2 2" xfId="19306"/>
    <cellStyle name="Procent 4 3 2 2 3 2 2 2 3" xfId="19307"/>
    <cellStyle name="Procent 4 3 2 2 3 2 2 3" xfId="12839"/>
    <cellStyle name="Procent 4 3 2 2 3 2 2 3 2" xfId="19308"/>
    <cellStyle name="Procent 4 3 2 2 3 2 2 4" xfId="19309"/>
    <cellStyle name="Procent 4 3 2 2 3 2 3" xfId="4626"/>
    <cellStyle name="Procent 4 3 2 2 3 2 3 2" xfId="12841"/>
    <cellStyle name="Procent 4 3 2 2 3 2 3 2 2" xfId="19310"/>
    <cellStyle name="Procent 4 3 2 2 3 2 3 3" xfId="19311"/>
    <cellStyle name="Procent 4 3 2 2 3 2 4" xfId="7000"/>
    <cellStyle name="Procent 4 3 2 2 3 2 4 2" xfId="12127"/>
    <cellStyle name="Procent 4 3 2 2 3 2 4 2 2" xfId="19312"/>
    <cellStyle name="Procent 4 3 2 2 3 2 4 3" xfId="19313"/>
    <cellStyle name="Procent 4 3 2 2 3 2 5" xfId="8995"/>
    <cellStyle name="Procent 4 3 2 2 3 2 5 2" xfId="19314"/>
    <cellStyle name="Procent 4 3 2 2 3 2 6" xfId="19315"/>
    <cellStyle name="Procent 4 3 2 2 3 3" xfId="3096"/>
    <cellStyle name="Procent 4 3 2 2 3 3 2" xfId="5130"/>
    <cellStyle name="Procent 4 3 2 2 3 3 2 2" xfId="12843"/>
    <cellStyle name="Procent 4 3 2 2 3 3 2 2 2" xfId="19316"/>
    <cellStyle name="Procent 4 3 2 2 3 3 2 3" xfId="19317"/>
    <cellStyle name="Procent 4 3 2 2 3 3 3" xfId="12842"/>
    <cellStyle name="Procent 4 3 2 2 3 3 3 2" xfId="19318"/>
    <cellStyle name="Procent 4 3 2 2 3 3 4" xfId="19319"/>
    <cellStyle name="Procent 4 3 2 2 3 4" xfId="4113"/>
    <cellStyle name="Procent 4 3 2 2 3 4 2" xfId="12844"/>
    <cellStyle name="Procent 4 3 2 2 3 4 2 2" xfId="19320"/>
    <cellStyle name="Procent 4 3 2 2 3 4 3" xfId="19321"/>
    <cellStyle name="Procent 4 3 2 2 3 5" xfId="7001"/>
    <cellStyle name="Procent 4 3 2 2 3 5 2" xfId="12012"/>
    <cellStyle name="Procent 4 3 2 2 3 5 2 2" xfId="19322"/>
    <cellStyle name="Procent 4 3 2 2 3 5 3" xfId="19323"/>
    <cellStyle name="Procent 4 3 2 2 3 6" xfId="8994"/>
    <cellStyle name="Procent 4 3 2 2 3 6 2" xfId="19324"/>
    <cellStyle name="Procent 4 3 2 2 3 7" xfId="19325"/>
    <cellStyle name="Procent 4 3 2 2 4" xfId="2340"/>
    <cellStyle name="Procent 4 3 2 2 4 2" xfId="3357"/>
    <cellStyle name="Procent 4 3 2 2 4 2 2" xfId="5391"/>
    <cellStyle name="Procent 4 3 2 2 4 2 2 2" xfId="12846"/>
    <cellStyle name="Procent 4 3 2 2 4 2 2 2 2" xfId="19326"/>
    <cellStyle name="Procent 4 3 2 2 4 2 2 3" xfId="19327"/>
    <cellStyle name="Procent 4 3 2 2 4 2 3" xfId="12845"/>
    <cellStyle name="Procent 4 3 2 2 4 2 3 2" xfId="19328"/>
    <cellStyle name="Procent 4 3 2 2 4 2 4" xfId="19329"/>
    <cellStyle name="Procent 4 3 2 2 4 3" xfId="4374"/>
    <cellStyle name="Procent 4 3 2 2 4 3 2" xfId="12847"/>
    <cellStyle name="Procent 4 3 2 2 4 3 2 2" xfId="19330"/>
    <cellStyle name="Procent 4 3 2 2 4 3 3" xfId="19331"/>
    <cellStyle name="Procent 4 3 2 2 4 4" xfId="7002"/>
    <cellStyle name="Procent 4 3 2 2 4 4 2" xfId="12073"/>
    <cellStyle name="Procent 4 3 2 2 4 4 2 2" xfId="19332"/>
    <cellStyle name="Procent 4 3 2 2 4 4 3" xfId="19333"/>
    <cellStyle name="Procent 4 3 2 2 4 5" xfId="8996"/>
    <cellStyle name="Procent 4 3 2 2 4 5 2" xfId="19334"/>
    <cellStyle name="Procent 4 3 2 2 4 6" xfId="19335"/>
    <cellStyle name="Procent 4 3 2 2 5" xfId="2844"/>
    <cellStyle name="Procent 4 3 2 2 5 2" xfId="4878"/>
    <cellStyle name="Procent 4 3 2 2 5 2 2" xfId="12849"/>
    <cellStyle name="Procent 4 3 2 2 5 2 2 2" xfId="19336"/>
    <cellStyle name="Procent 4 3 2 2 5 2 3" xfId="19337"/>
    <cellStyle name="Procent 4 3 2 2 5 3" xfId="12848"/>
    <cellStyle name="Procent 4 3 2 2 5 3 2" xfId="19338"/>
    <cellStyle name="Procent 4 3 2 2 5 4" xfId="19339"/>
    <cellStyle name="Procent 4 3 2 2 6" xfId="3861"/>
    <cellStyle name="Procent 4 3 2 2 6 2" xfId="12850"/>
    <cellStyle name="Procent 4 3 2 2 6 2 2" xfId="19340"/>
    <cellStyle name="Procent 4 3 2 2 6 3" xfId="19341"/>
    <cellStyle name="Procent 4 3 2 2 7" xfId="7003"/>
    <cellStyle name="Procent 4 3 2 2 7 2" xfId="11958"/>
    <cellStyle name="Procent 4 3 2 2 7 2 2" xfId="19342"/>
    <cellStyle name="Procent 4 3 2 2 7 3" xfId="19343"/>
    <cellStyle name="Procent 4 3 2 2 8" xfId="8989"/>
    <cellStyle name="Procent 4 3 2 2 8 2" xfId="19344"/>
    <cellStyle name="Procent 4 3 2 2 9" xfId="19345"/>
    <cellStyle name="Procent 4 3 2 3" xfId="1838"/>
    <cellStyle name="Procent 4 3 2 3 2" xfId="1964"/>
    <cellStyle name="Procent 4 3 2 3 2 2" xfId="2216"/>
    <cellStyle name="Procent 4 3 2 3 2 2 2" xfId="2760"/>
    <cellStyle name="Procent 4 3 2 3 2 2 2 2" xfId="3777"/>
    <cellStyle name="Procent 4 3 2 3 2 2 2 2 2" xfId="5811"/>
    <cellStyle name="Procent 4 3 2 3 2 2 2 2 2 2" xfId="12852"/>
    <cellStyle name="Procent 4 3 2 3 2 2 2 2 2 2 2" xfId="19346"/>
    <cellStyle name="Procent 4 3 2 3 2 2 2 2 2 3" xfId="19347"/>
    <cellStyle name="Procent 4 3 2 3 2 2 2 2 3" xfId="12851"/>
    <cellStyle name="Procent 4 3 2 3 2 2 2 2 3 2" xfId="19348"/>
    <cellStyle name="Procent 4 3 2 3 2 2 2 2 4" xfId="19349"/>
    <cellStyle name="Procent 4 3 2 3 2 2 2 3" xfId="4794"/>
    <cellStyle name="Procent 4 3 2 3 2 2 2 3 2" xfId="12853"/>
    <cellStyle name="Procent 4 3 2 3 2 2 2 3 2 2" xfId="19350"/>
    <cellStyle name="Procent 4 3 2 3 2 2 2 3 3" xfId="19351"/>
    <cellStyle name="Procent 4 3 2 3 2 2 2 4" xfId="7004"/>
    <cellStyle name="Procent 4 3 2 3 2 2 2 4 2" xfId="12163"/>
    <cellStyle name="Procent 4 3 2 3 2 2 2 4 2 2" xfId="19352"/>
    <cellStyle name="Procent 4 3 2 3 2 2 2 4 3" xfId="19353"/>
    <cellStyle name="Procent 4 3 2 3 2 2 2 5" xfId="9000"/>
    <cellStyle name="Procent 4 3 2 3 2 2 2 5 2" xfId="19354"/>
    <cellStyle name="Procent 4 3 2 3 2 2 2 6" xfId="19355"/>
    <cellStyle name="Procent 4 3 2 3 2 2 3" xfId="3264"/>
    <cellStyle name="Procent 4 3 2 3 2 2 3 2" xfId="5298"/>
    <cellStyle name="Procent 4 3 2 3 2 2 3 2 2" xfId="12855"/>
    <cellStyle name="Procent 4 3 2 3 2 2 3 2 2 2" xfId="19356"/>
    <cellStyle name="Procent 4 3 2 3 2 2 3 2 3" xfId="19357"/>
    <cellStyle name="Procent 4 3 2 3 2 2 3 3" xfId="12854"/>
    <cellStyle name="Procent 4 3 2 3 2 2 3 3 2" xfId="19358"/>
    <cellStyle name="Procent 4 3 2 3 2 2 3 4" xfId="19359"/>
    <cellStyle name="Procent 4 3 2 3 2 2 4" xfId="4281"/>
    <cellStyle name="Procent 4 3 2 3 2 2 4 2" xfId="12856"/>
    <cellStyle name="Procent 4 3 2 3 2 2 4 2 2" xfId="19360"/>
    <cellStyle name="Procent 4 3 2 3 2 2 4 3" xfId="19361"/>
    <cellStyle name="Procent 4 3 2 3 2 2 5" xfId="7005"/>
    <cellStyle name="Procent 4 3 2 3 2 2 5 2" xfId="12048"/>
    <cellStyle name="Procent 4 3 2 3 2 2 5 2 2" xfId="19362"/>
    <cellStyle name="Procent 4 3 2 3 2 2 5 3" xfId="19363"/>
    <cellStyle name="Procent 4 3 2 3 2 2 6" xfId="8999"/>
    <cellStyle name="Procent 4 3 2 3 2 2 6 2" xfId="19364"/>
    <cellStyle name="Procent 4 3 2 3 2 2 7" xfId="19365"/>
    <cellStyle name="Procent 4 3 2 3 2 3" xfId="2508"/>
    <cellStyle name="Procent 4 3 2 3 2 3 2" xfId="3525"/>
    <cellStyle name="Procent 4 3 2 3 2 3 2 2" xfId="5559"/>
    <cellStyle name="Procent 4 3 2 3 2 3 2 2 2" xfId="12858"/>
    <cellStyle name="Procent 4 3 2 3 2 3 2 2 2 2" xfId="19366"/>
    <cellStyle name="Procent 4 3 2 3 2 3 2 2 3" xfId="19367"/>
    <cellStyle name="Procent 4 3 2 3 2 3 2 3" xfId="12857"/>
    <cellStyle name="Procent 4 3 2 3 2 3 2 3 2" xfId="19368"/>
    <cellStyle name="Procent 4 3 2 3 2 3 2 4" xfId="19369"/>
    <cellStyle name="Procent 4 3 2 3 2 3 3" xfId="4542"/>
    <cellStyle name="Procent 4 3 2 3 2 3 3 2" xfId="12859"/>
    <cellStyle name="Procent 4 3 2 3 2 3 3 2 2" xfId="19370"/>
    <cellStyle name="Procent 4 3 2 3 2 3 3 3" xfId="19371"/>
    <cellStyle name="Procent 4 3 2 3 2 3 4" xfId="7006"/>
    <cellStyle name="Procent 4 3 2 3 2 3 4 2" xfId="12109"/>
    <cellStyle name="Procent 4 3 2 3 2 3 4 2 2" xfId="19372"/>
    <cellStyle name="Procent 4 3 2 3 2 3 4 3" xfId="19373"/>
    <cellStyle name="Procent 4 3 2 3 2 3 5" xfId="9001"/>
    <cellStyle name="Procent 4 3 2 3 2 3 5 2" xfId="19374"/>
    <cellStyle name="Procent 4 3 2 3 2 3 6" xfId="19375"/>
    <cellStyle name="Procent 4 3 2 3 2 4" xfId="3012"/>
    <cellStyle name="Procent 4 3 2 3 2 4 2" xfId="5046"/>
    <cellStyle name="Procent 4 3 2 3 2 4 2 2" xfId="12861"/>
    <cellStyle name="Procent 4 3 2 3 2 4 2 2 2" xfId="19376"/>
    <cellStyle name="Procent 4 3 2 3 2 4 2 3" xfId="19377"/>
    <cellStyle name="Procent 4 3 2 3 2 4 3" xfId="12860"/>
    <cellStyle name="Procent 4 3 2 3 2 4 3 2" xfId="19378"/>
    <cellStyle name="Procent 4 3 2 3 2 4 4" xfId="19379"/>
    <cellStyle name="Procent 4 3 2 3 2 5" xfId="4029"/>
    <cellStyle name="Procent 4 3 2 3 2 5 2" xfId="12862"/>
    <cellStyle name="Procent 4 3 2 3 2 5 2 2" xfId="19380"/>
    <cellStyle name="Procent 4 3 2 3 2 5 3" xfId="19381"/>
    <cellStyle name="Procent 4 3 2 3 2 6" xfId="7007"/>
    <cellStyle name="Procent 4 3 2 3 2 6 2" xfId="11994"/>
    <cellStyle name="Procent 4 3 2 3 2 6 2 2" xfId="19382"/>
    <cellStyle name="Procent 4 3 2 3 2 6 3" xfId="19383"/>
    <cellStyle name="Procent 4 3 2 3 2 7" xfId="8998"/>
    <cellStyle name="Procent 4 3 2 3 2 7 2" xfId="19384"/>
    <cellStyle name="Procent 4 3 2 3 2 8" xfId="19385"/>
    <cellStyle name="Procent 4 3 2 3 3" xfId="2090"/>
    <cellStyle name="Procent 4 3 2 3 3 2" xfId="2634"/>
    <cellStyle name="Procent 4 3 2 3 3 2 2" xfId="3651"/>
    <cellStyle name="Procent 4 3 2 3 3 2 2 2" xfId="5685"/>
    <cellStyle name="Procent 4 3 2 3 3 2 2 2 2" xfId="12864"/>
    <cellStyle name="Procent 4 3 2 3 3 2 2 2 2 2" xfId="19386"/>
    <cellStyle name="Procent 4 3 2 3 3 2 2 2 3" xfId="19387"/>
    <cellStyle name="Procent 4 3 2 3 3 2 2 3" xfId="12863"/>
    <cellStyle name="Procent 4 3 2 3 3 2 2 3 2" xfId="19388"/>
    <cellStyle name="Procent 4 3 2 3 3 2 2 4" xfId="19389"/>
    <cellStyle name="Procent 4 3 2 3 3 2 3" xfId="4668"/>
    <cellStyle name="Procent 4 3 2 3 3 2 3 2" xfId="12865"/>
    <cellStyle name="Procent 4 3 2 3 3 2 3 2 2" xfId="19390"/>
    <cellStyle name="Procent 4 3 2 3 3 2 3 3" xfId="19391"/>
    <cellStyle name="Procent 4 3 2 3 3 2 4" xfId="7008"/>
    <cellStyle name="Procent 4 3 2 3 3 2 4 2" xfId="12136"/>
    <cellStyle name="Procent 4 3 2 3 3 2 4 2 2" xfId="19392"/>
    <cellStyle name="Procent 4 3 2 3 3 2 4 3" xfId="19393"/>
    <cellStyle name="Procent 4 3 2 3 3 2 5" xfId="9003"/>
    <cellStyle name="Procent 4 3 2 3 3 2 5 2" xfId="19394"/>
    <cellStyle name="Procent 4 3 2 3 3 2 6" xfId="19395"/>
    <cellStyle name="Procent 4 3 2 3 3 3" xfId="3138"/>
    <cellStyle name="Procent 4 3 2 3 3 3 2" xfId="5172"/>
    <cellStyle name="Procent 4 3 2 3 3 3 2 2" xfId="12867"/>
    <cellStyle name="Procent 4 3 2 3 3 3 2 2 2" xfId="19396"/>
    <cellStyle name="Procent 4 3 2 3 3 3 2 3" xfId="19397"/>
    <cellStyle name="Procent 4 3 2 3 3 3 3" xfId="12866"/>
    <cellStyle name="Procent 4 3 2 3 3 3 3 2" xfId="19398"/>
    <cellStyle name="Procent 4 3 2 3 3 3 4" xfId="19399"/>
    <cellStyle name="Procent 4 3 2 3 3 4" xfId="4155"/>
    <cellStyle name="Procent 4 3 2 3 3 4 2" xfId="12868"/>
    <cellStyle name="Procent 4 3 2 3 3 4 2 2" xfId="19400"/>
    <cellStyle name="Procent 4 3 2 3 3 4 3" xfId="19401"/>
    <cellStyle name="Procent 4 3 2 3 3 5" xfId="7009"/>
    <cellStyle name="Procent 4 3 2 3 3 5 2" xfId="12021"/>
    <cellStyle name="Procent 4 3 2 3 3 5 2 2" xfId="19402"/>
    <cellStyle name="Procent 4 3 2 3 3 5 3" xfId="19403"/>
    <cellStyle name="Procent 4 3 2 3 3 6" xfId="9002"/>
    <cellStyle name="Procent 4 3 2 3 3 6 2" xfId="19404"/>
    <cellStyle name="Procent 4 3 2 3 3 7" xfId="19405"/>
    <cellStyle name="Procent 4 3 2 3 4" xfId="2382"/>
    <cellStyle name="Procent 4 3 2 3 4 2" xfId="3399"/>
    <cellStyle name="Procent 4 3 2 3 4 2 2" xfId="5433"/>
    <cellStyle name="Procent 4 3 2 3 4 2 2 2" xfId="12870"/>
    <cellStyle name="Procent 4 3 2 3 4 2 2 2 2" xfId="19406"/>
    <cellStyle name="Procent 4 3 2 3 4 2 2 3" xfId="19407"/>
    <cellStyle name="Procent 4 3 2 3 4 2 3" xfId="12869"/>
    <cellStyle name="Procent 4 3 2 3 4 2 3 2" xfId="19408"/>
    <cellStyle name="Procent 4 3 2 3 4 2 4" xfId="19409"/>
    <cellStyle name="Procent 4 3 2 3 4 3" xfId="4416"/>
    <cellStyle name="Procent 4 3 2 3 4 3 2" xfId="12871"/>
    <cellStyle name="Procent 4 3 2 3 4 3 2 2" xfId="19410"/>
    <cellStyle name="Procent 4 3 2 3 4 3 3" xfId="19411"/>
    <cellStyle name="Procent 4 3 2 3 4 4" xfId="7010"/>
    <cellStyle name="Procent 4 3 2 3 4 4 2" xfId="12082"/>
    <cellStyle name="Procent 4 3 2 3 4 4 2 2" xfId="19412"/>
    <cellStyle name="Procent 4 3 2 3 4 4 3" xfId="19413"/>
    <cellStyle name="Procent 4 3 2 3 4 5" xfId="9004"/>
    <cellStyle name="Procent 4 3 2 3 4 5 2" xfId="19414"/>
    <cellStyle name="Procent 4 3 2 3 4 6" xfId="19415"/>
    <cellStyle name="Procent 4 3 2 3 5" xfId="2886"/>
    <cellStyle name="Procent 4 3 2 3 5 2" xfId="4920"/>
    <cellStyle name="Procent 4 3 2 3 5 2 2" xfId="12873"/>
    <cellStyle name="Procent 4 3 2 3 5 2 2 2" xfId="19416"/>
    <cellStyle name="Procent 4 3 2 3 5 2 3" xfId="19417"/>
    <cellStyle name="Procent 4 3 2 3 5 3" xfId="12872"/>
    <cellStyle name="Procent 4 3 2 3 5 3 2" xfId="19418"/>
    <cellStyle name="Procent 4 3 2 3 5 4" xfId="19419"/>
    <cellStyle name="Procent 4 3 2 3 6" xfId="3903"/>
    <cellStyle name="Procent 4 3 2 3 6 2" xfId="12874"/>
    <cellStyle name="Procent 4 3 2 3 6 2 2" xfId="19420"/>
    <cellStyle name="Procent 4 3 2 3 6 3" xfId="19421"/>
    <cellStyle name="Procent 4 3 2 3 7" xfId="7011"/>
    <cellStyle name="Procent 4 3 2 3 7 2" xfId="11967"/>
    <cellStyle name="Procent 4 3 2 3 7 2 2" xfId="19422"/>
    <cellStyle name="Procent 4 3 2 3 7 3" xfId="19423"/>
    <cellStyle name="Procent 4 3 2 3 8" xfId="8997"/>
    <cellStyle name="Procent 4 3 2 3 8 2" xfId="19424"/>
    <cellStyle name="Procent 4 3 2 3 9" xfId="19425"/>
    <cellStyle name="Procent 4 3 2 4" xfId="1880"/>
    <cellStyle name="Procent 4 3 2 4 2" xfId="2132"/>
    <cellStyle name="Procent 4 3 2 4 2 2" xfId="2676"/>
    <cellStyle name="Procent 4 3 2 4 2 2 2" xfId="3693"/>
    <cellStyle name="Procent 4 3 2 4 2 2 2 2" xfId="5727"/>
    <cellStyle name="Procent 4 3 2 4 2 2 2 2 2" xfId="12876"/>
    <cellStyle name="Procent 4 3 2 4 2 2 2 2 2 2" xfId="19426"/>
    <cellStyle name="Procent 4 3 2 4 2 2 2 2 3" xfId="19427"/>
    <cellStyle name="Procent 4 3 2 4 2 2 2 3" xfId="12875"/>
    <cellStyle name="Procent 4 3 2 4 2 2 2 3 2" xfId="19428"/>
    <cellStyle name="Procent 4 3 2 4 2 2 2 4" xfId="19429"/>
    <cellStyle name="Procent 4 3 2 4 2 2 3" xfId="4710"/>
    <cellStyle name="Procent 4 3 2 4 2 2 3 2" xfId="12877"/>
    <cellStyle name="Procent 4 3 2 4 2 2 3 2 2" xfId="19430"/>
    <cellStyle name="Procent 4 3 2 4 2 2 3 3" xfId="19431"/>
    <cellStyle name="Procent 4 3 2 4 2 2 4" xfId="7012"/>
    <cellStyle name="Procent 4 3 2 4 2 2 4 2" xfId="12145"/>
    <cellStyle name="Procent 4 3 2 4 2 2 4 2 2" xfId="19432"/>
    <cellStyle name="Procent 4 3 2 4 2 2 4 3" xfId="19433"/>
    <cellStyle name="Procent 4 3 2 4 2 2 5" xfId="9007"/>
    <cellStyle name="Procent 4 3 2 4 2 2 5 2" xfId="19434"/>
    <cellStyle name="Procent 4 3 2 4 2 2 6" xfId="19435"/>
    <cellStyle name="Procent 4 3 2 4 2 3" xfId="3180"/>
    <cellStyle name="Procent 4 3 2 4 2 3 2" xfId="5214"/>
    <cellStyle name="Procent 4 3 2 4 2 3 2 2" xfId="12879"/>
    <cellStyle name="Procent 4 3 2 4 2 3 2 2 2" xfId="19436"/>
    <cellStyle name="Procent 4 3 2 4 2 3 2 3" xfId="19437"/>
    <cellStyle name="Procent 4 3 2 4 2 3 3" xfId="12878"/>
    <cellStyle name="Procent 4 3 2 4 2 3 3 2" xfId="19438"/>
    <cellStyle name="Procent 4 3 2 4 2 3 4" xfId="19439"/>
    <cellStyle name="Procent 4 3 2 4 2 4" xfId="4197"/>
    <cellStyle name="Procent 4 3 2 4 2 4 2" xfId="12880"/>
    <cellStyle name="Procent 4 3 2 4 2 4 2 2" xfId="19440"/>
    <cellStyle name="Procent 4 3 2 4 2 4 3" xfId="19441"/>
    <cellStyle name="Procent 4 3 2 4 2 5" xfId="7013"/>
    <cellStyle name="Procent 4 3 2 4 2 5 2" xfId="12030"/>
    <cellStyle name="Procent 4 3 2 4 2 5 2 2" xfId="19442"/>
    <cellStyle name="Procent 4 3 2 4 2 5 3" xfId="19443"/>
    <cellStyle name="Procent 4 3 2 4 2 6" xfId="9006"/>
    <cellStyle name="Procent 4 3 2 4 2 6 2" xfId="19444"/>
    <cellStyle name="Procent 4 3 2 4 2 7" xfId="19445"/>
    <cellStyle name="Procent 4 3 2 4 3" xfId="2424"/>
    <cellStyle name="Procent 4 3 2 4 3 2" xfId="3441"/>
    <cellStyle name="Procent 4 3 2 4 3 2 2" xfId="5475"/>
    <cellStyle name="Procent 4 3 2 4 3 2 2 2" xfId="12882"/>
    <cellStyle name="Procent 4 3 2 4 3 2 2 2 2" xfId="19446"/>
    <cellStyle name="Procent 4 3 2 4 3 2 2 3" xfId="19447"/>
    <cellStyle name="Procent 4 3 2 4 3 2 3" xfId="12881"/>
    <cellStyle name="Procent 4 3 2 4 3 2 3 2" xfId="19448"/>
    <cellStyle name="Procent 4 3 2 4 3 2 4" xfId="19449"/>
    <cellStyle name="Procent 4 3 2 4 3 3" xfId="4458"/>
    <cellStyle name="Procent 4 3 2 4 3 3 2" xfId="12883"/>
    <cellStyle name="Procent 4 3 2 4 3 3 2 2" xfId="19450"/>
    <cellStyle name="Procent 4 3 2 4 3 3 3" xfId="19451"/>
    <cellStyle name="Procent 4 3 2 4 3 4" xfId="7014"/>
    <cellStyle name="Procent 4 3 2 4 3 4 2" xfId="12091"/>
    <cellStyle name="Procent 4 3 2 4 3 4 2 2" xfId="19452"/>
    <cellStyle name="Procent 4 3 2 4 3 4 3" xfId="19453"/>
    <cellStyle name="Procent 4 3 2 4 3 5" xfId="9008"/>
    <cellStyle name="Procent 4 3 2 4 3 5 2" xfId="19454"/>
    <cellStyle name="Procent 4 3 2 4 3 6" xfId="19455"/>
    <cellStyle name="Procent 4 3 2 4 4" xfId="2928"/>
    <cellStyle name="Procent 4 3 2 4 4 2" xfId="4962"/>
    <cellStyle name="Procent 4 3 2 4 4 2 2" xfId="12885"/>
    <cellStyle name="Procent 4 3 2 4 4 2 2 2" xfId="19456"/>
    <cellStyle name="Procent 4 3 2 4 4 2 3" xfId="19457"/>
    <cellStyle name="Procent 4 3 2 4 4 3" xfId="12884"/>
    <cellStyle name="Procent 4 3 2 4 4 3 2" xfId="19458"/>
    <cellStyle name="Procent 4 3 2 4 4 4" xfId="19459"/>
    <cellStyle name="Procent 4 3 2 4 5" xfId="3945"/>
    <cellStyle name="Procent 4 3 2 4 5 2" xfId="12886"/>
    <cellStyle name="Procent 4 3 2 4 5 2 2" xfId="19460"/>
    <cellStyle name="Procent 4 3 2 4 5 3" xfId="19461"/>
    <cellStyle name="Procent 4 3 2 4 6" xfId="7015"/>
    <cellStyle name="Procent 4 3 2 4 6 2" xfId="11976"/>
    <cellStyle name="Procent 4 3 2 4 6 2 2" xfId="19462"/>
    <cellStyle name="Procent 4 3 2 4 6 3" xfId="19463"/>
    <cellStyle name="Procent 4 3 2 4 7" xfId="9005"/>
    <cellStyle name="Procent 4 3 2 4 7 2" xfId="19464"/>
    <cellStyle name="Procent 4 3 2 4 8" xfId="19465"/>
    <cellStyle name="Procent 4 3 2 5" xfId="2006"/>
    <cellStyle name="Procent 4 3 2 5 2" xfId="2550"/>
    <cellStyle name="Procent 4 3 2 5 2 2" xfId="3567"/>
    <cellStyle name="Procent 4 3 2 5 2 2 2" xfId="5601"/>
    <cellStyle name="Procent 4 3 2 5 2 2 2 2" xfId="12888"/>
    <cellStyle name="Procent 4 3 2 5 2 2 2 2 2" xfId="19466"/>
    <cellStyle name="Procent 4 3 2 5 2 2 2 3" xfId="19467"/>
    <cellStyle name="Procent 4 3 2 5 2 2 3" xfId="12887"/>
    <cellStyle name="Procent 4 3 2 5 2 2 3 2" xfId="19468"/>
    <cellStyle name="Procent 4 3 2 5 2 2 4" xfId="19469"/>
    <cellStyle name="Procent 4 3 2 5 2 3" xfId="4584"/>
    <cellStyle name="Procent 4 3 2 5 2 3 2" xfId="12889"/>
    <cellStyle name="Procent 4 3 2 5 2 3 2 2" xfId="19470"/>
    <cellStyle name="Procent 4 3 2 5 2 3 3" xfId="19471"/>
    <cellStyle name="Procent 4 3 2 5 2 4" xfId="7016"/>
    <cellStyle name="Procent 4 3 2 5 2 4 2" xfId="12118"/>
    <cellStyle name="Procent 4 3 2 5 2 4 2 2" xfId="19472"/>
    <cellStyle name="Procent 4 3 2 5 2 4 3" xfId="19473"/>
    <cellStyle name="Procent 4 3 2 5 2 5" xfId="9010"/>
    <cellStyle name="Procent 4 3 2 5 2 5 2" xfId="19474"/>
    <cellStyle name="Procent 4 3 2 5 2 6" xfId="19475"/>
    <cellStyle name="Procent 4 3 2 5 3" xfId="3054"/>
    <cellStyle name="Procent 4 3 2 5 3 2" xfId="5088"/>
    <cellStyle name="Procent 4 3 2 5 3 2 2" xfId="12891"/>
    <cellStyle name="Procent 4 3 2 5 3 2 2 2" xfId="19476"/>
    <cellStyle name="Procent 4 3 2 5 3 2 3" xfId="19477"/>
    <cellStyle name="Procent 4 3 2 5 3 3" xfId="12890"/>
    <cellStyle name="Procent 4 3 2 5 3 3 2" xfId="19478"/>
    <cellStyle name="Procent 4 3 2 5 3 4" xfId="19479"/>
    <cellStyle name="Procent 4 3 2 5 4" xfId="4071"/>
    <cellStyle name="Procent 4 3 2 5 4 2" xfId="12892"/>
    <cellStyle name="Procent 4 3 2 5 4 2 2" xfId="19480"/>
    <cellStyle name="Procent 4 3 2 5 4 3" xfId="19481"/>
    <cellStyle name="Procent 4 3 2 5 5" xfId="7017"/>
    <cellStyle name="Procent 4 3 2 5 5 2" xfId="12003"/>
    <cellStyle name="Procent 4 3 2 5 5 2 2" xfId="19482"/>
    <cellStyle name="Procent 4 3 2 5 5 3" xfId="19483"/>
    <cellStyle name="Procent 4 3 2 5 6" xfId="9009"/>
    <cellStyle name="Procent 4 3 2 5 6 2" xfId="19484"/>
    <cellStyle name="Procent 4 3 2 5 7" xfId="19485"/>
    <cellStyle name="Procent 4 3 2 6" xfId="2272"/>
    <cellStyle name="Procent 4 3 2 7" xfId="2298"/>
    <cellStyle name="Procent 4 3 2 7 2" xfId="3315"/>
    <cellStyle name="Procent 4 3 2 7 2 2" xfId="5349"/>
    <cellStyle name="Procent 4 3 2 7 2 2 2" xfId="12894"/>
    <cellStyle name="Procent 4 3 2 7 2 2 2 2" xfId="19486"/>
    <cellStyle name="Procent 4 3 2 7 2 2 3" xfId="19487"/>
    <cellStyle name="Procent 4 3 2 7 2 3" xfId="12893"/>
    <cellStyle name="Procent 4 3 2 7 2 3 2" xfId="19488"/>
    <cellStyle name="Procent 4 3 2 7 2 4" xfId="19489"/>
    <cellStyle name="Procent 4 3 2 7 3" xfId="4332"/>
    <cellStyle name="Procent 4 3 2 7 3 2" xfId="12895"/>
    <cellStyle name="Procent 4 3 2 7 3 2 2" xfId="19490"/>
    <cellStyle name="Procent 4 3 2 7 3 3" xfId="19491"/>
    <cellStyle name="Procent 4 3 2 7 4" xfId="7018"/>
    <cellStyle name="Procent 4 3 2 7 4 2" xfId="12064"/>
    <cellStyle name="Procent 4 3 2 7 4 2 2" xfId="19492"/>
    <cellStyle name="Procent 4 3 2 7 4 3" xfId="19493"/>
    <cellStyle name="Procent 4 3 2 7 5" xfId="9011"/>
    <cellStyle name="Procent 4 3 2 7 5 2" xfId="19494"/>
    <cellStyle name="Procent 4 3 2 7 6" xfId="19495"/>
    <cellStyle name="Procent 4 3 2 8" xfId="2802"/>
    <cellStyle name="Procent 4 3 2 8 2" xfId="4836"/>
    <cellStyle name="Procent 4 3 2 8 2 2" xfId="12897"/>
    <cellStyle name="Procent 4 3 2 8 2 2 2" xfId="19496"/>
    <cellStyle name="Procent 4 3 2 8 2 3" xfId="19497"/>
    <cellStyle name="Procent 4 3 2 8 3" xfId="12896"/>
    <cellStyle name="Procent 4 3 2 8 3 2" xfId="19498"/>
    <cellStyle name="Procent 4 3 2 8 4" xfId="19499"/>
    <cellStyle name="Procent 4 3 2 9" xfId="3819"/>
    <cellStyle name="Procent 4 3 2 9 2" xfId="12898"/>
    <cellStyle name="Procent 4 3 2 9 2 2" xfId="19500"/>
    <cellStyle name="Procent 4 3 2 9 3" xfId="19501"/>
    <cellStyle name="Procent 4 3 3" xfId="1768"/>
    <cellStyle name="Procent 4 3 3 10" xfId="9012"/>
    <cellStyle name="Procent 4 3 3 10 2" xfId="19502"/>
    <cellStyle name="Procent 4 3 3 11" xfId="19503"/>
    <cellStyle name="Procent 4 3 3 2" xfId="1810"/>
    <cellStyle name="Procent 4 3 3 2 2" xfId="1936"/>
    <cellStyle name="Procent 4 3 3 2 2 2" xfId="2188"/>
    <cellStyle name="Procent 4 3 3 2 2 2 2" xfId="2732"/>
    <cellStyle name="Procent 4 3 3 2 2 2 2 2" xfId="3749"/>
    <cellStyle name="Procent 4 3 3 2 2 2 2 2 2" xfId="5783"/>
    <cellStyle name="Procent 4 3 3 2 2 2 2 2 2 2" xfId="12900"/>
    <cellStyle name="Procent 4 3 3 2 2 2 2 2 2 2 2" xfId="19504"/>
    <cellStyle name="Procent 4 3 3 2 2 2 2 2 2 3" xfId="19505"/>
    <cellStyle name="Procent 4 3 3 2 2 2 2 2 3" xfId="12899"/>
    <cellStyle name="Procent 4 3 3 2 2 2 2 2 3 2" xfId="19506"/>
    <cellStyle name="Procent 4 3 3 2 2 2 2 2 4" xfId="19507"/>
    <cellStyle name="Procent 4 3 3 2 2 2 2 3" xfId="4766"/>
    <cellStyle name="Procent 4 3 3 2 2 2 2 3 2" xfId="12901"/>
    <cellStyle name="Procent 4 3 3 2 2 2 2 3 2 2" xfId="19508"/>
    <cellStyle name="Procent 4 3 3 2 2 2 2 3 3" xfId="19509"/>
    <cellStyle name="Procent 4 3 3 2 2 2 2 4" xfId="7019"/>
    <cellStyle name="Procent 4 3 3 2 2 2 2 4 2" xfId="12157"/>
    <cellStyle name="Procent 4 3 3 2 2 2 2 4 2 2" xfId="19510"/>
    <cellStyle name="Procent 4 3 3 2 2 2 2 4 3" xfId="19511"/>
    <cellStyle name="Procent 4 3 3 2 2 2 2 5" xfId="9016"/>
    <cellStyle name="Procent 4 3 3 2 2 2 2 5 2" xfId="19512"/>
    <cellStyle name="Procent 4 3 3 2 2 2 2 6" xfId="19513"/>
    <cellStyle name="Procent 4 3 3 2 2 2 3" xfId="3236"/>
    <cellStyle name="Procent 4 3 3 2 2 2 3 2" xfId="5270"/>
    <cellStyle name="Procent 4 3 3 2 2 2 3 2 2" xfId="12903"/>
    <cellStyle name="Procent 4 3 3 2 2 2 3 2 2 2" xfId="19514"/>
    <cellStyle name="Procent 4 3 3 2 2 2 3 2 3" xfId="19515"/>
    <cellStyle name="Procent 4 3 3 2 2 2 3 3" xfId="12902"/>
    <cellStyle name="Procent 4 3 3 2 2 2 3 3 2" xfId="19516"/>
    <cellStyle name="Procent 4 3 3 2 2 2 3 4" xfId="19517"/>
    <cellStyle name="Procent 4 3 3 2 2 2 4" xfId="4253"/>
    <cellStyle name="Procent 4 3 3 2 2 2 4 2" xfId="12904"/>
    <cellStyle name="Procent 4 3 3 2 2 2 4 2 2" xfId="19518"/>
    <cellStyle name="Procent 4 3 3 2 2 2 4 3" xfId="19519"/>
    <cellStyle name="Procent 4 3 3 2 2 2 5" xfId="7020"/>
    <cellStyle name="Procent 4 3 3 2 2 2 5 2" xfId="12042"/>
    <cellStyle name="Procent 4 3 3 2 2 2 5 2 2" xfId="19520"/>
    <cellStyle name="Procent 4 3 3 2 2 2 5 3" xfId="19521"/>
    <cellStyle name="Procent 4 3 3 2 2 2 6" xfId="9015"/>
    <cellStyle name="Procent 4 3 3 2 2 2 6 2" xfId="19522"/>
    <cellStyle name="Procent 4 3 3 2 2 2 7" xfId="19523"/>
    <cellStyle name="Procent 4 3 3 2 2 3" xfId="2480"/>
    <cellStyle name="Procent 4 3 3 2 2 3 2" xfId="3497"/>
    <cellStyle name="Procent 4 3 3 2 2 3 2 2" xfId="5531"/>
    <cellStyle name="Procent 4 3 3 2 2 3 2 2 2" xfId="12906"/>
    <cellStyle name="Procent 4 3 3 2 2 3 2 2 2 2" xfId="19524"/>
    <cellStyle name="Procent 4 3 3 2 2 3 2 2 3" xfId="19525"/>
    <cellStyle name="Procent 4 3 3 2 2 3 2 3" xfId="12905"/>
    <cellStyle name="Procent 4 3 3 2 2 3 2 3 2" xfId="19526"/>
    <cellStyle name="Procent 4 3 3 2 2 3 2 4" xfId="19527"/>
    <cellStyle name="Procent 4 3 3 2 2 3 3" xfId="4514"/>
    <cellStyle name="Procent 4 3 3 2 2 3 3 2" xfId="12907"/>
    <cellStyle name="Procent 4 3 3 2 2 3 3 2 2" xfId="19528"/>
    <cellStyle name="Procent 4 3 3 2 2 3 3 3" xfId="19529"/>
    <cellStyle name="Procent 4 3 3 2 2 3 4" xfId="7021"/>
    <cellStyle name="Procent 4 3 3 2 2 3 4 2" xfId="12103"/>
    <cellStyle name="Procent 4 3 3 2 2 3 4 2 2" xfId="19530"/>
    <cellStyle name="Procent 4 3 3 2 2 3 4 3" xfId="19531"/>
    <cellStyle name="Procent 4 3 3 2 2 3 5" xfId="9017"/>
    <cellStyle name="Procent 4 3 3 2 2 3 5 2" xfId="19532"/>
    <cellStyle name="Procent 4 3 3 2 2 3 6" xfId="19533"/>
    <cellStyle name="Procent 4 3 3 2 2 4" xfId="2984"/>
    <cellStyle name="Procent 4 3 3 2 2 4 2" xfId="5018"/>
    <cellStyle name="Procent 4 3 3 2 2 4 2 2" xfId="12909"/>
    <cellStyle name="Procent 4 3 3 2 2 4 2 2 2" xfId="19534"/>
    <cellStyle name="Procent 4 3 3 2 2 4 2 3" xfId="19535"/>
    <cellStyle name="Procent 4 3 3 2 2 4 3" xfId="12908"/>
    <cellStyle name="Procent 4 3 3 2 2 4 3 2" xfId="19536"/>
    <cellStyle name="Procent 4 3 3 2 2 4 4" xfId="19537"/>
    <cellStyle name="Procent 4 3 3 2 2 5" xfId="4001"/>
    <cellStyle name="Procent 4 3 3 2 2 5 2" xfId="12910"/>
    <cellStyle name="Procent 4 3 3 2 2 5 2 2" xfId="19538"/>
    <cellStyle name="Procent 4 3 3 2 2 5 3" xfId="19539"/>
    <cellStyle name="Procent 4 3 3 2 2 6" xfId="7022"/>
    <cellStyle name="Procent 4 3 3 2 2 6 2" xfId="11988"/>
    <cellStyle name="Procent 4 3 3 2 2 6 2 2" xfId="19540"/>
    <cellStyle name="Procent 4 3 3 2 2 6 3" xfId="19541"/>
    <cellStyle name="Procent 4 3 3 2 2 7" xfId="9014"/>
    <cellStyle name="Procent 4 3 3 2 2 7 2" xfId="19542"/>
    <cellStyle name="Procent 4 3 3 2 2 8" xfId="19543"/>
    <cellStyle name="Procent 4 3 3 2 3" xfId="2062"/>
    <cellStyle name="Procent 4 3 3 2 3 2" xfId="2606"/>
    <cellStyle name="Procent 4 3 3 2 3 2 2" xfId="3623"/>
    <cellStyle name="Procent 4 3 3 2 3 2 2 2" xfId="5657"/>
    <cellStyle name="Procent 4 3 3 2 3 2 2 2 2" xfId="12912"/>
    <cellStyle name="Procent 4 3 3 2 3 2 2 2 2 2" xfId="19544"/>
    <cellStyle name="Procent 4 3 3 2 3 2 2 2 3" xfId="19545"/>
    <cellStyle name="Procent 4 3 3 2 3 2 2 3" xfId="12911"/>
    <cellStyle name="Procent 4 3 3 2 3 2 2 3 2" xfId="19546"/>
    <cellStyle name="Procent 4 3 3 2 3 2 2 4" xfId="19547"/>
    <cellStyle name="Procent 4 3 3 2 3 2 3" xfId="4640"/>
    <cellStyle name="Procent 4 3 3 2 3 2 3 2" xfId="12913"/>
    <cellStyle name="Procent 4 3 3 2 3 2 3 2 2" xfId="19548"/>
    <cellStyle name="Procent 4 3 3 2 3 2 3 3" xfId="19549"/>
    <cellStyle name="Procent 4 3 3 2 3 2 4" xfId="7023"/>
    <cellStyle name="Procent 4 3 3 2 3 2 4 2" xfId="12130"/>
    <cellStyle name="Procent 4 3 3 2 3 2 4 2 2" xfId="19550"/>
    <cellStyle name="Procent 4 3 3 2 3 2 4 3" xfId="19551"/>
    <cellStyle name="Procent 4 3 3 2 3 2 5" xfId="9019"/>
    <cellStyle name="Procent 4 3 3 2 3 2 5 2" xfId="19552"/>
    <cellStyle name="Procent 4 3 3 2 3 2 6" xfId="19553"/>
    <cellStyle name="Procent 4 3 3 2 3 3" xfId="3110"/>
    <cellStyle name="Procent 4 3 3 2 3 3 2" xfId="5144"/>
    <cellStyle name="Procent 4 3 3 2 3 3 2 2" xfId="12915"/>
    <cellStyle name="Procent 4 3 3 2 3 3 2 2 2" xfId="19554"/>
    <cellStyle name="Procent 4 3 3 2 3 3 2 3" xfId="19555"/>
    <cellStyle name="Procent 4 3 3 2 3 3 3" xfId="12914"/>
    <cellStyle name="Procent 4 3 3 2 3 3 3 2" xfId="19556"/>
    <cellStyle name="Procent 4 3 3 2 3 3 4" xfId="19557"/>
    <cellStyle name="Procent 4 3 3 2 3 4" xfId="4127"/>
    <cellStyle name="Procent 4 3 3 2 3 4 2" xfId="12916"/>
    <cellStyle name="Procent 4 3 3 2 3 4 2 2" xfId="19558"/>
    <cellStyle name="Procent 4 3 3 2 3 4 3" xfId="19559"/>
    <cellStyle name="Procent 4 3 3 2 3 5" xfId="7024"/>
    <cellStyle name="Procent 4 3 3 2 3 5 2" xfId="12015"/>
    <cellStyle name="Procent 4 3 3 2 3 5 2 2" xfId="19560"/>
    <cellStyle name="Procent 4 3 3 2 3 5 3" xfId="19561"/>
    <cellStyle name="Procent 4 3 3 2 3 6" xfId="9018"/>
    <cellStyle name="Procent 4 3 3 2 3 6 2" xfId="19562"/>
    <cellStyle name="Procent 4 3 3 2 3 7" xfId="19563"/>
    <cellStyle name="Procent 4 3 3 2 4" xfId="2354"/>
    <cellStyle name="Procent 4 3 3 2 4 2" xfId="3371"/>
    <cellStyle name="Procent 4 3 3 2 4 2 2" xfId="5405"/>
    <cellStyle name="Procent 4 3 3 2 4 2 2 2" xfId="12918"/>
    <cellStyle name="Procent 4 3 3 2 4 2 2 2 2" xfId="19564"/>
    <cellStyle name="Procent 4 3 3 2 4 2 2 3" xfId="19565"/>
    <cellStyle name="Procent 4 3 3 2 4 2 3" xfId="12917"/>
    <cellStyle name="Procent 4 3 3 2 4 2 3 2" xfId="19566"/>
    <cellStyle name="Procent 4 3 3 2 4 2 4" xfId="19567"/>
    <cellStyle name="Procent 4 3 3 2 4 3" xfId="4388"/>
    <cellStyle name="Procent 4 3 3 2 4 3 2" xfId="12919"/>
    <cellStyle name="Procent 4 3 3 2 4 3 2 2" xfId="19568"/>
    <cellStyle name="Procent 4 3 3 2 4 3 3" xfId="19569"/>
    <cellStyle name="Procent 4 3 3 2 4 4" xfId="7025"/>
    <cellStyle name="Procent 4 3 3 2 4 4 2" xfId="12076"/>
    <cellStyle name="Procent 4 3 3 2 4 4 2 2" xfId="19570"/>
    <cellStyle name="Procent 4 3 3 2 4 4 3" xfId="19571"/>
    <cellStyle name="Procent 4 3 3 2 4 5" xfId="9020"/>
    <cellStyle name="Procent 4 3 3 2 4 5 2" xfId="19572"/>
    <cellStyle name="Procent 4 3 3 2 4 6" xfId="19573"/>
    <cellStyle name="Procent 4 3 3 2 5" xfId="2858"/>
    <cellStyle name="Procent 4 3 3 2 5 2" xfId="4892"/>
    <cellStyle name="Procent 4 3 3 2 5 2 2" xfId="12921"/>
    <cellStyle name="Procent 4 3 3 2 5 2 2 2" xfId="19574"/>
    <cellStyle name="Procent 4 3 3 2 5 2 3" xfId="19575"/>
    <cellStyle name="Procent 4 3 3 2 5 3" xfId="12920"/>
    <cellStyle name="Procent 4 3 3 2 5 3 2" xfId="19576"/>
    <cellStyle name="Procent 4 3 3 2 5 4" xfId="19577"/>
    <cellStyle name="Procent 4 3 3 2 6" xfId="3875"/>
    <cellStyle name="Procent 4 3 3 2 6 2" xfId="12922"/>
    <cellStyle name="Procent 4 3 3 2 6 2 2" xfId="19578"/>
    <cellStyle name="Procent 4 3 3 2 6 3" xfId="19579"/>
    <cellStyle name="Procent 4 3 3 2 7" xfId="7026"/>
    <cellStyle name="Procent 4 3 3 2 7 2" xfId="11961"/>
    <cellStyle name="Procent 4 3 3 2 7 2 2" xfId="19580"/>
    <cellStyle name="Procent 4 3 3 2 7 3" xfId="19581"/>
    <cellStyle name="Procent 4 3 3 2 8" xfId="9013"/>
    <cellStyle name="Procent 4 3 3 2 8 2" xfId="19582"/>
    <cellStyle name="Procent 4 3 3 2 9" xfId="19583"/>
    <cellStyle name="Procent 4 3 3 3" xfId="1852"/>
    <cellStyle name="Procent 4 3 3 3 2" xfId="1978"/>
    <cellStyle name="Procent 4 3 3 3 2 2" xfId="2230"/>
    <cellStyle name="Procent 4 3 3 3 2 2 2" xfId="2774"/>
    <cellStyle name="Procent 4 3 3 3 2 2 2 2" xfId="3791"/>
    <cellStyle name="Procent 4 3 3 3 2 2 2 2 2" xfId="5825"/>
    <cellStyle name="Procent 4 3 3 3 2 2 2 2 2 2" xfId="12924"/>
    <cellStyle name="Procent 4 3 3 3 2 2 2 2 2 2 2" xfId="19584"/>
    <cellStyle name="Procent 4 3 3 3 2 2 2 2 2 3" xfId="19585"/>
    <cellStyle name="Procent 4 3 3 3 2 2 2 2 3" xfId="12923"/>
    <cellStyle name="Procent 4 3 3 3 2 2 2 2 3 2" xfId="19586"/>
    <cellStyle name="Procent 4 3 3 3 2 2 2 2 4" xfId="19587"/>
    <cellStyle name="Procent 4 3 3 3 2 2 2 3" xfId="4808"/>
    <cellStyle name="Procent 4 3 3 3 2 2 2 3 2" xfId="12925"/>
    <cellStyle name="Procent 4 3 3 3 2 2 2 3 2 2" xfId="19588"/>
    <cellStyle name="Procent 4 3 3 3 2 2 2 3 3" xfId="19589"/>
    <cellStyle name="Procent 4 3 3 3 2 2 2 4" xfId="7027"/>
    <cellStyle name="Procent 4 3 3 3 2 2 2 4 2" xfId="12166"/>
    <cellStyle name="Procent 4 3 3 3 2 2 2 4 2 2" xfId="19590"/>
    <cellStyle name="Procent 4 3 3 3 2 2 2 4 3" xfId="19591"/>
    <cellStyle name="Procent 4 3 3 3 2 2 2 5" xfId="9024"/>
    <cellStyle name="Procent 4 3 3 3 2 2 2 5 2" xfId="19592"/>
    <cellStyle name="Procent 4 3 3 3 2 2 2 6" xfId="19593"/>
    <cellStyle name="Procent 4 3 3 3 2 2 3" xfId="3278"/>
    <cellStyle name="Procent 4 3 3 3 2 2 3 2" xfId="5312"/>
    <cellStyle name="Procent 4 3 3 3 2 2 3 2 2" xfId="12927"/>
    <cellStyle name="Procent 4 3 3 3 2 2 3 2 2 2" xfId="19594"/>
    <cellStyle name="Procent 4 3 3 3 2 2 3 2 3" xfId="19595"/>
    <cellStyle name="Procent 4 3 3 3 2 2 3 3" xfId="12926"/>
    <cellStyle name="Procent 4 3 3 3 2 2 3 3 2" xfId="19596"/>
    <cellStyle name="Procent 4 3 3 3 2 2 3 4" xfId="19597"/>
    <cellStyle name="Procent 4 3 3 3 2 2 4" xfId="4295"/>
    <cellStyle name="Procent 4 3 3 3 2 2 4 2" xfId="12928"/>
    <cellStyle name="Procent 4 3 3 3 2 2 4 2 2" xfId="19598"/>
    <cellStyle name="Procent 4 3 3 3 2 2 4 3" xfId="19599"/>
    <cellStyle name="Procent 4 3 3 3 2 2 5" xfId="7028"/>
    <cellStyle name="Procent 4 3 3 3 2 2 5 2" xfId="12051"/>
    <cellStyle name="Procent 4 3 3 3 2 2 5 2 2" xfId="19600"/>
    <cellStyle name="Procent 4 3 3 3 2 2 5 3" xfId="19601"/>
    <cellStyle name="Procent 4 3 3 3 2 2 6" xfId="9023"/>
    <cellStyle name="Procent 4 3 3 3 2 2 6 2" xfId="19602"/>
    <cellStyle name="Procent 4 3 3 3 2 2 7" xfId="19603"/>
    <cellStyle name="Procent 4 3 3 3 2 3" xfId="2522"/>
    <cellStyle name="Procent 4 3 3 3 2 3 2" xfId="3539"/>
    <cellStyle name="Procent 4 3 3 3 2 3 2 2" xfId="5573"/>
    <cellStyle name="Procent 4 3 3 3 2 3 2 2 2" xfId="12930"/>
    <cellStyle name="Procent 4 3 3 3 2 3 2 2 2 2" xfId="19604"/>
    <cellStyle name="Procent 4 3 3 3 2 3 2 2 3" xfId="19605"/>
    <cellStyle name="Procent 4 3 3 3 2 3 2 3" xfId="12929"/>
    <cellStyle name="Procent 4 3 3 3 2 3 2 3 2" xfId="19606"/>
    <cellStyle name="Procent 4 3 3 3 2 3 2 4" xfId="19607"/>
    <cellStyle name="Procent 4 3 3 3 2 3 3" xfId="4556"/>
    <cellStyle name="Procent 4 3 3 3 2 3 3 2" xfId="12931"/>
    <cellStyle name="Procent 4 3 3 3 2 3 3 2 2" xfId="19608"/>
    <cellStyle name="Procent 4 3 3 3 2 3 3 3" xfId="19609"/>
    <cellStyle name="Procent 4 3 3 3 2 3 4" xfId="7029"/>
    <cellStyle name="Procent 4 3 3 3 2 3 4 2" xfId="12112"/>
    <cellStyle name="Procent 4 3 3 3 2 3 4 2 2" xfId="19610"/>
    <cellStyle name="Procent 4 3 3 3 2 3 4 3" xfId="19611"/>
    <cellStyle name="Procent 4 3 3 3 2 3 5" xfId="9025"/>
    <cellStyle name="Procent 4 3 3 3 2 3 5 2" xfId="19612"/>
    <cellStyle name="Procent 4 3 3 3 2 3 6" xfId="19613"/>
    <cellStyle name="Procent 4 3 3 3 2 4" xfId="3026"/>
    <cellStyle name="Procent 4 3 3 3 2 4 2" xfId="5060"/>
    <cellStyle name="Procent 4 3 3 3 2 4 2 2" xfId="12933"/>
    <cellStyle name="Procent 4 3 3 3 2 4 2 2 2" xfId="19614"/>
    <cellStyle name="Procent 4 3 3 3 2 4 2 3" xfId="19615"/>
    <cellStyle name="Procent 4 3 3 3 2 4 3" xfId="12932"/>
    <cellStyle name="Procent 4 3 3 3 2 4 3 2" xfId="19616"/>
    <cellStyle name="Procent 4 3 3 3 2 4 4" xfId="19617"/>
    <cellStyle name="Procent 4 3 3 3 2 5" xfId="4043"/>
    <cellStyle name="Procent 4 3 3 3 2 5 2" xfId="12934"/>
    <cellStyle name="Procent 4 3 3 3 2 5 2 2" xfId="19618"/>
    <cellStyle name="Procent 4 3 3 3 2 5 3" xfId="19619"/>
    <cellStyle name="Procent 4 3 3 3 2 6" xfId="7030"/>
    <cellStyle name="Procent 4 3 3 3 2 6 2" xfId="11997"/>
    <cellStyle name="Procent 4 3 3 3 2 6 2 2" xfId="19620"/>
    <cellStyle name="Procent 4 3 3 3 2 6 3" xfId="19621"/>
    <cellStyle name="Procent 4 3 3 3 2 7" xfId="9022"/>
    <cellStyle name="Procent 4 3 3 3 2 7 2" xfId="19622"/>
    <cellStyle name="Procent 4 3 3 3 2 8" xfId="19623"/>
    <cellStyle name="Procent 4 3 3 3 3" xfId="2104"/>
    <cellStyle name="Procent 4 3 3 3 3 2" xfId="2648"/>
    <cellStyle name="Procent 4 3 3 3 3 2 2" xfId="3665"/>
    <cellStyle name="Procent 4 3 3 3 3 2 2 2" xfId="5699"/>
    <cellStyle name="Procent 4 3 3 3 3 2 2 2 2" xfId="12936"/>
    <cellStyle name="Procent 4 3 3 3 3 2 2 2 2 2" xfId="19624"/>
    <cellStyle name="Procent 4 3 3 3 3 2 2 2 3" xfId="19625"/>
    <cellStyle name="Procent 4 3 3 3 3 2 2 3" xfId="12935"/>
    <cellStyle name="Procent 4 3 3 3 3 2 2 3 2" xfId="19626"/>
    <cellStyle name="Procent 4 3 3 3 3 2 2 4" xfId="19627"/>
    <cellStyle name="Procent 4 3 3 3 3 2 3" xfId="4682"/>
    <cellStyle name="Procent 4 3 3 3 3 2 3 2" xfId="12937"/>
    <cellStyle name="Procent 4 3 3 3 3 2 3 2 2" xfId="19628"/>
    <cellStyle name="Procent 4 3 3 3 3 2 3 3" xfId="19629"/>
    <cellStyle name="Procent 4 3 3 3 3 2 4" xfId="7031"/>
    <cellStyle name="Procent 4 3 3 3 3 2 4 2" xfId="12139"/>
    <cellStyle name="Procent 4 3 3 3 3 2 4 2 2" xfId="19630"/>
    <cellStyle name="Procent 4 3 3 3 3 2 4 3" xfId="19631"/>
    <cellStyle name="Procent 4 3 3 3 3 2 5" xfId="9027"/>
    <cellStyle name="Procent 4 3 3 3 3 2 5 2" xfId="19632"/>
    <cellStyle name="Procent 4 3 3 3 3 2 6" xfId="19633"/>
    <cellStyle name="Procent 4 3 3 3 3 3" xfId="3152"/>
    <cellStyle name="Procent 4 3 3 3 3 3 2" xfId="5186"/>
    <cellStyle name="Procent 4 3 3 3 3 3 2 2" xfId="12939"/>
    <cellStyle name="Procent 4 3 3 3 3 3 2 2 2" xfId="19634"/>
    <cellStyle name="Procent 4 3 3 3 3 3 2 3" xfId="19635"/>
    <cellStyle name="Procent 4 3 3 3 3 3 3" xfId="12938"/>
    <cellStyle name="Procent 4 3 3 3 3 3 3 2" xfId="19636"/>
    <cellStyle name="Procent 4 3 3 3 3 3 4" xfId="19637"/>
    <cellStyle name="Procent 4 3 3 3 3 4" xfId="4169"/>
    <cellStyle name="Procent 4 3 3 3 3 4 2" xfId="12940"/>
    <cellStyle name="Procent 4 3 3 3 3 4 2 2" xfId="19638"/>
    <cellStyle name="Procent 4 3 3 3 3 4 3" xfId="19639"/>
    <cellStyle name="Procent 4 3 3 3 3 5" xfId="7032"/>
    <cellStyle name="Procent 4 3 3 3 3 5 2" xfId="12024"/>
    <cellStyle name="Procent 4 3 3 3 3 5 2 2" xfId="19640"/>
    <cellStyle name="Procent 4 3 3 3 3 5 3" xfId="19641"/>
    <cellStyle name="Procent 4 3 3 3 3 6" xfId="9026"/>
    <cellStyle name="Procent 4 3 3 3 3 6 2" xfId="19642"/>
    <cellStyle name="Procent 4 3 3 3 3 7" xfId="19643"/>
    <cellStyle name="Procent 4 3 3 3 4" xfId="2396"/>
    <cellStyle name="Procent 4 3 3 3 4 2" xfId="3413"/>
    <cellStyle name="Procent 4 3 3 3 4 2 2" xfId="5447"/>
    <cellStyle name="Procent 4 3 3 3 4 2 2 2" xfId="12942"/>
    <cellStyle name="Procent 4 3 3 3 4 2 2 2 2" xfId="19644"/>
    <cellStyle name="Procent 4 3 3 3 4 2 2 3" xfId="19645"/>
    <cellStyle name="Procent 4 3 3 3 4 2 3" xfId="12941"/>
    <cellStyle name="Procent 4 3 3 3 4 2 3 2" xfId="19646"/>
    <cellStyle name="Procent 4 3 3 3 4 2 4" xfId="19647"/>
    <cellStyle name="Procent 4 3 3 3 4 3" xfId="4430"/>
    <cellStyle name="Procent 4 3 3 3 4 3 2" xfId="12943"/>
    <cellStyle name="Procent 4 3 3 3 4 3 2 2" xfId="19648"/>
    <cellStyle name="Procent 4 3 3 3 4 3 3" xfId="19649"/>
    <cellStyle name="Procent 4 3 3 3 4 4" xfId="7033"/>
    <cellStyle name="Procent 4 3 3 3 4 4 2" xfId="12085"/>
    <cellStyle name="Procent 4 3 3 3 4 4 2 2" xfId="19650"/>
    <cellStyle name="Procent 4 3 3 3 4 4 3" xfId="19651"/>
    <cellStyle name="Procent 4 3 3 3 4 5" xfId="9028"/>
    <cellStyle name="Procent 4 3 3 3 4 5 2" xfId="19652"/>
    <cellStyle name="Procent 4 3 3 3 4 6" xfId="19653"/>
    <cellStyle name="Procent 4 3 3 3 5" xfId="2900"/>
    <cellStyle name="Procent 4 3 3 3 5 2" xfId="4934"/>
    <cellStyle name="Procent 4 3 3 3 5 2 2" xfId="12945"/>
    <cellStyle name="Procent 4 3 3 3 5 2 2 2" xfId="19654"/>
    <cellStyle name="Procent 4 3 3 3 5 2 3" xfId="19655"/>
    <cellStyle name="Procent 4 3 3 3 5 3" xfId="12944"/>
    <cellStyle name="Procent 4 3 3 3 5 3 2" xfId="19656"/>
    <cellStyle name="Procent 4 3 3 3 5 4" xfId="19657"/>
    <cellStyle name="Procent 4 3 3 3 6" xfId="3917"/>
    <cellStyle name="Procent 4 3 3 3 6 2" xfId="12946"/>
    <cellStyle name="Procent 4 3 3 3 6 2 2" xfId="19658"/>
    <cellStyle name="Procent 4 3 3 3 6 3" xfId="19659"/>
    <cellStyle name="Procent 4 3 3 3 7" xfId="7034"/>
    <cellStyle name="Procent 4 3 3 3 7 2" xfId="11970"/>
    <cellStyle name="Procent 4 3 3 3 7 2 2" xfId="19660"/>
    <cellStyle name="Procent 4 3 3 3 7 3" xfId="19661"/>
    <cellStyle name="Procent 4 3 3 3 8" xfId="9021"/>
    <cellStyle name="Procent 4 3 3 3 8 2" xfId="19662"/>
    <cellStyle name="Procent 4 3 3 3 9" xfId="19663"/>
    <cellStyle name="Procent 4 3 3 4" xfId="1894"/>
    <cellStyle name="Procent 4 3 3 4 2" xfId="2146"/>
    <cellStyle name="Procent 4 3 3 4 2 2" xfId="2690"/>
    <cellStyle name="Procent 4 3 3 4 2 2 2" xfId="3707"/>
    <cellStyle name="Procent 4 3 3 4 2 2 2 2" xfId="5741"/>
    <cellStyle name="Procent 4 3 3 4 2 2 2 2 2" xfId="12948"/>
    <cellStyle name="Procent 4 3 3 4 2 2 2 2 2 2" xfId="19664"/>
    <cellStyle name="Procent 4 3 3 4 2 2 2 2 3" xfId="19665"/>
    <cellStyle name="Procent 4 3 3 4 2 2 2 3" xfId="12947"/>
    <cellStyle name="Procent 4 3 3 4 2 2 2 3 2" xfId="19666"/>
    <cellStyle name="Procent 4 3 3 4 2 2 2 4" xfId="19667"/>
    <cellStyle name="Procent 4 3 3 4 2 2 3" xfId="4724"/>
    <cellStyle name="Procent 4 3 3 4 2 2 3 2" xfId="12949"/>
    <cellStyle name="Procent 4 3 3 4 2 2 3 2 2" xfId="19668"/>
    <cellStyle name="Procent 4 3 3 4 2 2 3 3" xfId="19669"/>
    <cellStyle name="Procent 4 3 3 4 2 2 4" xfId="7035"/>
    <cellStyle name="Procent 4 3 3 4 2 2 4 2" xfId="12148"/>
    <cellStyle name="Procent 4 3 3 4 2 2 4 2 2" xfId="19670"/>
    <cellStyle name="Procent 4 3 3 4 2 2 4 3" xfId="19671"/>
    <cellStyle name="Procent 4 3 3 4 2 2 5" xfId="9031"/>
    <cellStyle name="Procent 4 3 3 4 2 2 5 2" xfId="19672"/>
    <cellStyle name="Procent 4 3 3 4 2 2 6" xfId="19673"/>
    <cellStyle name="Procent 4 3 3 4 2 3" xfId="3194"/>
    <cellStyle name="Procent 4 3 3 4 2 3 2" xfId="5228"/>
    <cellStyle name="Procent 4 3 3 4 2 3 2 2" xfId="12951"/>
    <cellStyle name="Procent 4 3 3 4 2 3 2 2 2" xfId="19674"/>
    <cellStyle name="Procent 4 3 3 4 2 3 2 3" xfId="19675"/>
    <cellStyle name="Procent 4 3 3 4 2 3 3" xfId="12950"/>
    <cellStyle name="Procent 4 3 3 4 2 3 3 2" xfId="19676"/>
    <cellStyle name="Procent 4 3 3 4 2 3 4" xfId="19677"/>
    <cellStyle name="Procent 4 3 3 4 2 4" xfId="4211"/>
    <cellStyle name="Procent 4 3 3 4 2 4 2" xfId="12952"/>
    <cellStyle name="Procent 4 3 3 4 2 4 2 2" xfId="19678"/>
    <cellStyle name="Procent 4 3 3 4 2 4 3" xfId="19679"/>
    <cellStyle name="Procent 4 3 3 4 2 5" xfId="7036"/>
    <cellStyle name="Procent 4 3 3 4 2 5 2" xfId="12033"/>
    <cellStyle name="Procent 4 3 3 4 2 5 2 2" xfId="19680"/>
    <cellStyle name="Procent 4 3 3 4 2 5 3" xfId="19681"/>
    <cellStyle name="Procent 4 3 3 4 2 6" xfId="9030"/>
    <cellStyle name="Procent 4 3 3 4 2 6 2" xfId="19682"/>
    <cellStyle name="Procent 4 3 3 4 2 7" xfId="19683"/>
    <cellStyle name="Procent 4 3 3 4 3" xfId="2438"/>
    <cellStyle name="Procent 4 3 3 4 3 2" xfId="3455"/>
    <cellStyle name="Procent 4 3 3 4 3 2 2" xfId="5489"/>
    <cellStyle name="Procent 4 3 3 4 3 2 2 2" xfId="12954"/>
    <cellStyle name="Procent 4 3 3 4 3 2 2 2 2" xfId="19684"/>
    <cellStyle name="Procent 4 3 3 4 3 2 2 3" xfId="19685"/>
    <cellStyle name="Procent 4 3 3 4 3 2 3" xfId="12953"/>
    <cellStyle name="Procent 4 3 3 4 3 2 3 2" xfId="19686"/>
    <cellStyle name="Procent 4 3 3 4 3 2 4" xfId="19687"/>
    <cellStyle name="Procent 4 3 3 4 3 3" xfId="4472"/>
    <cellStyle name="Procent 4 3 3 4 3 3 2" xfId="12955"/>
    <cellStyle name="Procent 4 3 3 4 3 3 2 2" xfId="19688"/>
    <cellStyle name="Procent 4 3 3 4 3 3 3" xfId="19689"/>
    <cellStyle name="Procent 4 3 3 4 3 4" xfId="7037"/>
    <cellStyle name="Procent 4 3 3 4 3 4 2" xfId="12094"/>
    <cellStyle name="Procent 4 3 3 4 3 4 2 2" xfId="19690"/>
    <cellStyle name="Procent 4 3 3 4 3 4 3" xfId="19691"/>
    <cellStyle name="Procent 4 3 3 4 3 5" xfId="9032"/>
    <cellStyle name="Procent 4 3 3 4 3 5 2" xfId="19692"/>
    <cellStyle name="Procent 4 3 3 4 3 6" xfId="19693"/>
    <cellStyle name="Procent 4 3 3 4 4" xfId="2942"/>
    <cellStyle name="Procent 4 3 3 4 4 2" xfId="4976"/>
    <cellStyle name="Procent 4 3 3 4 4 2 2" xfId="12957"/>
    <cellStyle name="Procent 4 3 3 4 4 2 2 2" xfId="19694"/>
    <cellStyle name="Procent 4 3 3 4 4 2 3" xfId="19695"/>
    <cellStyle name="Procent 4 3 3 4 4 3" xfId="12956"/>
    <cellStyle name="Procent 4 3 3 4 4 3 2" xfId="19696"/>
    <cellStyle name="Procent 4 3 3 4 4 4" xfId="19697"/>
    <cellStyle name="Procent 4 3 3 4 5" xfId="3959"/>
    <cellStyle name="Procent 4 3 3 4 5 2" xfId="12958"/>
    <cellStyle name="Procent 4 3 3 4 5 2 2" xfId="19698"/>
    <cellStyle name="Procent 4 3 3 4 5 3" xfId="19699"/>
    <cellStyle name="Procent 4 3 3 4 6" xfId="7038"/>
    <cellStyle name="Procent 4 3 3 4 6 2" xfId="11979"/>
    <cellStyle name="Procent 4 3 3 4 6 2 2" xfId="19700"/>
    <cellStyle name="Procent 4 3 3 4 6 3" xfId="19701"/>
    <cellStyle name="Procent 4 3 3 4 7" xfId="9029"/>
    <cellStyle name="Procent 4 3 3 4 7 2" xfId="19702"/>
    <cellStyle name="Procent 4 3 3 4 8" xfId="19703"/>
    <cellStyle name="Procent 4 3 3 5" xfId="2020"/>
    <cellStyle name="Procent 4 3 3 5 2" xfId="2564"/>
    <cellStyle name="Procent 4 3 3 5 2 2" xfId="3581"/>
    <cellStyle name="Procent 4 3 3 5 2 2 2" xfId="5615"/>
    <cellStyle name="Procent 4 3 3 5 2 2 2 2" xfId="12960"/>
    <cellStyle name="Procent 4 3 3 5 2 2 2 2 2" xfId="19704"/>
    <cellStyle name="Procent 4 3 3 5 2 2 2 3" xfId="19705"/>
    <cellStyle name="Procent 4 3 3 5 2 2 3" xfId="12959"/>
    <cellStyle name="Procent 4 3 3 5 2 2 3 2" xfId="19706"/>
    <cellStyle name="Procent 4 3 3 5 2 2 4" xfId="19707"/>
    <cellStyle name="Procent 4 3 3 5 2 3" xfId="4598"/>
    <cellStyle name="Procent 4 3 3 5 2 3 2" xfId="12961"/>
    <cellStyle name="Procent 4 3 3 5 2 3 2 2" xfId="19708"/>
    <cellStyle name="Procent 4 3 3 5 2 3 3" xfId="19709"/>
    <cellStyle name="Procent 4 3 3 5 2 4" xfId="7039"/>
    <cellStyle name="Procent 4 3 3 5 2 4 2" xfId="12121"/>
    <cellStyle name="Procent 4 3 3 5 2 4 2 2" xfId="19710"/>
    <cellStyle name="Procent 4 3 3 5 2 4 3" xfId="19711"/>
    <cellStyle name="Procent 4 3 3 5 2 5" xfId="9034"/>
    <cellStyle name="Procent 4 3 3 5 2 5 2" xfId="19712"/>
    <cellStyle name="Procent 4 3 3 5 2 6" xfId="19713"/>
    <cellStyle name="Procent 4 3 3 5 3" xfId="3068"/>
    <cellStyle name="Procent 4 3 3 5 3 2" xfId="5102"/>
    <cellStyle name="Procent 4 3 3 5 3 2 2" xfId="12963"/>
    <cellStyle name="Procent 4 3 3 5 3 2 2 2" xfId="19714"/>
    <cellStyle name="Procent 4 3 3 5 3 2 3" xfId="19715"/>
    <cellStyle name="Procent 4 3 3 5 3 3" xfId="12962"/>
    <cellStyle name="Procent 4 3 3 5 3 3 2" xfId="19716"/>
    <cellStyle name="Procent 4 3 3 5 3 4" xfId="19717"/>
    <cellStyle name="Procent 4 3 3 5 4" xfId="4085"/>
    <cellStyle name="Procent 4 3 3 5 4 2" xfId="12964"/>
    <cellStyle name="Procent 4 3 3 5 4 2 2" xfId="19718"/>
    <cellStyle name="Procent 4 3 3 5 4 3" xfId="19719"/>
    <cellStyle name="Procent 4 3 3 5 5" xfId="7040"/>
    <cellStyle name="Procent 4 3 3 5 5 2" xfId="12006"/>
    <cellStyle name="Procent 4 3 3 5 5 2 2" xfId="19720"/>
    <cellStyle name="Procent 4 3 3 5 5 3" xfId="19721"/>
    <cellStyle name="Procent 4 3 3 5 6" xfId="9033"/>
    <cellStyle name="Procent 4 3 3 5 6 2" xfId="19722"/>
    <cellStyle name="Procent 4 3 3 5 7" xfId="19723"/>
    <cellStyle name="Procent 4 3 3 6" xfId="2312"/>
    <cellStyle name="Procent 4 3 3 6 2" xfId="3329"/>
    <cellStyle name="Procent 4 3 3 6 2 2" xfId="5363"/>
    <cellStyle name="Procent 4 3 3 6 2 2 2" xfId="12966"/>
    <cellStyle name="Procent 4 3 3 6 2 2 2 2" xfId="19724"/>
    <cellStyle name="Procent 4 3 3 6 2 2 3" xfId="19725"/>
    <cellStyle name="Procent 4 3 3 6 2 3" xfId="12965"/>
    <cellStyle name="Procent 4 3 3 6 2 3 2" xfId="19726"/>
    <cellStyle name="Procent 4 3 3 6 2 4" xfId="19727"/>
    <cellStyle name="Procent 4 3 3 6 3" xfId="4346"/>
    <cellStyle name="Procent 4 3 3 6 3 2" xfId="12967"/>
    <cellStyle name="Procent 4 3 3 6 3 2 2" xfId="19728"/>
    <cellStyle name="Procent 4 3 3 6 3 3" xfId="19729"/>
    <cellStyle name="Procent 4 3 3 6 4" xfId="7041"/>
    <cellStyle name="Procent 4 3 3 6 4 2" xfId="12067"/>
    <cellStyle name="Procent 4 3 3 6 4 2 2" xfId="19730"/>
    <cellStyle name="Procent 4 3 3 6 4 3" xfId="19731"/>
    <cellStyle name="Procent 4 3 3 6 5" xfId="9035"/>
    <cellStyle name="Procent 4 3 3 6 5 2" xfId="19732"/>
    <cellStyle name="Procent 4 3 3 6 6" xfId="19733"/>
    <cellStyle name="Procent 4 3 3 7" xfId="2816"/>
    <cellStyle name="Procent 4 3 3 7 2" xfId="4850"/>
    <cellStyle name="Procent 4 3 3 7 2 2" xfId="12969"/>
    <cellStyle name="Procent 4 3 3 7 2 2 2" xfId="19734"/>
    <cellStyle name="Procent 4 3 3 7 2 3" xfId="19735"/>
    <cellStyle name="Procent 4 3 3 7 3" xfId="12968"/>
    <cellStyle name="Procent 4 3 3 7 3 2" xfId="19736"/>
    <cellStyle name="Procent 4 3 3 7 4" xfId="19737"/>
    <cellStyle name="Procent 4 3 3 8" xfId="3833"/>
    <cellStyle name="Procent 4 3 3 8 2" xfId="12970"/>
    <cellStyle name="Procent 4 3 3 8 2 2" xfId="19738"/>
    <cellStyle name="Procent 4 3 3 8 3" xfId="19739"/>
    <cellStyle name="Procent 4 3 3 9" xfId="7042"/>
    <cellStyle name="Procent 4 3 3 9 2" xfId="11952"/>
    <cellStyle name="Procent 4 3 3 9 2 2" xfId="19740"/>
    <cellStyle name="Procent 4 3 3 9 3" xfId="19741"/>
    <cellStyle name="Procent 4 3 4" xfId="1782"/>
    <cellStyle name="Procent 4 3 4 2" xfId="1908"/>
    <cellStyle name="Procent 4 3 4 2 2" xfId="2160"/>
    <cellStyle name="Procent 4 3 4 2 2 2" xfId="2704"/>
    <cellStyle name="Procent 4 3 4 2 2 2 2" xfId="3721"/>
    <cellStyle name="Procent 4 3 4 2 2 2 2 2" xfId="5755"/>
    <cellStyle name="Procent 4 3 4 2 2 2 2 2 2" xfId="12972"/>
    <cellStyle name="Procent 4 3 4 2 2 2 2 2 2 2" xfId="19742"/>
    <cellStyle name="Procent 4 3 4 2 2 2 2 2 3" xfId="19743"/>
    <cellStyle name="Procent 4 3 4 2 2 2 2 3" xfId="12971"/>
    <cellStyle name="Procent 4 3 4 2 2 2 2 3 2" xfId="19744"/>
    <cellStyle name="Procent 4 3 4 2 2 2 2 4" xfId="19745"/>
    <cellStyle name="Procent 4 3 4 2 2 2 3" xfId="4738"/>
    <cellStyle name="Procent 4 3 4 2 2 2 3 2" xfId="12973"/>
    <cellStyle name="Procent 4 3 4 2 2 2 3 2 2" xfId="19746"/>
    <cellStyle name="Procent 4 3 4 2 2 2 3 3" xfId="19747"/>
    <cellStyle name="Procent 4 3 4 2 2 2 4" xfId="7043"/>
    <cellStyle name="Procent 4 3 4 2 2 2 4 2" xfId="12151"/>
    <cellStyle name="Procent 4 3 4 2 2 2 4 2 2" xfId="19748"/>
    <cellStyle name="Procent 4 3 4 2 2 2 4 3" xfId="19749"/>
    <cellStyle name="Procent 4 3 4 2 2 2 5" xfId="9039"/>
    <cellStyle name="Procent 4 3 4 2 2 2 5 2" xfId="19750"/>
    <cellStyle name="Procent 4 3 4 2 2 2 6" xfId="19751"/>
    <cellStyle name="Procent 4 3 4 2 2 3" xfId="3208"/>
    <cellStyle name="Procent 4 3 4 2 2 3 2" xfId="5242"/>
    <cellStyle name="Procent 4 3 4 2 2 3 2 2" xfId="12975"/>
    <cellStyle name="Procent 4 3 4 2 2 3 2 2 2" xfId="19752"/>
    <cellStyle name="Procent 4 3 4 2 2 3 2 3" xfId="19753"/>
    <cellStyle name="Procent 4 3 4 2 2 3 3" xfId="12974"/>
    <cellStyle name="Procent 4 3 4 2 2 3 3 2" xfId="19754"/>
    <cellStyle name="Procent 4 3 4 2 2 3 4" xfId="19755"/>
    <cellStyle name="Procent 4 3 4 2 2 4" xfId="4225"/>
    <cellStyle name="Procent 4 3 4 2 2 4 2" xfId="12976"/>
    <cellStyle name="Procent 4 3 4 2 2 4 2 2" xfId="19756"/>
    <cellStyle name="Procent 4 3 4 2 2 4 3" xfId="19757"/>
    <cellStyle name="Procent 4 3 4 2 2 5" xfId="7044"/>
    <cellStyle name="Procent 4 3 4 2 2 5 2" xfId="12036"/>
    <cellStyle name="Procent 4 3 4 2 2 5 2 2" xfId="19758"/>
    <cellStyle name="Procent 4 3 4 2 2 5 3" xfId="19759"/>
    <cellStyle name="Procent 4 3 4 2 2 6" xfId="9038"/>
    <cellStyle name="Procent 4 3 4 2 2 6 2" xfId="19760"/>
    <cellStyle name="Procent 4 3 4 2 2 7" xfId="19761"/>
    <cellStyle name="Procent 4 3 4 2 3" xfId="2452"/>
    <cellStyle name="Procent 4 3 4 2 3 2" xfId="3469"/>
    <cellStyle name="Procent 4 3 4 2 3 2 2" xfId="5503"/>
    <cellStyle name="Procent 4 3 4 2 3 2 2 2" xfId="12978"/>
    <cellStyle name="Procent 4 3 4 2 3 2 2 2 2" xfId="19762"/>
    <cellStyle name="Procent 4 3 4 2 3 2 2 3" xfId="19763"/>
    <cellStyle name="Procent 4 3 4 2 3 2 3" xfId="12977"/>
    <cellStyle name="Procent 4 3 4 2 3 2 3 2" xfId="19764"/>
    <cellStyle name="Procent 4 3 4 2 3 2 4" xfId="19765"/>
    <cellStyle name="Procent 4 3 4 2 3 3" xfId="4486"/>
    <cellStyle name="Procent 4 3 4 2 3 3 2" xfId="12979"/>
    <cellStyle name="Procent 4 3 4 2 3 3 2 2" xfId="19766"/>
    <cellStyle name="Procent 4 3 4 2 3 3 3" xfId="19767"/>
    <cellStyle name="Procent 4 3 4 2 3 4" xfId="7045"/>
    <cellStyle name="Procent 4 3 4 2 3 4 2" xfId="12097"/>
    <cellStyle name="Procent 4 3 4 2 3 4 2 2" xfId="19768"/>
    <cellStyle name="Procent 4 3 4 2 3 4 3" xfId="19769"/>
    <cellStyle name="Procent 4 3 4 2 3 5" xfId="9040"/>
    <cellStyle name="Procent 4 3 4 2 3 5 2" xfId="19770"/>
    <cellStyle name="Procent 4 3 4 2 3 6" xfId="19771"/>
    <cellStyle name="Procent 4 3 4 2 4" xfId="2956"/>
    <cellStyle name="Procent 4 3 4 2 4 2" xfId="4990"/>
    <cellStyle name="Procent 4 3 4 2 4 2 2" xfId="12981"/>
    <cellStyle name="Procent 4 3 4 2 4 2 2 2" xfId="19772"/>
    <cellStyle name="Procent 4 3 4 2 4 2 3" xfId="19773"/>
    <cellStyle name="Procent 4 3 4 2 4 3" xfId="12980"/>
    <cellStyle name="Procent 4 3 4 2 4 3 2" xfId="19774"/>
    <cellStyle name="Procent 4 3 4 2 4 4" xfId="19775"/>
    <cellStyle name="Procent 4 3 4 2 5" xfId="3973"/>
    <cellStyle name="Procent 4 3 4 2 5 2" xfId="12982"/>
    <cellStyle name="Procent 4 3 4 2 5 2 2" xfId="19776"/>
    <cellStyle name="Procent 4 3 4 2 5 3" xfId="19777"/>
    <cellStyle name="Procent 4 3 4 2 6" xfId="7046"/>
    <cellStyle name="Procent 4 3 4 2 6 2" xfId="11982"/>
    <cellStyle name="Procent 4 3 4 2 6 2 2" xfId="19778"/>
    <cellStyle name="Procent 4 3 4 2 6 3" xfId="19779"/>
    <cellStyle name="Procent 4 3 4 2 7" xfId="9037"/>
    <cellStyle name="Procent 4 3 4 2 7 2" xfId="19780"/>
    <cellStyle name="Procent 4 3 4 2 8" xfId="19781"/>
    <cellStyle name="Procent 4 3 4 3" xfId="2034"/>
    <cellStyle name="Procent 4 3 4 3 2" xfId="2578"/>
    <cellStyle name="Procent 4 3 4 3 2 2" xfId="3595"/>
    <cellStyle name="Procent 4 3 4 3 2 2 2" xfId="5629"/>
    <cellStyle name="Procent 4 3 4 3 2 2 2 2" xfId="12984"/>
    <cellStyle name="Procent 4 3 4 3 2 2 2 2 2" xfId="19782"/>
    <cellStyle name="Procent 4 3 4 3 2 2 2 3" xfId="19783"/>
    <cellStyle name="Procent 4 3 4 3 2 2 3" xfId="12983"/>
    <cellStyle name="Procent 4 3 4 3 2 2 3 2" xfId="19784"/>
    <cellStyle name="Procent 4 3 4 3 2 2 4" xfId="19785"/>
    <cellStyle name="Procent 4 3 4 3 2 3" xfId="4612"/>
    <cellStyle name="Procent 4 3 4 3 2 3 2" xfId="12985"/>
    <cellStyle name="Procent 4 3 4 3 2 3 2 2" xfId="19786"/>
    <cellStyle name="Procent 4 3 4 3 2 3 3" xfId="19787"/>
    <cellStyle name="Procent 4 3 4 3 2 4" xfId="7047"/>
    <cellStyle name="Procent 4 3 4 3 2 4 2" xfId="12124"/>
    <cellStyle name="Procent 4 3 4 3 2 4 2 2" xfId="19788"/>
    <cellStyle name="Procent 4 3 4 3 2 4 3" xfId="19789"/>
    <cellStyle name="Procent 4 3 4 3 2 5" xfId="9042"/>
    <cellStyle name="Procent 4 3 4 3 2 5 2" xfId="19790"/>
    <cellStyle name="Procent 4 3 4 3 2 6" xfId="19791"/>
    <cellStyle name="Procent 4 3 4 3 3" xfId="3082"/>
    <cellStyle name="Procent 4 3 4 3 3 2" xfId="5116"/>
    <cellStyle name="Procent 4 3 4 3 3 2 2" xfId="12987"/>
    <cellStyle name="Procent 4 3 4 3 3 2 2 2" xfId="19792"/>
    <cellStyle name="Procent 4 3 4 3 3 2 3" xfId="19793"/>
    <cellStyle name="Procent 4 3 4 3 3 3" xfId="12986"/>
    <cellStyle name="Procent 4 3 4 3 3 3 2" xfId="19794"/>
    <cellStyle name="Procent 4 3 4 3 3 4" xfId="19795"/>
    <cellStyle name="Procent 4 3 4 3 4" xfId="4099"/>
    <cellStyle name="Procent 4 3 4 3 4 2" xfId="12988"/>
    <cellStyle name="Procent 4 3 4 3 4 2 2" xfId="19796"/>
    <cellStyle name="Procent 4 3 4 3 4 3" xfId="19797"/>
    <cellStyle name="Procent 4 3 4 3 5" xfId="7048"/>
    <cellStyle name="Procent 4 3 4 3 5 2" xfId="12009"/>
    <cellStyle name="Procent 4 3 4 3 5 2 2" xfId="19798"/>
    <cellStyle name="Procent 4 3 4 3 5 3" xfId="19799"/>
    <cellStyle name="Procent 4 3 4 3 6" xfId="9041"/>
    <cellStyle name="Procent 4 3 4 3 6 2" xfId="19800"/>
    <cellStyle name="Procent 4 3 4 3 7" xfId="19801"/>
    <cellStyle name="Procent 4 3 4 4" xfId="2326"/>
    <cellStyle name="Procent 4 3 4 4 2" xfId="3343"/>
    <cellStyle name="Procent 4 3 4 4 2 2" xfId="5377"/>
    <cellStyle name="Procent 4 3 4 4 2 2 2" xfId="12990"/>
    <cellStyle name="Procent 4 3 4 4 2 2 2 2" xfId="19802"/>
    <cellStyle name="Procent 4 3 4 4 2 2 3" xfId="19803"/>
    <cellStyle name="Procent 4 3 4 4 2 3" xfId="12989"/>
    <cellStyle name="Procent 4 3 4 4 2 3 2" xfId="19804"/>
    <cellStyle name="Procent 4 3 4 4 2 4" xfId="19805"/>
    <cellStyle name="Procent 4 3 4 4 3" xfId="4360"/>
    <cellStyle name="Procent 4 3 4 4 3 2" xfId="12991"/>
    <cellStyle name="Procent 4 3 4 4 3 2 2" xfId="19806"/>
    <cellStyle name="Procent 4 3 4 4 3 3" xfId="19807"/>
    <cellStyle name="Procent 4 3 4 4 4" xfId="7049"/>
    <cellStyle name="Procent 4 3 4 4 4 2" xfId="12070"/>
    <cellStyle name="Procent 4 3 4 4 4 2 2" xfId="19808"/>
    <cellStyle name="Procent 4 3 4 4 4 3" xfId="19809"/>
    <cellStyle name="Procent 4 3 4 4 5" xfId="9043"/>
    <cellStyle name="Procent 4 3 4 4 5 2" xfId="19810"/>
    <cellStyle name="Procent 4 3 4 4 6" xfId="19811"/>
    <cellStyle name="Procent 4 3 4 5" xfId="2830"/>
    <cellStyle name="Procent 4 3 4 5 2" xfId="4864"/>
    <cellStyle name="Procent 4 3 4 5 2 2" xfId="12993"/>
    <cellStyle name="Procent 4 3 4 5 2 2 2" xfId="19812"/>
    <cellStyle name="Procent 4 3 4 5 2 3" xfId="19813"/>
    <cellStyle name="Procent 4 3 4 5 3" xfId="12992"/>
    <cellStyle name="Procent 4 3 4 5 3 2" xfId="19814"/>
    <cellStyle name="Procent 4 3 4 5 4" xfId="19815"/>
    <cellStyle name="Procent 4 3 4 6" xfId="3847"/>
    <cellStyle name="Procent 4 3 4 6 2" xfId="12994"/>
    <cellStyle name="Procent 4 3 4 6 2 2" xfId="19816"/>
    <cellStyle name="Procent 4 3 4 6 3" xfId="19817"/>
    <cellStyle name="Procent 4 3 4 7" xfId="7050"/>
    <cellStyle name="Procent 4 3 4 7 2" xfId="11955"/>
    <cellStyle name="Procent 4 3 4 7 2 2" xfId="19818"/>
    <cellStyle name="Procent 4 3 4 7 3" xfId="19819"/>
    <cellStyle name="Procent 4 3 4 8" xfId="9036"/>
    <cellStyle name="Procent 4 3 4 8 2" xfId="19820"/>
    <cellStyle name="Procent 4 3 4 9" xfId="19821"/>
    <cellStyle name="Procent 4 3 5" xfId="1824"/>
    <cellStyle name="Procent 4 3 5 2" xfId="1950"/>
    <cellStyle name="Procent 4 3 5 2 2" xfId="2202"/>
    <cellStyle name="Procent 4 3 5 2 2 2" xfId="2746"/>
    <cellStyle name="Procent 4 3 5 2 2 2 2" xfId="3763"/>
    <cellStyle name="Procent 4 3 5 2 2 2 2 2" xfId="5797"/>
    <cellStyle name="Procent 4 3 5 2 2 2 2 2 2" xfId="12996"/>
    <cellStyle name="Procent 4 3 5 2 2 2 2 2 2 2" xfId="19822"/>
    <cellStyle name="Procent 4 3 5 2 2 2 2 2 3" xfId="19823"/>
    <cellStyle name="Procent 4 3 5 2 2 2 2 3" xfId="12995"/>
    <cellStyle name="Procent 4 3 5 2 2 2 2 3 2" xfId="19824"/>
    <cellStyle name="Procent 4 3 5 2 2 2 2 4" xfId="19825"/>
    <cellStyle name="Procent 4 3 5 2 2 2 3" xfId="4780"/>
    <cellStyle name="Procent 4 3 5 2 2 2 3 2" xfId="12997"/>
    <cellStyle name="Procent 4 3 5 2 2 2 3 2 2" xfId="19826"/>
    <cellStyle name="Procent 4 3 5 2 2 2 3 3" xfId="19827"/>
    <cellStyle name="Procent 4 3 5 2 2 2 4" xfId="7051"/>
    <cellStyle name="Procent 4 3 5 2 2 2 4 2" xfId="12160"/>
    <cellStyle name="Procent 4 3 5 2 2 2 4 2 2" xfId="19828"/>
    <cellStyle name="Procent 4 3 5 2 2 2 4 3" xfId="19829"/>
    <cellStyle name="Procent 4 3 5 2 2 2 5" xfId="9047"/>
    <cellStyle name="Procent 4 3 5 2 2 2 5 2" xfId="19830"/>
    <cellStyle name="Procent 4 3 5 2 2 2 6" xfId="19831"/>
    <cellStyle name="Procent 4 3 5 2 2 3" xfId="3250"/>
    <cellStyle name="Procent 4 3 5 2 2 3 2" xfId="5284"/>
    <cellStyle name="Procent 4 3 5 2 2 3 2 2" xfId="12999"/>
    <cellStyle name="Procent 4 3 5 2 2 3 2 2 2" xfId="19832"/>
    <cellStyle name="Procent 4 3 5 2 2 3 2 3" xfId="19833"/>
    <cellStyle name="Procent 4 3 5 2 2 3 3" xfId="12998"/>
    <cellStyle name="Procent 4 3 5 2 2 3 3 2" xfId="19834"/>
    <cellStyle name="Procent 4 3 5 2 2 3 4" xfId="19835"/>
    <cellStyle name="Procent 4 3 5 2 2 4" xfId="4267"/>
    <cellStyle name="Procent 4 3 5 2 2 4 2" xfId="13000"/>
    <cellStyle name="Procent 4 3 5 2 2 4 2 2" xfId="19836"/>
    <cellStyle name="Procent 4 3 5 2 2 4 3" xfId="19837"/>
    <cellStyle name="Procent 4 3 5 2 2 5" xfId="7052"/>
    <cellStyle name="Procent 4 3 5 2 2 5 2" xfId="12045"/>
    <cellStyle name="Procent 4 3 5 2 2 5 2 2" xfId="19838"/>
    <cellStyle name="Procent 4 3 5 2 2 5 3" xfId="19839"/>
    <cellStyle name="Procent 4 3 5 2 2 6" xfId="9046"/>
    <cellStyle name="Procent 4 3 5 2 2 6 2" xfId="19840"/>
    <cellStyle name="Procent 4 3 5 2 2 7" xfId="19841"/>
    <cellStyle name="Procent 4 3 5 2 3" xfId="2494"/>
    <cellStyle name="Procent 4 3 5 2 3 2" xfId="3511"/>
    <cellStyle name="Procent 4 3 5 2 3 2 2" xfId="5545"/>
    <cellStyle name="Procent 4 3 5 2 3 2 2 2" xfId="13002"/>
    <cellStyle name="Procent 4 3 5 2 3 2 2 2 2" xfId="19842"/>
    <cellStyle name="Procent 4 3 5 2 3 2 2 3" xfId="19843"/>
    <cellStyle name="Procent 4 3 5 2 3 2 3" xfId="13001"/>
    <cellStyle name="Procent 4 3 5 2 3 2 3 2" xfId="19844"/>
    <cellStyle name="Procent 4 3 5 2 3 2 4" xfId="19845"/>
    <cellStyle name="Procent 4 3 5 2 3 3" xfId="4528"/>
    <cellStyle name="Procent 4 3 5 2 3 3 2" xfId="13003"/>
    <cellStyle name="Procent 4 3 5 2 3 3 2 2" xfId="19846"/>
    <cellStyle name="Procent 4 3 5 2 3 3 3" xfId="19847"/>
    <cellStyle name="Procent 4 3 5 2 3 4" xfId="7053"/>
    <cellStyle name="Procent 4 3 5 2 3 4 2" xfId="12106"/>
    <cellStyle name="Procent 4 3 5 2 3 4 2 2" xfId="19848"/>
    <cellStyle name="Procent 4 3 5 2 3 4 3" xfId="19849"/>
    <cellStyle name="Procent 4 3 5 2 3 5" xfId="9048"/>
    <cellStyle name="Procent 4 3 5 2 3 5 2" xfId="19850"/>
    <cellStyle name="Procent 4 3 5 2 3 6" xfId="19851"/>
    <cellStyle name="Procent 4 3 5 2 4" xfId="2998"/>
    <cellStyle name="Procent 4 3 5 2 4 2" xfId="5032"/>
    <cellStyle name="Procent 4 3 5 2 4 2 2" xfId="13005"/>
    <cellStyle name="Procent 4 3 5 2 4 2 2 2" xfId="19852"/>
    <cellStyle name="Procent 4 3 5 2 4 2 3" xfId="19853"/>
    <cellStyle name="Procent 4 3 5 2 4 3" xfId="13004"/>
    <cellStyle name="Procent 4 3 5 2 4 3 2" xfId="19854"/>
    <cellStyle name="Procent 4 3 5 2 4 4" xfId="19855"/>
    <cellStyle name="Procent 4 3 5 2 5" xfId="4015"/>
    <cellStyle name="Procent 4 3 5 2 5 2" xfId="13006"/>
    <cellStyle name="Procent 4 3 5 2 5 2 2" xfId="19856"/>
    <cellStyle name="Procent 4 3 5 2 5 3" xfId="19857"/>
    <cellStyle name="Procent 4 3 5 2 6" xfId="7054"/>
    <cellStyle name="Procent 4 3 5 2 6 2" xfId="11991"/>
    <cellStyle name="Procent 4 3 5 2 6 2 2" xfId="19858"/>
    <cellStyle name="Procent 4 3 5 2 6 3" xfId="19859"/>
    <cellStyle name="Procent 4 3 5 2 7" xfId="9045"/>
    <cellStyle name="Procent 4 3 5 2 7 2" xfId="19860"/>
    <cellStyle name="Procent 4 3 5 2 8" xfId="19861"/>
    <cellStyle name="Procent 4 3 5 3" xfId="2076"/>
    <cellStyle name="Procent 4 3 5 3 2" xfId="2620"/>
    <cellStyle name="Procent 4 3 5 3 2 2" xfId="3637"/>
    <cellStyle name="Procent 4 3 5 3 2 2 2" xfId="5671"/>
    <cellStyle name="Procent 4 3 5 3 2 2 2 2" xfId="13008"/>
    <cellStyle name="Procent 4 3 5 3 2 2 2 2 2" xfId="19862"/>
    <cellStyle name="Procent 4 3 5 3 2 2 2 3" xfId="19863"/>
    <cellStyle name="Procent 4 3 5 3 2 2 3" xfId="13007"/>
    <cellStyle name="Procent 4 3 5 3 2 2 3 2" xfId="19864"/>
    <cellStyle name="Procent 4 3 5 3 2 2 4" xfId="19865"/>
    <cellStyle name="Procent 4 3 5 3 2 3" xfId="4654"/>
    <cellStyle name="Procent 4 3 5 3 2 3 2" xfId="13009"/>
    <cellStyle name="Procent 4 3 5 3 2 3 2 2" xfId="19866"/>
    <cellStyle name="Procent 4 3 5 3 2 3 3" xfId="19867"/>
    <cellStyle name="Procent 4 3 5 3 2 4" xfId="7055"/>
    <cellStyle name="Procent 4 3 5 3 2 4 2" xfId="12133"/>
    <cellStyle name="Procent 4 3 5 3 2 4 2 2" xfId="19868"/>
    <cellStyle name="Procent 4 3 5 3 2 4 3" xfId="19869"/>
    <cellStyle name="Procent 4 3 5 3 2 5" xfId="9050"/>
    <cellStyle name="Procent 4 3 5 3 2 5 2" xfId="19870"/>
    <cellStyle name="Procent 4 3 5 3 2 6" xfId="19871"/>
    <cellStyle name="Procent 4 3 5 3 3" xfId="3124"/>
    <cellStyle name="Procent 4 3 5 3 3 2" xfId="5158"/>
    <cellStyle name="Procent 4 3 5 3 3 2 2" xfId="13011"/>
    <cellStyle name="Procent 4 3 5 3 3 2 2 2" xfId="19872"/>
    <cellStyle name="Procent 4 3 5 3 3 2 3" xfId="19873"/>
    <cellStyle name="Procent 4 3 5 3 3 3" xfId="13010"/>
    <cellStyle name="Procent 4 3 5 3 3 3 2" xfId="19874"/>
    <cellStyle name="Procent 4 3 5 3 3 4" xfId="19875"/>
    <cellStyle name="Procent 4 3 5 3 4" xfId="4141"/>
    <cellStyle name="Procent 4 3 5 3 4 2" xfId="13012"/>
    <cellStyle name="Procent 4 3 5 3 4 2 2" xfId="19876"/>
    <cellStyle name="Procent 4 3 5 3 4 3" xfId="19877"/>
    <cellStyle name="Procent 4 3 5 3 5" xfId="7056"/>
    <cellStyle name="Procent 4 3 5 3 5 2" xfId="12018"/>
    <cellStyle name="Procent 4 3 5 3 5 2 2" xfId="19878"/>
    <cellStyle name="Procent 4 3 5 3 5 3" xfId="19879"/>
    <cellStyle name="Procent 4 3 5 3 6" xfId="9049"/>
    <cellStyle name="Procent 4 3 5 3 6 2" xfId="19880"/>
    <cellStyle name="Procent 4 3 5 3 7" xfId="19881"/>
    <cellStyle name="Procent 4 3 5 4" xfId="2368"/>
    <cellStyle name="Procent 4 3 5 4 2" xfId="3385"/>
    <cellStyle name="Procent 4 3 5 4 2 2" xfId="5419"/>
    <cellStyle name="Procent 4 3 5 4 2 2 2" xfId="13014"/>
    <cellStyle name="Procent 4 3 5 4 2 2 2 2" xfId="19882"/>
    <cellStyle name="Procent 4 3 5 4 2 2 3" xfId="19883"/>
    <cellStyle name="Procent 4 3 5 4 2 3" xfId="13013"/>
    <cellStyle name="Procent 4 3 5 4 2 3 2" xfId="19884"/>
    <cellStyle name="Procent 4 3 5 4 2 4" xfId="19885"/>
    <cellStyle name="Procent 4 3 5 4 3" xfId="4402"/>
    <cellStyle name="Procent 4 3 5 4 3 2" xfId="13015"/>
    <cellStyle name="Procent 4 3 5 4 3 2 2" xfId="19886"/>
    <cellStyle name="Procent 4 3 5 4 3 3" xfId="19887"/>
    <cellStyle name="Procent 4 3 5 4 4" xfId="7057"/>
    <cellStyle name="Procent 4 3 5 4 4 2" xfId="12079"/>
    <cellStyle name="Procent 4 3 5 4 4 2 2" xfId="19888"/>
    <cellStyle name="Procent 4 3 5 4 4 3" xfId="19889"/>
    <cellStyle name="Procent 4 3 5 4 5" xfId="9051"/>
    <cellStyle name="Procent 4 3 5 4 5 2" xfId="19890"/>
    <cellStyle name="Procent 4 3 5 4 6" xfId="19891"/>
    <cellStyle name="Procent 4 3 5 5" xfId="2872"/>
    <cellStyle name="Procent 4 3 5 5 2" xfId="4906"/>
    <cellStyle name="Procent 4 3 5 5 2 2" xfId="13017"/>
    <cellStyle name="Procent 4 3 5 5 2 2 2" xfId="19892"/>
    <cellStyle name="Procent 4 3 5 5 2 3" xfId="19893"/>
    <cellStyle name="Procent 4 3 5 5 3" xfId="13016"/>
    <cellStyle name="Procent 4 3 5 5 3 2" xfId="19894"/>
    <cellStyle name="Procent 4 3 5 5 4" xfId="19895"/>
    <cellStyle name="Procent 4 3 5 6" xfId="3889"/>
    <cellStyle name="Procent 4 3 5 6 2" xfId="13018"/>
    <cellStyle name="Procent 4 3 5 6 2 2" xfId="19896"/>
    <cellStyle name="Procent 4 3 5 6 3" xfId="19897"/>
    <cellStyle name="Procent 4 3 5 7" xfId="7058"/>
    <cellStyle name="Procent 4 3 5 7 2" xfId="11964"/>
    <cellStyle name="Procent 4 3 5 7 2 2" xfId="19898"/>
    <cellStyle name="Procent 4 3 5 7 3" xfId="19899"/>
    <cellStyle name="Procent 4 3 5 8" xfId="9044"/>
    <cellStyle name="Procent 4 3 5 8 2" xfId="19900"/>
    <cellStyle name="Procent 4 3 5 9" xfId="19901"/>
    <cellStyle name="Procent 4 3 6" xfId="1866"/>
    <cellStyle name="Procent 4 3 6 2" xfId="2118"/>
    <cellStyle name="Procent 4 3 6 2 2" xfId="2662"/>
    <cellStyle name="Procent 4 3 6 2 2 2" xfId="3679"/>
    <cellStyle name="Procent 4 3 6 2 2 2 2" xfId="5713"/>
    <cellStyle name="Procent 4 3 6 2 2 2 2 2" xfId="13020"/>
    <cellStyle name="Procent 4 3 6 2 2 2 2 2 2" xfId="19902"/>
    <cellStyle name="Procent 4 3 6 2 2 2 2 3" xfId="19903"/>
    <cellStyle name="Procent 4 3 6 2 2 2 3" xfId="13019"/>
    <cellStyle name="Procent 4 3 6 2 2 2 3 2" xfId="19904"/>
    <cellStyle name="Procent 4 3 6 2 2 2 4" xfId="19905"/>
    <cellStyle name="Procent 4 3 6 2 2 3" xfId="4696"/>
    <cellStyle name="Procent 4 3 6 2 2 3 2" xfId="13021"/>
    <cellStyle name="Procent 4 3 6 2 2 3 2 2" xfId="19906"/>
    <cellStyle name="Procent 4 3 6 2 2 3 3" xfId="19907"/>
    <cellStyle name="Procent 4 3 6 2 2 4" xfId="7059"/>
    <cellStyle name="Procent 4 3 6 2 2 4 2" xfId="12142"/>
    <cellStyle name="Procent 4 3 6 2 2 4 2 2" xfId="19908"/>
    <cellStyle name="Procent 4 3 6 2 2 4 3" xfId="19909"/>
    <cellStyle name="Procent 4 3 6 2 2 5" xfId="9054"/>
    <cellStyle name="Procent 4 3 6 2 2 5 2" xfId="19910"/>
    <cellStyle name="Procent 4 3 6 2 2 6" xfId="19911"/>
    <cellStyle name="Procent 4 3 6 2 3" xfId="3166"/>
    <cellStyle name="Procent 4 3 6 2 3 2" xfId="5200"/>
    <cellStyle name="Procent 4 3 6 2 3 2 2" xfId="13023"/>
    <cellStyle name="Procent 4 3 6 2 3 2 2 2" xfId="19912"/>
    <cellStyle name="Procent 4 3 6 2 3 2 3" xfId="19913"/>
    <cellStyle name="Procent 4 3 6 2 3 3" xfId="13022"/>
    <cellStyle name="Procent 4 3 6 2 3 3 2" xfId="19914"/>
    <cellStyle name="Procent 4 3 6 2 3 4" xfId="19915"/>
    <cellStyle name="Procent 4 3 6 2 4" xfId="4183"/>
    <cellStyle name="Procent 4 3 6 2 4 2" xfId="13024"/>
    <cellStyle name="Procent 4 3 6 2 4 2 2" xfId="19916"/>
    <cellStyle name="Procent 4 3 6 2 4 3" xfId="19917"/>
    <cellStyle name="Procent 4 3 6 2 5" xfId="7060"/>
    <cellStyle name="Procent 4 3 6 2 5 2" xfId="12027"/>
    <cellStyle name="Procent 4 3 6 2 5 2 2" xfId="19918"/>
    <cellStyle name="Procent 4 3 6 2 5 3" xfId="19919"/>
    <cellStyle name="Procent 4 3 6 2 6" xfId="9053"/>
    <cellStyle name="Procent 4 3 6 2 6 2" xfId="19920"/>
    <cellStyle name="Procent 4 3 6 2 7" xfId="19921"/>
    <cellStyle name="Procent 4 3 6 3" xfId="2410"/>
    <cellStyle name="Procent 4 3 6 3 2" xfId="3427"/>
    <cellStyle name="Procent 4 3 6 3 2 2" xfId="5461"/>
    <cellStyle name="Procent 4 3 6 3 2 2 2" xfId="13026"/>
    <cellStyle name="Procent 4 3 6 3 2 2 2 2" xfId="19922"/>
    <cellStyle name="Procent 4 3 6 3 2 2 3" xfId="19923"/>
    <cellStyle name="Procent 4 3 6 3 2 3" xfId="13025"/>
    <cellStyle name="Procent 4 3 6 3 2 3 2" xfId="19924"/>
    <cellStyle name="Procent 4 3 6 3 2 4" xfId="19925"/>
    <cellStyle name="Procent 4 3 6 3 3" xfId="4444"/>
    <cellStyle name="Procent 4 3 6 3 3 2" xfId="13027"/>
    <cellStyle name="Procent 4 3 6 3 3 2 2" xfId="19926"/>
    <cellStyle name="Procent 4 3 6 3 3 3" xfId="19927"/>
    <cellStyle name="Procent 4 3 6 3 4" xfId="7061"/>
    <cellStyle name="Procent 4 3 6 3 4 2" xfId="12088"/>
    <cellStyle name="Procent 4 3 6 3 4 2 2" xfId="19928"/>
    <cellStyle name="Procent 4 3 6 3 4 3" xfId="19929"/>
    <cellStyle name="Procent 4 3 6 3 5" xfId="9055"/>
    <cellStyle name="Procent 4 3 6 3 5 2" xfId="19930"/>
    <cellStyle name="Procent 4 3 6 3 6" xfId="19931"/>
    <cellStyle name="Procent 4 3 6 4" xfId="2914"/>
    <cellStyle name="Procent 4 3 6 4 2" xfId="4948"/>
    <cellStyle name="Procent 4 3 6 4 2 2" xfId="13029"/>
    <cellStyle name="Procent 4 3 6 4 2 2 2" xfId="19932"/>
    <cellStyle name="Procent 4 3 6 4 2 3" xfId="19933"/>
    <cellStyle name="Procent 4 3 6 4 3" xfId="13028"/>
    <cellStyle name="Procent 4 3 6 4 3 2" xfId="19934"/>
    <cellStyle name="Procent 4 3 6 4 4" xfId="19935"/>
    <cellStyle name="Procent 4 3 6 5" xfId="3931"/>
    <cellStyle name="Procent 4 3 6 5 2" xfId="13030"/>
    <cellStyle name="Procent 4 3 6 5 2 2" xfId="19936"/>
    <cellStyle name="Procent 4 3 6 5 3" xfId="19937"/>
    <cellStyle name="Procent 4 3 6 6" xfId="7062"/>
    <cellStyle name="Procent 4 3 6 6 2" xfId="11973"/>
    <cellStyle name="Procent 4 3 6 6 2 2" xfId="19938"/>
    <cellStyle name="Procent 4 3 6 6 3" xfId="19939"/>
    <cellStyle name="Procent 4 3 6 7" xfId="9052"/>
    <cellStyle name="Procent 4 3 6 7 2" xfId="19940"/>
    <cellStyle name="Procent 4 3 6 8" xfId="19941"/>
    <cellStyle name="Procent 4 3 7" xfId="1992"/>
    <cellStyle name="Procent 4 3 7 2" xfId="2536"/>
    <cellStyle name="Procent 4 3 7 2 2" xfId="3553"/>
    <cellStyle name="Procent 4 3 7 2 2 2" xfId="5587"/>
    <cellStyle name="Procent 4 3 7 2 2 2 2" xfId="13032"/>
    <cellStyle name="Procent 4 3 7 2 2 2 2 2" xfId="19942"/>
    <cellStyle name="Procent 4 3 7 2 2 2 3" xfId="19943"/>
    <cellStyle name="Procent 4 3 7 2 2 3" xfId="13031"/>
    <cellStyle name="Procent 4 3 7 2 2 3 2" xfId="19944"/>
    <cellStyle name="Procent 4 3 7 2 2 4" xfId="19945"/>
    <cellStyle name="Procent 4 3 7 2 3" xfId="4570"/>
    <cellStyle name="Procent 4 3 7 2 3 2" xfId="13033"/>
    <cellStyle name="Procent 4 3 7 2 3 2 2" xfId="19946"/>
    <cellStyle name="Procent 4 3 7 2 3 3" xfId="19947"/>
    <cellStyle name="Procent 4 3 7 2 4" xfId="7063"/>
    <cellStyle name="Procent 4 3 7 2 4 2" xfId="12115"/>
    <cellStyle name="Procent 4 3 7 2 4 2 2" xfId="19948"/>
    <cellStyle name="Procent 4 3 7 2 4 3" xfId="19949"/>
    <cellStyle name="Procent 4 3 7 2 5" xfId="9057"/>
    <cellStyle name="Procent 4 3 7 2 5 2" xfId="19950"/>
    <cellStyle name="Procent 4 3 7 2 6" xfId="19951"/>
    <cellStyle name="Procent 4 3 7 3" xfId="3040"/>
    <cellStyle name="Procent 4 3 7 3 2" xfId="5074"/>
    <cellStyle name="Procent 4 3 7 3 2 2" xfId="13035"/>
    <cellStyle name="Procent 4 3 7 3 2 2 2" xfId="19952"/>
    <cellStyle name="Procent 4 3 7 3 2 3" xfId="19953"/>
    <cellStyle name="Procent 4 3 7 3 3" xfId="13034"/>
    <cellStyle name="Procent 4 3 7 3 3 2" xfId="19954"/>
    <cellStyle name="Procent 4 3 7 3 4" xfId="19955"/>
    <cellStyle name="Procent 4 3 7 4" xfId="4057"/>
    <cellStyle name="Procent 4 3 7 4 2" xfId="13036"/>
    <cellStyle name="Procent 4 3 7 4 2 2" xfId="19956"/>
    <cellStyle name="Procent 4 3 7 4 3" xfId="19957"/>
    <cellStyle name="Procent 4 3 7 5" xfId="7064"/>
    <cellStyle name="Procent 4 3 7 5 2" xfId="12000"/>
    <cellStyle name="Procent 4 3 7 5 2 2" xfId="19958"/>
    <cellStyle name="Procent 4 3 7 5 3" xfId="19959"/>
    <cellStyle name="Procent 4 3 7 6" xfId="9056"/>
    <cellStyle name="Procent 4 3 7 6 2" xfId="19960"/>
    <cellStyle name="Procent 4 3 7 7" xfId="19961"/>
    <cellStyle name="Procent 4 3 8" xfId="2270"/>
    <cellStyle name="Procent 4 3 9" xfId="2284"/>
    <cellStyle name="Procent 4 3 9 2" xfId="3301"/>
    <cellStyle name="Procent 4 3 9 2 2" xfId="5335"/>
    <cellStyle name="Procent 4 3 9 2 2 2" xfId="13038"/>
    <cellStyle name="Procent 4 3 9 2 2 2 2" xfId="19962"/>
    <cellStyle name="Procent 4 3 9 2 2 3" xfId="19963"/>
    <cellStyle name="Procent 4 3 9 2 3" xfId="13037"/>
    <cellStyle name="Procent 4 3 9 2 3 2" xfId="19964"/>
    <cellStyle name="Procent 4 3 9 2 4" xfId="19965"/>
    <cellStyle name="Procent 4 3 9 3" xfId="4318"/>
    <cellStyle name="Procent 4 3 9 3 2" xfId="13039"/>
    <cellStyle name="Procent 4 3 9 3 2 2" xfId="19966"/>
    <cellStyle name="Procent 4 3 9 3 3" xfId="19967"/>
    <cellStyle name="Procent 4 3 9 4" xfId="7065"/>
    <cellStyle name="Procent 4 3 9 4 2" xfId="12061"/>
    <cellStyle name="Procent 4 3 9 4 2 2" xfId="19968"/>
    <cellStyle name="Procent 4 3 9 4 3" xfId="19969"/>
    <cellStyle name="Procent 4 3 9 5" xfId="9058"/>
    <cellStyle name="Procent 4 3 9 5 2" xfId="19970"/>
    <cellStyle name="Procent 4 3 9 6" xfId="19971"/>
    <cellStyle name="Procent 4 4" xfId="1751"/>
    <cellStyle name="Procent 4 5" xfId="39926"/>
    <cellStyle name="Procent 5" xfId="1160"/>
    <cellStyle name="Procent 5 2" xfId="1161"/>
    <cellStyle name="Procent 6" xfId="2243"/>
    <cellStyle name="Procent 6 2" xfId="2256"/>
    <cellStyle name="Procent 6 2 2" xfId="3292"/>
    <cellStyle name="Procent 6 2 2 2" xfId="5326"/>
    <cellStyle name="Procent 6 2 2 2 2" xfId="13041"/>
    <cellStyle name="Procent 6 2 2 2 2 2" xfId="19972"/>
    <cellStyle name="Procent 6 2 2 2 3" xfId="19973"/>
    <cellStyle name="Procent 6 2 2 3" xfId="13040"/>
    <cellStyle name="Procent 6 2 2 3 2" xfId="19974"/>
    <cellStyle name="Procent 6 2 2 4" xfId="19975"/>
    <cellStyle name="Procent 6 2 3" xfId="4309"/>
    <cellStyle name="Procent 6 2 3 2" xfId="13042"/>
    <cellStyle name="Procent 6 2 3 2 2" xfId="19976"/>
    <cellStyle name="Procent 6 2 3 3" xfId="19977"/>
    <cellStyle name="Procent 6 2 4" xfId="7066"/>
    <cellStyle name="Procent 6 2 4 2" xfId="12055"/>
    <cellStyle name="Procent 6 2 4 2 2" xfId="19978"/>
    <cellStyle name="Procent 6 2 4 3" xfId="19979"/>
    <cellStyle name="Procent 6 2 5" xfId="9060"/>
    <cellStyle name="Procent 6 2 5 2" xfId="19980"/>
    <cellStyle name="Procent 6 2 6" xfId="19981"/>
    <cellStyle name="Procent 6 3" xfId="3290"/>
    <cellStyle name="Procent 6 3 2" xfId="5324"/>
    <cellStyle name="Procent 6 3 2 2" xfId="13044"/>
    <cellStyle name="Procent 6 3 2 2 2" xfId="19982"/>
    <cellStyle name="Procent 6 3 2 3" xfId="19983"/>
    <cellStyle name="Procent 6 3 3" xfId="13043"/>
    <cellStyle name="Procent 6 3 3 2" xfId="19984"/>
    <cellStyle name="Procent 6 3 4" xfId="19985"/>
    <cellStyle name="Procent 6 4" xfId="4307"/>
    <cellStyle name="Procent 6 4 2" xfId="13045"/>
    <cellStyle name="Procent 6 4 2 2" xfId="19986"/>
    <cellStyle name="Procent 6 4 3" xfId="19987"/>
    <cellStyle name="Procent 6 5" xfId="7067"/>
    <cellStyle name="Procent 6 5 2" xfId="12053"/>
    <cellStyle name="Procent 6 5 2 2" xfId="19988"/>
    <cellStyle name="Procent 6 5 3" xfId="19989"/>
    <cellStyle name="Procent 6 6" xfId="9059"/>
    <cellStyle name="Procent 6 6 2" xfId="19990"/>
    <cellStyle name="Procent 6 7" xfId="19991"/>
    <cellStyle name="Procent 6 8" xfId="39929"/>
    <cellStyle name="Procent 7" xfId="2257"/>
    <cellStyle name="Procent 7 2" xfId="3293"/>
    <cellStyle name="Procent 7 2 2" xfId="5327"/>
    <cellStyle name="Procent 7 2 2 2" xfId="13047"/>
    <cellStyle name="Procent 7 2 2 2 2" xfId="19992"/>
    <cellStyle name="Procent 7 2 2 3" xfId="19993"/>
    <cellStyle name="Procent 7 2 3" xfId="13046"/>
    <cellStyle name="Procent 7 2 3 2" xfId="19994"/>
    <cellStyle name="Procent 7 2 4" xfId="19995"/>
    <cellStyle name="Procent 7 3" xfId="4310"/>
    <cellStyle name="Procent 7 3 2" xfId="13048"/>
    <cellStyle name="Procent 7 3 2 2" xfId="19996"/>
    <cellStyle name="Procent 7 3 3" xfId="19997"/>
    <cellStyle name="Procent 7 4" xfId="7068"/>
    <cellStyle name="Procent 7 4 2" xfId="12056"/>
    <cellStyle name="Procent 7 4 2 2" xfId="19998"/>
    <cellStyle name="Procent 7 4 3" xfId="19999"/>
    <cellStyle name="Procent 7 5" xfId="9061"/>
    <cellStyle name="Procent 7 5 2" xfId="20000"/>
    <cellStyle name="Procent 7 6" xfId="20001"/>
    <cellStyle name="Procent 8" xfId="5842"/>
    <cellStyle name="Procent 9" xfId="7698"/>
    <cellStyle name="Standaard" xfId="0" builtinId="0"/>
    <cellStyle name="Standaard 10" xfId="2258"/>
    <cellStyle name="Standaard 11" xfId="5836"/>
    <cellStyle name="Standaard 11 2" xfId="10336"/>
    <cellStyle name="Standaard 11 2 2" xfId="20002"/>
    <cellStyle name="Standaard 11 3" xfId="20003"/>
    <cellStyle name="Standaard 12" xfId="5843"/>
    <cellStyle name="Standaard 12 2" xfId="15221"/>
    <cellStyle name="Standaard 12 3" xfId="35529"/>
    <cellStyle name="Standaard 12 3 2" xfId="39932"/>
    <cellStyle name="Standaard 12 3 2 2" xfId="40015"/>
    <cellStyle name="Standaard 12 4" xfId="35530"/>
    <cellStyle name="Standaard 13" xfId="20004"/>
    <cellStyle name="Standaard 14" xfId="20005"/>
    <cellStyle name="Standaard 14 2" xfId="27047"/>
    <cellStyle name="Standaard 15" xfId="27049"/>
    <cellStyle name="Standaard 15 2" xfId="39922"/>
    <cellStyle name="Standaard 16" xfId="39918"/>
    <cellStyle name="Standaard 17" xfId="39997"/>
    <cellStyle name="Standaard 18" xfId="40005"/>
    <cellStyle name="Standaard 19" xfId="39935"/>
    <cellStyle name="Standaard 2" xfId="1162"/>
    <cellStyle name="Standaard 2 10" xfId="1825"/>
    <cellStyle name="Standaard 2 10 10" xfId="39917"/>
    <cellStyle name="Standaard 2 10 11" xfId="39944"/>
    <cellStyle name="Standaard 2 10 2" xfId="1951"/>
    <cellStyle name="Standaard 2 10 2 2" xfId="2203"/>
    <cellStyle name="Standaard 2 10 2 2 2" xfId="2747"/>
    <cellStyle name="Standaard 2 10 2 2 2 2" xfId="3764"/>
    <cellStyle name="Standaard 2 10 2 2 2 2 2" xfId="5798"/>
    <cellStyle name="Standaard 2 10 2 2 2 2 2 2" xfId="13050"/>
    <cellStyle name="Standaard 2 10 2 2 2 2 2 2 2" xfId="20006"/>
    <cellStyle name="Standaard 2 10 2 2 2 2 2 3" xfId="20007"/>
    <cellStyle name="Standaard 2 10 2 2 2 2 3" xfId="13049"/>
    <cellStyle name="Standaard 2 10 2 2 2 2 3 2" xfId="20008"/>
    <cellStyle name="Standaard 2 10 2 2 2 2 4" xfId="20009"/>
    <cellStyle name="Standaard 2 10 2 2 2 3" xfId="4781"/>
    <cellStyle name="Standaard 2 10 2 2 2 3 2" xfId="13051"/>
    <cellStyle name="Standaard 2 10 2 2 2 3 2 2" xfId="20010"/>
    <cellStyle name="Standaard 2 10 2 2 2 3 3" xfId="20011"/>
    <cellStyle name="Standaard 2 10 2 2 2 4" xfId="9064"/>
    <cellStyle name="Standaard 2 10 2 2 2 4 2" xfId="20012"/>
    <cellStyle name="Standaard 2 10 2 2 2 5" xfId="20013"/>
    <cellStyle name="Standaard 2 10 2 2 3" xfId="3251"/>
    <cellStyle name="Standaard 2 10 2 2 3 2" xfId="5285"/>
    <cellStyle name="Standaard 2 10 2 2 3 2 2" xfId="13053"/>
    <cellStyle name="Standaard 2 10 2 2 3 2 2 2" xfId="20014"/>
    <cellStyle name="Standaard 2 10 2 2 3 2 3" xfId="20015"/>
    <cellStyle name="Standaard 2 10 2 2 3 3" xfId="13052"/>
    <cellStyle name="Standaard 2 10 2 2 3 3 2" xfId="20016"/>
    <cellStyle name="Standaard 2 10 2 2 3 4" xfId="20017"/>
    <cellStyle name="Standaard 2 10 2 2 4" xfId="4268"/>
    <cellStyle name="Standaard 2 10 2 2 4 2" xfId="13054"/>
    <cellStyle name="Standaard 2 10 2 2 4 2 2" xfId="20018"/>
    <cellStyle name="Standaard 2 10 2 2 4 3" xfId="20019"/>
    <cellStyle name="Standaard 2 10 2 2 5" xfId="9063"/>
    <cellStyle name="Standaard 2 10 2 2 5 2" xfId="20020"/>
    <cellStyle name="Standaard 2 10 2 2 6" xfId="20021"/>
    <cellStyle name="Standaard 2 10 2 3" xfId="2495"/>
    <cellStyle name="Standaard 2 10 2 3 2" xfId="3512"/>
    <cellStyle name="Standaard 2 10 2 3 2 2" xfId="5546"/>
    <cellStyle name="Standaard 2 10 2 3 2 2 2" xfId="13056"/>
    <cellStyle name="Standaard 2 10 2 3 2 2 2 2" xfId="20022"/>
    <cellStyle name="Standaard 2 10 2 3 2 2 3" xfId="20023"/>
    <cellStyle name="Standaard 2 10 2 3 2 3" xfId="13055"/>
    <cellStyle name="Standaard 2 10 2 3 2 3 2" xfId="20024"/>
    <cellStyle name="Standaard 2 10 2 3 2 4" xfId="20025"/>
    <cellStyle name="Standaard 2 10 2 3 3" xfId="4529"/>
    <cellStyle name="Standaard 2 10 2 3 3 2" xfId="13057"/>
    <cellStyle name="Standaard 2 10 2 3 3 2 2" xfId="20026"/>
    <cellStyle name="Standaard 2 10 2 3 3 3" xfId="20027"/>
    <cellStyle name="Standaard 2 10 2 3 4" xfId="9065"/>
    <cellStyle name="Standaard 2 10 2 3 4 2" xfId="20028"/>
    <cellStyle name="Standaard 2 10 2 3 5" xfId="20029"/>
    <cellStyle name="Standaard 2 10 2 4" xfId="2999"/>
    <cellStyle name="Standaard 2 10 2 4 2" xfId="5033"/>
    <cellStyle name="Standaard 2 10 2 4 2 2" xfId="13059"/>
    <cellStyle name="Standaard 2 10 2 4 2 2 2" xfId="20030"/>
    <cellStyle name="Standaard 2 10 2 4 2 3" xfId="20031"/>
    <cellStyle name="Standaard 2 10 2 4 3" xfId="13058"/>
    <cellStyle name="Standaard 2 10 2 4 3 2" xfId="20032"/>
    <cellStyle name="Standaard 2 10 2 4 4" xfId="20033"/>
    <cellStyle name="Standaard 2 10 2 5" xfId="4016"/>
    <cellStyle name="Standaard 2 10 2 5 2" xfId="13060"/>
    <cellStyle name="Standaard 2 10 2 5 2 2" xfId="20034"/>
    <cellStyle name="Standaard 2 10 2 5 3" xfId="20035"/>
    <cellStyle name="Standaard 2 10 2 6" xfId="9062"/>
    <cellStyle name="Standaard 2 10 2 6 2" xfId="20036"/>
    <cellStyle name="Standaard 2 10 2 7" xfId="20037"/>
    <cellStyle name="Standaard 2 10 3" xfId="2077"/>
    <cellStyle name="Standaard 2 10 3 2" xfId="2621"/>
    <cellStyle name="Standaard 2 10 3 2 2" xfId="3638"/>
    <cellStyle name="Standaard 2 10 3 2 2 2" xfId="5672"/>
    <cellStyle name="Standaard 2 10 3 2 2 2 2" xfId="13062"/>
    <cellStyle name="Standaard 2 10 3 2 2 2 2 2" xfId="20038"/>
    <cellStyle name="Standaard 2 10 3 2 2 2 3" xfId="20039"/>
    <cellStyle name="Standaard 2 10 3 2 2 3" xfId="13061"/>
    <cellStyle name="Standaard 2 10 3 2 2 3 2" xfId="20040"/>
    <cellStyle name="Standaard 2 10 3 2 2 4" xfId="20041"/>
    <cellStyle name="Standaard 2 10 3 2 3" xfId="4655"/>
    <cellStyle name="Standaard 2 10 3 2 3 2" xfId="13063"/>
    <cellStyle name="Standaard 2 10 3 2 3 2 2" xfId="20042"/>
    <cellStyle name="Standaard 2 10 3 2 3 3" xfId="20043"/>
    <cellStyle name="Standaard 2 10 3 2 4" xfId="9067"/>
    <cellStyle name="Standaard 2 10 3 2 4 2" xfId="20044"/>
    <cellStyle name="Standaard 2 10 3 2 5" xfId="20045"/>
    <cellStyle name="Standaard 2 10 3 3" xfId="3125"/>
    <cellStyle name="Standaard 2 10 3 3 2" xfId="5159"/>
    <cellStyle name="Standaard 2 10 3 3 2 2" xfId="13065"/>
    <cellStyle name="Standaard 2 10 3 3 2 2 2" xfId="20046"/>
    <cellStyle name="Standaard 2 10 3 3 2 3" xfId="20047"/>
    <cellStyle name="Standaard 2 10 3 3 3" xfId="13064"/>
    <cellStyle name="Standaard 2 10 3 3 3 2" xfId="20048"/>
    <cellStyle name="Standaard 2 10 3 3 4" xfId="20049"/>
    <cellStyle name="Standaard 2 10 3 4" xfId="4142"/>
    <cellStyle name="Standaard 2 10 3 4 2" xfId="13066"/>
    <cellStyle name="Standaard 2 10 3 4 2 2" xfId="20050"/>
    <cellStyle name="Standaard 2 10 3 4 3" xfId="20051"/>
    <cellStyle name="Standaard 2 10 3 5" xfId="9066"/>
    <cellStyle name="Standaard 2 10 3 5 2" xfId="20052"/>
    <cellStyle name="Standaard 2 10 3 6" xfId="20053"/>
    <cellStyle name="Standaard 2 10 4" xfId="2369"/>
    <cellStyle name="Standaard 2 10 4 2" xfId="3386"/>
    <cellStyle name="Standaard 2 10 4 2 2" xfId="5420"/>
    <cellStyle name="Standaard 2 10 4 2 2 2" xfId="13068"/>
    <cellStyle name="Standaard 2 10 4 2 2 2 2" xfId="20054"/>
    <cellStyle name="Standaard 2 10 4 2 2 3" xfId="20055"/>
    <cellStyle name="Standaard 2 10 4 2 3" xfId="13067"/>
    <cellStyle name="Standaard 2 10 4 2 3 2" xfId="20056"/>
    <cellStyle name="Standaard 2 10 4 2 4" xfId="20057"/>
    <cellStyle name="Standaard 2 10 4 3" xfId="4403"/>
    <cellStyle name="Standaard 2 10 4 3 2" xfId="13069"/>
    <cellStyle name="Standaard 2 10 4 3 2 2" xfId="20058"/>
    <cellStyle name="Standaard 2 10 4 3 3" xfId="20059"/>
    <cellStyle name="Standaard 2 10 4 4" xfId="9068"/>
    <cellStyle name="Standaard 2 10 4 4 2" xfId="20060"/>
    <cellStyle name="Standaard 2 10 4 5" xfId="20061"/>
    <cellStyle name="Standaard 2 10 5" xfId="2873"/>
    <cellStyle name="Standaard 2 10 5 2" xfId="4907"/>
    <cellStyle name="Standaard 2 10 5 2 2" xfId="13071"/>
    <cellStyle name="Standaard 2 10 5 2 2 2" xfId="20062"/>
    <cellStyle name="Standaard 2 10 5 2 3" xfId="20063"/>
    <cellStyle name="Standaard 2 10 5 3" xfId="13070"/>
    <cellStyle name="Standaard 2 10 5 3 2" xfId="20064"/>
    <cellStyle name="Standaard 2 10 5 4" xfId="20065"/>
    <cellStyle name="Standaard 2 10 6" xfId="3890"/>
    <cellStyle name="Standaard 2 10 6 2" xfId="13072"/>
    <cellStyle name="Standaard 2 10 6 2 2" xfId="20066"/>
    <cellStyle name="Standaard 2 10 6 3" xfId="20067"/>
    <cellStyle name="Standaard 2 10 7" xfId="7696"/>
    <cellStyle name="Standaard 2 10 7 2" xfId="20068"/>
    <cellStyle name="Standaard 2 10 8" xfId="7700"/>
    <cellStyle name="Standaard 2 10 8 2" xfId="27046"/>
    <cellStyle name="Standaard 2 10 8 3" xfId="39945"/>
    <cellStyle name="Standaard 2 10 9" xfId="20069"/>
    <cellStyle name="Standaard 2 11" xfId="1867"/>
    <cellStyle name="Standaard 2 11 2" xfId="2119"/>
    <cellStyle name="Standaard 2 11 2 2" xfId="2663"/>
    <cellStyle name="Standaard 2 11 2 2 2" xfId="3680"/>
    <cellStyle name="Standaard 2 11 2 2 2 2" xfId="5714"/>
    <cellStyle name="Standaard 2 11 2 2 2 2 2" xfId="13074"/>
    <cellStyle name="Standaard 2 11 2 2 2 2 2 2" xfId="20070"/>
    <cellStyle name="Standaard 2 11 2 2 2 2 3" xfId="20071"/>
    <cellStyle name="Standaard 2 11 2 2 2 3" xfId="13073"/>
    <cellStyle name="Standaard 2 11 2 2 2 3 2" xfId="20072"/>
    <cellStyle name="Standaard 2 11 2 2 2 4" xfId="20073"/>
    <cellStyle name="Standaard 2 11 2 2 3" xfId="4697"/>
    <cellStyle name="Standaard 2 11 2 2 3 2" xfId="13075"/>
    <cellStyle name="Standaard 2 11 2 2 3 2 2" xfId="20074"/>
    <cellStyle name="Standaard 2 11 2 2 3 3" xfId="20075"/>
    <cellStyle name="Standaard 2 11 2 2 4" xfId="9071"/>
    <cellStyle name="Standaard 2 11 2 2 4 2" xfId="20076"/>
    <cellStyle name="Standaard 2 11 2 2 5" xfId="20077"/>
    <cellStyle name="Standaard 2 11 2 3" xfId="3167"/>
    <cellStyle name="Standaard 2 11 2 3 2" xfId="5201"/>
    <cellStyle name="Standaard 2 11 2 3 2 2" xfId="13077"/>
    <cellStyle name="Standaard 2 11 2 3 2 2 2" xfId="20078"/>
    <cellStyle name="Standaard 2 11 2 3 2 3" xfId="20079"/>
    <cellStyle name="Standaard 2 11 2 3 3" xfId="13076"/>
    <cellStyle name="Standaard 2 11 2 3 3 2" xfId="20080"/>
    <cellStyle name="Standaard 2 11 2 3 4" xfId="20081"/>
    <cellStyle name="Standaard 2 11 2 4" xfId="4184"/>
    <cellStyle name="Standaard 2 11 2 4 2" xfId="13078"/>
    <cellStyle name="Standaard 2 11 2 4 2 2" xfId="20082"/>
    <cellStyle name="Standaard 2 11 2 4 3" xfId="20083"/>
    <cellStyle name="Standaard 2 11 2 5" xfId="9070"/>
    <cellStyle name="Standaard 2 11 2 5 2" xfId="20084"/>
    <cellStyle name="Standaard 2 11 2 6" xfId="20085"/>
    <cellStyle name="Standaard 2 11 3" xfId="2411"/>
    <cellStyle name="Standaard 2 11 3 2" xfId="3428"/>
    <cellStyle name="Standaard 2 11 3 2 2" xfId="5462"/>
    <cellStyle name="Standaard 2 11 3 2 2 2" xfId="13080"/>
    <cellStyle name="Standaard 2 11 3 2 2 2 2" xfId="20086"/>
    <cellStyle name="Standaard 2 11 3 2 2 3" xfId="20087"/>
    <cellStyle name="Standaard 2 11 3 2 3" xfId="13079"/>
    <cellStyle name="Standaard 2 11 3 2 3 2" xfId="20088"/>
    <cellStyle name="Standaard 2 11 3 2 4" xfId="20089"/>
    <cellStyle name="Standaard 2 11 3 3" xfId="4445"/>
    <cellStyle name="Standaard 2 11 3 3 2" xfId="13081"/>
    <cellStyle name="Standaard 2 11 3 3 2 2" xfId="20090"/>
    <cellStyle name="Standaard 2 11 3 3 3" xfId="20091"/>
    <cellStyle name="Standaard 2 11 3 4" xfId="9072"/>
    <cellStyle name="Standaard 2 11 3 4 2" xfId="20092"/>
    <cellStyle name="Standaard 2 11 3 5" xfId="20093"/>
    <cellStyle name="Standaard 2 11 4" xfId="2915"/>
    <cellStyle name="Standaard 2 11 4 2" xfId="4949"/>
    <cellStyle name="Standaard 2 11 4 2 2" xfId="13083"/>
    <cellStyle name="Standaard 2 11 4 2 2 2" xfId="20094"/>
    <cellStyle name="Standaard 2 11 4 2 3" xfId="20095"/>
    <cellStyle name="Standaard 2 11 4 3" xfId="13082"/>
    <cellStyle name="Standaard 2 11 4 3 2" xfId="20096"/>
    <cellStyle name="Standaard 2 11 4 4" xfId="20097"/>
    <cellStyle name="Standaard 2 11 5" xfId="3932"/>
    <cellStyle name="Standaard 2 11 5 2" xfId="13084"/>
    <cellStyle name="Standaard 2 11 5 2 2" xfId="20098"/>
    <cellStyle name="Standaard 2 11 5 3" xfId="20099"/>
    <cellStyle name="Standaard 2 11 6" xfId="9069"/>
    <cellStyle name="Standaard 2 11 6 2" xfId="20100"/>
    <cellStyle name="Standaard 2 11 7" xfId="20101"/>
    <cellStyle name="Standaard 2 12" xfId="1993"/>
    <cellStyle name="Standaard 2 12 2" xfId="2537"/>
    <cellStyle name="Standaard 2 12 2 2" xfId="3554"/>
    <cellStyle name="Standaard 2 12 2 2 2" xfId="5588"/>
    <cellStyle name="Standaard 2 12 2 2 2 2" xfId="13086"/>
    <cellStyle name="Standaard 2 12 2 2 2 2 2" xfId="20102"/>
    <cellStyle name="Standaard 2 12 2 2 2 3" xfId="20103"/>
    <cellStyle name="Standaard 2 12 2 2 3" xfId="13085"/>
    <cellStyle name="Standaard 2 12 2 2 3 2" xfId="20104"/>
    <cellStyle name="Standaard 2 12 2 2 4" xfId="20105"/>
    <cellStyle name="Standaard 2 12 2 3" xfId="4571"/>
    <cellStyle name="Standaard 2 12 2 3 2" xfId="13087"/>
    <cellStyle name="Standaard 2 12 2 3 2 2" xfId="20106"/>
    <cellStyle name="Standaard 2 12 2 3 3" xfId="20107"/>
    <cellStyle name="Standaard 2 12 2 4" xfId="9074"/>
    <cellStyle name="Standaard 2 12 2 4 2" xfId="20108"/>
    <cellStyle name="Standaard 2 12 2 5" xfId="20109"/>
    <cellStyle name="Standaard 2 12 3" xfId="3041"/>
    <cellStyle name="Standaard 2 12 3 2" xfId="5075"/>
    <cellStyle name="Standaard 2 12 3 2 2" xfId="13089"/>
    <cellStyle name="Standaard 2 12 3 2 2 2" xfId="20110"/>
    <cellStyle name="Standaard 2 12 3 2 3" xfId="20111"/>
    <cellStyle name="Standaard 2 12 3 3" xfId="13088"/>
    <cellStyle name="Standaard 2 12 3 3 2" xfId="20112"/>
    <cellStyle name="Standaard 2 12 3 4" xfId="20113"/>
    <cellStyle name="Standaard 2 12 4" xfId="4058"/>
    <cellStyle name="Standaard 2 12 4 2" xfId="13090"/>
    <cellStyle name="Standaard 2 12 4 2 2" xfId="20114"/>
    <cellStyle name="Standaard 2 12 4 3" xfId="20115"/>
    <cellStyle name="Standaard 2 12 5" xfId="9073"/>
    <cellStyle name="Standaard 2 12 5 2" xfId="20116"/>
    <cellStyle name="Standaard 2 12 6" xfId="20117"/>
    <cellStyle name="Standaard 2 13" xfId="2285"/>
    <cellStyle name="Standaard 2 13 2" xfId="3302"/>
    <cellStyle name="Standaard 2 13 2 2" xfId="5336"/>
    <cellStyle name="Standaard 2 13 2 2 2" xfId="13092"/>
    <cellStyle name="Standaard 2 13 2 2 2 2" xfId="20118"/>
    <cellStyle name="Standaard 2 13 2 2 3" xfId="20119"/>
    <cellStyle name="Standaard 2 13 2 3" xfId="13091"/>
    <cellStyle name="Standaard 2 13 2 3 2" xfId="20120"/>
    <cellStyle name="Standaard 2 13 2 4" xfId="20121"/>
    <cellStyle name="Standaard 2 13 3" xfId="4319"/>
    <cellStyle name="Standaard 2 13 3 2" xfId="13093"/>
    <cellStyle name="Standaard 2 13 3 2 2" xfId="20122"/>
    <cellStyle name="Standaard 2 13 3 3" xfId="20123"/>
    <cellStyle name="Standaard 2 13 4" xfId="9075"/>
    <cellStyle name="Standaard 2 13 4 2" xfId="20124"/>
    <cellStyle name="Standaard 2 13 5" xfId="20125"/>
    <cellStyle name="Standaard 2 14" xfId="2789"/>
    <cellStyle name="Standaard 2 14 2" xfId="4823"/>
    <cellStyle name="Standaard 2 14 2 2" xfId="13095"/>
    <cellStyle name="Standaard 2 14 2 2 2" xfId="20126"/>
    <cellStyle name="Standaard 2 14 2 3" xfId="20127"/>
    <cellStyle name="Standaard 2 14 3" xfId="13094"/>
    <cellStyle name="Standaard 2 14 3 2" xfId="20128"/>
    <cellStyle name="Standaard 2 14 4" xfId="20129"/>
    <cellStyle name="Standaard 2 15" xfId="3806"/>
    <cellStyle name="Standaard 2 15 2" xfId="13096"/>
    <cellStyle name="Standaard 2 15 2 2" xfId="20130"/>
    <cellStyle name="Standaard 2 15 3" xfId="20131"/>
    <cellStyle name="Standaard 2 16" xfId="5839"/>
    <cellStyle name="Standaard 2 16 2" xfId="20132"/>
    <cellStyle name="Standaard 2 17" xfId="20133"/>
    <cellStyle name="Standaard 2 18" xfId="40007"/>
    <cellStyle name="Standaard 2 2" xfId="1163"/>
    <cellStyle name="Standaard 2 2 10" xfId="2790"/>
    <cellStyle name="Standaard 2 2 10 2" xfId="4824"/>
    <cellStyle name="Standaard 2 2 10 2 2" xfId="13098"/>
    <cellStyle name="Standaard 2 2 10 2 2 2" xfId="20134"/>
    <cellStyle name="Standaard 2 2 10 2 3" xfId="20135"/>
    <cellStyle name="Standaard 2 2 10 3" xfId="13097"/>
    <cellStyle name="Standaard 2 2 10 3 2" xfId="20136"/>
    <cellStyle name="Standaard 2 2 10 4" xfId="20137"/>
    <cellStyle name="Standaard 2 2 11" xfId="3807"/>
    <cellStyle name="Standaard 2 2 11 2" xfId="13099"/>
    <cellStyle name="Standaard 2 2 11 2 2" xfId="20138"/>
    <cellStyle name="Standaard 2 2 11 3" xfId="20139"/>
    <cellStyle name="Standaard 2 2 12" xfId="7699"/>
    <cellStyle name="Standaard 2 2 12 2" xfId="20140"/>
    <cellStyle name="Standaard 2 2 12 3" xfId="39996"/>
    <cellStyle name="Standaard 2 2 13" xfId="20141"/>
    <cellStyle name="Standaard 2 2 14" xfId="39943"/>
    <cellStyle name="Standaard 2 2 2" xfId="1164"/>
    <cellStyle name="Standaard 2 2 2 10" xfId="3808"/>
    <cellStyle name="Standaard 2 2 2 10 2" xfId="13100"/>
    <cellStyle name="Standaard 2 2 2 10 2 2" xfId="20142"/>
    <cellStyle name="Standaard 2 2 2 10 3" xfId="20143"/>
    <cellStyle name="Standaard 2 2 2 11" xfId="9076"/>
    <cellStyle name="Standaard 2 2 2 11 2" xfId="20144"/>
    <cellStyle name="Standaard 2 2 2 12" xfId="20145"/>
    <cellStyle name="Standaard 2 2 2 2" xfId="1755"/>
    <cellStyle name="Standaard 2 2 2 2 10" xfId="20146"/>
    <cellStyle name="Standaard 2 2 2 2 2" xfId="1799"/>
    <cellStyle name="Standaard 2 2 2 2 2 2" xfId="1925"/>
    <cellStyle name="Standaard 2 2 2 2 2 2 2" xfId="2177"/>
    <cellStyle name="Standaard 2 2 2 2 2 2 2 2" xfId="2721"/>
    <cellStyle name="Standaard 2 2 2 2 2 2 2 2 2" xfId="3738"/>
    <cellStyle name="Standaard 2 2 2 2 2 2 2 2 2 2" xfId="5772"/>
    <cellStyle name="Standaard 2 2 2 2 2 2 2 2 2 2 2" xfId="13102"/>
    <cellStyle name="Standaard 2 2 2 2 2 2 2 2 2 2 2 2" xfId="20147"/>
    <cellStyle name="Standaard 2 2 2 2 2 2 2 2 2 2 3" xfId="20148"/>
    <cellStyle name="Standaard 2 2 2 2 2 2 2 2 2 3" xfId="13101"/>
    <cellStyle name="Standaard 2 2 2 2 2 2 2 2 2 3 2" xfId="20149"/>
    <cellStyle name="Standaard 2 2 2 2 2 2 2 2 2 4" xfId="20150"/>
    <cellStyle name="Standaard 2 2 2 2 2 2 2 2 3" xfId="4755"/>
    <cellStyle name="Standaard 2 2 2 2 2 2 2 2 3 2" xfId="13103"/>
    <cellStyle name="Standaard 2 2 2 2 2 2 2 2 3 2 2" xfId="20151"/>
    <cellStyle name="Standaard 2 2 2 2 2 2 2 2 3 3" xfId="20152"/>
    <cellStyle name="Standaard 2 2 2 2 2 2 2 2 4" xfId="9081"/>
    <cellStyle name="Standaard 2 2 2 2 2 2 2 2 4 2" xfId="20153"/>
    <cellStyle name="Standaard 2 2 2 2 2 2 2 2 5" xfId="20154"/>
    <cellStyle name="Standaard 2 2 2 2 2 2 2 3" xfId="3225"/>
    <cellStyle name="Standaard 2 2 2 2 2 2 2 3 2" xfId="5259"/>
    <cellStyle name="Standaard 2 2 2 2 2 2 2 3 2 2" xfId="13105"/>
    <cellStyle name="Standaard 2 2 2 2 2 2 2 3 2 2 2" xfId="20155"/>
    <cellStyle name="Standaard 2 2 2 2 2 2 2 3 2 3" xfId="20156"/>
    <cellStyle name="Standaard 2 2 2 2 2 2 2 3 3" xfId="13104"/>
    <cellStyle name="Standaard 2 2 2 2 2 2 2 3 3 2" xfId="20157"/>
    <cellStyle name="Standaard 2 2 2 2 2 2 2 3 4" xfId="20158"/>
    <cellStyle name="Standaard 2 2 2 2 2 2 2 4" xfId="4242"/>
    <cellStyle name="Standaard 2 2 2 2 2 2 2 4 2" xfId="13106"/>
    <cellStyle name="Standaard 2 2 2 2 2 2 2 4 2 2" xfId="20159"/>
    <cellStyle name="Standaard 2 2 2 2 2 2 2 4 3" xfId="20160"/>
    <cellStyle name="Standaard 2 2 2 2 2 2 2 5" xfId="9080"/>
    <cellStyle name="Standaard 2 2 2 2 2 2 2 5 2" xfId="20161"/>
    <cellStyle name="Standaard 2 2 2 2 2 2 2 6" xfId="20162"/>
    <cellStyle name="Standaard 2 2 2 2 2 2 3" xfId="2469"/>
    <cellStyle name="Standaard 2 2 2 2 2 2 3 2" xfId="3486"/>
    <cellStyle name="Standaard 2 2 2 2 2 2 3 2 2" xfId="5520"/>
    <cellStyle name="Standaard 2 2 2 2 2 2 3 2 2 2" xfId="13108"/>
    <cellStyle name="Standaard 2 2 2 2 2 2 3 2 2 2 2" xfId="20163"/>
    <cellStyle name="Standaard 2 2 2 2 2 2 3 2 2 3" xfId="20164"/>
    <cellStyle name="Standaard 2 2 2 2 2 2 3 2 3" xfId="13107"/>
    <cellStyle name="Standaard 2 2 2 2 2 2 3 2 3 2" xfId="20165"/>
    <cellStyle name="Standaard 2 2 2 2 2 2 3 2 4" xfId="20166"/>
    <cellStyle name="Standaard 2 2 2 2 2 2 3 3" xfId="4503"/>
    <cellStyle name="Standaard 2 2 2 2 2 2 3 3 2" xfId="13109"/>
    <cellStyle name="Standaard 2 2 2 2 2 2 3 3 2 2" xfId="20167"/>
    <cellStyle name="Standaard 2 2 2 2 2 2 3 3 3" xfId="20168"/>
    <cellStyle name="Standaard 2 2 2 2 2 2 3 4" xfId="9082"/>
    <cellStyle name="Standaard 2 2 2 2 2 2 3 4 2" xfId="20169"/>
    <cellStyle name="Standaard 2 2 2 2 2 2 3 5" xfId="20170"/>
    <cellStyle name="Standaard 2 2 2 2 2 2 4" xfId="2973"/>
    <cellStyle name="Standaard 2 2 2 2 2 2 4 2" xfId="5007"/>
    <cellStyle name="Standaard 2 2 2 2 2 2 4 2 2" xfId="13111"/>
    <cellStyle name="Standaard 2 2 2 2 2 2 4 2 2 2" xfId="20171"/>
    <cellStyle name="Standaard 2 2 2 2 2 2 4 2 3" xfId="20172"/>
    <cellStyle name="Standaard 2 2 2 2 2 2 4 3" xfId="13110"/>
    <cellStyle name="Standaard 2 2 2 2 2 2 4 3 2" xfId="20173"/>
    <cellStyle name="Standaard 2 2 2 2 2 2 4 4" xfId="20174"/>
    <cellStyle name="Standaard 2 2 2 2 2 2 5" xfId="3990"/>
    <cellStyle name="Standaard 2 2 2 2 2 2 5 2" xfId="13112"/>
    <cellStyle name="Standaard 2 2 2 2 2 2 5 2 2" xfId="20175"/>
    <cellStyle name="Standaard 2 2 2 2 2 2 5 3" xfId="20176"/>
    <cellStyle name="Standaard 2 2 2 2 2 2 6" xfId="9079"/>
    <cellStyle name="Standaard 2 2 2 2 2 2 6 2" xfId="20177"/>
    <cellStyle name="Standaard 2 2 2 2 2 2 7" xfId="20178"/>
    <cellStyle name="Standaard 2 2 2 2 2 3" xfId="2051"/>
    <cellStyle name="Standaard 2 2 2 2 2 3 2" xfId="2595"/>
    <cellStyle name="Standaard 2 2 2 2 2 3 2 2" xfId="3612"/>
    <cellStyle name="Standaard 2 2 2 2 2 3 2 2 2" xfId="5646"/>
    <cellStyle name="Standaard 2 2 2 2 2 3 2 2 2 2" xfId="13114"/>
    <cellStyle name="Standaard 2 2 2 2 2 3 2 2 2 2 2" xfId="20179"/>
    <cellStyle name="Standaard 2 2 2 2 2 3 2 2 2 3" xfId="20180"/>
    <cellStyle name="Standaard 2 2 2 2 2 3 2 2 3" xfId="13113"/>
    <cellStyle name="Standaard 2 2 2 2 2 3 2 2 3 2" xfId="20181"/>
    <cellStyle name="Standaard 2 2 2 2 2 3 2 2 4" xfId="20182"/>
    <cellStyle name="Standaard 2 2 2 2 2 3 2 3" xfId="4629"/>
    <cellStyle name="Standaard 2 2 2 2 2 3 2 3 2" xfId="13115"/>
    <cellStyle name="Standaard 2 2 2 2 2 3 2 3 2 2" xfId="20183"/>
    <cellStyle name="Standaard 2 2 2 2 2 3 2 3 3" xfId="20184"/>
    <cellStyle name="Standaard 2 2 2 2 2 3 2 4" xfId="9084"/>
    <cellStyle name="Standaard 2 2 2 2 2 3 2 4 2" xfId="20185"/>
    <cellStyle name="Standaard 2 2 2 2 2 3 2 5" xfId="20186"/>
    <cellStyle name="Standaard 2 2 2 2 2 3 3" xfId="3099"/>
    <cellStyle name="Standaard 2 2 2 2 2 3 3 2" xfId="5133"/>
    <cellStyle name="Standaard 2 2 2 2 2 3 3 2 2" xfId="13117"/>
    <cellStyle name="Standaard 2 2 2 2 2 3 3 2 2 2" xfId="20187"/>
    <cellStyle name="Standaard 2 2 2 2 2 3 3 2 3" xfId="20188"/>
    <cellStyle name="Standaard 2 2 2 2 2 3 3 3" xfId="13116"/>
    <cellStyle name="Standaard 2 2 2 2 2 3 3 3 2" xfId="20189"/>
    <cellStyle name="Standaard 2 2 2 2 2 3 3 4" xfId="20190"/>
    <cellStyle name="Standaard 2 2 2 2 2 3 4" xfId="4116"/>
    <cellStyle name="Standaard 2 2 2 2 2 3 4 2" xfId="13118"/>
    <cellStyle name="Standaard 2 2 2 2 2 3 4 2 2" xfId="20191"/>
    <cellStyle name="Standaard 2 2 2 2 2 3 4 3" xfId="20192"/>
    <cellStyle name="Standaard 2 2 2 2 2 3 5" xfId="9083"/>
    <cellStyle name="Standaard 2 2 2 2 2 3 5 2" xfId="20193"/>
    <cellStyle name="Standaard 2 2 2 2 2 3 6" xfId="20194"/>
    <cellStyle name="Standaard 2 2 2 2 2 4" xfId="2343"/>
    <cellStyle name="Standaard 2 2 2 2 2 4 2" xfId="3360"/>
    <cellStyle name="Standaard 2 2 2 2 2 4 2 2" xfId="5394"/>
    <cellStyle name="Standaard 2 2 2 2 2 4 2 2 2" xfId="13120"/>
    <cellStyle name="Standaard 2 2 2 2 2 4 2 2 2 2" xfId="20195"/>
    <cellStyle name="Standaard 2 2 2 2 2 4 2 2 3" xfId="20196"/>
    <cellStyle name="Standaard 2 2 2 2 2 4 2 3" xfId="13119"/>
    <cellStyle name="Standaard 2 2 2 2 2 4 2 3 2" xfId="20197"/>
    <cellStyle name="Standaard 2 2 2 2 2 4 2 4" xfId="20198"/>
    <cellStyle name="Standaard 2 2 2 2 2 4 3" xfId="4377"/>
    <cellStyle name="Standaard 2 2 2 2 2 4 3 2" xfId="13121"/>
    <cellStyle name="Standaard 2 2 2 2 2 4 3 2 2" xfId="20199"/>
    <cellStyle name="Standaard 2 2 2 2 2 4 3 3" xfId="20200"/>
    <cellStyle name="Standaard 2 2 2 2 2 4 4" xfId="9085"/>
    <cellStyle name="Standaard 2 2 2 2 2 4 4 2" xfId="20201"/>
    <cellStyle name="Standaard 2 2 2 2 2 4 5" xfId="20202"/>
    <cellStyle name="Standaard 2 2 2 2 2 5" xfId="2847"/>
    <cellStyle name="Standaard 2 2 2 2 2 5 2" xfId="4881"/>
    <cellStyle name="Standaard 2 2 2 2 2 5 2 2" xfId="13123"/>
    <cellStyle name="Standaard 2 2 2 2 2 5 2 2 2" xfId="20203"/>
    <cellStyle name="Standaard 2 2 2 2 2 5 2 3" xfId="20204"/>
    <cellStyle name="Standaard 2 2 2 2 2 5 3" xfId="13122"/>
    <cellStyle name="Standaard 2 2 2 2 2 5 3 2" xfId="20205"/>
    <cellStyle name="Standaard 2 2 2 2 2 5 4" xfId="20206"/>
    <cellStyle name="Standaard 2 2 2 2 2 6" xfId="3864"/>
    <cellStyle name="Standaard 2 2 2 2 2 6 2" xfId="13124"/>
    <cellStyle name="Standaard 2 2 2 2 2 6 2 2" xfId="20207"/>
    <cellStyle name="Standaard 2 2 2 2 2 6 3" xfId="20208"/>
    <cellStyle name="Standaard 2 2 2 2 2 7" xfId="9078"/>
    <cellStyle name="Standaard 2 2 2 2 2 7 2" xfId="20209"/>
    <cellStyle name="Standaard 2 2 2 2 2 8" xfId="20210"/>
    <cellStyle name="Standaard 2 2 2 2 3" xfId="1841"/>
    <cellStyle name="Standaard 2 2 2 2 3 2" xfId="1967"/>
    <cellStyle name="Standaard 2 2 2 2 3 2 2" xfId="2219"/>
    <cellStyle name="Standaard 2 2 2 2 3 2 2 2" xfId="2763"/>
    <cellStyle name="Standaard 2 2 2 2 3 2 2 2 2" xfId="3780"/>
    <cellStyle name="Standaard 2 2 2 2 3 2 2 2 2 2" xfId="5814"/>
    <cellStyle name="Standaard 2 2 2 2 3 2 2 2 2 2 2" xfId="13126"/>
    <cellStyle name="Standaard 2 2 2 2 3 2 2 2 2 2 2 2" xfId="20211"/>
    <cellStyle name="Standaard 2 2 2 2 3 2 2 2 2 2 3" xfId="20212"/>
    <cellStyle name="Standaard 2 2 2 2 3 2 2 2 2 3" xfId="13125"/>
    <cellStyle name="Standaard 2 2 2 2 3 2 2 2 2 3 2" xfId="20213"/>
    <cellStyle name="Standaard 2 2 2 2 3 2 2 2 2 4" xfId="20214"/>
    <cellStyle name="Standaard 2 2 2 2 3 2 2 2 3" xfId="4797"/>
    <cellStyle name="Standaard 2 2 2 2 3 2 2 2 3 2" xfId="13127"/>
    <cellStyle name="Standaard 2 2 2 2 3 2 2 2 3 2 2" xfId="20215"/>
    <cellStyle name="Standaard 2 2 2 2 3 2 2 2 3 3" xfId="20216"/>
    <cellStyle name="Standaard 2 2 2 2 3 2 2 2 4" xfId="9089"/>
    <cellStyle name="Standaard 2 2 2 2 3 2 2 2 4 2" xfId="20217"/>
    <cellStyle name="Standaard 2 2 2 2 3 2 2 2 5" xfId="20218"/>
    <cellStyle name="Standaard 2 2 2 2 3 2 2 3" xfId="3267"/>
    <cellStyle name="Standaard 2 2 2 2 3 2 2 3 2" xfId="5301"/>
    <cellStyle name="Standaard 2 2 2 2 3 2 2 3 2 2" xfId="13129"/>
    <cellStyle name="Standaard 2 2 2 2 3 2 2 3 2 2 2" xfId="20219"/>
    <cellStyle name="Standaard 2 2 2 2 3 2 2 3 2 3" xfId="20220"/>
    <cellStyle name="Standaard 2 2 2 2 3 2 2 3 3" xfId="13128"/>
    <cellStyle name="Standaard 2 2 2 2 3 2 2 3 3 2" xfId="20221"/>
    <cellStyle name="Standaard 2 2 2 2 3 2 2 3 4" xfId="20222"/>
    <cellStyle name="Standaard 2 2 2 2 3 2 2 4" xfId="4284"/>
    <cellStyle name="Standaard 2 2 2 2 3 2 2 4 2" xfId="13130"/>
    <cellStyle name="Standaard 2 2 2 2 3 2 2 4 2 2" xfId="20223"/>
    <cellStyle name="Standaard 2 2 2 2 3 2 2 4 3" xfId="20224"/>
    <cellStyle name="Standaard 2 2 2 2 3 2 2 5" xfId="9088"/>
    <cellStyle name="Standaard 2 2 2 2 3 2 2 5 2" xfId="20225"/>
    <cellStyle name="Standaard 2 2 2 2 3 2 2 6" xfId="20226"/>
    <cellStyle name="Standaard 2 2 2 2 3 2 3" xfId="2511"/>
    <cellStyle name="Standaard 2 2 2 2 3 2 3 2" xfId="3528"/>
    <cellStyle name="Standaard 2 2 2 2 3 2 3 2 2" xfId="5562"/>
    <cellStyle name="Standaard 2 2 2 2 3 2 3 2 2 2" xfId="13132"/>
    <cellStyle name="Standaard 2 2 2 2 3 2 3 2 2 2 2" xfId="20227"/>
    <cellStyle name="Standaard 2 2 2 2 3 2 3 2 2 3" xfId="20228"/>
    <cellStyle name="Standaard 2 2 2 2 3 2 3 2 3" xfId="13131"/>
    <cellStyle name="Standaard 2 2 2 2 3 2 3 2 3 2" xfId="20229"/>
    <cellStyle name="Standaard 2 2 2 2 3 2 3 2 4" xfId="20230"/>
    <cellStyle name="Standaard 2 2 2 2 3 2 3 3" xfId="4545"/>
    <cellStyle name="Standaard 2 2 2 2 3 2 3 3 2" xfId="13133"/>
    <cellStyle name="Standaard 2 2 2 2 3 2 3 3 2 2" xfId="20231"/>
    <cellStyle name="Standaard 2 2 2 2 3 2 3 3 3" xfId="20232"/>
    <cellStyle name="Standaard 2 2 2 2 3 2 3 4" xfId="9090"/>
    <cellStyle name="Standaard 2 2 2 2 3 2 3 4 2" xfId="20233"/>
    <cellStyle name="Standaard 2 2 2 2 3 2 3 5" xfId="20234"/>
    <cellStyle name="Standaard 2 2 2 2 3 2 4" xfId="3015"/>
    <cellStyle name="Standaard 2 2 2 2 3 2 4 2" xfId="5049"/>
    <cellStyle name="Standaard 2 2 2 2 3 2 4 2 2" xfId="13135"/>
    <cellStyle name="Standaard 2 2 2 2 3 2 4 2 2 2" xfId="20235"/>
    <cellStyle name="Standaard 2 2 2 2 3 2 4 2 3" xfId="20236"/>
    <cellStyle name="Standaard 2 2 2 2 3 2 4 3" xfId="13134"/>
    <cellStyle name="Standaard 2 2 2 2 3 2 4 3 2" xfId="20237"/>
    <cellStyle name="Standaard 2 2 2 2 3 2 4 4" xfId="20238"/>
    <cellStyle name="Standaard 2 2 2 2 3 2 5" xfId="4032"/>
    <cellStyle name="Standaard 2 2 2 2 3 2 5 2" xfId="13136"/>
    <cellStyle name="Standaard 2 2 2 2 3 2 5 2 2" xfId="20239"/>
    <cellStyle name="Standaard 2 2 2 2 3 2 5 3" xfId="20240"/>
    <cellStyle name="Standaard 2 2 2 2 3 2 6" xfId="9087"/>
    <cellStyle name="Standaard 2 2 2 2 3 2 6 2" xfId="20241"/>
    <cellStyle name="Standaard 2 2 2 2 3 2 7" xfId="20242"/>
    <cellStyle name="Standaard 2 2 2 2 3 3" xfId="2093"/>
    <cellStyle name="Standaard 2 2 2 2 3 3 2" xfId="2637"/>
    <cellStyle name="Standaard 2 2 2 2 3 3 2 2" xfId="3654"/>
    <cellStyle name="Standaard 2 2 2 2 3 3 2 2 2" xfId="5688"/>
    <cellStyle name="Standaard 2 2 2 2 3 3 2 2 2 2" xfId="13138"/>
    <cellStyle name="Standaard 2 2 2 2 3 3 2 2 2 2 2" xfId="20243"/>
    <cellStyle name="Standaard 2 2 2 2 3 3 2 2 2 3" xfId="20244"/>
    <cellStyle name="Standaard 2 2 2 2 3 3 2 2 3" xfId="13137"/>
    <cellStyle name="Standaard 2 2 2 2 3 3 2 2 3 2" xfId="20245"/>
    <cellStyle name="Standaard 2 2 2 2 3 3 2 2 4" xfId="20246"/>
    <cellStyle name="Standaard 2 2 2 2 3 3 2 3" xfId="4671"/>
    <cellStyle name="Standaard 2 2 2 2 3 3 2 3 2" xfId="13139"/>
    <cellStyle name="Standaard 2 2 2 2 3 3 2 3 2 2" xfId="20247"/>
    <cellStyle name="Standaard 2 2 2 2 3 3 2 3 3" xfId="20248"/>
    <cellStyle name="Standaard 2 2 2 2 3 3 2 4" xfId="9092"/>
    <cellStyle name="Standaard 2 2 2 2 3 3 2 4 2" xfId="20249"/>
    <cellStyle name="Standaard 2 2 2 2 3 3 2 5" xfId="20250"/>
    <cellStyle name="Standaard 2 2 2 2 3 3 3" xfId="3141"/>
    <cellStyle name="Standaard 2 2 2 2 3 3 3 2" xfId="5175"/>
    <cellStyle name="Standaard 2 2 2 2 3 3 3 2 2" xfId="13141"/>
    <cellStyle name="Standaard 2 2 2 2 3 3 3 2 2 2" xfId="20251"/>
    <cellStyle name="Standaard 2 2 2 2 3 3 3 2 3" xfId="20252"/>
    <cellStyle name="Standaard 2 2 2 2 3 3 3 3" xfId="13140"/>
    <cellStyle name="Standaard 2 2 2 2 3 3 3 3 2" xfId="20253"/>
    <cellStyle name="Standaard 2 2 2 2 3 3 3 4" xfId="20254"/>
    <cellStyle name="Standaard 2 2 2 2 3 3 4" xfId="4158"/>
    <cellStyle name="Standaard 2 2 2 2 3 3 4 2" xfId="13142"/>
    <cellStyle name="Standaard 2 2 2 2 3 3 4 2 2" xfId="20255"/>
    <cellStyle name="Standaard 2 2 2 2 3 3 4 3" xfId="20256"/>
    <cellStyle name="Standaard 2 2 2 2 3 3 5" xfId="9091"/>
    <cellStyle name="Standaard 2 2 2 2 3 3 5 2" xfId="20257"/>
    <cellStyle name="Standaard 2 2 2 2 3 3 6" xfId="20258"/>
    <cellStyle name="Standaard 2 2 2 2 3 4" xfId="2385"/>
    <cellStyle name="Standaard 2 2 2 2 3 4 2" xfId="3402"/>
    <cellStyle name="Standaard 2 2 2 2 3 4 2 2" xfId="5436"/>
    <cellStyle name="Standaard 2 2 2 2 3 4 2 2 2" xfId="13144"/>
    <cellStyle name="Standaard 2 2 2 2 3 4 2 2 2 2" xfId="20259"/>
    <cellStyle name="Standaard 2 2 2 2 3 4 2 2 3" xfId="20260"/>
    <cellStyle name="Standaard 2 2 2 2 3 4 2 3" xfId="13143"/>
    <cellStyle name="Standaard 2 2 2 2 3 4 2 3 2" xfId="20261"/>
    <cellStyle name="Standaard 2 2 2 2 3 4 2 4" xfId="20262"/>
    <cellStyle name="Standaard 2 2 2 2 3 4 3" xfId="4419"/>
    <cellStyle name="Standaard 2 2 2 2 3 4 3 2" xfId="13145"/>
    <cellStyle name="Standaard 2 2 2 2 3 4 3 2 2" xfId="20263"/>
    <cellStyle name="Standaard 2 2 2 2 3 4 3 3" xfId="20264"/>
    <cellStyle name="Standaard 2 2 2 2 3 4 4" xfId="9093"/>
    <cellStyle name="Standaard 2 2 2 2 3 4 4 2" xfId="20265"/>
    <cellStyle name="Standaard 2 2 2 2 3 4 5" xfId="20266"/>
    <cellStyle name="Standaard 2 2 2 2 3 5" xfId="2889"/>
    <cellStyle name="Standaard 2 2 2 2 3 5 2" xfId="4923"/>
    <cellStyle name="Standaard 2 2 2 2 3 5 2 2" xfId="13147"/>
    <cellStyle name="Standaard 2 2 2 2 3 5 2 2 2" xfId="20267"/>
    <cellStyle name="Standaard 2 2 2 2 3 5 2 3" xfId="20268"/>
    <cellStyle name="Standaard 2 2 2 2 3 5 3" xfId="13146"/>
    <cellStyle name="Standaard 2 2 2 2 3 5 3 2" xfId="20269"/>
    <cellStyle name="Standaard 2 2 2 2 3 5 4" xfId="20270"/>
    <cellStyle name="Standaard 2 2 2 2 3 6" xfId="3906"/>
    <cellStyle name="Standaard 2 2 2 2 3 6 2" xfId="13148"/>
    <cellStyle name="Standaard 2 2 2 2 3 6 2 2" xfId="20271"/>
    <cellStyle name="Standaard 2 2 2 2 3 6 3" xfId="20272"/>
    <cellStyle name="Standaard 2 2 2 2 3 7" xfId="9086"/>
    <cellStyle name="Standaard 2 2 2 2 3 7 2" xfId="20273"/>
    <cellStyle name="Standaard 2 2 2 2 3 8" xfId="20274"/>
    <cellStyle name="Standaard 2 2 2 2 4" xfId="1883"/>
    <cellStyle name="Standaard 2 2 2 2 4 2" xfId="2135"/>
    <cellStyle name="Standaard 2 2 2 2 4 2 2" xfId="2679"/>
    <cellStyle name="Standaard 2 2 2 2 4 2 2 2" xfId="3696"/>
    <cellStyle name="Standaard 2 2 2 2 4 2 2 2 2" xfId="5730"/>
    <cellStyle name="Standaard 2 2 2 2 4 2 2 2 2 2" xfId="13150"/>
    <cellStyle name="Standaard 2 2 2 2 4 2 2 2 2 2 2" xfId="20275"/>
    <cellStyle name="Standaard 2 2 2 2 4 2 2 2 2 3" xfId="20276"/>
    <cellStyle name="Standaard 2 2 2 2 4 2 2 2 3" xfId="13149"/>
    <cellStyle name="Standaard 2 2 2 2 4 2 2 2 3 2" xfId="20277"/>
    <cellStyle name="Standaard 2 2 2 2 4 2 2 2 4" xfId="20278"/>
    <cellStyle name="Standaard 2 2 2 2 4 2 2 3" xfId="4713"/>
    <cellStyle name="Standaard 2 2 2 2 4 2 2 3 2" xfId="13151"/>
    <cellStyle name="Standaard 2 2 2 2 4 2 2 3 2 2" xfId="20279"/>
    <cellStyle name="Standaard 2 2 2 2 4 2 2 3 3" xfId="20280"/>
    <cellStyle name="Standaard 2 2 2 2 4 2 2 4" xfId="9096"/>
    <cellStyle name="Standaard 2 2 2 2 4 2 2 4 2" xfId="20281"/>
    <cellStyle name="Standaard 2 2 2 2 4 2 2 5" xfId="20282"/>
    <cellStyle name="Standaard 2 2 2 2 4 2 3" xfId="3183"/>
    <cellStyle name="Standaard 2 2 2 2 4 2 3 2" xfId="5217"/>
    <cellStyle name="Standaard 2 2 2 2 4 2 3 2 2" xfId="13153"/>
    <cellStyle name="Standaard 2 2 2 2 4 2 3 2 2 2" xfId="20283"/>
    <cellStyle name="Standaard 2 2 2 2 4 2 3 2 3" xfId="20284"/>
    <cellStyle name="Standaard 2 2 2 2 4 2 3 3" xfId="13152"/>
    <cellStyle name="Standaard 2 2 2 2 4 2 3 3 2" xfId="20285"/>
    <cellStyle name="Standaard 2 2 2 2 4 2 3 4" xfId="20286"/>
    <cellStyle name="Standaard 2 2 2 2 4 2 4" xfId="4200"/>
    <cellStyle name="Standaard 2 2 2 2 4 2 4 2" xfId="13154"/>
    <cellStyle name="Standaard 2 2 2 2 4 2 4 2 2" xfId="20287"/>
    <cellStyle name="Standaard 2 2 2 2 4 2 4 3" xfId="20288"/>
    <cellStyle name="Standaard 2 2 2 2 4 2 5" xfId="9095"/>
    <cellStyle name="Standaard 2 2 2 2 4 2 5 2" xfId="20289"/>
    <cellStyle name="Standaard 2 2 2 2 4 2 6" xfId="20290"/>
    <cellStyle name="Standaard 2 2 2 2 4 3" xfId="2427"/>
    <cellStyle name="Standaard 2 2 2 2 4 3 2" xfId="3444"/>
    <cellStyle name="Standaard 2 2 2 2 4 3 2 2" xfId="5478"/>
    <cellStyle name="Standaard 2 2 2 2 4 3 2 2 2" xfId="13156"/>
    <cellStyle name="Standaard 2 2 2 2 4 3 2 2 2 2" xfId="20291"/>
    <cellStyle name="Standaard 2 2 2 2 4 3 2 2 3" xfId="20292"/>
    <cellStyle name="Standaard 2 2 2 2 4 3 2 3" xfId="13155"/>
    <cellStyle name="Standaard 2 2 2 2 4 3 2 3 2" xfId="20293"/>
    <cellStyle name="Standaard 2 2 2 2 4 3 2 4" xfId="20294"/>
    <cellStyle name="Standaard 2 2 2 2 4 3 3" xfId="4461"/>
    <cellStyle name="Standaard 2 2 2 2 4 3 3 2" xfId="13157"/>
    <cellStyle name="Standaard 2 2 2 2 4 3 3 2 2" xfId="20295"/>
    <cellStyle name="Standaard 2 2 2 2 4 3 3 3" xfId="20296"/>
    <cellStyle name="Standaard 2 2 2 2 4 3 4" xfId="9097"/>
    <cellStyle name="Standaard 2 2 2 2 4 3 4 2" xfId="20297"/>
    <cellStyle name="Standaard 2 2 2 2 4 3 5" xfId="20298"/>
    <cellStyle name="Standaard 2 2 2 2 4 4" xfId="2931"/>
    <cellStyle name="Standaard 2 2 2 2 4 4 2" xfId="4965"/>
    <cellStyle name="Standaard 2 2 2 2 4 4 2 2" xfId="13159"/>
    <cellStyle name="Standaard 2 2 2 2 4 4 2 2 2" xfId="20299"/>
    <cellStyle name="Standaard 2 2 2 2 4 4 2 3" xfId="20300"/>
    <cellStyle name="Standaard 2 2 2 2 4 4 3" xfId="13158"/>
    <cellStyle name="Standaard 2 2 2 2 4 4 3 2" xfId="20301"/>
    <cellStyle name="Standaard 2 2 2 2 4 4 4" xfId="20302"/>
    <cellStyle name="Standaard 2 2 2 2 4 5" xfId="3948"/>
    <cellStyle name="Standaard 2 2 2 2 4 5 2" xfId="13160"/>
    <cellStyle name="Standaard 2 2 2 2 4 5 2 2" xfId="20303"/>
    <cellStyle name="Standaard 2 2 2 2 4 5 3" xfId="20304"/>
    <cellStyle name="Standaard 2 2 2 2 4 6" xfId="9094"/>
    <cellStyle name="Standaard 2 2 2 2 4 6 2" xfId="20305"/>
    <cellStyle name="Standaard 2 2 2 2 4 7" xfId="20306"/>
    <cellStyle name="Standaard 2 2 2 2 5" xfId="2009"/>
    <cellStyle name="Standaard 2 2 2 2 5 2" xfId="2553"/>
    <cellStyle name="Standaard 2 2 2 2 5 2 2" xfId="3570"/>
    <cellStyle name="Standaard 2 2 2 2 5 2 2 2" xfId="5604"/>
    <cellStyle name="Standaard 2 2 2 2 5 2 2 2 2" xfId="13162"/>
    <cellStyle name="Standaard 2 2 2 2 5 2 2 2 2 2" xfId="20307"/>
    <cellStyle name="Standaard 2 2 2 2 5 2 2 2 3" xfId="20308"/>
    <cellStyle name="Standaard 2 2 2 2 5 2 2 3" xfId="13161"/>
    <cellStyle name="Standaard 2 2 2 2 5 2 2 3 2" xfId="20309"/>
    <cellStyle name="Standaard 2 2 2 2 5 2 2 4" xfId="20310"/>
    <cellStyle name="Standaard 2 2 2 2 5 2 3" xfId="4587"/>
    <cellStyle name="Standaard 2 2 2 2 5 2 3 2" xfId="13163"/>
    <cellStyle name="Standaard 2 2 2 2 5 2 3 2 2" xfId="20311"/>
    <cellStyle name="Standaard 2 2 2 2 5 2 3 3" xfId="20312"/>
    <cellStyle name="Standaard 2 2 2 2 5 2 4" xfId="9099"/>
    <cellStyle name="Standaard 2 2 2 2 5 2 4 2" xfId="20313"/>
    <cellStyle name="Standaard 2 2 2 2 5 2 5" xfId="20314"/>
    <cellStyle name="Standaard 2 2 2 2 5 3" xfId="3057"/>
    <cellStyle name="Standaard 2 2 2 2 5 3 2" xfId="5091"/>
    <cellStyle name="Standaard 2 2 2 2 5 3 2 2" xfId="13165"/>
    <cellStyle name="Standaard 2 2 2 2 5 3 2 2 2" xfId="20315"/>
    <cellStyle name="Standaard 2 2 2 2 5 3 2 3" xfId="20316"/>
    <cellStyle name="Standaard 2 2 2 2 5 3 3" xfId="13164"/>
    <cellStyle name="Standaard 2 2 2 2 5 3 3 2" xfId="20317"/>
    <cellStyle name="Standaard 2 2 2 2 5 3 4" xfId="20318"/>
    <cellStyle name="Standaard 2 2 2 2 5 4" xfId="4074"/>
    <cellStyle name="Standaard 2 2 2 2 5 4 2" xfId="13166"/>
    <cellStyle name="Standaard 2 2 2 2 5 4 2 2" xfId="20319"/>
    <cellStyle name="Standaard 2 2 2 2 5 4 3" xfId="20320"/>
    <cellStyle name="Standaard 2 2 2 2 5 5" xfId="9098"/>
    <cellStyle name="Standaard 2 2 2 2 5 5 2" xfId="20321"/>
    <cellStyle name="Standaard 2 2 2 2 5 6" xfId="20322"/>
    <cellStyle name="Standaard 2 2 2 2 6" xfId="2301"/>
    <cellStyle name="Standaard 2 2 2 2 6 2" xfId="3318"/>
    <cellStyle name="Standaard 2 2 2 2 6 2 2" xfId="5352"/>
    <cellStyle name="Standaard 2 2 2 2 6 2 2 2" xfId="13168"/>
    <cellStyle name="Standaard 2 2 2 2 6 2 2 2 2" xfId="20323"/>
    <cellStyle name="Standaard 2 2 2 2 6 2 2 3" xfId="20324"/>
    <cellStyle name="Standaard 2 2 2 2 6 2 3" xfId="13167"/>
    <cellStyle name="Standaard 2 2 2 2 6 2 3 2" xfId="20325"/>
    <cellStyle name="Standaard 2 2 2 2 6 2 4" xfId="20326"/>
    <cellStyle name="Standaard 2 2 2 2 6 3" xfId="4335"/>
    <cellStyle name="Standaard 2 2 2 2 6 3 2" xfId="13169"/>
    <cellStyle name="Standaard 2 2 2 2 6 3 2 2" xfId="20327"/>
    <cellStyle name="Standaard 2 2 2 2 6 3 3" xfId="20328"/>
    <cellStyle name="Standaard 2 2 2 2 6 4" xfId="9100"/>
    <cellStyle name="Standaard 2 2 2 2 6 4 2" xfId="20329"/>
    <cellStyle name="Standaard 2 2 2 2 6 5" xfId="20330"/>
    <cellStyle name="Standaard 2 2 2 2 7" xfId="2805"/>
    <cellStyle name="Standaard 2 2 2 2 7 2" xfId="4839"/>
    <cellStyle name="Standaard 2 2 2 2 7 2 2" xfId="13171"/>
    <cellStyle name="Standaard 2 2 2 2 7 2 2 2" xfId="20331"/>
    <cellStyle name="Standaard 2 2 2 2 7 2 3" xfId="20332"/>
    <cellStyle name="Standaard 2 2 2 2 7 3" xfId="13170"/>
    <cellStyle name="Standaard 2 2 2 2 7 3 2" xfId="20333"/>
    <cellStyle name="Standaard 2 2 2 2 7 4" xfId="20334"/>
    <cellStyle name="Standaard 2 2 2 2 8" xfId="3822"/>
    <cellStyle name="Standaard 2 2 2 2 8 2" xfId="13172"/>
    <cellStyle name="Standaard 2 2 2 2 8 2 2" xfId="20335"/>
    <cellStyle name="Standaard 2 2 2 2 8 3" xfId="20336"/>
    <cellStyle name="Standaard 2 2 2 2 9" xfId="9077"/>
    <cellStyle name="Standaard 2 2 2 2 9 2" xfId="20337"/>
    <cellStyle name="Standaard 2 2 2 3" xfId="1771"/>
    <cellStyle name="Standaard 2 2 2 3 10" xfId="20338"/>
    <cellStyle name="Standaard 2 2 2 3 2" xfId="1813"/>
    <cellStyle name="Standaard 2 2 2 3 2 2" xfId="1939"/>
    <cellStyle name="Standaard 2 2 2 3 2 2 2" xfId="2191"/>
    <cellStyle name="Standaard 2 2 2 3 2 2 2 2" xfId="2735"/>
    <cellStyle name="Standaard 2 2 2 3 2 2 2 2 2" xfId="3752"/>
    <cellStyle name="Standaard 2 2 2 3 2 2 2 2 2 2" xfId="5786"/>
    <cellStyle name="Standaard 2 2 2 3 2 2 2 2 2 2 2" xfId="13174"/>
    <cellStyle name="Standaard 2 2 2 3 2 2 2 2 2 2 2 2" xfId="20339"/>
    <cellStyle name="Standaard 2 2 2 3 2 2 2 2 2 2 3" xfId="20340"/>
    <cellStyle name="Standaard 2 2 2 3 2 2 2 2 2 3" xfId="13173"/>
    <cellStyle name="Standaard 2 2 2 3 2 2 2 2 2 3 2" xfId="20341"/>
    <cellStyle name="Standaard 2 2 2 3 2 2 2 2 2 4" xfId="20342"/>
    <cellStyle name="Standaard 2 2 2 3 2 2 2 2 3" xfId="4769"/>
    <cellStyle name="Standaard 2 2 2 3 2 2 2 2 3 2" xfId="13175"/>
    <cellStyle name="Standaard 2 2 2 3 2 2 2 2 3 2 2" xfId="20343"/>
    <cellStyle name="Standaard 2 2 2 3 2 2 2 2 3 3" xfId="20344"/>
    <cellStyle name="Standaard 2 2 2 3 2 2 2 2 4" xfId="9105"/>
    <cellStyle name="Standaard 2 2 2 3 2 2 2 2 4 2" xfId="20345"/>
    <cellStyle name="Standaard 2 2 2 3 2 2 2 2 5" xfId="20346"/>
    <cellStyle name="Standaard 2 2 2 3 2 2 2 3" xfId="3239"/>
    <cellStyle name="Standaard 2 2 2 3 2 2 2 3 2" xfId="5273"/>
    <cellStyle name="Standaard 2 2 2 3 2 2 2 3 2 2" xfId="13177"/>
    <cellStyle name="Standaard 2 2 2 3 2 2 2 3 2 2 2" xfId="20347"/>
    <cellStyle name="Standaard 2 2 2 3 2 2 2 3 2 3" xfId="20348"/>
    <cellStyle name="Standaard 2 2 2 3 2 2 2 3 3" xfId="13176"/>
    <cellStyle name="Standaard 2 2 2 3 2 2 2 3 3 2" xfId="20349"/>
    <cellStyle name="Standaard 2 2 2 3 2 2 2 3 4" xfId="20350"/>
    <cellStyle name="Standaard 2 2 2 3 2 2 2 4" xfId="4256"/>
    <cellStyle name="Standaard 2 2 2 3 2 2 2 4 2" xfId="13178"/>
    <cellStyle name="Standaard 2 2 2 3 2 2 2 4 2 2" xfId="20351"/>
    <cellStyle name="Standaard 2 2 2 3 2 2 2 4 3" xfId="20352"/>
    <cellStyle name="Standaard 2 2 2 3 2 2 2 5" xfId="9104"/>
    <cellStyle name="Standaard 2 2 2 3 2 2 2 5 2" xfId="20353"/>
    <cellStyle name="Standaard 2 2 2 3 2 2 2 6" xfId="20354"/>
    <cellStyle name="Standaard 2 2 2 3 2 2 3" xfId="2483"/>
    <cellStyle name="Standaard 2 2 2 3 2 2 3 2" xfId="3500"/>
    <cellStyle name="Standaard 2 2 2 3 2 2 3 2 2" xfId="5534"/>
    <cellStyle name="Standaard 2 2 2 3 2 2 3 2 2 2" xfId="13180"/>
    <cellStyle name="Standaard 2 2 2 3 2 2 3 2 2 2 2" xfId="20355"/>
    <cellStyle name="Standaard 2 2 2 3 2 2 3 2 2 3" xfId="20356"/>
    <cellStyle name="Standaard 2 2 2 3 2 2 3 2 3" xfId="13179"/>
    <cellStyle name="Standaard 2 2 2 3 2 2 3 2 3 2" xfId="20357"/>
    <cellStyle name="Standaard 2 2 2 3 2 2 3 2 4" xfId="20358"/>
    <cellStyle name="Standaard 2 2 2 3 2 2 3 3" xfId="4517"/>
    <cellStyle name="Standaard 2 2 2 3 2 2 3 3 2" xfId="13181"/>
    <cellStyle name="Standaard 2 2 2 3 2 2 3 3 2 2" xfId="20359"/>
    <cellStyle name="Standaard 2 2 2 3 2 2 3 3 3" xfId="20360"/>
    <cellStyle name="Standaard 2 2 2 3 2 2 3 4" xfId="9106"/>
    <cellStyle name="Standaard 2 2 2 3 2 2 3 4 2" xfId="20361"/>
    <cellStyle name="Standaard 2 2 2 3 2 2 3 5" xfId="20362"/>
    <cellStyle name="Standaard 2 2 2 3 2 2 4" xfId="2987"/>
    <cellStyle name="Standaard 2 2 2 3 2 2 4 2" xfId="5021"/>
    <cellStyle name="Standaard 2 2 2 3 2 2 4 2 2" xfId="13183"/>
    <cellStyle name="Standaard 2 2 2 3 2 2 4 2 2 2" xfId="20363"/>
    <cellStyle name="Standaard 2 2 2 3 2 2 4 2 3" xfId="20364"/>
    <cellStyle name="Standaard 2 2 2 3 2 2 4 3" xfId="13182"/>
    <cellStyle name="Standaard 2 2 2 3 2 2 4 3 2" xfId="20365"/>
    <cellStyle name="Standaard 2 2 2 3 2 2 4 4" xfId="20366"/>
    <cellStyle name="Standaard 2 2 2 3 2 2 5" xfId="4004"/>
    <cellStyle name="Standaard 2 2 2 3 2 2 5 2" xfId="13184"/>
    <cellStyle name="Standaard 2 2 2 3 2 2 5 2 2" xfId="20367"/>
    <cellStyle name="Standaard 2 2 2 3 2 2 5 3" xfId="20368"/>
    <cellStyle name="Standaard 2 2 2 3 2 2 6" xfId="9103"/>
    <cellStyle name="Standaard 2 2 2 3 2 2 6 2" xfId="20369"/>
    <cellStyle name="Standaard 2 2 2 3 2 2 7" xfId="20370"/>
    <cellStyle name="Standaard 2 2 2 3 2 3" xfId="2065"/>
    <cellStyle name="Standaard 2 2 2 3 2 3 2" xfId="2609"/>
    <cellStyle name="Standaard 2 2 2 3 2 3 2 2" xfId="3626"/>
    <cellStyle name="Standaard 2 2 2 3 2 3 2 2 2" xfId="5660"/>
    <cellStyle name="Standaard 2 2 2 3 2 3 2 2 2 2" xfId="13186"/>
    <cellStyle name="Standaard 2 2 2 3 2 3 2 2 2 2 2" xfId="20371"/>
    <cellStyle name="Standaard 2 2 2 3 2 3 2 2 2 3" xfId="20372"/>
    <cellStyle name="Standaard 2 2 2 3 2 3 2 2 3" xfId="13185"/>
    <cellStyle name="Standaard 2 2 2 3 2 3 2 2 3 2" xfId="20373"/>
    <cellStyle name="Standaard 2 2 2 3 2 3 2 2 4" xfId="20374"/>
    <cellStyle name="Standaard 2 2 2 3 2 3 2 3" xfId="4643"/>
    <cellStyle name="Standaard 2 2 2 3 2 3 2 3 2" xfId="13187"/>
    <cellStyle name="Standaard 2 2 2 3 2 3 2 3 2 2" xfId="20375"/>
    <cellStyle name="Standaard 2 2 2 3 2 3 2 3 3" xfId="20376"/>
    <cellStyle name="Standaard 2 2 2 3 2 3 2 4" xfId="9108"/>
    <cellStyle name="Standaard 2 2 2 3 2 3 2 4 2" xfId="20377"/>
    <cellStyle name="Standaard 2 2 2 3 2 3 2 5" xfId="20378"/>
    <cellStyle name="Standaard 2 2 2 3 2 3 3" xfId="3113"/>
    <cellStyle name="Standaard 2 2 2 3 2 3 3 2" xfId="5147"/>
    <cellStyle name="Standaard 2 2 2 3 2 3 3 2 2" xfId="13189"/>
    <cellStyle name="Standaard 2 2 2 3 2 3 3 2 2 2" xfId="20379"/>
    <cellStyle name="Standaard 2 2 2 3 2 3 3 2 3" xfId="20380"/>
    <cellStyle name="Standaard 2 2 2 3 2 3 3 3" xfId="13188"/>
    <cellStyle name="Standaard 2 2 2 3 2 3 3 3 2" xfId="20381"/>
    <cellStyle name="Standaard 2 2 2 3 2 3 3 4" xfId="20382"/>
    <cellStyle name="Standaard 2 2 2 3 2 3 4" xfId="4130"/>
    <cellStyle name="Standaard 2 2 2 3 2 3 4 2" xfId="13190"/>
    <cellStyle name="Standaard 2 2 2 3 2 3 4 2 2" xfId="20383"/>
    <cellStyle name="Standaard 2 2 2 3 2 3 4 3" xfId="20384"/>
    <cellStyle name="Standaard 2 2 2 3 2 3 5" xfId="9107"/>
    <cellStyle name="Standaard 2 2 2 3 2 3 5 2" xfId="20385"/>
    <cellStyle name="Standaard 2 2 2 3 2 3 6" xfId="20386"/>
    <cellStyle name="Standaard 2 2 2 3 2 4" xfId="2357"/>
    <cellStyle name="Standaard 2 2 2 3 2 4 2" xfId="3374"/>
    <cellStyle name="Standaard 2 2 2 3 2 4 2 2" xfId="5408"/>
    <cellStyle name="Standaard 2 2 2 3 2 4 2 2 2" xfId="13192"/>
    <cellStyle name="Standaard 2 2 2 3 2 4 2 2 2 2" xfId="20387"/>
    <cellStyle name="Standaard 2 2 2 3 2 4 2 2 3" xfId="20388"/>
    <cellStyle name="Standaard 2 2 2 3 2 4 2 3" xfId="13191"/>
    <cellStyle name="Standaard 2 2 2 3 2 4 2 3 2" xfId="20389"/>
    <cellStyle name="Standaard 2 2 2 3 2 4 2 4" xfId="20390"/>
    <cellStyle name="Standaard 2 2 2 3 2 4 3" xfId="4391"/>
    <cellStyle name="Standaard 2 2 2 3 2 4 3 2" xfId="13193"/>
    <cellStyle name="Standaard 2 2 2 3 2 4 3 2 2" xfId="20391"/>
    <cellStyle name="Standaard 2 2 2 3 2 4 3 3" xfId="20392"/>
    <cellStyle name="Standaard 2 2 2 3 2 4 4" xfId="9109"/>
    <cellStyle name="Standaard 2 2 2 3 2 4 4 2" xfId="20393"/>
    <cellStyle name="Standaard 2 2 2 3 2 4 5" xfId="20394"/>
    <cellStyle name="Standaard 2 2 2 3 2 5" xfId="2861"/>
    <cellStyle name="Standaard 2 2 2 3 2 5 2" xfId="4895"/>
    <cellStyle name="Standaard 2 2 2 3 2 5 2 2" xfId="13195"/>
    <cellStyle name="Standaard 2 2 2 3 2 5 2 2 2" xfId="20395"/>
    <cellStyle name="Standaard 2 2 2 3 2 5 2 3" xfId="20396"/>
    <cellStyle name="Standaard 2 2 2 3 2 5 3" xfId="13194"/>
    <cellStyle name="Standaard 2 2 2 3 2 5 3 2" xfId="20397"/>
    <cellStyle name="Standaard 2 2 2 3 2 5 4" xfId="20398"/>
    <cellStyle name="Standaard 2 2 2 3 2 6" xfId="3878"/>
    <cellStyle name="Standaard 2 2 2 3 2 6 2" xfId="13196"/>
    <cellStyle name="Standaard 2 2 2 3 2 6 2 2" xfId="20399"/>
    <cellStyle name="Standaard 2 2 2 3 2 6 3" xfId="20400"/>
    <cellStyle name="Standaard 2 2 2 3 2 7" xfId="9102"/>
    <cellStyle name="Standaard 2 2 2 3 2 7 2" xfId="20401"/>
    <cellStyle name="Standaard 2 2 2 3 2 8" xfId="20402"/>
    <cellStyle name="Standaard 2 2 2 3 3" xfId="1855"/>
    <cellStyle name="Standaard 2 2 2 3 3 2" xfId="1981"/>
    <cellStyle name="Standaard 2 2 2 3 3 2 2" xfId="2233"/>
    <cellStyle name="Standaard 2 2 2 3 3 2 2 2" xfId="2777"/>
    <cellStyle name="Standaard 2 2 2 3 3 2 2 2 2" xfId="3794"/>
    <cellStyle name="Standaard 2 2 2 3 3 2 2 2 2 2" xfId="5828"/>
    <cellStyle name="Standaard 2 2 2 3 3 2 2 2 2 2 2" xfId="13198"/>
    <cellStyle name="Standaard 2 2 2 3 3 2 2 2 2 2 2 2" xfId="20403"/>
    <cellStyle name="Standaard 2 2 2 3 3 2 2 2 2 2 3" xfId="20404"/>
    <cellStyle name="Standaard 2 2 2 3 3 2 2 2 2 3" xfId="13197"/>
    <cellStyle name="Standaard 2 2 2 3 3 2 2 2 2 3 2" xfId="20405"/>
    <cellStyle name="Standaard 2 2 2 3 3 2 2 2 2 4" xfId="20406"/>
    <cellStyle name="Standaard 2 2 2 3 3 2 2 2 3" xfId="4811"/>
    <cellStyle name="Standaard 2 2 2 3 3 2 2 2 3 2" xfId="13199"/>
    <cellStyle name="Standaard 2 2 2 3 3 2 2 2 3 2 2" xfId="20407"/>
    <cellStyle name="Standaard 2 2 2 3 3 2 2 2 3 3" xfId="20408"/>
    <cellStyle name="Standaard 2 2 2 3 3 2 2 2 4" xfId="9113"/>
    <cellStyle name="Standaard 2 2 2 3 3 2 2 2 4 2" xfId="20409"/>
    <cellStyle name="Standaard 2 2 2 3 3 2 2 2 5" xfId="20410"/>
    <cellStyle name="Standaard 2 2 2 3 3 2 2 3" xfId="3281"/>
    <cellStyle name="Standaard 2 2 2 3 3 2 2 3 2" xfId="5315"/>
    <cellStyle name="Standaard 2 2 2 3 3 2 2 3 2 2" xfId="13201"/>
    <cellStyle name="Standaard 2 2 2 3 3 2 2 3 2 2 2" xfId="20411"/>
    <cellStyle name="Standaard 2 2 2 3 3 2 2 3 2 3" xfId="20412"/>
    <cellStyle name="Standaard 2 2 2 3 3 2 2 3 3" xfId="13200"/>
    <cellStyle name="Standaard 2 2 2 3 3 2 2 3 3 2" xfId="20413"/>
    <cellStyle name="Standaard 2 2 2 3 3 2 2 3 4" xfId="20414"/>
    <cellStyle name="Standaard 2 2 2 3 3 2 2 4" xfId="4298"/>
    <cellStyle name="Standaard 2 2 2 3 3 2 2 4 2" xfId="13202"/>
    <cellStyle name="Standaard 2 2 2 3 3 2 2 4 2 2" xfId="20415"/>
    <cellStyle name="Standaard 2 2 2 3 3 2 2 4 3" xfId="20416"/>
    <cellStyle name="Standaard 2 2 2 3 3 2 2 5" xfId="9112"/>
    <cellStyle name="Standaard 2 2 2 3 3 2 2 5 2" xfId="20417"/>
    <cellStyle name="Standaard 2 2 2 3 3 2 2 6" xfId="20418"/>
    <cellStyle name="Standaard 2 2 2 3 3 2 3" xfId="2525"/>
    <cellStyle name="Standaard 2 2 2 3 3 2 3 2" xfId="3542"/>
    <cellStyle name="Standaard 2 2 2 3 3 2 3 2 2" xfId="5576"/>
    <cellStyle name="Standaard 2 2 2 3 3 2 3 2 2 2" xfId="13204"/>
    <cellStyle name="Standaard 2 2 2 3 3 2 3 2 2 2 2" xfId="20419"/>
    <cellStyle name="Standaard 2 2 2 3 3 2 3 2 2 3" xfId="20420"/>
    <cellStyle name="Standaard 2 2 2 3 3 2 3 2 3" xfId="13203"/>
    <cellStyle name="Standaard 2 2 2 3 3 2 3 2 3 2" xfId="20421"/>
    <cellStyle name="Standaard 2 2 2 3 3 2 3 2 4" xfId="20422"/>
    <cellStyle name="Standaard 2 2 2 3 3 2 3 3" xfId="4559"/>
    <cellStyle name="Standaard 2 2 2 3 3 2 3 3 2" xfId="13205"/>
    <cellStyle name="Standaard 2 2 2 3 3 2 3 3 2 2" xfId="20423"/>
    <cellStyle name="Standaard 2 2 2 3 3 2 3 3 3" xfId="20424"/>
    <cellStyle name="Standaard 2 2 2 3 3 2 3 4" xfId="9114"/>
    <cellStyle name="Standaard 2 2 2 3 3 2 3 4 2" xfId="20425"/>
    <cellStyle name="Standaard 2 2 2 3 3 2 3 5" xfId="20426"/>
    <cellStyle name="Standaard 2 2 2 3 3 2 4" xfId="3029"/>
    <cellStyle name="Standaard 2 2 2 3 3 2 4 2" xfId="5063"/>
    <cellStyle name="Standaard 2 2 2 3 3 2 4 2 2" xfId="13207"/>
    <cellStyle name="Standaard 2 2 2 3 3 2 4 2 2 2" xfId="20427"/>
    <cellStyle name="Standaard 2 2 2 3 3 2 4 2 3" xfId="20428"/>
    <cellStyle name="Standaard 2 2 2 3 3 2 4 3" xfId="13206"/>
    <cellStyle name="Standaard 2 2 2 3 3 2 4 3 2" xfId="20429"/>
    <cellStyle name="Standaard 2 2 2 3 3 2 4 4" xfId="20430"/>
    <cellStyle name="Standaard 2 2 2 3 3 2 5" xfId="4046"/>
    <cellStyle name="Standaard 2 2 2 3 3 2 5 2" xfId="13208"/>
    <cellStyle name="Standaard 2 2 2 3 3 2 5 2 2" xfId="20431"/>
    <cellStyle name="Standaard 2 2 2 3 3 2 5 3" xfId="20432"/>
    <cellStyle name="Standaard 2 2 2 3 3 2 6" xfId="9111"/>
    <cellStyle name="Standaard 2 2 2 3 3 2 6 2" xfId="20433"/>
    <cellStyle name="Standaard 2 2 2 3 3 2 7" xfId="20434"/>
    <cellStyle name="Standaard 2 2 2 3 3 3" xfId="2107"/>
    <cellStyle name="Standaard 2 2 2 3 3 3 2" xfId="2651"/>
    <cellStyle name="Standaard 2 2 2 3 3 3 2 2" xfId="3668"/>
    <cellStyle name="Standaard 2 2 2 3 3 3 2 2 2" xfId="5702"/>
    <cellStyle name="Standaard 2 2 2 3 3 3 2 2 2 2" xfId="13210"/>
    <cellStyle name="Standaard 2 2 2 3 3 3 2 2 2 2 2" xfId="20435"/>
    <cellStyle name="Standaard 2 2 2 3 3 3 2 2 2 3" xfId="20436"/>
    <cellStyle name="Standaard 2 2 2 3 3 3 2 2 3" xfId="13209"/>
    <cellStyle name="Standaard 2 2 2 3 3 3 2 2 3 2" xfId="20437"/>
    <cellStyle name="Standaard 2 2 2 3 3 3 2 2 4" xfId="20438"/>
    <cellStyle name="Standaard 2 2 2 3 3 3 2 3" xfId="4685"/>
    <cellStyle name="Standaard 2 2 2 3 3 3 2 3 2" xfId="13211"/>
    <cellStyle name="Standaard 2 2 2 3 3 3 2 3 2 2" xfId="20439"/>
    <cellStyle name="Standaard 2 2 2 3 3 3 2 3 3" xfId="20440"/>
    <cellStyle name="Standaard 2 2 2 3 3 3 2 4" xfId="9116"/>
    <cellStyle name="Standaard 2 2 2 3 3 3 2 4 2" xfId="20441"/>
    <cellStyle name="Standaard 2 2 2 3 3 3 2 5" xfId="20442"/>
    <cellStyle name="Standaard 2 2 2 3 3 3 3" xfId="3155"/>
    <cellStyle name="Standaard 2 2 2 3 3 3 3 2" xfId="5189"/>
    <cellStyle name="Standaard 2 2 2 3 3 3 3 2 2" xfId="13213"/>
    <cellStyle name="Standaard 2 2 2 3 3 3 3 2 2 2" xfId="20443"/>
    <cellStyle name="Standaard 2 2 2 3 3 3 3 2 3" xfId="20444"/>
    <cellStyle name="Standaard 2 2 2 3 3 3 3 3" xfId="13212"/>
    <cellStyle name="Standaard 2 2 2 3 3 3 3 3 2" xfId="20445"/>
    <cellStyle name="Standaard 2 2 2 3 3 3 3 4" xfId="20446"/>
    <cellStyle name="Standaard 2 2 2 3 3 3 4" xfId="4172"/>
    <cellStyle name="Standaard 2 2 2 3 3 3 4 2" xfId="13214"/>
    <cellStyle name="Standaard 2 2 2 3 3 3 4 2 2" xfId="20447"/>
    <cellStyle name="Standaard 2 2 2 3 3 3 4 3" xfId="20448"/>
    <cellStyle name="Standaard 2 2 2 3 3 3 5" xfId="9115"/>
    <cellStyle name="Standaard 2 2 2 3 3 3 5 2" xfId="20449"/>
    <cellStyle name="Standaard 2 2 2 3 3 3 6" xfId="20450"/>
    <cellStyle name="Standaard 2 2 2 3 3 4" xfId="2399"/>
    <cellStyle name="Standaard 2 2 2 3 3 4 2" xfId="3416"/>
    <cellStyle name="Standaard 2 2 2 3 3 4 2 2" xfId="5450"/>
    <cellStyle name="Standaard 2 2 2 3 3 4 2 2 2" xfId="13216"/>
    <cellStyle name="Standaard 2 2 2 3 3 4 2 2 2 2" xfId="20451"/>
    <cellStyle name="Standaard 2 2 2 3 3 4 2 2 3" xfId="20452"/>
    <cellStyle name="Standaard 2 2 2 3 3 4 2 3" xfId="13215"/>
    <cellStyle name="Standaard 2 2 2 3 3 4 2 3 2" xfId="20453"/>
    <cellStyle name="Standaard 2 2 2 3 3 4 2 4" xfId="20454"/>
    <cellStyle name="Standaard 2 2 2 3 3 4 3" xfId="4433"/>
    <cellStyle name="Standaard 2 2 2 3 3 4 3 2" xfId="13217"/>
    <cellStyle name="Standaard 2 2 2 3 3 4 3 2 2" xfId="20455"/>
    <cellStyle name="Standaard 2 2 2 3 3 4 3 3" xfId="20456"/>
    <cellStyle name="Standaard 2 2 2 3 3 4 4" xfId="9117"/>
    <cellStyle name="Standaard 2 2 2 3 3 4 4 2" xfId="20457"/>
    <cellStyle name="Standaard 2 2 2 3 3 4 5" xfId="20458"/>
    <cellStyle name="Standaard 2 2 2 3 3 5" xfId="2903"/>
    <cellStyle name="Standaard 2 2 2 3 3 5 2" xfId="4937"/>
    <cellStyle name="Standaard 2 2 2 3 3 5 2 2" xfId="13219"/>
    <cellStyle name="Standaard 2 2 2 3 3 5 2 2 2" xfId="20459"/>
    <cellStyle name="Standaard 2 2 2 3 3 5 2 3" xfId="20460"/>
    <cellStyle name="Standaard 2 2 2 3 3 5 3" xfId="13218"/>
    <cellStyle name="Standaard 2 2 2 3 3 5 3 2" xfId="20461"/>
    <cellStyle name="Standaard 2 2 2 3 3 5 4" xfId="20462"/>
    <cellStyle name="Standaard 2 2 2 3 3 6" xfId="3920"/>
    <cellStyle name="Standaard 2 2 2 3 3 6 2" xfId="13220"/>
    <cellStyle name="Standaard 2 2 2 3 3 6 2 2" xfId="20463"/>
    <cellStyle name="Standaard 2 2 2 3 3 6 3" xfId="20464"/>
    <cellStyle name="Standaard 2 2 2 3 3 7" xfId="9110"/>
    <cellStyle name="Standaard 2 2 2 3 3 7 2" xfId="20465"/>
    <cellStyle name="Standaard 2 2 2 3 3 8" xfId="20466"/>
    <cellStyle name="Standaard 2 2 2 3 4" xfId="1897"/>
    <cellStyle name="Standaard 2 2 2 3 4 2" xfId="2149"/>
    <cellStyle name="Standaard 2 2 2 3 4 2 2" xfId="2693"/>
    <cellStyle name="Standaard 2 2 2 3 4 2 2 2" xfId="3710"/>
    <cellStyle name="Standaard 2 2 2 3 4 2 2 2 2" xfId="5744"/>
    <cellStyle name="Standaard 2 2 2 3 4 2 2 2 2 2" xfId="13222"/>
    <cellStyle name="Standaard 2 2 2 3 4 2 2 2 2 2 2" xfId="20467"/>
    <cellStyle name="Standaard 2 2 2 3 4 2 2 2 2 3" xfId="20468"/>
    <cellStyle name="Standaard 2 2 2 3 4 2 2 2 3" xfId="13221"/>
    <cellStyle name="Standaard 2 2 2 3 4 2 2 2 3 2" xfId="20469"/>
    <cellStyle name="Standaard 2 2 2 3 4 2 2 2 4" xfId="20470"/>
    <cellStyle name="Standaard 2 2 2 3 4 2 2 3" xfId="4727"/>
    <cellStyle name="Standaard 2 2 2 3 4 2 2 3 2" xfId="13223"/>
    <cellStyle name="Standaard 2 2 2 3 4 2 2 3 2 2" xfId="20471"/>
    <cellStyle name="Standaard 2 2 2 3 4 2 2 3 3" xfId="20472"/>
    <cellStyle name="Standaard 2 2 2 3 4 2 2 4" xfId="9120"/>
    <cellStyle name="Standaard 2 2 2 3 4 2 2 4 2" xfId="20473"/>
    <cellStyle name="Standaard 2 2 2 3 4 2 2 5" xfId="20474"/>
    <cellStyle name="Standaard 2 2 2 3 4 2 3" xfId="3197"/>
    <cellStyle name="Standaard 2 2 2 3 4 2 3 2" xfId="5231"/>
    <cellStyle name="Standaard 2 2 2 3 4 2 3 2 2" xfId="13225"/>
    <cellStyle name="Standaard 2 2 2 3 4 2 3 2 2 2" xfId="20475"/>
    <cellStyle name="Standaard 2 2 2 3 4 2 3 2 3" xfId="20476"/>
    <cellStyle name="Standaard 2 2 2 3 4 2 3 3" xfId="13224"/>
    <cellStyle name="Standaard 2 2 2 3 4 2 3 3 2" xfId="20477"/>
    <cellStyle name="Standaard 2 2 2 3 4 2 3 4" xfId="20478"/>
    <cellStyle name="Standaard 2 2 2 3 4 2 4" xfId="4214"/>
    <cellStyle name="Standaard 2 2 2 3 4 2 4 2" xfId="13226"/>
    <cellStyle name="Standaard 2 2 2 3 4 2 4 2 2" xfId="20479"/>
    <cellStyle name="Standaard 2 2 2 3 4 2 4 3" xfId="20480"/>
    <cellStyle name="Standaard 2 2 2 3 4 2 5" xfId="9119"/>
    <cellStyle name="Standaard 2 2 2 3 4 2 5 2" xfId="20481"/>
    <cellStyle name="Standaard 2 2 2 3 4 2 6" xfId="20482"/>
    <cellStyle name="Standaard 2 2 2 3 4 3" xfId="2441"/>
    <cellStyle name="Standaard 2 2 2 3 4 3 2" xfId="3458"/>
    <cellStyle name="Standaard 2 2 2 3 4 3 2 2" xfId="5492"/>
    <cellStyle name="Standaard 2 2 2 3 4 3 2 2 2" xfId="13228"/>
    <cellStyle name="Standaard 2 2 2 3 4 3 2 2 2 2" xfId="20483"/>
    <cellStyle name="Standaard 2 2 2 3 4 3 2 2 3" xfId="20484"/>
    <cellStyle name="Standaard 2 2 2 3 4 3 2 3" xfId="13227"/>
    <cellStyle name="Standaard 2 2 2 3 4 3 2 3 2" xfId="20485"/>
    <cellStyle name="Standaard 2 2 2 3 4 3 2 4" xfId="20486"/>
    <cellStyle name="Standaard 2 2 2 3 4 3 3" xfId="4475"/>
    <cellStyle name="Standaard 2 2 2 3 4 3 3 2" xfId="13229"/>
    <cellStyle name="Standaard 2 2 2 3 4 3 3 2 2" xfId="20487"/>
    <cellStyle name="Standaard 2 2 2 3 4 3 3 3" xfId="20488"/>
    <cellStyle name="Standaard 2 2 2 3 4 3 4" xfId="9121"/>
    <cellStyle name="Standaard 2 2 2 3 4 3 4 2" xfId="20489"/>
    <cellStyle name="Standaard 2 2 2 3 4 3 5" xfId="20490"/>
    <cellStyle name="Standaard 2 2 2 3 4 4" xfId="2945"/>
    <cellStyle name="Standaard 2 2 2 3 4 4 2" xfId="4979"/>
    <cellStyle name="Standaard 2 2 2 3 4 4 2 2" xfId="13231"/>
    <cellStyle name="Standaard 2 2 2 3 4 4 2 2 2" xfId="20491"/>
    <cellStyle name="Standaard 2 2 2 3 4 4 2 3" xfId="20492"/>
    <cellStyle name="Standaard 2 2 2 3 4 4 3" xfId="13230"/>
    <cellStyle name="Standaard 2 2 2 3 4 4 3 2" xfId="20493"/>
    <cellStyle name="Standaard 2 2 2 3 4 4 4" xfId="20494"/>
    <cellStyle name="Standaard 2 2 2 3 4 5" xfId="3962"/>
    <cellStyle name="Standaard 2 2 2 3 4 5 2" xfId="13232"/>
    <cellStyle name="Standaard 2 2 2 3 4 5 2 2" xfId="20495"/>
    <cellStyle name="Standaard 2 2 2 3 4 5 3" xfId="20496"/>
    <cellStyle name="Standaard 2 2 2 3 4 6" xfId="9118"/>
    <cellStyle name="Standaard 2 2 2 3 4 6 2" xfId="20497"/>
    <cellStyle name="Standaard 2 2 2 3 4 7" xfId="20498"/>
    <cellStyle name="Standaard 2 2 2 3 5" xfId="2023"/>
    <cellStyle name="Standaard 2 2 2 3 5 2" xfId="2567"/>
    <cellStyle name="Standaard 2 2 2 3 5 2 2" xfId="3584"/>
    <cellStyle name="Standaard 2 2 2 3 5 2 2 2" xfId="5618"/>
    <cellStyle name="Standaard 2 2 2 3 5 2 2 2 2" xfId="13234"/>
    <cellStyle name="Standaard 2 2 2 3 5 2 2 2 2 2" xfId="20499"/>
    <cellStyle name="Standaard 2 2 2 3 5 2 2 2 3" xfId="20500"/>
    <cellStyle name="Standaard 2 2 2 3 5 2 2 3" xfId="13233"/>
    <cellStyle name="Standaard 2 2 2 3 5 2 2 3 2" xfId="20501"/>
    <cellStyle name="Standaard 2 2 2 3 5 2 2 4" xfId="20502"/>
    <cellStyle name="Standaard 2 2 2 3 5 2 3" xfId="4601"/>
    <cellStyle name="Standaard 2 2 2 3 5 2 3 2" xfId="13235"/>
    <cellStyle name="Standaard 2 2 2 3 5 2 3 2 2" xfId="20503"/>
    <cellStyle name="Standaard 2 2 2 3 5 2 3 3" xfId="20504"/>
    <cellStyle name="Standaard 2 2 2 3 5 2 4" xfId="9123"/>
    <cellStyle name="Standaard 2 2 2 3 5 2 4 2" xfId="20505"/>
    <cellStyle name="Standaard 2 2 2 3 5 2 5" xfId="20506"/>
    <cellStyle name="Standaard 2 2 2 3 5 3" xfId="3071"/>
    <cellStyle name="Standaard 2 2 2 3 5 3 2" xfId="5105"/>
    <cellStyle name="Standaard 2 2 2 3 5 3 2 2" xfId="13237"/>
    <cellStyle name="Standaard 2 2 2 3 5 3 2 2 2" xfId="20507"/>
    <cellStyle name="Standaard 2 2 2 3 5 3 2 3" xfId="20508"/>
    <cellStyle name="Standaard 2 2 2 3 5 3 3" xfId="13236"/>
    <cellStyle name="Standaard 2 2 2 3 5 3 3 2" xfId="20509"/>
    <cellStyle name="Standaard 2 2 2 3 5 3 4" xfId="20510"/>
    <cellStyle name="Standaard 2 2 2 3 5 4" xfId="4088"/>
    <cellStyle name="Standaard 2 2 2 3 5 4 2" xfId="13238"/>
    <cellStyle name="Standaard 2 2 2 3 5 4 2 2" xfId="20511"/>
    <cellStyle name="Standaard 2 2 2 3 5 4 3" xfId="20512"/>
    <cellStyle name="Standaard 2 2 2 3 5 5" xfId="9122"/>
    <cellStyle name="Standaard 2 2 2 3 5 5 2" xfId="20513"/>
    <cellStyle name="Standaard 2 2 2 3 5 6" xfId="20514"/>
    <cellStyle name="Standaard 2 2 2 3 6" xfId="2315"/>
    <cellStyle name="Standaard 2 2 2 3 6 2" xfId="3332"/>
    <cellStyle name="Standaard 2 2 2 3 6 2 2" xfId="5366"/>
    <cellStyle name="Standaard 2 2 2 3 6 2 2 2" xfId="13240"/>
    <cellStyle name="Standaard 2 2 2 3 6 2 2 2 2" xfId="20515"/>
    <cellStyle name="Standaard 2 2 2 3 6 2 2 3" xfId="20516"/>
    <cellStyle name="Standaard 2 2 2 3 6 2 3" xfId="13239"/>
    <cellStyle name="Standaard 2 2 2 3 6 2 3 2" xfId="20517"/>
    <cellStyle name="Standaard 2 2 2 3 6 2 4" xfId="20518"/>
    <cellStyle name="Standaard 2 2 2 3 6 3" xfId="4349"/>
    <cellStyle name="Standaard 2 2 2 3 6 3 2" xfId="13241"/>
    <cellStyle name="Standaard 2 2 2 3 6 3 2 2" xfId="20519"/>
    <cellStyle name="Standaard 2 2 2 3 6 3 3" xfId="20520"/>
    <cellStyle name="Standaard 2 2 2 3 6 4" xfId="9124"/>
    <cellStyle name="Standaard 2 2 2 3 6 4 2" xfId="20521"/>
    <cellStyle name="Standaard 2 2 2 3 6 5" xfId="20522"/>
    <cellStyle name="Standaard 2 2 2 3 7" xfId="2819"/>
    <cellStyle name="Standaard 2 2 2 3 7 2" xfId="4853"/>
    <cellStyle name="Standaard 2 2 2 3 7 2 2" xfId="13243"/>
    <cellStyle name="Standaard 2 2 2 3 7 2 2 2" xfId="20523"/>
    <cellStyle name="Standaard 2 2 2 3 7 2 3" xfId="20524"/>
    <cellStyle name="Standaard 2 2 2 3 7 3" xfId="13242"/>
    <cellStyle name="Standaard 2 2 2 3 7 3 2" xfId="20525"/>
    <cellStyle name="Standaard 2 2 2 3 7 4" xfId="20526"/>
    <cellStyle name="Standaard 2 2 2 3 8" xfId="3836"/>
    <cellStyle name="Standaard 2 2 2 3 8 2" xfId="13244"/>
    <cellStyle name="Standaard 2 2 2 3 8 2 2" xfId="20527"/>
    <cellStyle name="Standaard 2 2 2 3 8 3" xfId="20528"/>
    <cellStyle name="Standaard 2 2 2 3 9" xfId="9101"/>
    <cellStyle name="Standaard 2 2 2 3 9 2" xfId="20529"/>
    <cellStyle name="Standaard 2 2 2 4" xfId="1785"/>
    <cellStyle name="Standaard 2 2 2 4 2" xfId="1911"/>
    <cellStyle name="Standaard 2 2 2 4 2 2" xfId="2163"/>
    <cellStyle name="Standaard 2 2 2 4 2 2 2" xfId="2707"/>
    <cellStyle name="Standaard 2 2 2 4 2 2 2 2" xfId="3724"/>
    <cellStyle name="Standaard 2 2 2 4 2 2 2 2 2" xfId="5758"/>
    <cellStyle name="Standaard 2 2 2 4 2 2 2 2 2 2" xfId="13246"/>
    <cellStyle name="Standaard 2 2 2 4 2 2 2 2 2 2 2" xfId="20530"/>
    <cellStyle name="Standaard 2 2 2 4 2 2 2 2 2 3" xfId="20531"/>
    <cellStyle name="Standaard 2 2 2 4 2 2 2 2 3" xfId="13245"/>
    <cellStyle name="Standaard 2 2 2 4 2 2 2 2 3 2" xfId="20532"/>
    <cellStyle name="Standaard 2 2 2 4 2 2 2 2 4" xfId="20533"/>
    <cellStyle name="Standaard 2 2 2 4 2 2 2 3" xfId="4741"/>
    <cellStyle name="Standaard 2 2 2 4 2 2 2 3 2" xfId="13247"/>
    <cellStyle name="Standaard 2 2 2 4 2 2 2 3 2 2" xfId="20534"/>
    <cellStyle name="Standaard 2 2 2 4 2 2 2 3 3" xfId="20535"/>
    <cellStyle name="Standaard 2 2 2 4 2 2 2 4" xfId="9128"/>
    <cellStyle name="Standaard 2 2 2 4 2 2 2 4 2" xfId="20536"/>
    <cellStyle name="Standaard 2 2 2 4 2 2 2 5" xfId="20537"/>
    <cellStyle name="Standaard 2 2 2 4 2 2 3" xfId="3211"/>
    <cellStyle name="Standaard 2 2 2 4 2 2 3 2" xfId="5245"/>
    <cellStyle name="Standaard 2 2 2 4 2 2 3 2 2" xfId="13249"/>
    <cellStyle name="Standaard 2 2 2 4 2 2 3 2 2 2" xfId="20538"/>
    <cellStyle name="Standaard 2 2 2 4 2 2 3 2 3" xfId="20539"/>
    <cellStyle name="Standaard 2 2 2 4 2 2 3 3" xfId="13248"/>
    <cellStyle name="Standaard 2 2 2 4 2 2 3 3 2" xfId="20540"/>
    <cellStyle name="Standaard 2 2 2 4 2 2 3 4" xfId="20541"/>
    <cellStyle name="Standaard 2 2 2 4 2 2 4" xfId="4228"/>
    <cellStyle name="Standaard 2 2 2 4 2 2 4 2" xfId="13250"/>
    <cellStyle name="Standaard 2 2 2 4 2 2 4 2 2" xfId="20542"/>
    <cellStyle name="Standaard 2 2 2 4 2 2 4 3" xfId="20543"/>
    <cellStyle name="Standaard 2 2 2 4 2 2 5" xfId="9127"/>
    <cellStyle name="Standaard 2 2 2 4 2 2 5 2" xfId="20544"/>
    <cellStyle name="Standaard 2 2 2 4 2 2 6" xfId="20545"/>
    <cellStyle name="Standaard 2 2 2 4 2 3" xfId="2455"/>
    <cellStyle name="Standaard 2 2 2 4 2 3 2" xfId="3472"/>
    <cellStyle name="Standaard 2 2 2 4 2 3 2 2" xfId="5506"/>
    <cellStyle name="Standaard 2 2 2 4 2 3 2 2 2" xfId="13252"/>
    <cellStyle name="Standaard 2 2 2 4 2 3 2 2 2 2" xfId="20546"/>
    <cellStyle name="Standaard 2 2 2 4 2 3 2 2 3" xfId="20547"/>
    <cellStyle name="Standaard 2 2 2 4 2 3 2 3" xfId="13251"/>
    <cellStyle name="Standaard 2 2 2 4 2 3 2 3 2" xfId="20548"/>
    <cellStyle name="Standaard 2 2 2 4 2 3 2 4" xfId="20549"/>
    <cellStyle name="Standaard 2 2 2 4 2 3 3" xfId="4489"/>
    <cellStyle name="Standaard 2 2 2 4 2 3 3 2" xfId="13253"/>
    <cellStyle name="Standaard 2 2 2 4 2 3 3 2 2" xfId="20550"/>
    <cellStyle name="Standaard 2 2 2 4 2 3 3 3" xfId="20551"/>
    <cellStyle name="Standaard 2 2 2 4 2 3 4" xfId="9129"/>
    <cellStyle name="Standaard 2 2 2 4 2 3 4 2" xfId="20552"/>
    <cellStyle name="Standaard 2 2 2 4 2 3 5" xfId="20553"/>
    <cellStyle name="Standaard 2 2 2 4 2 4" xfId="2959"/>
    <cellStyle name="Standaard 2 2 2 4 2 4 2" xfId="4993"/>
    <cellStyle name="Standaard 2 2 2 4 2 4 2 2" xfId="13255"/>
    <cellStyle name="Standaard 2 2 2 4 2 4 2 2 2" xfId="20554"/>
    <cellStyle name="Standaard 2 2 2 4 2 4 2 3" xfId="20555"/>
    <cellStyle name="Standaard 2 2 2 4 2 4 3" xfId="13254"/>
    <cellStyle name="Standaard 2 2 2 4 2 4 3 2" xfId="20556"/>
    <cellStyle name="Standaard 2 2 2 4 2 4 4" xfId="20557"/>
    <cellStyle name="Standaard 2 2 2 4 2 5" xfId="3976"/>
    <cellStyle name="Standaard 2 2 2 4 2 5 2" xfId="13256"/>
    <cellStyle name="Standaard 2 2 2 4 2 5 2 2" xfId="20558"/>
    <cellStyle name="Standaard 2 2 2 4 2 5 3" xfId="20559"/>
    <cellStyle name="Standaard 2 2 2 4 2 6" xfId="9126"/>
    <cellStyle name="Standaard 2 2 2 4 2 6 2" xfId="20560"/>
    <cellStyle name="Standaard 2 2 2 4 2 7" xfId="20561"/>
    <cellStyle name="Standaard 2 2 2 4 3" xfId="2037"/>
    <cellStyle name="Standaard 2 2 2 4 3 2" xfId="2581"/>
    <cellStyle name="Standaard 2 2 2 4 3 2 2" xfId="3598"/>
    <cellStyle name="Standaard 2 2 2 4 3 2 2 2" xfId="5632"/>
    <cellStyle name="Standaard 2 2 2 4 3 2 2 2 2" xfId="13258"/>
    <cellStyle name="Standaard 2 2 2 4 3 2 2 2 2 2" xfId="20562"/>
    <cellStyle name="Standaard 2 2 2 4 3 2 2 2 3" xfId="20563"/>
    <cellStyle name="Standaard 2 2 2 4 3 2 2 3" xfId="13257"/>
    <cellStyle name="Standaard 2 2 2 4 3 2 2 3 2" xfId="20564"/>
    <cellStyle name="Standaard 2 2 2 4 3 2 2 4" xfId="20565"/>
    <cellStyle name="Standaard 2 2 2 4 3 2 3" xfId="4615"/>
    <cellStyle name="Standaard 2 2 2 4 3 2 3 2" xfId="13259"/>
    <cellStyle name="Standaard 2 2 2 4 3 2 3 2 2" xfId="20566"/>
    <cellStyle name="Standaard 2 2 2 4 3 2 3 3" xfId="20567"/>
    <cellStyle name="Standaard 2 2 2 4 3 2 4" xfId="9131"/>
    <cellStyle name="Standaard 2 2 2 4 3 2 4 2" xfId="20568"/>
    <cellStyle name="Standaard 2 2 2 4 3 2 5" xfId="20569"/>
    <cellStyle name="Standaard 2 2 2 4 3 3" xfId="3085"/>
    <cellStyle name="Standaard 2 2 2 4 3 3 2" xfId="5119"/>
    <cellStyle name="Standaard 2 2 2 4 3 3 2 2" xfId="13261"/>
    <cellStyle name="Standaard 2 2 2 4 3 3 2 2 2" xfId="20570"/>
    <cellStyle name="Standaard 2 2 2 4 3 3 2 3" xfId="20571"/>
    <cellStyle name="Standaard 2 2 2 4 3 3 3" xfId="13260"/>
    <cellStyle name="Standaard 2 2 2 4 3 3 3 2" xfId="20572"/>
    <cellStyle name="Standaard 2 2 2 4 3 3 4" xfId="20573"/>
    <cellStyle name="Standaard 2 2 2 4 3 4" xfId="4102"/>
    <cellStyle name="Standaard 2 2 2 4 3 4 2" xfId="13262"/>
    <cellStyle name="Standaard 2 2 2 4 3 4 2 2" xfId="20574"/>
    <cellStyle name="Standaard 2 2 2 4 3 4 3" xfId="20575"/>
    <cellStyle name="Standaard 2 2 2 4 3 5" xfId="9130"/>
    <cellStyle name="Standaard 2 2 2 4 3 5 2" xfId="20576"/>
    <cellStyle name="Standaard 2 2 2 4 3 6" xfId="20577"/>
    <cellStyle name="Standaard 2 2 2 4 4" xfId="2329"/>
    <cellStyle name="Standaard 2 2 2 4 4 2" xfId="3346"/>
    <cellStyle name="Standaard 2 2 2 4 4 2 2" xfId="5380"/>
    <cellStyle name="Standaard 2 2 2 4 4 2 2 2" xfId="13264"/>
    <cellStyle name="Standaard 2 2 2 4 4 2 2 2 2" xfId="20578"/>
    <cellStyle name="Standaard 2 2 2 4 4 2 2 3" xfId="20579"/>
    <cellStyle name="Standaard 2 2 2 4 4 2 3" xfId="13263"/>
    <cellStyle name="Standaard 2 2 2 4 4 2 3 2" xfId="20580"/>
    <cellStyle name="Standaard 2 2 2 4 4 2 4" xfId="20581"/>
    <cellStyle name="Standaard 2 2 2 4 4 3" xfId="4363"/>
    <cellStyle name="Standaard 2 2 2 4 4 3 2" xfId="13265"/>
    <cellStyle name="Standaard 2 2 2 4 4 3 2 2" xfId="20582"/>
    <cellStyle name="Standaard 2 2 2 4 4 3 3" xfId="20583"/>
    <cellStyle name="Standaard 2 2 2 4 4 4" xfId="9132"/>
    <cellStyle name="Standaard 2 2 2 4 4 4 2" xfId="20584"/>
    <cellStyle name="Standaard 2 2 2 4 4 5" xfId="20585"/>
    <cellStyle name="Standaard 2 2 2 4 5" xfId="2833"/>
    <cellStyle name="Standaard 2 2 2 4 5 2" xfId="4867"/>
    <cellStyle name="Standaard 2 2 2 4 5 2 2" xfId="13267"/>
    <cellStyle name="Standaard 2 2 2 4 5 2 2 2" xfId="20586"/>
    <cellStyle name="Standaard 2 2 2 4 5 2 3" xfId="20587"/>
    <cellStyle name="Standaard 2 2 2 4 5 3" xfId="13266"/>
    <cellStyle name="Standaard 2 2 2 4 5 3 2" xfId="20588"/>
    <cellStyle name="Standaard 2 2 2 4 5 4" xfId="20589"/>
    <cellStyle name="Standaard 2 2 2 4 6" xfId="3850"/>
    <cellStyle name="Standaard 2 2 2 4 6 2" xfId="13268"/>
    <cellStyle name="Standaard 2 2 2 4 6 2 2" xfId="20590"/>
    <cellStyle name="Standaard 2 2 2 4 6 3" xfId="20591"/>
    <cellStyle name="Standaard 2 2 2 4 7" xfId="9125"/>
    <cellStyle name="Standaard 2 2 2 4 7 2" xfId="20592"/>
    <cellStyle name="Standaard 2 2 2 4 8" xfId="20593"/>
    <cellStyle name="Standaard 2 2 2 5" xfId="1827"/>
    <cellStyle name="Standaard 2 2 2 5 2" xfId="1953"/>
    <cellStyle name="Standaard 2 2 2 5 2 2" xfId="2205"/>
    <cellStyle name="Standaard 2 2 2 5 2 2 2" xfId="2749"/>
    <cellStyle name="Standaard 2 2 2 5 2 2 2 2" xfId="3766"/>
    <cellStyle name="Standaard 2 2 2 5 2 2 2 2 2" xfId="5800"/>
    <cellStyle name="Standaard 2 2 2 5 2 2 2 2 2 2" xfId="13270"/>
    <cellStyle name="Standaard 2 2 2 5 2 2 2 2 2 2 2" xfId="20594"/>
    <cellStyle name="Standaard 2 2 2 5 2 2 2 2 2 3" xfId="20595"/>
    <cellStyle name="Standaard 2 2 2 5 2 2 2 2 3" xfId="13269"/>
    <cellStyle name="Standaard 2 2 2 5 2 2 2 2 3 2" xfId="20596"/>
    <cellStyle name="Standaard 2 2 2 5 2 2 2 2 4" xfId="20597"/>
    <cellStyle name="Standaard 2 2 2 5 2 2 2 3" xfId="4783"/>
    <cellStyle name="Standaard 2 2 2 5 2 2 2 3 2" xfId="13271"/>
    <cellStyle name="Standaard 2 2 2 5 2 2 2 3 2 2" xfId="20598"/>
    <cellStyle name="Standaard 2 2 2 5 2 2 2 3 3" xfId="20599"/>
    <cellStyle name="Standaard 2 2 2 5 2 2 2 4" xfId="9136"/>
    <cellStyle name="Standaard 2 2 2 5 2 2 2 4 2" xfId="20600"/>
    <cellStyle name="Standaard 2 2 2 5 2 2 2 5" xfId="20601"/>
    <cellStyle name="Standaard 2 2 2 5 2 2 3" xfId="3253"/>
    <cellStyle name="Standaard 2 2 2 5 2 2 3 2" xfId="5287"/>
    <cellStyle name="Standaard 2 2 2 5 2 2 3 2 2" xfId="13273"/>
    <cellStyle name="Standaard 2 2 2 5 2 2 3 2 2 2" xfId="20602"/>
    <cellStyle name="Standaard 2 2 2 5 2 2 3 2 3" xfId="20603"/>
    <cellStyle name="Standaard 2 2 2 5 2 2 3 3" xfId="13272"/>
    <cellStyle name="Standaard 2 2 2 5 2 2 3 3 2" xfId="20604"/>
    <cellStyle name="Standaard 2 2 2 5 2 2 3 4" xfId="20605"/>
    <cellStyle name="Standaard 2 2 2 5 2 2 4" xfId="4270"/>
    <cellStyle name="Standaard 2 2 2 5 2 2 4 2" xfId="13274"/>
    <cellStyle name="Standaard 2 2 2 5 2 2 4 2 2" xfId="20606"/>
    <cellStyle name="Standaard 2 2 2 5 2 2 4 3" xfId="20607"/>
    <cellStyle name="Standaard 2 2 2 5 2 2 5" xfId="9135"/>
    <cellStyle name="Standaard 2 2 2 5 2 2 5 2" xfId="20608"/>
    <cellStyle name="Standaard 2 2 2 5 2 2 6" xfId="20609"/>
    <cellStyle name="Standaard 2 2 2 5 2 3" xfId="2497"/>
    <cellStyle name="Standaard 2 2 2 5 2 3 2" xfId="3514"/>
    <cellStyle name="Standaard 2 2 2 5 2 3 2 2" xfId="5548"/>
    <cellStyle name="Standaard 2 2 2 5 2 3 2 2 2" xfId="13276"/>
    <cellStyle name="Standaard 2 2 2 5 2 3 2 2 2 2" xfId="20610"/>
    <cellStyle name="Standaard 2 2 2 5 2 3 2 2 3" xfId="20611"/>
    <cellStyle name="Standaard 2 2 2 5 2 3 2 3" xfId="13275"/>
    <cellStyle name="Standaard 2 2 2 5 2 3 2 3 2" xfId="20612"/>
    <cellStyle name="Standaard 2 2 2 5 2 3 2 4" xfId="20613"/>
    <cellStyle name="Standaard 2 2 2 5 2 3 3" xfId="4531"/>
    <cellStyle name="Standaard 2 2 2 5 2 3 3 2" xfId="13277"/>
    <cellStyle name="Standaard 2 2 2 5 2 3 3 2 2" xfId="20614"/>
    <cellStyle name="Standaard 2 2 2 5 2 3 3 3" xfId="20615"/>
    <cellStyle name="Standaard 2 2 2 5 2 3 4" xfId="9137"/>
    <cellStyle name="Standaard 2 2 2 5 2 3 4 2" xfId="20616"/>
    <cellStyle name="Standaard 2 2 2 5 2 3 5" xfId="20617"/>
    <cellStyle name="Standaard 2 2 2 5 2 4" xfId="3001"/>
    <cellStyle name="Standaard 2 2 2 5 2 4 2" xfId="5035"/>
    <cellStyle name="Standaard 2 2 2 5 2 4 2 2" xfId="13279"/>
    <cellStyle name="Standaard 2 2 2 5 2 4 2 2 2" xfId="20618"/>
    <cellStyle name="Standaard 2 2 2 5 2 4 2 3" xfId="20619"/>
    <cellStyle name="Standaard 2 2 2 5 2 4 3" xfId="13278"/>
    <cellStyle name="Standaard 2 2 2 5 2 4 3 2" xfId="20620"/>
    <cellStyle name="Standaard 2 2 2 5 2 4 4" xfId="20621"/>
    <cellStyle name="Standaard 2 2 2 5 2 5" xfId="4018"/>
    <cellStyle name="Standaard 2 2 2 5 2 5 2" xfId="13280"/>
    <cellStyle name="Standaard 2 2 2 5 2 5 2 2" xfId="20622"/>
    <cellStyle name="Standaard 2 2 2 5 2 5 3" xfId="20623"/>
    <cellStyle name="Standaard 2 2 2 5 2 6" xfId="9134"/>
    <cellStyle name="Standaard 2 2 2 5 2 6 2" xfId="20624"/>
    <cellStyle name="Standaard 2 2 2 5 2 7" xfId="20625"/>
    <cellStyle name="Standaard 2 2 2 5 3" xfId="2079"/>
    <cellStyle name="Standaard 2 2 2 5 3 2" xfId="2623"/>
    <cellStyle name="Standaard 2 2 2 5 3 2 2" xfId="3640"/>
    <cellStyle name="Standaard 2 2 2 5 3 2 2 2" xfId="5674"/>
    <cellStyle name="Standaard 2 2 2 5 3 2 2 2 2" xfId="13282"/>
    <cellStyle name="Standaard 2 2 2 5 3 2 2 2 2 2" xfId="20626"/>
    <cellStyle name="Standaard 2 2 2 5 3 2 2 2 3" xfId="20627"/>
    <cellStyle name="Standaard 2 2 2 5 3 2 2 3" xfId="13281"/>
    <cellStyle name="Standaard 2 2 2 5 3 2 2 3 2" xfId="20628"/>
    <cellStyle name="Standaard 2 2 2 5 3 2 2 4" xfId="20629"/>
    <cellStyle name="Standaard 2 2 2 5 3 2 3" xfId="4657"/>
    <cellStyle name="Standaard 2 2 2 5 3 2 3 2" xfId="13283"/>
    <cellStyle name="Standaard 2 2 2 5 3 2 3 2 2" xfId="20630"/>
    <cellStyle name="Standaard 2 2 2 5 3 2 3 3" xfId="20631"/>
    <cellStyle name="Standaard 2 2 2 5 3 2 4" xfId="9139"/>
    <cellStyle name="Standaard 2 2 2 5 3 2 4 2" xfId="20632"/>
    <cellStyle name="Standaard 2 2 2 5 3 2 5" xfId="20633"/>
    <cellStyle name="Standaard 2 2 2 5 3 3" xfId="3127"/>
    <cellStyle name="Standaard 2 2 2 5 3 3 2" xfId="5161"/>
    <cellStyle name="Standaard 2 2 2 5 3 3 2 2" xfId="13285"/>
    <cellStyle name="Standaard 2 2 2 5 3 3 2 2 2" xfId="20634"/>
    <cellStyle name="Standaard 2 2 2 5 3 3 2 3" xfId="20635"/>
    <cellStyle name="Standaard 2 2 2 5 3 3 3" xfId="13284"/>
    <cellStyle name="Standaard 2 2 2 5 3 3 3 2" xfId="20636"/>
    <cellStyle name="Standaard 2 2 2 5 3 3 4" xfId="20637"/>
    <cellStyle name="Standaard 2 2 2 5 3 4" xfId="4144"/>
    <cellStyle name="Standaard 2 2 2 5 3 4 2" xfId="13286"/>
    <cellStyle name="Standaard 2 2 2 5 3 4 2 2" xfId="20638"/>
    <cellStyle name="Standaard 2 2 2 5 3 4 3" xfId="20639"/>
    <cellStyle name="Standaard 2 2 2 5 3 5" xfId="9138"/>
    <cellStyle name="Standaard 2 2 2 5 3 5 2" xfId="20640"/>
    <cellStyle name="Standaard 2 2 2 5 3 6" xfId="20641"/>
    <cellStyle name="Standaard 2 2 2 5 4" xfId="2371"/>
    <cellStyle name="Standaard 2 2 2 5 4 2" xfId="3388"/>
    <cellStyle name="Standaard 2 2 2 5 4 2 2" xfId="5422"/>
    <cellStyle name="Standaard 2 2 2 5 4 2 2 2" xfId="13288"/>
    <cellStyle name="Standaard 2 2 2 5 4 2 2 2 2" xfId="20642"/>
    <cellStyle name="Standaard 2 2 2 5 4 2 2 3" xfId="20643"/>
    <cellStyle name="Standaard 2 2 2 5 4 2 3" xfId="13287"/>
    <cellStyle name="Standaard 2 2 2 5 4 2 3 2" xfId="20644"/>
    <cellStyle name="Standaard 2 2 2 5 4 2 4" xfId="20645"/>
    <cellStyle name="Standaard 2 2 2 5 4 3" xfId="4405"/>
    <cellStyle name="Standaard 2 2 2 5 4 3 2" xfId="13289"/>
    <cellStyle name="Standaard 2 2 2 5 4 3 2 2" xfId="20646"/>
    <cellStyle name="Standaard 2 2 2 5 4 3 3" xfId="20647"/>
    <cellStyle name="Standaard 2 2 2 5 4 4" xfId="9140"/>
    <cellStyle name="Standaard 2 2 2 5 4 4 2" xfId="20648"/>
    <cellStyle name="Standaard 2 2 2 5 4 5" xfId="20649"/>
    <cellStyle name="Standaard 2 2 2 5 5" xfId="2875"/>
    <cellStyle name="Standaard 2 2 2 5 5 2" xfId="4909"/>
    <cellStyle name="Standaard 2 2 2 5 5 2 2" xfId="13291"/>
    <cellStyle name="Standaard 2 2 2 5 5 2 2 2" xfId="20650"/>
    <cellStyle name="Standaard 2 2 2 5 5 2 3" xfId="20651"/>
    <cellStyle name="Standaard 2 2 2 5 5 3" xfId="13290"/>
    <cellStyle name="Standaard 2 2 2 5 5 3 2" xfId="20652"/>
    <cellStyle name="Standaard 2 2 2 5 5 4" xfId="20653"/>
    <cellStyle name="Standaard 2 2 2 5 6" xfId="3892"/>
    <cellStyle name="Standaard 2 2 2 5 6 2" xfId="13292"/>
    <cellStyle name="Standaard 2 2 2 5 6 2 2" xfId="20654"/>
    <cellStyle name="Standaard 2 2 2 5 6 3" xfId="20655"/>
    <cellStyle name="Standaard 2 2 2 5 7" xfId="9133"/>
    <cellStyle name="Standaard 2 2 2 5 7 2" xfId="20656"/>
    <cellStyle name="Standaard 2 2 2 5 8" xfId="20657"/>
    <cellStyle name="Standaard 2 2 2 6" xfId="1869"/>
    <cellStyle name="Standaard 2 2 2 6 2" xfId="2121"/>
    <cellStyle name="Standaard 2 2 2 6 2 2" xfId="2665"/>
    <cellStyle name="Standaard 2 2 2 6 2 2 2" xfId="3682"/>
    <cellStyle name="Standaard 2 2 2 6 2 2 2 2" xfId="5716"/>
    <cellStyle name="Standaard 2 2 2 6 2 2 2 2 2" xfId="13294"/>
    <cellStyle name="Standaard 2 2 2 6 2 2 2 2 2 2" xfId="20658"/>
    <cellStyle name="Standaard 2 2 2 6 2 2 2 2 3" xfId="20659"/>
    <cellStyle name="Standaard 2 2 2 6 2 2 2 3" xfId="13293"/>
    <cellStyle name="Standaard 2 2 2 6 2 2 2 3 2" xfId="20660"/>
    <cellStyle name="Standaard 2 2 2 6 2 2 2 4" xfId="20661"/>
    <cellStyle name="Standaard 2 2 2 6 2 2 3" xfId="4699"/>
    <cellStyle name="Standaard 2 2 2 6 2 2 3 2" xfId="13295"/>
    <cellStyle name="Standaard 2 2 2 6 2 2 3 2 2" xfId="20662"/>
    <cellStyle name="Standaard 2 2 2 6 2 2 3 3" xfId="20663"/>
    <cellStyle name="Standaard 2 2 2 6 2 2 4" xfId="9143"/>
    <cellStyle name="Standaard 2 2 2 6 2 2 4 2" xfId="20664"/>
    <cellStyle name="Standaard 2 2 2 6 2 2 5" xfId="20665"/>
    <cellStyle name="Standaard 2 2 2 6 2 3" xfId="3169"/>
    <cellStyle name="Standaard 2 2 2 6 2 3 2" xfId="5203"/>
    <cellStyle name="Standaard 2 2 2 6 2 3 2 2" xfId="13297"/>
    <cellStyle name="Standaard 2 2 2 6 2 3 2 2 2" xfId="20666"/>
    <cellStyle name="Standaard 2 2 2 6 2 3 2 3" xfId="20667"/>
    <cellStyle name="Standaard 2 2 2 6 2 3 3" xfId="13296"/>
    <cellStyle name="Standaard 2 2 2 6 2 3 3 2" xfId="20668"/>
    <cellStyle name="Standaard 2 2 2 6 2 3 4" xfId="20669"/>
    <cellStyle name="Standaard 2 2 2 6 2 4" xfId="4186"/>
    <cellStyle name="Standaard 2 2 2 6 2 4 2" xfId="13298"/>
    <cellStyle name="Standaard 2 2 2 6 2 4 2 2" xfId="20670"/>
    <cellStyle name="Standaard 2 2 2 6 2 4 3" xfId="20671"/>
    <cellStyle name="Standaard 2 2 2 6 2 5" xfId="9142"/>
    <cellStyle name="Standaard 2 2 2 6 2 5 2" xfId="20672"/>
    <cellStyle name="Standaard 2 2 2 6 2 6" xfId="20673"/>
    <cellStyle name="Standaard 2 2 2 6 3" xfId="2413"/>
    <cellStyle name="Standaard 2 2 2 6 3 2" xfId="3430"/>
    <cellStyle name="Standaard 2 2 2 6 3 2 2" xfId="5464"/>
    <cellStyle name="Standaard 2 2 2 6 3 2 2 2" xfId="13300"/>
    <cellStyle name="Standaard 2 2 2 6 3 2 2 2 2" xfId="20674"/>
    <cellStyle name="Standaard 2 2 2 6 3 2 2 3" xfId="20675"/>
    <cellStyle name="Standaard 2 2 2 6 3 2 3" xfId="13299"/>
    <cellStyle name="Standaard 2 2 2 6 3 2 3 2" xfId="20676"/>
    <cellStyle name="Standaard 2 2 2 6 3 2 4" xfId="20677"/>
    <cellStyle name="Standaard 2 2 2 6 3 3" xfId="4447"/>
    <cellStyle name="Standaard 2 2 2 6 3 3 2" xfId="13301"/>
    <cellStyle name="Standaard 2 2 2 6 3 3 2 2" xfId="20678"/>
    <cellStyle name="Standaard 2 2 2 6 3 3 3" xfId="20679"/>
    <cellStyle name="Standaard 2 2 2 6 3 4" xfId="9144"/>
    <cellStyle name="Standaard 2 2 2 6 3 4 2" xfId="20680"/>
    <cellStyle name="Standaard 2 2 2 6 3 5" xfId="20681"/>
    <cellStyle name="Standaard 2 2 2 6 4" xfId="2917"/>
    <cellStyle name="Standaard 2 2 2 6 4 2" xfId="4951"/>
    <cellStyle name="Standaard 2 2 2 6 4 2 2" xfId="13303"/>
    <cellStyle name="Standaard 2 2 2 6 4 2 2 2" xfId="20682"/>
    <cellStyle name="Standaard 2 2 2 6 4 2 3" xfId="20683"/>
    <cellStyle name="Standaard 2 2 2 6 4 3" xfId="13302"/>
    <cellStyle name="Standaard 2 2 2 6 4 3 2" xfId="20684"/>
    <cellStyle name="Standaard 2 2 2 6 4 4" xfId="20685"/>
    <cellStyle name="Standaard 2 2 2 6 5" xfId="3934"/>
    <cellStyle name="Standaard 2 2 2 6 5 2" xfId="13304"/>
    <cellStyle name="Standaard 2 2 2 6 5 2 2" xfId="20686"/>
    <cellStyle name="Standaard 2 2 2 6 5 3" xfId="20687"/>
    <cellStyle name="Standaard 2 2 2 6 6" xfId="9141"/>
    <cellStyle name="Standaard 2 2 2 6 6 2" xfId="20688"/>
    <cellStyle name="Standaard 2 2 2 6 7" xfId="20689"/>
    <cellStyle name="Standaard 2 2 2 7" xfId="1995"/>
    <cellStyle name="Standaard 2 2 2 7 2" xfId="2539"/>
    <cellStyle name="Standaard 2 2 2 7 2 2" xfId="3556"/>
    <cellStyle name="Standaard 2 2 2 7 2 2 2" xfId="5590"/>
    <cellStyle name="Standaard 2 2 2 7 2 2 2 2" xfId="13306"/>
    <cellStyle name="Standaard 2 2 2 7 2 2 2 2 2" xfId="20690"/>
    <cellStyle name="Standaard 2 2 2 7 2 2 2 3" xfId="20691"/>
    <cellStyle name="Standaard 2 2 2 7 2 2 3" xfId="13305"/>
    <cellStyle name="Standaard 2 2 2 7 2 2 3 2" xfId="20692"/>
    <cellStyle name="Standaard 2 2 2 7 2 2 4" xfId="20693"/>
    <cellStyle name="Standaard 2 2 2 7 2 3" xfId="4573"/>
    <cellStyle name="Standaard 2 2 2 7 2 3 2" xfId="13307"/>
    <cellStyle name="Standaard 2 2 2 7 2 3 2 2" xfId="20694"/>
    <cellStyle name="Standaard 2 2 2 7 2 3 3" xfId="20695"/>
    <cellStyle name="Standaard 2 2 2 7 2 4" xfId="9146"/>
    <cellStyle name="Standaard 2 2 2 7 2 4 2" xfId="20696"/>
    <cellStyle name="Standaard 2 2 2 7 2 5" xfId="20697"/>
    <cellStyle name="Standaard 2 2 2 7 3" xfId="3043"/>
    <cellStyle name="Standaard 2 2 2 7 3 2" xfId="5077"/>
    <cellStyle name="Standaard 2 2 2 7 3 2 2" xfId="13309"/>
    <cellStyle name="Standaard 2 2 2 7 3 2 2 2" xfId="20698"/>
    <cellStyle name="Standaard 2 2 2 7 3 2 3" xfId="20699"/>
    <cellStyle name="Standaard 2 2 2 7 3 3" xfId="13308"/>
    <cellStyle name="Standaard 2 2 2 7 3 3 2" xfId="20700"/>
    <cellStyle name="Standaard 2 2 2 7 3 4" xfId="20701"/>
    <cellStyle name="Standaard 2 2 2 7 4" xfId="4060"/>
    <cellStyle name="Standaard 2 2 2 7 4 2" xfId="13310"/>
    <cellStyle name="Standaard 2 2 2 7 4 2 2" xfId="20702"/>
    <cellStyle name="Standaard 2 2 2 7 4 3" xfId="20703"/>
    <cellStyle name="Standaard 2 2 2 7 5" xfId="9145"/>
    <cellStyle name="Standaard 2 2 2 7 5 2" xfId="20704"/>
    <cellStyle name="Standaard 2 2 2 7 6" xfId="20705"/>
    <cellStyle name="Standaard 2 2 2 8" xfId="2287"/>
    <cellStyle name="Standaard 2 2 2 8 2" xfId="3304"/>
    <cellStyle name="Standaard 2 2 2 8 2 2" xfId="5338"/>
    <cellStyle name="Standaard 2 2 2 8 2 2 2" xfId="13312"/>
    <cellStyle name="Standaard 2 2 2 8 2 2 2 2" xfId="20706"/>
    <cellStyle name="Standaard 2 2 2 8 2 2 3" xfId="20707"/>
    <cellStyle name="Standaard 2 2 2 8 2 3" xfId="13311"/>
    <cellStyle name="Standaard 2 2 2 8 2 3 2" xfId="20708"/>
    <cellStyle name="Standaard 2 2 2 8 2 4" xfId="20709"/>
    <cellStyle name="Standaard 2 2 2 8 3" xfId="4321"/>
    <cellStyle name="Standaard 2 2 2 8 3 2" xfId="13313"/>
    <cellStyle name="Standaard 2 2 2 8 3 2 2" xfId="20710"/>
    <cellStyle name="Standaard 2 2 2 8 3 3" xfId="20711"/>
    <cellStyle name="Standaard 2 2 2 8 4" xfId="9147"/>
    <cellStyle name="Standaard 2 2 2 8 4 2" xfId="20712"/>
    <cellStyle name="Standaard 2 2 2 8 5" xfId="20713"/>
    <cellStyle name="Standaard 2 2 2 9" xfId="2791"/>
    <cellStyle name="Standaard 2 2 2 9 2" xfId="4825"/>
    <cellStyle name="Standaard 2 2 2 9 2 2" xfId="13315"/>
    <cellStyle name="Standaard 2 2 2 9 2 2 2" xfId="20714"/>
    <cellStyle name="Standaard 2 2 2 9 2 3" xfId="20715"/>
    <cellStyle name="Standaard 2 2 2 9 3" xfId="13314"/>
    <cellStyle name="Standaard 2 2 2 9 3 2" xfId="20716"/>
    <cellStyle name="Standaard 2 2 2 9 4" xfId="20717"/>
    <cellStyle name="Standaard 2 2 3" xfId="1754"/>
    <cellStyle name="Standaard 2 2 3 10" xfId="20718"/>
    <cellStyle name="Standaard 2 2 3 2" xfId="1798"/>
    <cellStyle name="Standaard 2 2 3 2 2" xfId="1924"/>
    <cellStyle name="Standaard 2 2 3 2 2 2" xfId="2176"/>
    <cellStyle name="Standaard 2 2 3 2 2 2 2" xfId="2720"/>
    <cellStyle name="Standaard 2 2 3 2 2 2 2 2" xfId="3737"/>
    <cellStyle name="Standaard 2 2 3 2 2 2 2 2 2" xfId="5771"/>
    <cellStyle name="Standaard 2 2 3 2 2 2 2 2 2 2" xfId="13317"/>
    <cellStyle name="Standaard 2 2 3 2 2 2 2 2 2 2 2" xfId="20719"/>
    <cellStyle name="Standaard 2 2 3 2 2 2 2 2 2 3" xfId="20720"/>
    <cellStyle name="Standaard 2 2 3 2 2 2 2 2 3" xfId="13316"/>
    <cellStyle name="Standaard 2 2 3 2 2 2 2 2 3 2" xfId="20721"/>
    <cellStyle name="Standaard 2 2 3 2 2 2 2 2 4" xfId="20722"/>
    <cellStyle name="Standaard 2 2 3 2 2 2 2 3" xfId="4754"/>
    <cellStyle name="Standaard 2 2 3 2 2 2 2 3 2" xfId="13318"/>
    <cellStyle name="Standaard 2 2 3 2 2 2 2 3 2 2" xfId="20723"/>
    <cellStyle name="Standaard 2 2 3 2 2 2 2 3 3" xfId="20724"/>
    <cellStyle name="Standaard 2 2 3 2 2 2 2 4" xfId="9152"/>
    <cellStyle name="Standaard 2 2 3 2 2 2 2 4 2" xfId="20725"/>
    <cellStyle name="Standaard 2 2 3 2 2 2 2 5" xfId="20726"/>
    <cellStyle name="Standaard 2 2 3 2 2 2 3" xfId="3224"/>
    <cellStyle name="Standaard 2 2 3 2 2 2 3 2" xfId="5258"/>
    <cellStyle name="Standaard 2 2 3 2 2 2 3 2 2" xfId="13320"/>
    <cellStyle name="Standaard 2 2 3 2 2 2 3 2 2 2" xfId="20727"/>
    <cellStyle name="Standaard 2 2 3 2 2 2 3 2 3" xfId="20728"/>
    <cellStyle name="Standaard 2 2 3 2 2 2 3 3" xfId="13319"/>
    <cellStyle name="Standaard 2 2 3 2 2 2 3 3 2" xfId="20729"/>
    <cellStyle name="Standaard 2 2 3 2 2 2 3 4" xfId="20730"/>
    <cellStyle name="Standaard 2 2 3 2 2 2 4" xfId="4241"/>
    <cellStyle name="Standaard 2 2 3 2 2 2 4 2" xfId="13321"/>
    <cellStyle name="Standaard 2 2 3 2 2 2 4 2 2" xfId="20731"/>
    <cellStyle name="Standaard 2 2 3 2 2 2 4 3" xfId="20732"/>
    <cellStyle name="Standaard 2 2 3 2 2 2 5" xfId="9151"/>
    <cellStyle name="Standaard 2 2 3 2 2 2 5 2" xfId="20733"/>
    <cellStyle name="Standaard 2 2 3 2 2 2 6" xfId="20734"/>
    <cellStyle name="Standaard 2 2 3 2 2 3" xfId="2468"/>
    <cellStyle name="Standaard 2 2 3 2 2 3 2" xfId="3485"/>
    <cellStyle name="Standaard 2 2 3 2 2 3 2 2" xfId="5519"/>
    <cellStyle name="Standaard 2 2 3 2 2 3 2 2 2" xfId="13323"/>
    <cellStyle name="Standaard 2 2 3 2 2 3 2 2 2 2" xfId="20735"/>
    <cellStyle name="Standaard 2 2 3 2 2 3 2 2 3" xfId="20736"/>
    <cellStyle name="Standaard 2 2 3 2 2 3 2 3" xfId="13322"/>
    <cellStyle name="Standaard 2 2 3 2 2 3 2 3 2" xfId="20737"/>
    <cellStyle name="Standaard 2 2 3 2 2 3 2 4" xfId="20738"/>
    <cellStyle name="Standaard 2 2 3 2 2 3 3" xfId="4502"/>
    <cellStyle name="Standaard 2 2 3 2 2 3 3 2" xfId="13324"/>
    <cellStyle name="Standaard 2 2 3 2 2 3 3 2 2" xfId="20739"/>
    <cellStyle name="Standaard 2 2 3 2 2 3 3 3" xfId="20740"/>
    <cellStyle name="Standaard 2 2 3 2 2 3 4" xfId="9153"/>
    <cellStyle name="Standaard 2 2 3 2 2 3 4 2" xfId="20741"/>
    <cellStyle name="Standaard 2 2 3 2 2 3 5" xfId="20742"/>
    <cellStyle name="Standaard 2 2 3 2 2 4" xfId="2972"/>
    <cellStyle name="Standaard 2 2 3 2 2 4 2" xfId="5006"/>
    <cellStyle name="Standaard 2 2 3 2 2 4 2 2" xfId="13326"/>
    <cellStyle name="Standaard 2 2 3 2 2 4 2 2 2" xfId="20743"/>
    <cellStyle name="Standaard 2 2 3 2 2 4 2 3" xfId="20744"/>
    <cellStyle name="Standaard 2 2 3 2 2 4 3" xfId="13325"/>
    <cellStyle name="Standaard 2 2 3 2 2 4 3 2" xfId="20745"/>
    <cellStyle name="Standaard 2 2 3 2 2 4 4" xfId="20746"/>
    <cellStyle name="Standaard 2 2 3 2 2 5" xfId="3989"/>
    <cellStyle name="Standaard 2 2 3 2 2 5 2" xfId="13327"/>
    <cellStyle name="Standaard 2 2 3 2 2 5 2 2" xfId="20747"/>
    <cellStyle name="Standaard 2 2 3 2 2 5 3" xfId="20748"/>
    <cellStyle name="Standaard 2 2 3 2 2 6" xfId="9150"/>
    <cellStyle name="Standaard 2 2 3 2 2 6 2" xfId="20749"/>
    <cellStyle name="Standaard 2 2 3 2 2 7" xfId="20750"/>
    <cellStyle name="Standaard 2 2 3 2 3" xfId="2050"/>
    <cellStyle name="Standaard 2 2 3 2 3 2" xfId="2594"/>
    <cellStyle name="Standaard 2 2 3 2 3 2 2" xfId="3611"/>
    <cellStyle name="Standaard 2 2 3 2 3 2 2 2" xfId="5645"/>
    <cellStyle name="Standaard 2 2 3 2 3 2 2 2 2" xfId="13329"/>
    <cellStyle name="Standaard 2 2 3 2 3 2 2 2 2 2" xfId="20751"/>
    <cellStyle name="Standaard 2 2 3 2 3 2 2 2 3" xfId="20752"/>
    <cellStyle name="Standaard 2 2 3 2 3 2 2 3" xfId="13328"/>
    <cellStyle name="Standaard 2 2 3 2 3 2 2 3 2" xfId="20753"/>
    <cellStyle name="Standaard 2 2 3 2 3 2 2 4" xfId="20754"/>
    <cellStyle name="Standaard 2 2 3 2 3 2 3" xfId="4628"/>
    <cellStyle name="Standaard 2 2 3 2 3 2 3 2" xfId="13330"/>
    <cellStyle name="Standaard 2 2 3 2 3 2 3 2 2" xfId="20755"/>
    <cellStyle name="Standaard 2 2 3 2 3 2 3 3" xfId="20756"/>
    <cellStyle name="Standaard 2 2 3 2 3 2 4" xfId="9155"/>
    <cellStyle name="Standaard 2 2 3 2 3 2 4 2" xfId="20757"/>
    <cellStyle name="Standaard 2 2 3 2 3 2 5" xfId="20758"/>
    <cellStyle name="Standaard 2 2 3 2 3 3" xfId="3098"/>
    <cellStyle name="Standaard 2 2 3 2 3 3 2" xfId="5132"/>
    <cellStyle name="Standaard 2 2 3 2 3 3 2 2" xfId="13332"/>
    <cellStyle name="Standaard 2 2 3 2 3 3 2 2 2" xfId="20759"/>
    <cellStyle name="Standaard 2 2 3 2 3 3 2 3" xfId="20760"/>
    <cellStyle name="Standaard 2 2 3 2 3 3 3" xfId="13331"/>
    <cellStyle name="Standaard 2 2 3 2 3 3 3 2" xfId="20761"/>
    <cellStyle name="Standaard 2 2 3 2 3 3 4" xfId="20762"/>
    <cellStyle name="Standaard 2 2 3 2 3 4" xfId="4115"/>
    <cellStyle name="Standaard 2 2 3 2 3 4 2" xfId="13333"/>
    <cellStyle name="Standaard 2 2 3 2 3 4 2 2" xfId="20763"/>
    <cellStyle name="Standaard 2 2 3 2 3 4 3" xfId="20764"/>
    <cellStyle name="Standaard 2 2 3 2 3 5" xfId="9154"/>
    <cellStyle name="Standaard 2 2 3 2 3 5 2" xfId="20765"/>
    <cellStyle name="Standaard 2 2 3 2 3 6" xfId="20766"/>
    <cellStyle name="Standaard 2 2 3 2 4" xfId="2342"/>
    <cellStyle name="Standaard 2 2 3 2 4 2" xfId="3359"/>
    <cellStyle name="Standaard 2 2 3 2 4 2 2" xfId="5393"/>
    <cellStyle name="Standaard 2 2 3 2 4 2 2 2" xfId="13335"/>
    <cellStyle name="Standaard 2 2 3 2 4 2 2 2 2" xfId="20767"/>
    <cellStyle name="Standaard 2 2 3 2 4 2 2 3" xfId="20768"/>
    <cellStyle name="Standaard 2 2 3 2 4 2 3" xfId="13334"/>
    <cellStyle name="Standaard 2 2 3 2 4 2 3 2" xfId="20769"/>
    <cellStyle name="Standaard 2 2 3 2 4 2 4" xfId="20770"/>
    <cellStyle name="Standaard 2 2 3 2 4 3" xfId="4376"/>
    <cellStyle name="Standaard 2 2 3 2 4 3 2" xfId="13336"/>
    <cellStyle name="Standaard 2 2 3 2 4 3 2 2" xfId="20771"/>
    <cellStyle name="Standaard 2 2 3 2 4 3 3" xfId="20772"/>
    <cellStyle name="Standaard 2 2 3 2 4 4" xfId="9156"/>
    <cellStyle name="Standaard 2 2 3 2 4 4 2" xfId="20773"/>
    <cellStyle name="Standaard 2 2 3 2 4 5" xfId="20774"/>
    <cellStyle name="Standaard 2 2 3 2 5" xfId="2846"/>
    <cellStyle name="Standaard 2 2 3 2 5 2" xfId="4880"/>
    <cellStyle name="Standaard 2 2 3 2 5 2 2" xfId="13338"/>
    <cellStyle name="Standaard 2 2 3 2 5 2 2 2" xfId="20775"/>
    <cellStyle name="Standaard 2 2 3 2 5 2 3" xfId="20776"/>
    <cellStyle name="Standaard 2 2 3 2 5 3" xfId="13337"/>
    <cellStyle name="Standaard 2 2 3 2 5 3 2" xfId="20777"/>
    <cellStyle name="Standaard 2 2 3 2 5 4" xfId="20778"/>
    <cellStyle name="Standaard 2 2 3 2 6" xfId="3863"/>
    <cellStyle name="Standaard 2 2 3 2 6 2" xfId="13339"/>
    <cellStyle name="Standaard 2 2 3 2 6 2 2" xfId="20779"/>
    <cellStyle name="Standaard 2 2 3 2 6 3" xfId="20780"/>
    <cellStyle name="Standaard 2 2 3 2 7" xfId="9149"/>
    <cellStyle name="Standaard 2 2 3 2 7 2" xfId="20781"/>
    <cellStyle name="Standaard 2 2 3 2 8" xfId="20782"/>
    <cellStyle name="Standaard 2 2 3 3" xfId="1840"/>
    <cellStyle name="Standaard 2 2 3 3 2" xfId="1966"/>
    <cellStyle name="Standaard 2 2 3 3 2 2" xfId="2218"/>
    <cellStyle name="Standaard 2 2 3 3 2 2 2" xfId="2762"/>
    <cellStyle name="Standaard 2 2 3 3 2 2 2 2" xfId="3779"/>
    <cellStyle name="Standaard 2 2 3 3 2 2 2 2 2" xfId="5813"/>
    <cellStyle name="Standaard 2 2 3 3 2 2 2 2 2 2" xfId="13341"/>
    <cellStyle name="Standaard 2 2 3 3 2 2 2 2 2 2 2" xfId="20783"/>
    <cellStyle name="Standaard 2 2 3 3 2 2 2 2 2 3" xfId="20784"/>
    <cellStyle name="Standaard 2 2 3 3 2 2 2 2 3" xfId="13340"/>
    <cellStyle name="Standaard 2 2 3 3 2 2 2 2 3 2" xfId="20785"/>
    <cellStyle name="Standaard 2 2 3 3 2 2 2 2 4" xfId="20786"/>
    <cellStyle name="Standaard 2 2 3 3 2 2 2 3" xfId="4796"/>
    <cellStyle name="Standaard 2 2 3 3 2 2 2 3 2" xfId="13342"/>
    <cellStyle name="Standaard 2 2 3 3 2 2 2 3 2 2" xfId="20787"/>
    <cellStyle name="Standaard 2 2 3 3 2 2 2 3 3" xfId="20788"/>
    <cellStyle name="Standaard 2 2 3 3 2 2 2 4" xfId="9160"/>
    <cellStyle name="Standaard 2 2 3 3 2 2 2 4 2" xfId="20789"/>
    <cellStyle name="Standaard 2 2 3 3 2 2 2 5" xfId="20790"/>
    <cellStyle name="Standaard 2 2 3 3 2 2 3" xfId="3266"/>
    <cellStyle name="Standaard 2 2 3 3 2 2 3 2" xfId="5300"/>
    <cellStyle name="Standaard 2 2 3 3 2 2 3 2 2" xfId="13344"/>
    <cellStyle name="Standaard 2 2 3 3 2 2 3 2 2 2" xfId="20791"/>
    <cellStyle name="Standaard 2 2 3 3 2 2 3 2 3" xfId="20792"/>
    <cellStyle name="Standaard 2 2 3 3 2 2 3 3" xfId="13343"/>
    <cellStyle name="Standaard 2 2 3 3 2 2 3 3 2" xfId="20793"/>
    <cellStyle name="Standaard 2 2 3 3 2 2 3 4" xfId="20794"/>
    <cellStyle name="Standaard 2 2 3 3 2 2 4" xfId="4283"/>
    <cellStyle name="Standaard 2 2 3 3 2 2 4 2" xfId="13345"/>
    <cellStyle name="Standaard 2 2 3 3 2 2 4 2 2" xfId="20795"/>
    <cellStyle name="Standaard 2 2 3 3 2 2 4 3" xfId="20796"/>
    <cellStyle name="Standaard 2 2 3 3 2 2 5" xfId="9159"/>
    <cellStyle name="Standaard 2 2 3 3 2 2 5 2" xfId="20797"/>
    <cellStyle name="Standaard 2 2 3 3 2 2 6" xfId="20798"/>
    <cellStyle name="Standaard 2 2 3 3 2 3" xfId="2510"/>
    <cellStyle name="Standaard 2 2 3 3 2 3 2" xfId="3527"/>
    <cellStyle name="Standaard 2 2 3 3 2 3 2 2" xfId="5561"/>
    <cellStyle name="Standaard 2 2 3 3 2 3 2 2 2" xfId="13347"/>
    <cellStyle name="Standaard 2 2 3 3 2 3 2 2 2 2" xfId="20799"/>
    <cellStyle name="Standaard 2 2 3 3 2 3 2 2 3" xfId="20800"/>
    <cellStyle name="Standaard 2 2 3 3 2 3 2 3" xfId="13346"/>
    <cellStyle name="Standaard 2 2 3 3 2 3 2 3 2" xfId="20801"/>
    <cellStyle name="Standaard 2 2 3 3 2 3 2 4" xfId="20802"/>
    <cellStyle name="Standaard 2 2 3 3 2 3 3" xfId="4544"/>
    <cellStyle name="Standaard 2 2 3 3 2 3 3 2" xfId="13348"/>
    <cellStyle name="Standaard 2 2 3 3 2 3 3 2 2" xfId="20803"/>
    <cellStyle name="Standaard 2 2 3 3 2 3 3 3" xfId="20804"/>
    <cellStyle name="Standaard 2 2 3 3 2 3 4" xfId="9161"/>
    <cellStyle name="Standaard 2 2 3 3 2 3 4 2" xfId="20805"/>
    <cellStyle name="Standaard 2 2 3 3 2 3 5" xfId="20806"/>
    <cellStyle name="Standaard 2 2 3 3 2 4" xfId="3014"/>
    <cellStyle name="Standaard 2 2 3 3 2 4 2" xfId="5048"/>
    <cellStyle name="Standaard 2 2 3 3 2 4 2 2" xfId="13350"/>
    <cellStyle name="Standaard 2 2 3 3 2 4 2 2 2" xfId="20807"/>
    <cellStyle name="Standaard 2 2 3 3 2 4 2 3" xfId="20808"/>
    <cellStyle name="Standaard 2 2 3 3 2 4 3" xfId="13349"/>
    <cellStyle name="Standaard 2 2 3 3 2 4 3 2" xfId="20809"/>
    <cellStyle name="Standaard 2 2 3 3 2 4 4" xfId="20810"/>
    <cellStyle name="Standaard 2 2 3 3 2 5" xfId="4031"/>
    <cellStyle name="Standaard 2 2 3 3 2 5 2" xfId="13351"/>
    <cellStyle name="Standaard 2 2 3 3 2 5 2 2" xfId="20811"/>
    <cellStyle name="Standaard 2 2 3 3 2 5 3" xfId="20812"/>
    <cellStyle name="Standaard 2 2 3 3 2 6" xfId="9158"/>
    <cellStyle name="Standaard 2 2 3 3 2 6 2" xfId="20813"/>
    <cellStyle name="Standaard 2 2 3 3 2 7" xfId="20814"/>
    <cellStyle name="Standaard 2 2 3 3 3" xfId="2092"/>
    <cellStyle name="Standaard 2 2 3 3 3 2" xfId="2636"/>
    <cellStyle name="Standaard 2 2 3 3 3 2 2" xfId="3653"/>
    <cellStyle name="Standaard 2 2 3 3 3 2 2 2" xfId="5687"/>
    <cellStyle name="Standaard 2 2 3 3 3 2 2 2 2" xfId="13353"/>
    <cellStyle name="Standaard 2 2 3 3 3 2 2 2 2 2" xfId="20815"/>
    <cellStyle name="Standaard 2 2 3 3 3 2 2 2 3" xfId="20816"/>
    <cellStyle name="Standaard 2 2 3 3 3 2 2 3" xfId="13352"/>
    <cellStyle name="Standaard 2 2 3 3 3 2 2 3 2" xfId="20817"/>
    <cellStyle name="Standaard 2 2 3 3 3 2 2 4" xfId="20818"/>
    <cellStyle name="Standaard 2 2 3 3 3 2 3" xfId="4670"/>
    <cellStyle name="Standaard 2 2 3 3 3 2 3 2" xfId="13354"/>
    <cellStyle name="Standaard 2 2 3 3 3 2 3 2 2" xfId="20819"/>
    <cellStyle name="Standaard 2 2 3 3 3 2 3 3" xfId="20820"/>
    <cellStyle name="Standaard 2 2 3 3 3 2 4" xfId="9163"/>
    <cellStyle name="Standaard 2 2 3 3 3 2 4 2" xfId="20821"/>
    <cellStyle name="Standaard 2 2 3 3 3 2 5" xfId="20822"/>
    <cellStyle name="Standaard 2 2 3 3 3 3" xfId="3140"/>
    <cellStyle name="Standaard 2 2 3 3 3 3 2" xfId="5174"/>
    <cellStyle name="Standaard 2 2 3 3 3 3 2 2" xfId="13356"/>
    <cellStyle name="Standaard 2 2 3 3 3 3 2 2 2" xfId="20823"/>
    <cellStyle name="Standaard 2 2 3 3 3 3 2 3" xfId="20824"/>
    <cellStyle name="Standaard 2 2 3 3 3 3 3" xfId="13355"/>
    <cellStyle name="Standaard 2 2 3 3 3 3 3 2" xfId="20825"/>
    <cellStyle name="Standaard 2 2 3 3 3 3 4" xfId="20826"/>
    <cellStyle name="Standaard 2 2 3 3 3 4" xfId="4157"/>
    <cellStyle name="Standaard 2 2 3 3 3 4 2" xfId="13357"/>
    <cellStyle name="Standaard 2 2 3 3 3 4 2 2" xfId="20827"/>
    <cellStyle name="Standaard 2 2 3 3 3 4 3" xfId="20828"/>
    <cellStyle name="Standaard 2 2 3 3 3 5" xfId="9162"/>
    <cellStyle name="Standaard 2 2 3 3 3 5 2" xfId="20829"/>
    <cellStyle name="Standaard 2 2 3 3 3 6" xfId="20830"/>
    <cellStyle name="Standaard 2 2 3 3 4" xfId="2384"/>
    <cellStyle name="Standaard 2 2 3 3 4 2" xfId="3401"/>
    <cellStyle name="Standaard 2 2 3 3 4 2 2" xfId="5435"/>
    <cellStyle name="Standaard 2 2 3 3 4 2 2 2" xfId="13359"/>
    <cellStyle name="Standaard 2 2 3 3 4 2 2 2 2" xfId="20831"/>
    <cellStyle name="Standaard 2 2 3 3 4 2 2 3" xfId="20832"/>
    <cellStyle name="Standaard 2 2 3 3 4 2 3" xfId="13358"/>
    <cellStyle name="Standaard 2 2 3 3 4 2 3 2" xfId="20833"/>
    <cellStyle name="Standaard 2 2 3 3 4 2 4" xfId="20834"/>
    <cellStyle name="Standaard 2 2 3 3 4 3" xfId="4418"/>
    <cellStyle name="Standaard 2 2 3 3 4 3 2" xfId="13360"/>
    <cellStyle name="Standaard 2 2 3 3 4 3 2 2" xfId="20835"/>
    <cellStyle name="Standaard 2 2 3 3 4 3 3" xfId="20836"/>
    <cellStyle name="Standaard 2 2 3 3 4 4" xfId="9164"/>
    <cellStyle name="Standaard 2 2 3 3 4 4 2" xfId="20837"/>
    <cellStyle name="Standaard 2 2 3 3 4 5" xfId="20838"/>
    <cellStyle name="Standaard 2 2 3 3 5" xfId="2888"/>
    <cellStyle name="Standaard 2 2 3 3 5 2" xfId="4922"/>
    <cellStyle name="Standaard 2 2 3 3 5 2 2" xfId="13362"/>
    <cellStyle name="Standaard 2 2 3 3 5 2 2 2" xfId="20839"/>
    <cellStyle name="Standaard 2 2 3 3 5 2 3" xfId="20840"/>
    <cellStyle name="Standaard 2 2 3 3 5 3" xfId="13361"/>
    <cellStyle name="Standaard 2 2 3 3 5 3 2" xfId="20841"/>
    <cellStyle name="Standaard 2 2 3 3 5 4" xfId="20842"/>
    <cellStyle name="Standaard 2 2 3 3 6" xfId="3905"/>
    <cellStyle name="Standaard 2 2 3 3 6 2" xfId="13363"/>
    <cellStyle name="Standaard 2 2 3 3 6 2 2" xfId="20843"/>
    <cellStyle name="Standaard 2 2 3 3 6 3" xfId="20844"/>
    <cellStyle name="Standaard 2 2 3 3 7" xfId="9157"/>
    <cellStyle name="Standaard 2 2 3 3 7 2" xfId="20845"/>
    <cellStyle name="Standaard 2 2 3 3 8" xfId="20846"/>
    <cellStyle name="Standaard 2 2 3 4" xfId="1882"/>
    <cellStyle name="Standaard 2 2 3 4 2" xfId="2134"/>
    <cellStyle name="Standaard 2 2 3 4 2 2" xfId="2678"/>
    <cellStyle name="Standaard 2 2 3 4 2 2 2" xfId="3695"/>
    <cellStyle name="Standaard 2 2 3 4 2 2 2 2" xfId="5729"/>
    <cellStyle name="Standaard 2 2 3 4 2 2 2 2 2" xfId="13365"/>
    <cellStyle name="Standaard 2 2 3 4 2 2 2 2 2 2" xfId="20847"/>
    <cellStyle name="Standaard 2 2 3 4 2 2 2 2 3" xfId="20848"/>
    <cellStyle name="Standaard 2 2 3 4 2 2 2 3" xfId="13364"/>
    <cellStyle name="Standaard 2 2 3 4 2 2 2 3 2" xfId="20849"/>
    <cellStyle name="Standaard 2 2 3 4 2 2 2 4" xfId="20850"/>
    <cellStyle name="Standaard 2 2 3 4 2 2 3" xfId="4712"/>
    <cellStyle name="Standaard 2 2 3 4 2 2 3 2" xfId="13366"/>
    <cellStyle name="Standaard 2 2 3 4 2 2 3 2 2" xfId="20851"/>
    <cellStyle name="Standaard 2 2 3 4 2 2 3 3" xfId="20852"/>
    <cellStyle name="Standaard 2 2 3 4 2 2 4" xfId="9167"/>
    <cellStyle name="Standaard 2 2 3 4 2 2 4 2" xfId="20853"/>
    <cellStyle name="Standaard 2 2 3 4 2 2 5" xfId="20854"/>
    <cellStyle name="Standaard 2 2 3 4 2 3" xfId="3182"/>
    <cellStyle name="Standaard 2 2 3 4 2 3 2" xfId="5216"/>
    <cellStyle name="Standaard 2 2 3 4 2 3 2 2" xfId="13368"/>
    <cellStyle name="Standaard 2 2 3 4 2 3 2 2 2" xfId="20855"/>
    <cellStyle name="Standaard 2 2 3 4 2 3 2 3" xfId="20856"/>
    <cellStyle name="Standaard 2 2 3 4 2 3 3" xfId="13367"/>
    <cellStyle name="Standaard 2 2 3 4 2 3 3 2" xfId="20857"/>
    <cellStyle name="Standaard 2 2 3 4 2 3 4" xfId="20858"/>
    <cellStyle name="Standaard 2 2 3 4 2 4" xfId="4199"/>
    <cellStyle name="Standaard 2 2 3 4 2 4 2" xfId="13369"/>
    <cellStyle name="Standaard 2 2 3 4 2 4 2 2" xfId="20859"/>
    <cellStyle name="Standaard 2 2 3 4 2 4 3" xfId="20860"/>
    <cellStyle name="Standaard 2 2 3 4 2 5" xfId="9166"/>
    <cellStyle name="Standaard 2 2 3 4 2 5 2" xfId="20861"/>
    <cellStyle name="Standaard 2 2 3 4 2 6" xfId="20862"/>
    <cellStyle name="Standaard 2 2 3 4 3" xfId="2426"/>
    <cellStyle name="Standaard 2 2 3 4 3 2" xfId="3443"/>
    <cellStyle name="Standaard 2 2 3 4 3 2 2" xfId="5477"/>
    <cellStyle name="Standaard 2 2 3 4 3 2 2 2" xfId="13371"/>
    <cellStyle name="Standaard 2 2 3 4 3 2 2 2 2" xfId="20863"/>
    <cellStyle name="Standaard 2 2 3 4 3 2 2 3" xfId="20864"/>
    <cellStyle name="Standaard 2 2 3 4 3 2 3" xfId="13370"/>
    <cellStyle name="Standaard 2 2 3 4 3 2 3 2" xfId="20865"/>
    <cellStyle name="Standaard 2 2 3 4 3 2 4" xfId="20866"/>
    <cellStyle name="Standaard 2 2 3 4 3 3" xfId="4460"/>
    <cellStyle name="Standaard 2 2 3 4 3 3 2" xfId="13372"/>
    <cellStyle name="Standaard 2 2 3 4 3 3 2 2" xfId="20867"/>
    <cellStyle name="Standaard 2 2 3 4 3 3 3" xfId="20868"/>
    <cellStyle name="Standaard 2 2 3 4 3 4" xfId="9168"/>
    <cellStyle name="Standaard 2 2 3 4 3 4 2" xfId="20869"/>
    <cellStyle name="Standaard 2 2 3 4 3 5" xfId="20870"/>
    <cellStyle name="Standaard 2 2 3 4 4" xfId="2930"/>
    <cellStyle name="Standaard 2 2 3 4 4 2" xfId="4964"/>
    <cellStyle name="Standaard 2 2 3 4 4 2 2" xfId="13374"/>
    <cellStyle name="Standaard 2 2 3 4 4 2 2 2" xfId="20871"/>
    <cellStyle name="Standaard 2 2 3 4 4 2 3" xfId="20872"/>
    <cellStyle name="Standaard 2 2 3 4 4 3" xfId="13373"/>
    <cellStyle name="Standaard 2 2 3 4 4 3 2" xfId="20873"/>
    <cellStyle name="Standaard 2 2 3 4 4 4" xfId="20874"/>
    <cellStyle name="Standaard 2 2 3 4 5" xfId="3947"/>
    <cellStyle name="Standaard 2 2 3 4 5 2" xfId="13375"/>
    <cellStyle name="Standaard 2 2 3 4 5 2 2" xfId="20875"/>
    <cellStyle name="Standaard 2 2 3 4 5 3" xfId="20876"/>
    <cellStyle name="Standaard 2 2 3 4 6" xfId="9165"/>
    <cellStyle name="Standaard 2 2 3 4 6 2" xfId="20877"/>
    <cellStyle name="Standaard 2 2 3 4 7" xfId="20878"/>
    <cellStyle name="Standaard 2 2 3 5" xfId="2008"/>
    <cellStyle name="Standaard 2 2 3 5 2" xfId="2552"/>
    <cellStyle name="Standaard 2 2 3 5 2 2" xfId="3569"/>
    <cellStyle name="Standaard 2 2 3 5 2 2 2" xfId="5603"/>
    <cellStyle name="Standaard 2 2 3 5 2 2 2 2" xfId="13377"/>
    <cellStyle name="Standaard 2 2 3 5 2 2 2 2 2" xfId="20879"/>
    <cellStyle name="Standaard 2 2 3 5 2 2 2 3" xfId="20880"/>
    <cellStyle name="Standaard 2 2 3 5 2 2 3" xfId="13376"/>
    <cellStyle name="Standaard 2 2 3 5 2 2 3 2" xfId="20881"/>
    <cellStyle name="Standaard 2 2 3 5 2 2 4" xfId="20882"/>
    <cellStyle name="Standaard 2 2 3 5 2 3" xfId="4586"/>
    <cellStyle name="Standaard 2 2 3 5 2 3 2" xfId="13378"/>
    <cellStyle name="Standaard 2 2 3 5 2 3 2 2" xfId="20883"/>
    <cellStyle name="Standaard 2 2 3 5 2 3 3" xfId="20884"/>
    <cellStyle name="Standaard 2 2 3 5 2 4" xfId="9170"/>
    <cellStyle name="Standaard 2 2 3 5 2 4 2" xfId="20885"/>
    <cellStyle name="Standaard 2 2 3 5 2 5" xfId="20886"/>
    <cellStyle name="Standaard 2 2 3 5 3" xfId="3056"/>
    <cellStyle name="Standaard 2 2 3 5 3 2" xfId="5090"/>
    <cellStyle name="Standaard 2 2 3 5 3 2 2" xfId="13380"/>
    <cellStyle name="Standaard 2 2 3 5 3 2 2 2" xfId="20887"/>
    <cellStyle name="Standaard 2 2 3 5 3 2 3" xfId="20888"/>
    <cellStyle name="Standaard 2 2 3 5 3 3" xfId="13379"/>
    <cellStyle name="Standaard 2 2 3 5 3 3 2" xfId="20889"/>
    <cellStyle name="Standaard 2 2 3 5 3 4" xfId="20890"/>
    <cellStyle name="Standaard 2 2 3 5 4" xfId="4073"/>
    <cellStyle name="Standaard 2 2 3 5 4 2" xfId="13381"/>
    <cellStyle name="Standaard 2 2 3 5 4 2 2" xfId="20891"/>
    <cellStyle name="Standaard 2 2 3 5 4 3" xfId="20892"/>
    <cellStyle name="Standaard 2 2 3 5 5" xfId="9169"/>
    <cellStyle name="Standaard 2 2 3 5 5 2" xfId="20893"/>
    <cellStyle name="Standaard 2 2 3 5 6" xfId="20894"/>
    <cellStyle name="Standaard 2 2 3 6" xfId="2300"/>
    <cellStyle name="Standaard 2 2 3 6 2" xfId="3317"/>
    <cellStyle name="Standaard 2 2 3 6 2 2" xfId="5351"/>
    <cellStyle name="Standaard 2 2 3 6 2 2 2" xfId="13383"/>
    <cellStyle name="Standaard 2 2 3 6 2 2 2 2" xfId="20895"/>
    <cellStyle name="Standaard 2 2 3 6 2 2 3" xfId="20896"/>
    <cellStyle name="Standaard 2 2 3 6 2 3" xfId="13382"/>
    <cellStyle name="Standaard 2 2 3 6 2 3 2" xfId="20897"/>
    <cellStyle name="Standaard 2 2 3 6 2 4" xfId="20898"/>
    <cellStyle name="Standaard 2 2 3 6 3" xfId="4334"/>
    <cellStyle name="Standaard 2 2 3 6 3 2" xfId="13384"/>
    <cellStyle name="Standaard 2 2 3 6 3 2 2" xfId="20899"/>
    <cellStyle name="Standaard 2 2 3 6 3 3" xfId="20900"/>
    <cellStyle name="Standaard 2 2 3 6 4" xfId="9171"/>
    <cellStyle name="Standaard 2 2 3 6 4 2" xfId="20901"/>
    <cellStyle name="Standaard 2 2 3 6 5" xfId="20902"/>
    <cellStyle name="Standaard 2 2 3 7" xfId="2804"/>
    <cellStyle name="Standaard 2 2 3 7 2" xfId="4838"/>
    <cellStyle name="Standaard 2 2 3 7 2 2" xfId="13386"/>
    <cellStyle name="Standaard 2 2 3 7 2 2 2" xfId="20903"/>
    <cellStyle name="Standaard 2 2 3 7 2 3" xfId="20904"/>
    <cellStyle name="Standaard 2 2 3 7 3" xfId="13385"/>
    <cellStyle name="Standaard 2 2 3 7 3 2" xfId="20905"/>
    <cellStyle name="Standaard 2 2 3 7 4" xfId="20906"/>
    <cellStyle name="Standaard 2 2 3 8" xfId="3821"/>
    <cellStyle name="Standaard 2 2 3 8 2" xfId="13387"/>
    <cellStyle name="Standaard 2 2 3 8 2 2" xfId="20907"/>
    <cellStyle name="Standaard 2 2 3 8 3" xfId="20908"/>
    <cellStyle name="Standaard 2 2 3 9" xfId="9148"/>
    <cellStyle name="Standaard 2 2 3 9 2" xfId="20909"/>
    <cellStyle name="Standaard 2 2 4" xfId="1770"/>
    <cellStyle name="Standaard 2 2 4 10" xfId="20910"/>
    <cellStyle name="Standaard 2 2 4 2" xfId="1812"/>
    <cellStyle name="Standaard 2 2 4 2 2" xfId="1938"/>
    <cellStyle name="Standaard 2 2 4 2 2 2" xfId="2190"/>
    <cellStyle name="Standaard 2 2 4 2 2 2 2" xfId="2734"/>
    <cellStyle name="Standaard 2 2 4 2 2 2 2 2" xfId="3751"/>
    <cellStyle name="Standaard 2 2 4 2 2 2 2 2 2" xfId="5785"/>
    <cellStyle name="Standaard 2 2 4 2 2 2 2 2 2 2" xfId="13389"/>
    <cellStyle name="Standaard 2 2 4 2 2 2 2 2 2 2 2" xfId="20911"/>
    <cellStyle name="Standaard 2 2 4 2 2 2 2 2 2 3" xfId="20912"/>
    <cellStyle name="Standaard 2 2 4 2 2 2 2 2 3" xfId="13388"/>
    <cellStyle name="Standaard 2 2 4 2 2 2 2 2 3 2" xfId="20913"/>
    <cellStyle name="Standaard 2 2 4 2 2 2 2 2 4" xfId="20914"/>
    <cellStyle name="Standaard 2 2 4 2 2 2 2 3" xfId="4768"/>
    <cellStyle name="Standaard 2 2 4 2 2 2 2 3 2" xfId="13390"/>
    <cellStyle name="Standaard 2 2 4 2 2 2 2 3 2 2" xfId="20915"/>
    <cellStyle name="Standaard 2 2 4 2 2 2 2 3 3" xfId="20916"/>
    <cellStyle name="Standaard 2 2 4 2 2 2 2 4" xfId="9176"/>
    <cellStyle name="Standaard 2 2 4 2 2 2 2 4 2" xfId="20917"/>
    <cellStyle name="Standaard 2 2 4 2 2 2 2 5" xfId="20918"/>
    <cellStyle name="Standaard 2 2 4 2 2 2 3" xfId="3238"/>
    <cellStyle name="Standaard 2 2 4 2 2 2 3 2" xfId="5272"/>
    <cellStyle name="Standaard 2 2 4 2 2 2 3 2 2" xfId="13392"/>
    <cellStyle name="Standaard 2 2 4 2 2 2 3 2 2 2" xfId="20919"/>
    <cellStyle name="Standaard 2 2 4 2 2 2 3 2 3" xfId="20920"/>
    <cellStyle name="Standaard 2 2 4 2 2 2 3 3" xfId="13391"/>
    <cellStyle name="Standaard 2 2 4 2 2 2 3 3 2" xfId="20921"/>
    <cellStyle name="Standaard 2 2 4 2 2 2 3 4" xfId="20922"/>
    <cellStyle name="Standaard 2 2 4 2 2 2 4" xfId="4255"/>
    <cellStyle name="Standaard 2 2 4 2 2 2 4 2" xfId="13393"/>
    <cellStyle name="Standaard 2 2 4 2 2 2 4 2 2" xfId="20923"/>
    <cellStyle name="Standaard 2 2 4 2 2 2 4 3" xfId="20924"/>
    <cellStyle name="Standaard 2 2 4 2 2 2 5" xfId="9175"/>
    <cellStyle name="Standaard 2 2 4 2 2 2 5 2" xfId="20925"/>
    <cellStyle name="Standaard 2 2 4 2 2 2 6" xfId="20926"/>
    <cellStyle name="Standaard 2 2 4 2 2 3" xfId="2482"/>
    <cellStyle name="Standaard 2 2 4 2 2 3 2" xfId="3499"/>
    <cellStyle name="Standaard 2 2 4 2 2 3 2 2" xfId="5533"/>
    <cellStyle name="Standaard 2 2 4 2 2 3 2 2 2" xfId="13395"/>
    <cellStyle name="Standaard 2 2 4 2 2 3 2 2 2 2" xfId="20927"/>
    <cellStyle name="Standaard 2 2 4 2 2 3 2 2 3" xfId="20928"/>
    <cellStyle name="Standaard 2 2 4 2 2 3 2 3" xfId="13394"/>
    <cellStyle name="Standaard 2 2 4 2 2 3 2 3 2" xfId="20929"/>
    <cellStyle name="Standaard 2 2 4 2 2 3 2 4" xfId="20930"/>
    <cellStyle name="Standaard 2 2 4 2 2 3 3" xfId="4516"/>
    <cellStyle name="Standaard 2 2 4 2 2 3 3 2" xfId="13396"/>
    <cellStyle name="Standaard 2 2 4 2 2 3 3 2 2" xfId="20931"/>
    <cellStyle name="Standaard 2 2 4 2 2 3 3 3" xfId="20932"/>
    <cellStyle name="Standaard 2 2 4 2 2 3 4" xfId="9177"/>
    <cellStyle name="Standaard 2 2 4 2 2 3 4 2" xfId="20933"/>
    <cellStyle name="Standaard 2 2 4 2 2 3 5" xfId="20934"/>
    <cellStyle name="Standaard 2 2 4 2 2 4" xfId="2986"/>
    <cellStyle name="Standaard 2 2 4 2 2 4 2" xfId="5020"/>
    <cellStyle name="Standaard 2 2 4 2 2 4 2 2" xfId="13398"/>
    <cellStyle name="Standaard 2 2 4 2 2 4 2 2 2" xfId="20935"/>
    <cellStyle name="Standaard 2 2 4 2 2 4 2 3" xfId="20936"/>
    <cellStyle name="Standaard 2 2 4 2 2 4 3" xfId="13397"/>
    <cellStyle name="Standaard 2 2 4 2 2 4 3 2" xfId="20937"/>
    <cellStyle name="Standaard 2 2 4 2 2 4 4" xfId="20938"/>
    <cellStyle name="Standaard 2 2 4 2 2 5" xfId="4003"/>
    <cellStyle name="Standaard 2 2 4 2 2 5 2" xfId="13399"/>
    <cellStyle name="Standaard 2 2 4 2 2 5 2 2" xfId="20939"/>
    <cellStyle name="Standaard 2 2 4 2 2 5 3" xfId="20940"/>
    <cellStyle name="Standaard 2 2 4 2 2 6" xfId="9174"/>
    <cellStyle name="Standaard 2 2 4 2 2 6 2" xfId="20941"/>
    <cellStyle name="Standaard 2 2 4 2 2 7" xfId="20942"/>
    <cellStyle name="Standaard 2 2 4 2 3" xfId="2064"/>
    <cellStyle name="Standaard 2 2 4 2 3 2" xfId="2608"/>
    <cellStyle name="Standaard 2 2 4 2 3 2 2" xfId="3625"/>
    <cellStyle name="Standaard 2 2 4 2 3 2 2 2" xfId="5659"/>
    <cellStyle name="Standaard 2 2 4 2 3 2 2 2 2" xfId="13401"/>
    <cellStyle name="Standaard 2 2 4 2 3 2 2 2 2 2" xfId="20943"/>
    <cellStyle name="Standaard 2 2 4 2 3 2 2 2 3" xfId="20944"/>
    <cellStyle name="Standaard 2 2 4 2 3 2 2 3" xfId="13400"/>
    <cellStyle name="Standaard 2 2 4 2 3 2 2 3 2" xfId="20945"/>
    <cellStyle name="Standaard 2 2 4 2 3 2 2 4" xfId="20946"/>
    <cellStyle name="Standaard 2 2 4 2 3 2 3" xfId="4642"/>
    <cellStyle name="Standaard 2 2 4 2 3 2 3 2" xfId="13402"/>
    <cellStyle name="Standaard 2 2 4 2 3 2 3 2 2" xfId="20947"/>
    <cellStyle name="Standaard 2 2 4 2 3 2 3 3" xfId="20948"/>
    <cellStyle name="Standaard 2 2 4 2 3 2 4" xfId="9179"/>
    <cellStyle name="Standaard 2 2 4 2 3 2 4 2" xfId="20949"/>
    <cellStyle name="Standaard 2 2 4 2 3 2 5" xfId="20950"/>
    <cellStyle name="Standaard 2 2 4 2 3 3" xfId="3112"/>
    <cellStyle name="Standaard 2 2 4 2 3 3 2" xfId="5146"/>
    <cellStyle name="Standaard 2 2 4 2 3 3 2 2" xfId="13404"/>
    <cellStyle name="Standaard 2 2 4 2 3 3 2 2 2" xfId="20951"/>
    <cellStyle name="Standaard 2 2 4 2 3 3 2 3" xfId="20952"/>
    <cellStyle name="Standaard 2 2 4 2 3 3 3" xfId="13403"/>
    <cellStyle name="Standaard 2 2 4 2 3 3 3 2" xfId="20953"/>
    <cellStyle name="Standaard 2 2 4 2 3 3 4" xfId="20954"/>
    <cellStyle name="Standaard 2 2 4 2 3 4" xfId="4129"/>
    <cellStyle name="Standaard 2 2 4 2 3 4 2" xfId="13405"/>
    <cellStyle name="Standaard 2 2 4 2 3 4 2 2" xfId="20955"/>
    <cellStyle name="Standaard 2 2 4 2 3 4 3" xfId="20956"/>
    <cellStyle name="Standaard 2 2 4 2 3 5" xfId="9178"/>
    <cellStyle name="Standaard 2 2 4 2 3 5 2" xfId="20957"/>
    <cellStyle name="Standaard 2 2 4 2 3 6" xfId="20958"/>
    <cellStyle name="Standaard 2 2 4 2 4" xfId="2356"/>
    <cellStyle name="Standaard 2 2 4 2 4 2" xfId="3373"/>
    <cellStyle name="Standaard 2 2 4 2 4 2 2" xfId="5407"/>
    <cellStyle name="Standaard 2 2 4 2 4 2 2 2" xfId="13407"/>
    <cellStyle name="Standaard 2 2 4 2 4 2 2 2 2" xfId="20959"/>
    <cellStyle name="Standaard 2 2 4 2 4 2 2 3" xfId="20960"/>
    <cellStyle name="Standaard 2 2 4 2 4 2 3" xfId="13406"/>
    <cellStyle name="Standaard 2 2 4 2 4 2 3 2" xfId="20961"/>
    <cellStyle name="Standaard 2 2 4 2 4 2 4" xfId="20962"/>
    <cellStyle name="Standaard 2 2 4 2 4 3" xfId="4390"/>
    <cellStyle name="Standaard 2 2 4 2 4 3 2" xfId="13408"/>
    <cellStyle name="Standaard 2 2 4 2 4 3 2 2" xfId="20963"/>
    <cellStyle name="Standaard 2 2 4 2 4 3 3" xfId="20964"/>
    <cellStyle name="Standaard 2 2 4 2 4 4" xfId="9180"/>
    <cellStyle name="Standaard 2 2 4 2 4 4 2" xfId="20965"/>
    <cellStyle name="Standaard 2 2 4 2 4 5" xfId="20966"/>
    <cellStyle name="Standaard 2 2 4 2 5" xfId="2860"/>
    <cellStyle name="Standaard 2 2 4 2 5 2" xfId="4894"/>
    <cellStyle name="Standaard 2 2 4 2 5 2 2" xfId="13410"/>
    <cellStyle name="Standaard 2 2 4 2 5 2 2 2" xfId="20967"/>
    <cellStyle name="Standaard 2 2 4 2 5 2 3" xfId="20968"/>
    <cellStyle name="Standaard 2 2 4 2 5 3" xfId="13409"/>
    <cellStyle name="Standaard 2 2 4 2 5 3 2" xfId="20969"/>
    <cellStyle name="Standaard 2 2 4 2 5 4" xfId="20970"/>
    <cellStyle name="Standaard 2 2 4 2 6" xfId="3877"/>
    <cellStyle name="Standaard 2 2 4 2 6 2" xfId="13411"/>
    <cellStyle name="Standaard 2 2 4 2 6 2 2" xfId="20971"/>
    <cellStyle name="Standaard 2 2 4 2 6 3" xfId="20972"/>
    <cellStyle name="Standaard 2 2 4 2 7" xfId="9173"/>
    <cellStyle name="Standaard 2 2 4 2 7 2" xfId="20973"/>
    <cellStyle name="Standaard 2 2 4 2 8" xfId="20974"/>
    <cellStyle name="Standaard 2 2 4 3" xfId="1854"/>
    <cellStyle name="Standaard 2 2 4 3 2" xfId="1980"/>
    <cellStyle name="Standaard 2 2 4 3 2 2" xfId="2232"/>
    <cellStyle name="Standaard 2 2 4 3 2 2 2" xfId="2776"/>
    <cellStyle name="Standaard 2 2 4 3 2 2 2 2" xfId="3793"/>
    <cellStyle name="Standaard 2 2 4 3 2 2 2 2 2" xfId="5827"/>
    <cellStyle name="Standaard 2 2 4 3 2 2 2 2 2 2" xfId="13413"/>
    <cellStyle name="Standaard 2 2 4 3 2 2 2 2 2 2 2" xfId="20975"/>
    <cellStyle name="Standaard 2 2 4 3 2 2 2 2 2 3" xfId="20976"/>
    <cellStyle name="Standaard 2 2 4 3 2 2 2 2 3" xfId="13412"/>
    <cellStyle name="Standaard 2 2 4 3 2 2 2 2 3 2" xfId="20977"/>
    <cellStyle name="Standaard 2 2 4 3 2 2 2 2 4" xfId="20978"/>
    <cellStyle name="Standaard 2 2 4 3 2 2 2 3" xfId="4810"/>
    <cellStyle name="Standaard 2 2 4 3 2 2 2 3 2" xfId="13414"/>
    <cellStyle name="Standaard 2 2 4 3 2 2 2 3 2 2" xfId="20979"/>
    <cellStyle name="Standaard 2 2 4 3 2 2 2 3 3" xfId="20980"/>
    <cellStyle name="Standaard 2 2 4 3 2 2 2 4" xfId="9184"/>
    <cellStyle name="Standaard 2 2 4 3 2 2 2 4 2" xfId="20981"/>
    <cellStyle name="Standaard 2 2 4 3 2 2 2 5" xfId="20982"/>
    <cellStyle name="Standaard 2 2 4 3 2 2 3" xfId="3280"/>
    <cellStyle name="Standaard 2 2 4 3 2 2 3 2" xfId="5314"/>
    <cellStyle name="Standaard 2 2 4 3 2 2 3 2 2" xfId="13416"/>
    <cellStyle name="Standaard 2 2 4 3 2 2 3 2 2 2" xfId="20983"/>
    <cellStyle name="Standaard 2 2 4 3 2 2 3 2 3" xfId="20984"/>
    <cellStyle name="Standaard 2 2 4 3 2 2 3 3" xfId="13415"/>
    <cellStyle name="Standaard 2 2 4 3 2 2 3 3 2" xfId="20985"/>
    <cellStyle name="Standaard 2 2 4 3 2 2 3 4" xfId="20986"/>
    <cellStyle name="Standaard 2 2 4 3 2 2 4" xfId="4297"/>
    <cellStyle name="Standaard 2 2 4 3 2 2 4 2" xfId="13417"/>
    <cellStyle name="Standaard 2 2 4 3 2 2 4 2 2" xfId="20987"/>
    <cellStyle name="Standaard 2 2 4 3 2 2 4 3" xfId="20988"/>
    <cellStyle name="Standaard 2 2 4 3 2 2 5" xfId="9183"/>
    <cellStyle name="Standaard 2 2 4 3 2 2 5 2" xfId="20989"/>
    <cellStyle name="Standaard 2 2 4 3 2 2 6" xfId="20990"/>
    <cellStyle name="Standaard 2 2 4 3 2 3" xfId="2524"/>
    <cellStyle name="Standaard 2 2 4 3 2 3 2" xfId="3541"/>
    <cellStyle name="Standaard 2 2 4 3 2 3 2 2" xfId="5575"/>
    <cellStyle name="Standaard 2 2 4 3 2 3 2 2 2" xfId="13419"/>
    <cellStyle name="Standaard 2 2 4 3 2 3 2 2 2 2" xfId="20991"/>
    <cellStyle name="Standaard 2 2 4 3 2 3 2 2 3" xfId="20992"/>
    <cellStyle name="Standaard 2 2 4 3 2 3 2 3" xfId="13418"/>
    <cellStyle name="Standaard 2 2 4 3 2 3 2 3 2" xfId="20993"/>
    <cellStyle name="Standaard 2 2 4 3 2 3 2 4" xfId="20994"/>
    <cellStyle name="Standaard 2 2 4 3 2 3 3" xfId="4558"/>
    <cellStyle name="Standaard 2 2 4 3 2 3 3 2" xfId="13420"/>
    <cellStyle name="Standaard 2 2 4 3 2 3 3 2 2" xfId="20995"/>
    <cellStyle name="Standaard 2 2 4 3 2 3 3 3" xfId="20996"/>
    <cellStyle name="Standaard 2 2 4 3 2 3 4" xfId="9185"/>
    <cellStyle name="Standaard 2 2 4 3 2 3 4 2" xfId="20997"/>
    <cellStyle name="Standaard 2 2 4 3 2 3 5" xfId="20998"/>
    <cellStyle name="Standaard 2 2 4 3 2 4" xfId="3028"/>
    <cellStyle name="Standaard 2 2 4 3 2 4 2" xfId="5062"/>
    <cellStyle name="Standaard 2 2 4 3 2 4 2 2" xfId="13422"/>
    <cellStyle name="Standaard 2 2 4 3 2 4 2 2 2" xfId="20999"/>
    <cellStyle name="Standaard 2 2 4 3 2 4 2 3" xfId="21000"/>
    <cellStyle name="Standaard 2 2 4 3 2 4 3" xfId="13421"/>
    <cellStyle name="Standaard 2 2 4 3 2 4 3 2" xfId="21001"/>
    <cellStyle name="Standaard 2 2 4 3 2 4 4" xfId="21002"/>
    <cellStyle name="Standaard 2 2 4 3 2 5" xfId="4045"/>
    <cellStyle name="Standaard 2 2 4 3 2 5 2" xfId="13423"/>
    <cellStyle name="Standaard 2 2 4 3 2 5 2 2" xfId="21003"/>
    <cellStyle name="Standaard 2 2 4 3 2 5 3" xfId="21004"/>
    <cellStyle name="Standaard 2 2 4 3 2 6" xfId="9182"/>
    <cellStyle name="Standaard 2 2 4 3 2 6 2" xfId="21005"/>
    <cellStyle name="Standaard 2 2 4 3 2 7" xfId="21006"/>
    <cellStyle name="Standaard 2 2 4 3 3" xfId="2106"/>
    <cellStyle name="Standaard 2 2 4 3 3 2" xfId="2650"/>
    <cellStyle name="Standaard 2 2 4 3 3 2 2" xfId="3667"/>
    <cellStyle name="Standaard 2 2 4 3 3 2 2 2" xfId="5701"/>
    <cellStyle name="Standaard 2 2 4 3 3 2 2 2 2" xfId="13425"/>
    <cellStyle name="Standaard 2 2 4 3 3 2 2 2 2 2" xfId="21007"/>
    <cellStyle name="Standaard 2 2 4 3 3 2 2 2 3" xfId="21008"/>
    <cellStyle name="Standaard 2 2 4 3 3 2 2 3" xfId="13424"/>
    <cellStyle name="Standaard 2 2 4 3 3 2 2 3 2" xfId="21009"/>
    <cellStyle name="Standaard 2 2 4 3 3 2 2 4" xfId="21010"/>
    <cellStyle name="Standaard 2 2 4 3 3 2 3" xfId="4684"/>
    <cellStyle name="Standaard 2 2 4 3 3 2 3 2" xfId="13426"/>
    <cellStyle name="Standaard 2 2 4 3 3 2 3 2 2" xfId="21011"/>
    <cellStyle name="Standaard 2 2 4 3 3 2 3 3" xfId="21012"/>
    <cellStyle name="Standaard 2 2 4 3 3 2 4" xfId="9187"/>
    <cellStyle name="Standaard 2 2 4 3 3 2 4 2" xfId="21013"/>
    <cellStyle name="Standaard 2 2 4 3 3 2 5" xfId="21014"/>
    <cellStyle name="Standaard 2 2 4 3 3 3" xfId="3154"/>
    <cellStyle name="Standaard 2 2 4 3 3 3 2" xfId="5188"/>
    <cellStyle name="Standaard 2 2 4 3 3 3 2 2" xfId="13428"/>
    <cellStyle name="Standaard 2 2 4 3 3 3 2 2 2" xfId="21015"/>
    <cellStyle name="Standaard 2 2 4 3 3 3 2 3" xfId="21016"/>
    <cellStyle name="Standaard 2 2 4 3 3 3 3" xfId="13427"/>
    <cellStyle name="Standaard 2 2 4 3 3 3 3 2" xfId="21017"/>
    <cellStyle name="Standaard 2 2 4 3 3 3 4" xfId="21018"/>
    <cellStyle name="Standaard 2 2 4 3 3 4" xfId="4171"/>
    <cellStyle name="Standaard 2 2 4 3 3 4 2" xfId="13429"/>
    <cellStyle name="Standaard 2 2 4 3 3 4 2 2" xfId="21019"/>
    <cellStyle name="Standaard 2 2 4 3 3 4 3" xfId="21020"/>
    <cellStyle name="Standaard 2 2 4 3 3 5" xfId="9186"/>
    <cellStyle name="Standaard 2 2 4 3 3 5 2" xfId="21021"/>
    <cellStyle name="Standaard 2 2 4 3 3 6" xfId="21022"/>
    <cellStyle name="Standaard 2 2 4 3 4" xfId="2398"/>
    <cellStyle name="Standaard 2 2 4 3 4 2" xfId="3415"/>
    <cellStyle name="Standaard 2 2 4 3 4 2 2" xfId="5449"/>
    <cellStyle name="Standaard 2 2 4 3 4 2 2 2" xfId="13431"/>
    <cellStyle name="Standaard 2 2 4 3 4 2 2 2 2" xfId="21023"/>
    <cellStyle name="Standaard 2 2 4 3 4 2 2 3" xfId="21024"/>
    <cellStyle name="Standaard 2 2 4 3 4 2 3" xfId="13430"/>
    <cellStyle name="Standaard 2 2 4 3 4 2 3 2" xfId="21025"/>
    <cellStyle name="Standaard 2 2 4 3 4 2 4" xfId="21026"/>
    <cellStyle name="Standaard 2 2 4 3 4 3" xfId="4432"/>
    <cellStyle name="Standaard 2 2 4 3 4 3 2" xfId="13432"/>
    <cellStyle name="Standaard 2 2 4 3 4 3 2 2" xfId="21027"/>
    <cellStyle name="Standaard 2 2 4 3 4 3 3" xfId="21028"/>
    <cellStyle name="Standaard 2 2 4 3 4 4" xfId="9188"/>
    <cellStyle name="Standaard 2 2 4 3 4 4 2" xfId="21029"/>
    <cellStyle name="Standaard 2 2 4 3 4 5" xfId="21030"/>
    <cellStyle name="Standaard 2 2 4 3 5" xfId="2902"/>
    <cellStyle name="Standaard 2 2 4 3 5 2" xfId="4936"/>
    <cellStyle name="Standaard 2 2 4 3 5 2 2" xfId="13434"/>
    <cellStyle name="Standaard 2 2 4 3 5 2 2 2" xfId="21031"/>
    <cellStyle name="Standaard 2 2 4 3 5 2 3" xfId="21032"/>
    <cellStyle name="Standaard 2 2 4 3 5 3" xfId="13433"/>
    <cellStyle name="Standaard 2 2 4 3 5 3 2" xfId="21033"/>
    <cellStyle name="Standaard 2 2 4 3 5 4" xfId="21034"/>
    <cellStyle name="Standaard 2 2 4 3 6" xfId="3919"/>
    <cellStyle name="Standaard 2 2 4 3 6 2" xfId="13435"/>
    <cellStyle name="Standaard 2 2 4 3 6 2 2" xfId="21035"/>
    <cellStyle name="Standaard 2 2 4 3 6 3" xfId="21036"/>
    <cellStyle name="Standaard 2 2 4 3 7" xfId="9181"/>
    <cellStyle name="Standaard 2 2 4 3 7 2" xfId="21037"/>
    <cellStyle name="Standaard 2 2 4 3 8" xfId="21038"/>
    <cellStyle name="Standaard 2 2 4 4" xfId="1896"/>
    <cellStyle name="Standaard 2 2 4 4 2" xfId="2148"/>
    <cellStyle name="Standaard 2 2 4 4 2 2" xfId="2692"/>
    <cellStyle name="Standaard 2 2 4 4 2 2 2" xfId="3709"/>
    <cellStyle name="Standaard 2 2 4 4 2 2 2 2" xfId="5743"/>
    <cellStyle name="Standaard 2 2 4 4 2 2 2 2 2" xfId="13437"/>
    <cellStyle name="Standaard 2 2 4 4 2 2 2 2 2 2" xfId="21039"/>
    <cellStyle name="Standaard 2 2 4 4 2 2 2 2 3" xfId="21040"/>
    <cellStyle name="Standaard 2 2 4 4 2 2 2 3" xfId="13436"/>
    <cellStyle name="Standaard 2 2 4 4 2 2 2 3 2" xfId="21041"/>
    <cellStyle name="Standaard 2 2 4 4 2 2 2 4" xfId="21042"/>
    <cellStyle name="Standaard 2 2 4 4 2 2 3" xfId="4726"/>
    <cellStyle name="Standaard 2 2 4 4 2 2 3 2" xfId="13438"/>
    <cellStyle name="Standaard 2 2 4 4 2 2 3 2 2" xfId="21043"/>
    <cellStyle name="Standaard 2 2 4 4 2 2 3 3" xfId="21044"/>
    <cellStyle name="Standaard 2 2 4 4 2 2 4" xfId="9191"/>
    <cellStyle name="Standaard 2 2 4 4 2 2 4 2" xfId="21045"/>
    <cellStyle name="Standaard 2 2 4 4 2 2 5" xfId="21046"/>
    <cellStyle name="Standaard 2 2 4 4 2 3" xfId="3196"/>
    <cellStyle name="Standaard 2 2 4 4 2 3 2" xfId="5230"/>
    <cellStyle name="Standaard 2 2 4 4 2 3 2 2" xfId="13440"/>
    <cellStyle name="Standaard 2 2 4 4 2 3 2 2 2" xfId="21047"/>
    <cellStyle name="Standaard 2 2 4 4 2 3 2 3" xfId="21048"/>
    <cellStyle name="Standaard 2 2 4 4 2 3 3" xfId="13439"/>
    <cellStyle name="Standaard 2 2 4 4 2 3 3 2" xfId="21049"/>
    <cellStyle name="Standaard 2 2 4 4 2 3 4" xfId="21050"/>
    <cellStyle name="Standaard 2 2 4 4 2 4" xfId="4213"/>
    <cellStyle name="Standaard 2 2 4 4 2 4 2" xfId="13441"/>
    <cellStyle name="Standaard 2 2 4 4 2 4 2 2" xfId="21051"/>
    <cellStyle name="Standaard 2 2 4 4 2 4 3" xfId="21052"/>
    <cellStyle name="Standaard 2 2 4 4 2 5" xfId="9190"/>
    <cellStyle name="Standaard 2 2 4 4 2 5 2" xfId="21053"/>
    <cellStyle name="Standaard 2 2 4 4 2 6" xfId="21054"/>
    <cellStyle name="Standaard 2 2 4 4 3" xfId="2440"/>
    <cellStyle name="Standaard 2 2 4 4 3 2" xfId="3457"/>
    <cellStyle name="Standaard 2 2 4 4 3 2 2" xfId="5491"/>
    <cellStyle name="Standaard 2 2 4 4 3 2 2 2" xfId="13443"/>
    <cellStyle name="Standaard 2 2 4 4 3 2 2 2 2" xfId="21055"/>
    <cellStyle name="Standaard 2 2 4 4 3 2 2 3" xfId="21056"/>
    <cellStyle name="Standaard 2 2 4 4 3 2 3" xfId="13442"/>
    <cellStyle name="Standaard 2 2 4 4 3 2 3 2" xfId="21057"/>
    <cellStyle name="Standaard 2 2 4 4 3 2 4" xfId="21058"/>
    <cellStyle name="Standaard 2 2 4 4 3 3" xfId="4474"/>
    <cellStyle name="Standaard 2 2 4 4 3 3 2" xfId="13444"/>
    <cellStyle name="Standaard 2 2 4 4 3 3 2 2" xfId="21059"/>
    <cellStyle name="Standaard 2 2 4 4 3 3 3" xfId="21060"/>
    <cellStyle name="Standaard 2 2 4 4 3 4" xfId="9192"/>
    <cellStyle name="Standaard 2 2 4 4 3 4 2" xfId="21061"/>
    <cellStyle name="Standaard 2 2 4 4 3 5" xfId="21062"/>
    <cellStyle name="Standaard 2 2 4 4 4" xfId="2944"/>
    <cellStyle name="Standaard 2 2 4 4 4 2" xfId="4978"/>
    <cellStyle name="Standaard 2 2 4 4 4 2 2" xfId="13446"/>
    <cellStyle name="Standaard 2 2 4 4 4 2 2 2" xfId="21063"/>
    <cellStyle name="Standaard 2 2 4 4 4 2 3" xfId="21064"/>
    <cellStyle name="Standaard 2 2 4 4 4 3" xfId="13445"/>
    <cellStyle name="Standaard 2 2 4 4 4 3 2" xfId="21065"/>
    <cellStyle name="Standaard 2 2 4 4 4 4" xfId="21066"/>
    <cellStyle name="Standaard 2 2 4 4 5" xfId="3961"/>
    <cellStyle name="Standaard 2 2 4 4 5 2" xfId="13447"/>
    <cellStyle name="Standaard 2 2 4 4 5 2 2" xfId="21067"/>
    <cellStyle name="Standaard 2 2 4 4 5 3" xfId="21068"/>
    <cellStyle name="Standaard 2 2 4 4 6" xfId="9189"/>
    <cellStyle name="Standaard 2 2 4 4 6 2" xfId="21069"/>
    <cellStyle name="Standaard 2 2 4 4 7" xfId="21070"/>
    <cellStyle name="Standaard 2 2 4 5" xfId="2022"/>
    <cellStyle name="Standaard 2 2 4 5 2" xfId="2566"/>
    <cellStyle name="Standaard 2 2 4 5 2 2" xfId="3583"/>
    <cellStyle name="Standaard 2 2 4 5 2 2 2" xfId="5617"/>
    <cellStyle name="Standaard 2 2 4 5 2 2 2 2" xfId="13449"/>
    <cellStyle name="Standaard 2 2 4 5 2 2 2 2 2" xfId="21071"/>
    <cellStyle name="Standaard 2 2 4 5 2 2 2 3" xfId="21072"/>
    <cellStyle name="Standaard 2 2 4 5 2 2 3" xfId="13448"/>
    <cellStyle name="Standaard 2 2 4 5 2 2 3 2" xfId="21073"/>
    <cellStyle name="Standaard 2 2 4 5 2 2 4" xfId="21074"/>
    <cellStyle name="Standaard 2 2 4 5 2 3" xfId="4600"/>
    <cellStyle name="Standaard 2 2 4 5 2 3 2" xfId="13450"/>
    <cellStyle name="Standaard 2 2 4 5 2 3 2 2" xfId="21075"/>
    <cellStyle name="Standaard 2 2 4 5 2 3 3" xfId="21076"/>
    <cellStyle name="Standaard 2 2 4 5 2 4" xfId="9194"/>
    <cellStyle name="Standaard 2 2 4 5 2 4 2" xfId="21077"/>
    <cellStyle name="Standaard 2 2 4 5 2 5" xfId="21078"/>
    <cellStyle name="Standaard 2 2 4 5 3" xfId="3070"/>
    <cellStyle name="Standaard 2 2 4 5 3 2" xfId="5104"/>
    <cellStyle name="Standaard 2 2 4 5 3 2 2" xfId="13452"/>
    <cellStyle name="Standaard 2 2 4 5 3 2 2 2" xfId="21079"/>
    <cellStyle name="Standaard 2 2 4 5 3 2 3" xfId="21080"/>
    <cellStyle name="Standaard 2 2 4 5 3 3" xfId="13451"/>
    <cellStyle name="Standaard 2 2 4 5 3 3 2" xfId="21081"/>
    <cellStyle name="Standaard 2 2 4 5 3 4" xfId="21082"/>
    <cellStyle name="Standaard 2 2 4 5 4" xfId="4087"/>
    <cellStyle name="Standaard 2 2 4 5 4 2" xfId="13453"/>
    <cellStyle name="Standaard 2 2 4 5 4 2 2" xfId="21083"/>
    <cellStyle name="Standaard 2 2 4 5 4 3" xfId="21084"/>
    <cellStyle name="Standaard 2 2 4 5 5" xfId="9193"/>
    <cellStyle name="Standaard 2 2 4 5 5 2" xfId="21085"/>
    <cellStyle name="Standaard 2 2 4 5 6" xfId="21086"/>
    <cellStyle name="Standaard 2 2 4 6" xfId="2314"/>
    <cellStyle name="Standaard 2 2 4 6 2" xfId="3331"/>
    <cellStyle name="Standaard 2 2 4 6 2 2" xfId="5365"/>
    <cellStyle name="Standaard 2 2 4 6 2 2 2" xfId="13455"/>
    <cellStyle name="Standaard 2 2 4 6 2 2 2 2" xfId="21087"/>
    <cellStyle name="Standaard 2 2 4 6 2 2 3" xfId="21088"/>
    <cellStyle name="Standaard 2 2 4 6 2 3" xfId="13454"/>
    <cellStyle name="Standaard 2 2 4 6 2 3 2" xfId="21089"/>
    <cellStyle name="Standaard 2 2 4 6 2 4" xfId="21090"/>
    <cellStyle name="Standaard 2 2 4 6 3" xfId="4348"/>
    <cellStyle name="Standaard 2 2 4 6 3 2" xfId="13456"/>
    <cellStyle name="Standaard 2 2 4 6 3 2 2" xfId="21091"/>
    <cellStyle name="Standaard 2 2 4 6 3 3" xfId="21092"/>
    <cellStyle name="Standaard 2 2 4 6 4" xfId="9195"/>
    <cellStyle name="Standaard 2 2 4 6 4 2" xfId="21093"/>
    <cellStyle name="Standaard 2 2 4 6 5" xfId="21094"/>
    <cellStyle name="Standaard 2 2 4 7" xfId="2818"/>
    <cellStyle name="Standaard 2 2 4 7 2" xfId="4852"/>
    <cellStyle name="Standaard 2 2 4 7 2 2" xfId="13458"/>
    <cellStyle name="Standaard 2 2 4 7 2 2 2" xfId="21095"/>
    <cellStyle name="Standaard 2 2 4 7 2 3" xfId="21096"/>
    <cellStyle name="Standaard 2 2 4 7 3" xfId="13457"/>
    <cellStyle name="Standaard 2 2 4 7 3 2" xfId="21097"/>
    <cellStyle name="Standaard 2 2 4 7 4" xfId="21098"/>
    <cellStyle name="Standaard 2 2 4 8" xfId="3835"/>
    <cellStyle name="Standaard 2 2 4 8 2" xfId="13459"/>
    <cellStyle name="Standaard 2 2 4 8 2 2" xfId="21099"/>
    <cellStyle name="Standaard 2 2 4 8 3" xfId="21100"/>
    <cellStyle name="Standaard 2 2 4 9" xfId="9172"/>
    <cellStyle name="Standaard 2 2 4 9 2" xfId="21101"/>
    <cellStyle name="Standaard 2 2 5" xfId="1784"/>
    <cellStyle name="Standaard 2 2 5 2" xfId="1910"/>
    <cellStyle name="Standaard 2 2 5 2 2" xfId="2162"/>
    <cellStyle name="Standaard 2 2 5 2 2 2" xfId="2706"/>
    <cellStyle name="Standaard 2 2 5 2 2 2 2" xfId="3723"/>
    <cellStyle name="Standaard 2 2 5 2 2 2 2 2" xfId="5757"/>
    <cellStyle name="Standaard 2 2 5 2 2 2 2 2 2" xfId="13461"/>
    <cellStyle name="Standaard 2 2 5 2 2 2 2 2 2 2" xfId="21102"/>
    <cellStyle name="Standaard 2 2 5 2 2 2 2 2 3" xfId="21103"/>
    <cellStyle name="Standaard 2 2 5 2 2 2 2 3" xfId="13460"/>
    <cellStyle name="Standaard 2 2 5 2 2 2 2 3 2" xfId="21104"/>
    <cellStyle name="Standaard 2 2 5 2 2 2 2 4" xfId="21105"/>
    <cellStyle name="Standaard 2 2 5 2 2 2 3" xfId="4740"/>
    <cellStyle name="Standaard 2 2 5 2 2 2 3 2" xfId="13462"/>
    <cellStyle name="Standaard 2 2 5 2 2 2 3 2 2" xfId="21106"/>
    <cellStyle name="Standaard 2 2 5 2 2 2 3 3" xfId="21107"/>
    <cellStyle name="Standaard 2 2 5 2 2 2 4" xfId="9199"/>
    <cellStyle name="Standaard 2 2 5 2 2 2 4 2" xfId="21108"/>
    <cellStyle name="Standaard 2 2 5 2 2 2 5" xfId="21109"/>
    <cellStyle name="Standaard 2 2 5 2 2 3" xfId="3210"/>
    <cellStyle name="Standaard 2 2 5 2 2 3 2" xfId="5244"/>
    <cellStyle name="Standaard 2 2 5 2 2 3 2 2" xfId="13464"/>
    <cellStyle name="Standaard 2 2 5 2 2 3 2 2 2" xfId="21110"/>
    <cellStyle name="Standaard 2 2 5 2 2 3 2 3" xfId="21111"/>
    <cellStyle name="Standaard 2 2 5 2 2 3 3" xfId="13463"/>
    <cellStyle name="Standaard 2 2 5 2 2 3 3 2" xfId="21112"/>
    <cellStyle name="Standaard 2 2 5 2 2 3 4" xfId="21113"/>
    <cellStyle name="Standaard 2 2 5 2 2 4" xfId="4227"/>
    <cellStyle name="Standaard 2 2 5 2 2 4 2" xfId="13465"/>
    <cellStyle name="Standaard 2 2 5 2 2 4 2 2" xfId="21114"/>
    <cellStyle name="Standaard 2 2 5 2 2 4 3" xfId="21115"/>
    <cellStyle name="Standaard 2 2 5 2 2 5" xfId="9198"/>
    <cellStyle name="Standaard 2 2 5 2 2 5 2" xfId="21116"/>
    <cellStyle name="Standaard 2 2 5 2 2 6" xfId="21117"/>
    <cellStyle name="Standaard 2 2 5 2 3" xfId="2454"/>
    <cellStyle name="Standaard 2 2 5 2 3 2" xfId="3471"/>
    <cellStyle name="Standaard 2 2 5 2 3 2 2" xfId="5505"/>
    <cellStyle name="Standaard 2 2 5 2 3 2 2 2" xfId="13467"/>
    <cellStyle name="Standaard 2 2 5 2 3 2 2 2 2" xfId="21118"/>
    <cellStyle name="Standaard 2 2 5 2 3 2 2 3" xfId="21119"/>
    <cellStyle name="Standaard 2 2 5 2 3 2 3" xfId="13466"/>
    <cellStyle name="Standaard 2 2 5 2 3 2 3 2" xfId="21120"/>
    <cellStyle name="Standaard 2 2 5 2 3 2 4" xfId="21121"/>
    <cellStyle name="Standaard 2 2 5 2 3 3" xfId="4488"/>
    <cellStyle name="Standaard 2 2 5 2 3 3 2" xfId="13468"/>
    <cellStyle name="Standaard 2 2 5 2 3 3 2 2" xfId="21122"/>
    <cellStyle name="Standaard 2 2 5 2 3 3 3" xfId="21123"/>
    <cellStyle name="Standaard 2 2 5 2 3 4" xfId="9200"/>
    <cellStyle name="Standaard 2 2 5 2 3 4 2" xfId="21124"/>
    <cellStyle name="Standaard 2 2 5 2 3 5" xfId="21125"/>
    <cellStyle name="Standaard 2 2 5 2 4" xfId="2958"/>
    <cellStyle name="Standaard 2 2 5 2 4 2" xfId="4992"/>
    <cellStyle name="Standaard 2 2 5 2 4 2 2" xfId="13470"/>
    <cellStyle name="Standaard 2 2 5 2 4 2 2 2" xfId="21126"/>
    <cellStyle name="Standaard 2 2 5 2 4 2 3" xfId="21127"/>
    <cellStyle name="Standaard 2 2 5 2 4 3" xfId="13469"/>
    <cellStyle name="Standaard 2 2 5 2 4 3 2" xfId="21128"/>
    <cellStyle name="Standaard 2 2 5 2 4 4" xfId="21129"/>
    <cellStyle name="Standaard 2 2 5 2 5" xfId="3975"/>
    <cellStyle name="Standaard 2 2 5 2 5 2" xfId="13471"/>
    <cellStyle name="Standaard 2 2 5 2 5 2 2" xfId="21130"/>
    <cellStyle name="Standaard 2 2 5 2 5 3" xfId="21131"/>
    <cellStyle name="Standaard 2 2 5 2 6" xfId="9197"/>
    <cellStyle name="Standaard 2 2 5 2 6 2" xfId="21132"/>
    <cellStyle name="Standaard 2 2 5 2 7" xfId="21133"/>
    <cellStyle name="Standaard 2 2 5 3" xfId="2036"/>
    <cellStyle name="Standaard 2 2 5 3 2" xfId="2580"/>
    <cellStyle name="Standaard 2 2 5 3 2 2" xfId="3597"/>
    <cellStyle name="Standaard 2 2 5 3 2 2 2" xfId="5631"/>
    <cellStyle name="Standaard 2 2 5 3 2 2 2 2" xfId="13473"/>
    <cellStyle name="Standaard 2 2 5 3 2 2 2 2 2" xfId="21134"/>
    <cellStyle name="Standaard 2 2 5 3 2 2 2 3" xfId="21135"/>
    <cellStyle name="Standaard 2 2 5 3 2 2 3" xfId="13472"/>
    <cellStyle name="Standaard 2 2 5 3 2 2 3 2" xfId="21136"/>
    <cellStyle name="Standaard 2 2 5 3 2 2 4" xfId="21137"/>
    <cellStyle name="Standaard 2 2 5 3 2 3" xfId="4614"/>
    <cellStyle name="Standaard 2 2 5 3 2 3 2" xfId="13474"/>
    <cellStyle name="Standaard 2 2 5 3 2 3 2 2" xfId="21138"/>
    <cellStyle name="Standaard 2 2 5 3 2 3 3" xfId="21139"/>
    <cellStyle name="Standaard 2 2 5 3 2 4" xfId="9202"/>
    <cellStyle name="Standaard 2 2 5 3 2 4 2" xfId="21140"/>
    <cellStyle name="Standaard 2 2 5 3 2 5" xfId="21141"/>
    <cellStyle name="Standaard 2 2 5 3 3" xfId="3084"/>
    <cellStyle name="Standaard 2 2 5 3 3 2" xfId="5118"/>
    <cellStyle name="Standaard 2 2 5 3 3 2 2" xfId="13476"/>
    <cellStyle name="Standaard 2 2 5 3 3 2 2 2" xfId="21142"/>
    <cellStyle name="Standaard 2 2 5 3 3 2 3" xfId="21143"/>
    <cellStyle name="Standaard 2 2 5 3 3 3" xfId="13475"/>
    <cellStyle name="Standaard 2 2 5 3 3 3 2" xfId="21144"/>
    <cellStyle name="Standaard 2 2 5 3 3 4" xfId="21145"/>
    <cellStyle name="Standaard 2 2 5 3 4" xfId="4101"/>
    <cellStyle name="Standaard 2 2 5 3 4 2" xfId="13477"/>
    <cellStyle name="Standaard 2 2 5 3 4 2 2" xfId="21146"/>
    <cellStyle name="Standaard 2 2 5 3 4 3" xfId="21147"/>
    <cellStyle name="Standaard 2 2 5 3 5" xfId="9201"/>
    <cellStyle name="Standaard 2 2 5 3 5 2" xfId="21148"/>
    <cellStyle name="Standaard 2 2 5 3 6" xfId="21149"/>
    <cellStyle name="Standaard 2 2 5 4" xfId="2328"/>
    <cellStyle name="Standaard 2 2 5 4 2" xfId="3345"/>
    <cellStyle name="Standaard 2 2 5 4 2 2" xfId="5379"/>
    <cellStyle name="Standaard 2 2 5 4 2 2 2" xfId="13479"/>
    <cellStyle name="Standaard 2 2 5 4 2 2 2 2" xfId="21150"/>
    <cellStyle name="Standaard 2 2 5 4 2 2 3" xfId="21151"/>
    <cellStyle name="Standaard 2 2 5 4 2 3" xfId="13478"/>
    <cellStyle name="Standaard 2 2 5 4 2 3 2" xfId="21152"/>
    <cellStyle name="Standaard 2 2 5 4 2 4" xfId="21153"/>
    <cellStyle name="Standaard 2 2 5 4 3" xfId="4362"/>
    <cellStyle name="Standaard 2 2 5 4 3 2" xfId="13480"/>
    <cellStyle name="Standaard 2 2 5 4 3 2 2" xfId="21154"/>
    <cellStyle name="Standaard 2 2 5 4 3 3" xfId="21155"/>
    <cellStyle name="Standaard 2 2 5 4 4" xfId="9203"/>
    <cellStyle name="Standaard 2 2 5 4 4 2" xfId="21156"/>
    <cellStyle name="Standaard 2 2 5 4 5" xfId="21157"/>
    <cellStyle name="Standaard 2 2 5 5" xfId="2832"/>
    <cellStyle name="Standaard 2 2 5 5 2" xfId="4866"/>
    <cellStyle name="Standaard 2 2 5 5 2 2" xfId="13482"/>
    <cellStyle name="Standaard 2 2 5 5 2 2 2" xfId="21158"/>
    <cellStyle name="Standaard 2 2 5 5 2 3" xfId="21159"/>
    <cellStyle name="Standaard 2 2 5 5 3" xfId="13481"/>
    <cellStyle name="Standaard 2 2 5 5 3 2" xfId="21160"/>
    <cellStyle name="Standaard 2 2 5 5 4" xfId="21161"/>
    <cellStyle name="Standaard 2 2 5 6" xfId="3849"/>
    <cellStyle name="Standaard 2 2 5 6 2" xfId="13483"/>
    <cellStyle name="Standaard 2 2 5 6 2 2" xfId="21162"/>
    <cellStyle name="Standaard 2 2 5 6 3" xfId="21163"/>
    <cellStyle name="Standaard 2 2 5 7" xfId="9196"/>
    <cellStyle name="Standaard 2 2 5 7 2" xfId="21164"/>
    <cellStyle name="Standaard 2 2 5 8" xfId="21165"/>
    <cellStyle name="Standaard 2 2 6" xfId="1826"/>
    <cellStyle name="Standaard 2 2 6 2" xfId="1952"/>
    <cellStyle name="Standaard 2 2 6 2 2" xfId="2204"/>
    <cellStyle name="Standaard 2 2 6 2 2 2" xfId="2748"/>
    <cellStyle name="Standaard 2 2 6 2 2 2 2" xfId="3765"/>
    <cellStyle name="Standaard 2 2 6 2 2 2 2 2" xfId="5799"/>
    <cellStyle name="Standaard 2 2 6 2 2 2 2 2 2" xfId="13485"/>
    <cellStyle name="Standaard 2 2 6 2 2 2 2 2 2 2" xfId="21166"/>
    <cellStyle name="Standaard 2 2 6 2 2 2 2 2 3" xfId="21167"/>
    <cellStyle name="Standaard 2 2 6 2 2 2 2 3" xfId="13484"/>
    <cellStyle name="Standaard 2 2 6 2 2 2 2 3 2" xfId="21168"/>
    <cellStyle name="Standaard 2 2 6 2 2 2 2 4" xfId="21169"/>
    <cellStyle name="Standaard 2 2 6 2 2 2 3" xfId="4782"/>
    <cellStyle name="Standaard 2 2 6 2 2 2 3 2" xfId="13486"/>
    <cellStyle name="Standaard 2 2 6 2 2 2 3 2 2" xfId="21170"/>
    <cellStyle name="Standaard 2 2 6 2 2 2 3 3" xfId="21171"/>
    <cellStyle name="Standaard 2 2 6 2 2 2 4" xfId="9207"/>
    <cellStyle name="Standaard 2 2 6 2 2 2 4 2" xfId="21172"/>
    <cellStyle name="Standaard 2 2 6 2 2 2 5" xfId="21173"/>
    <cellStyle name="Standaard 2 2 6 2 2 3" xfId="3252"/>
    <cellStyle name="Standaard 2 2 6 2 2 3 2" xfId="5286"/>
    <cellStyle name="Standaard 2 2 6 2 2 3 2 2" xfId="13488"/>
    <cellStyle name="Standaard 2 2 6 2 2 3 2 2 2" xfId="21174"/>
    <cellStyle name="Standaard 2 2 6 2 2 3 2 3" xfId="21175"/>
    <cellStyle name="Standaard 2 2 6 2 2 3 3" xfId="13487"/>
    <cellStyle name="Standaard 2 2 6 2 2 3 3 2" xfId="21176"/>
    <cellStyle name="Standaard 2 2 6 2 2 3 4" xfId="21177"/>
    <cellStyle name="Standaard 2 2 6 2 2 4" xfId="4269"/>
    <cellStyle name="Standaard 2 2 6 2 2 4 2" xfId="13489"/>
    <cellStyle name="Standaard 2 2 6 2 2 4 2 2" xfId="21178"/>
    <cellStyle name="Standaard 2 2 6 2 2 4 3" xfId="21179"/>
    <cellStyle name="Standaard 2 2 6 2 2 5" xfId="9206"/>
    <cellStyle name="Standaard 2 2 6 2 2 5 2" xfId="21180"/>
    <cellStyle name="Standaard 2 2 6 2 2 6" xfId="21181"/>
    <cellStyle name="Standaard 2 2 6 2 3" xfId="2496"/>
    <cellStyle name="Standaard 2 2 6 2 3 2" xfId="3513"/>
    <cellStyle name="Standaard 2 2 6 2 3 2 2" xfId="5547"/>
    <cellStyle name="Standaard 2 2 6 2 3 2 2 2" xfId="13491"/>
    <cellStyle name="Standaard 2 2 6 2 3 2 2 2 2" xfId="21182"/>
    <cellStyle name="Standaard 2 2 6 2 3 2 2 3" xfId="21183"/>
    <cellStyle name="Standaard 2 2 6 2 3 2 3" xfId="13490"/>
    <cellStyle name="Standaard 2 2 6 2 3 2 3 2" xfId="21184"/>
    <cellStyle name="Standaard 2 2 6 2 3 2 4" xfId="21185"/>
    <cellStyle name="Standaard 2 2 6 2 3 3" xfId="4530"/>
    <cellStyle name="Standaard 2 2 6 2 3 3 2" xfId="13492"/>
    <cellStyle name="Standaard 2 2 6 2 3 3 2 2" xfId="21186"/>
    <cellStyle name="Standaard 2 2 6 2 3 3 3" xfId="21187"/>
    <cellStyle name="Standaard 2 2 6 2 3 4" xfId="9208"/>
    <cellStyle name="Standaard 2 2 6 2 3 4 2" xfId="21188"/>
    <cellStyle name="Standaard 2 2 6 2 3 5" xfId="21189"/>
    <cellStyle name="Standaard 2 2 6 2 4" xfId="3000"/>
    <cellStyle name="Standaard 2 2 6 2 4 2" xfId="5034"/>
    <cellStyle name="Standaard 2 2 6 2 4 2 2" xfId="13494"/>
    <cellStyle name="Standaard 2 2 6 2 4 2 2 2" xfId="21190"/>
    <cellStyle name="Standaard 2 2 6 2 4 2 3" xfId="21191"/>
    <cellStyle name="Standaard 2 2 6 2 4 3" xfId="13493"/>
    <cellStyle name="Standaard 2 2 6 2 4 3 2" xfId="21192"/>
    <cellStyle name="Standaard 2 2 6 2 4 4" xfId="21193"/>
    <cellStyle name="Standaard 2 2 6 2 5" xfId="4017"/>
    <cellStyle name="Standaard 2 2 6 2 5 2" xfId="13495"/>
    <cellStyle name="Standaard 2 2 6 2 5 2 2" xfId="21194"/>
    <cellStyle name="Standaard 2 2 6 2 5 3" xfId="21195"/>
    <cellStyle name="Standaard 2 2 6 2 6" xfId="9205"/>
    <cellStyle name="Standaard 2 2 6 2 6 2" xfId="21196"/>
    <cellStyle name="Standaard 2 2 6 2 7" xfId="21197"/>
    <cellStyle name="Standaard 2 2 6 3" xfId="2078"/>
    <cellStyle name="Standaard 2 2 6 3 2" xfId="2622"/>
    <cellStyle name="Standaard 2 2 6 3 2 2" xfId="3639"/>
    <cellStyle name="Standaard 2 2 6 3 2 2 2" xfId="5673"/>
    <cellStyle name="Standaard 2 2 6 3 2 2 2 2" xfId="13497"/>
    <cellStyle name="Standaard 2 2 6 3 2 2 2 2 2" xfId="21198"/>
    <cellStyle name="Standaard 2 2 6 3 2 2 2 3" xfId="21199"/>
    <cellStyle name="Standaard 2 2 6 3 2 2 3" xfId="13496"/>
    <cellStyle name="Standaard 2 2 6 3 2 2 3 2" xfId="21200"/>
    <cellStyle name="Standaard 2 2 6 3 2 2 4" xfId="21201"/>
    <cellStyle name="Standaard 2 2 6 3 2 3" xfId="4656"/>
    <cellStyle name="Standaard 2 2 6 3 2 3 2" xfId="13498"/>
    <cellStyle name="Standaard 2 2 6 3 2 3 2 2" xfId="21202"/>
    <cellStyle name="Standaard 2 2 6 3 2 3 3" xfId="21203"/>
    <cellStyle name="Standaard 2 2 6 3 2 4" xfId="9210"/>
    <cellStyle name="Standaard 2 2 6 3 2 4 2" xfId="21204"/>
    <cellStyle name="Standaard 2 2 6 3 2 5" xfId="21205"/>
    <cellStyle name="Standaard 2 2 6 3 3" xfId="3126"/>
    <cellStyle name="Standaard 2 2 6 3 3 2" xfId="5160"/>
    <cellStyle name="Standaard 2 2 6 3 3 2 2" xfId="13500"/>
    <cellStyle name="Standaard 2 2 6 3 3 2 2 2" xfId="21206"/>
    <cellStyle name="Standaard 2 2 6 3 3 2 3" xfId="21207"/>
    <cellStyle name="Standaard 2 2 6 3 3 3" xfId="13499"/>
    <cellStyle name="Standaard 2 2 6 3 3 3 2" xfId="21208"/>
    <cellStyle name="Standaard 2 2 6 3 3 4" xfId="21209"/>
    <cellStyle name="Standaard 2 2 6 3 4" xfId="4143"/>
    <cellStyle name="Standaard 2 2 6 3 4 2" xfId="13501"/>
    <cellStyle name="Standaard 2 2 6 3 4 2 2" xfId="21210"/>
    <cellStyle name="Standaard 2 2 6 3 4 3" xfId="21211"/>
    <cellStyle name="Standaard 2 2 6 3 5" xfId="9209"/>
    <cellStyle name="Standaard 2 2 6 3 5 2" xfId="21212"/>
    <cellStyle name="Standaard 2 2 6 3 6" xfId="21213"/>
    <cellStyle name="Standaard 2 2 6 4" xfId="2370"/>
    <cellStyle name="Standaard 2 2 6 4 2" xfId="3387"/>
    <cellStyle name="Standaard 2 2 6 4 2 2" xfId="5421"/>
    <cellStyle name="Standaard 2 2 6 4 2 2 2" xfId="13503"/>
    <cellStyle name="Standaard 2 2 6 4 2 2 2 2" xfId="21214"/>
    <cellStyle name="Standaard 2 2 6 4 2 2 3" xfId="21215"/>
    <cellStyle name="Standaard 2 2 6 4 2 3" xfId="13502"/>
    <cellStyle name="Standaard 2 2 6 4 2 3 2" xfId="21216"/>
    <cellStyle name="Standaard 2 2 6 4 2 4" xfId="21217"/>
    <cellStyle name="Standaard 2 2 6 4 3" xfId="4404"/>
    <cellStyle name="Standaard 2 2 6 4 3 2" xfId="13504"/>
    <cellStyle name="Standaard 2 2 6 4 3 2 2" xfId="21218"/>
    <cellStyle name="Standaard 2 2 6 4 3 3" xfId="21219"/>
    <cellStyle name="Standaard 2 2 6 4 4" xfId="9211"/>
    <cellStyle name="Standaard 2 2 6 4 4 2" xfId="21220"/>
    <cellStyle name="Standaard 2 2 6 4 5" xfId="21221"/>
    <cellStyle name="Standaard 2 2 6 5" xfId="2874"/>
    <cellStyle name="Standaard 2 2 6 5 2" xfId="4908"/>
    <cellStyle name="Standaard 2 2 6 5 2 2" xfId="13506"/>
    <cellStyle name="Standaard 2 2 6 5 2 2 2" xfId="21222"/>
    <cellStyle name="Standaard 2 2 6 5 2 3" xfId="21223"/>
    <cellStyle name="Standaard 2 2 6 5 3" xfId="13505"/>
    <cellStyle name="Standaard 2 2 6 5 3 2" xfId="21224"/>
    <cellStyle name="Standaard 2 2 6 5 4" xfId="21225"/>
    <cellStyle name="Standaard 2 2 6 6" xfId="3891"/>
    <cellStyle name="Standaard 2 2 6 6 2" xfId="13507"/>
    <cellStyle name="Standaard 2 2 6 6 2 2" xfId="21226"/>
    <cellStyle name="Standaard 2 2 6 6 3" xfId="21227"/>
    <cellStyle name="Standaard 2 2 6 7" xfId="9204"/>
    <cellStyle name="Standaard 2 2 6 7 2" xfId="21228"/>
    <cellStyle name="Standaard 2 2 6 8" xfId="21229"/>
    <cellStyle name="Standaard 2 2 7" xfId="1868"/>
    <cellStyle name="Standaard 2 2 7 2" xfId="2120"/>
    <cellStyle name="Standaard 2 2 7 2 2" xfId="2664"/>
    <cellStyle name="Standaard 2 2 7 2 2 2" xfId="3681"/>
    <cellStyle name="Standaard 2 2 7 2 2 2 2" xfId="5715"/>
    <cellStyle name="Standaard 2 2 7 2 2 2 2 2" xfId="13509"/>
    <cellStyle name="Standaard 2 2 7 2 2 2 2 2 2" xfId="21230"/>
    <cellStyle name="Standaard 2 2 7 2 2 2 2 3" xfId="21231"/>
    <cellStyle name="Standaard 2 2 7 2 2 2 3" xfId="13508"/>
    <cellStyle name="Standaard 2 2 7 2 2 2 3 2" xfId="21232"/>
    <cellStyle name="Standaard 2 2 7 2 2 2 4" xfId="21233"/>
    <cellStyle name="Standaard 2 2 7 2 2 3" xfId="4698"/>
    <cellStyle name="Standaard 2 2 7 2 2 3 2" xfId="13510"/>
    <cellStyle name="Standaard 2 2 7 2 2 3 2 2" xfId="21234"/>
    <cellStyle name="Standaard 2 2 7 2 2 3 3" xfId="21235"/>
    <cellStyle name="Standaard 2 2 7 2 2 4" xfId="9214"/>
    <cellStyle name="Standaard 2 2 7 2 2 4 2" xfId="21236"/>
    <cellStyle name="Standaard 2 2 7 2 2 5" xfId="21237"/>
    <cellStyle name="Standaard 2 2 7 2 3" xfId="3168"/>
    <cellStyle name="Standaard 2 2 7 2 3 2" xfId="5202"/>
    <cellStyle name="Standaard 2 2 7 2 3 2 2" xfId="13512"/>
    <cellStyle name="Standaard 2 2 7 2 3 2 2 2" xfId="21238"/>
    <cellStyle name="Standaard 2 2 7 2 3 2 3" xfId="21239"/>
    <cellStyle name="Standaard 2 2 7 2 3 3" xfId="13511"/>
    <cellStyle name="Standaard 2 2 7 2 3 3 2" xfId="21240"/>
    <cellStyle name="Standaard 2 2 7 2 3 4" xfId="21241"/>
    <cellStyle name="Standaard 2 2 7 2 4" xfId="4185"/>
    <cellStyle name="Standaard 2 2 7 2 4 2" xfId="13513"/>
    <cellStyle name="Standaard 2 2 7 2 4 2 2" xfId="21242"/>
    <cellStyle name="Standaard 2 2 7 2 4 3" xfId="21243"/>
    <cellStyle name="Standaard 2 2 7 2 5" xfId="9213"/>
    <cellStyle name="Standaard 2 2 7 2 5 2" xfId="21244"/>
    <cellStyle name="Standaard 2 2 7 2 6" xfId="21245"/>
    <cellStyle name="Standaard 2 2 7 3" xfId="2412"/>
    <cellStyle name="Standaard 2 2 7 3 2" xfId="3429"/>
    <cellStyle name="Standaard 2 2 7 3 2 2" xfId="5463"/>
    <cellStyle name="Standaard 2 2 7 3 2 2 2" xfId="13515"/>
    <cellStyle name="Standaard 2 2 7 3 2 2 2 2" xfId="21246"/>
    <cellStyle name="Standaard 2 2 7 3 2 2 3" xfId="21247"/>
    <cellStyle name="Standaard 2 2 7 3 2 3" xfId="13514"/>
    <cellStyle name="Standaard 2 2 7 3 2 3 2" xfId="21248"/>
    <cellStyle name="Standaard 2 2 7 3 2 4" xfId="21249"/>
    <cellStyle name="Standaard 2 2 7 3 3" xfId="4446"/>
    <cellStyle name="Standaard 2 2 7 3 3 2" xfId="13516"/>
    <cellStyle name="Standaard 2 2 7 3 3 2 2" xfId="21250"/>
    <cellStyle name="Standaard 2 2 7 3 3 3" xfId="21251"/>
    <cellStyle name="Standaard 2 2 7 3 4" xfId="9215"/>
    <cellStyle name="Standaard 2 2 7 3 4 2" xfId="21252"/>
    <cellStyle name="Standaard 2 2 7 3 5" xfId="21253"/>
    <cellStyle name="Standaard 2 2 7 4" xfId="2916"/>
    <cellStyle name="Standaard 2 2 7 4 2" xfId="4950"/>
    <cellStyle name="Standaard 2 2 7 4 2 2" xfId="13518"/>
    <cellStyle name="Standaard 2 2 7 4 2 2 2" xfId="21254"/>
    <cellStyle name="Standaard 2 2 7 4 2 3" xfId="21255"/>
    <cellStyle name="Standaard 2 2 7 4 3" xfId="13517"/>
    <cellStyle name="Standaard 2 2 7 4 3 2" xfId="21256"/>
    <cellStyle name="Standaard 2 2 7 4 4" xfId="21257"/>
    <cellStyle name="Standaard 2 2 7 5" xfId="3933"/>
    <cellStyle name="Standaard 2 2 7 5 2" xfId="13519"/>
    <cellStyle name="Standaard 2 2 7 5 2 2" xfId="21258"/>
    <cellStyle name="Standaard 2 2 7 5 3" xfId="21259"/>
    <cellStyle name="Standaard 2 2 7 6" xfId="9212"/>
    <cellStyle name="Standaard 2 2 7 6 2" xfId="21260"/>
    <cellStyle name="Standaard 2 2 7 7" xfId="21261"/>
    <cellStyle name="Standaard 2 2 8" xfId="1994"/>
    <cellStyle name="Standaard 2 2 8 2" xfId="2538"/>
    <cellStyle name="Standaard 2 2 8 2 2" xfId="3555"/>
    <cellStyle name="Standaard 2 2 8 2 2 2" xfId="5589"/>
    <cellStyle name="Standaard 2 2 8 2 2 2 2" xfId="13521"/>
    <cellStyle name="Standaard 2 2 8 2 2 2 2 2" xfId="21262"/>
    <cellStyle name="Standaard 2 2 8 2 2 2 3" xfId="21263"/>
    <cellStyle name="Standaard 2 2 8 2 2 3" xfId="13520"/>
    <cellStyle name="Standaard 2 2 8 2 2 3 2" xfId="21264"/>
    <cellStyle name="Standaard 2 2 8 2 2 4" xfId="21265"/>
    <cellStyle name="Standaard 2 2 8 2 3" xfId="4572"/>
    <cellStyle name="Standaard 2 2 8 2 3 2" xfId="13522"/>
    <cellStyle name="Standaard 2 2 8 2 3 2 2" xfId="21266"/>
    <cellStyle name="Standaard 2 2 8 2 3 3" xfId="21267"/>
    <cellStyle name="Standaard 2 2 8 2 4" xfId="9217"/>
    <cellStyle name="Standaard 2 2 8 2 4 2" xfId="21268"/>
    <cellStyle name="Standaard 2 2 8 2 5" xfId="21269"/>
    <cellStyle name="Standaard 2 2 8 3" xfId="3042"/>
    <cellStyle name="Standaard 2 2 8 3 2" xfId="5076"/>
    <cellStyle name="Standaard 2 2 8 3 2 2" xfId="13524"/>
    <cellStyle name="Standaard 2 2 8 3 2 2 2" xfId="21270"/>
    <cellStyle name="Standaard 2 2 8 3 2 3" xfId="21271"/>
    <cellStyle name="Standaard 2 2 8 3 3" xfId="13523"/>
    <cellStyle name="Standaard 2 2 8 3 3 2" xfId="21272"/>
    <cellStyle name="Standaard 2 2 8 3 4" xfId="21273"/>
    <cellStyle name="Standaard 2 2 8 4" xfId="4059"/>
    <cellStyle name="Standaard 2 2 8 4 2" xfId="13525"/>
    <cellStyle name="Standaard 2 2 8 4 2 2" xfId="21274"/>
    <cellStyle name="Standaard 2 2 8 4 3" xfId="21275"/>
    <cellStyle name="Standaard 2 2 8 5" xfId="9216"/>
    <cellStyle name="Standaard 2 2 8 5 2" xfId="21276"/>
    <cellStyle name="Standaard 2 2 8 6" xfId="21277"/>
    <cellStyle name="Standaard 2 2 9" xfId="2286"/>
    <cellStyle name="Standaard 2 2 9 2" xfId="3303"/>
    <cellStyle name="Standaard 2 2 9 2 2" xfId="5337"/>
    <cellStyle name="Standaard 2 2 9 2 2 2" xfId="13527"/>
    <cellStyle name="Standaard 2 2 9 2 2 2 2" xfId="21278"/>
    <cellStyle name="Standaard 2 2 9 2 2 3" xfId="21279"/>
    <cellStyle name="Standaard 2 2 9 2 3" xfId="13526"/>
    <cellStyle name="Standaard 2 2 9 2 3 2" xfId="21280"/>
    <cellStyle name="Standaard 2 2 9 2 4" xfId="21281"/>
    <cellStyle name="Standaard 2 2 9 3" xfId="4320"/>
    <cellStyle name="Standaard 2 2 9 3 2" xfId="13528"/>
    <cellStyle name="Standaard 2 2 9 3 2 2" xfId="21282"/>
    <cellStyle name="Standaard 2 2 9 3 3" xfId="21283"/>
    <cellStyle name="Standaard 2 2 9 4" xfId="9218"/>
    <cellStyle name="Standaard 2 2 9 4 2" xfId="21284"/>
    <cellStyle name="Standaard 2 2 9 5" xfId="21285"/>
    <cellStyle name="Standaard 2 3" xfId="1165"/>
    <cellStyle name="Standaard 2 3 10" xfId="2792"/>
    <cellStyle name="Standaard 2 3 10 2" xfId="4826"/>
    <cellStyle name="Standaard 2 3 10 2 2" xfId="13530"/>
    <cellStyle name="Standaard 2 3 10 2 2 2" xfId="21286"/>
    <cellStyle name="Standaard 2 3 10 2 3" xfId="21287"/>
    <cellStyle name="Standaard 2 3 10 3" xfId="13529"/>
    <cellStyle name="Standaard 2 3 10 3 2" xfId="21288"/>
    <cellStyle name="Standaard 2 3 10 4" xfId="21289"/>
    <cellStyle name="Standaard 2 3 11" xfId="3809"/>
    <cellStyle name="Standaard 2 3 11 2" xfId="13531"/>
    <cellStyle name="Standaard 2 3 11 2 2" xfId="21290"/>
    <cellStyle name="Standaard 2 3 11 3" xfId="21291"/>
    <cellStyle name="Standaard 2 3 12" xfId="9219"/>
    <cellStyle name="Standaard 2 3 12 2" xfId="21292"/>
    <cellStyle name="Standaard 2 3 13" xfId="21293"/>
    <cellStyle name="Standaard 2 3 2" xfId="1166"/>
    <cellStyle name="Standaard 2 3 2 10" xfId="3810"/>
    <cellStyle name="Standaard 2 3 2 10 2" xfId="13532"/>
    <cellStyle name="Standaard 2 3 2 10 2 2" xfId="21294"/>
    <cellStyle name="Standaard 2 3 2 10 3" xfId="21295"/>
    <cellStyle name="Standaard 2 3 2 11" xfId="9220"/>
    <cellStyle name="Standaard 2 3 2 11 2" xfId="21296"/>
    <cellStyle name="Standaard 2 3 2 12" xfId="21297"/>
    <cellStyle name="Standaard 2 3 2 2" xfId="1757"/>
    <cellStyle name="Standaard 2 3 2 2 10" xfId="21298"/>
    <cellStyle name="Standaard 2 3 2 2 2" xfId="1801"/>
    <cellStyle name="Standaard 2 3 2 2 2 2" xfId="1927"/>
    <cellStyle name="Standaard 2 3 2 2 2 2 2" xfId="2179"/>
    <cellStyle name="Standaard 2 3 2 2 2 2 2 2" xfId="2723"/>
    <cellStyle name="Standaard 2 3 2 2 2 2 2 2 2" xfId="3740"/>
    <cellStyle name="Standaard 2 3 2 2 2 2 2 2 2 2" xfId="5774"/>
    <cellStyle name="Standaard 2 3 2 2 2 2 2 2 2 2 2" xfId="13534"/>
    <cellStyle name="Standaard 2 3 2 2 2 2 2 2 2 2 2 2" xfId="21299"/>
    <cellStyle name="Standaard 2 3 2 2 2 2 2 2 2 2 3" xfId="21300"/>
    <cellStyle name="Standaard 2 3 2 2 2 2 2 2 2 3" xfId="13533"/>
    <cellStyle name="Standaard 2 3 2 2 2 2 2 2 2 3 2" xfId="21301"/>
    <cellStyle name="Standaard 2 3 2 2 2 2 2 2 2 4" xfId="21302"/>
    <cellStyle name="Standaard 2 3 2 2 2 2 2 2 3" xfId="4757"/>
    <cellStyle name="Standaard 2 3 2 2 2 2 2 2 3 2" xfId="13535"/>
    <cellStyle name="Standaard 2 3 2 2 2 2 2 2 3 2 2" xfId="21303"/>
    <cellStyle name="Standaard 2 3 2 2 2 2 2 2 3 3" xfId="21304"/>
    <cellStyle name="Standaard 2 3 2 2 2 2 2 2 4" xfId="9225"/>
    <cellStyle name="Standaard 2 3 2 2 2 2 2 2 4 2" xfId="21305"/>
    <cellStyle name="Standaard 2 3 2 2 2 2 2 2 5" xfId="21306"/>
    <cellStyle name="Standaard 2 3 2 2 2 2 2 3" xfId="3227"/>
    <cellStyle name="Standaard 2 3 2 2 2 2 2 3 2" xfId="5261"/>
    <cellStyle name="Standaard 2 3 2 2 2 2 2 3 2 2" xfId="13537"/>
    <cellStyle name="Standaard 2 3 2 2 2 2 2 3 2 2 2" xfId="21307"/>
    <cellStyle name="Standaard 2 3 2 2 2 2 2 3 2 3" xfId="21308"/>
    <cellStyle name="Standaard 2 3 2 2 2 2 2 3 3" xfId="13536"/>
    <cellStyle name="Standaard 2 3 2 2 2 2 2 3 3 2" xfId="21309"/>
    <cellStyle name="Standaard 2 3 2 2 2 2 2 3 4" xfId="21310"/>
    <cellStyle name="Standaard 2 3 2 2 2 2 2 4" xfId="4244"/>
    <cellStyle name="Standaard 2 3 2 2 2 2 2 4 2" xfId="13538"/>
    <cellStyle name="Standaard 2 3 2 2 2 2 2 4 2 2" xfId="21311"/>
    <cellStyle name="Standaard 2 3 2 2 2 2 2 4 3" xfId="21312"/>
    <cellStyle name="Standaard 2 3 2 2 2 2 2 5" xfId="9224"/>
    <cellStyle name="Standaard 2 3 2 2 2 2 2 5 2" xfId="21313"/>
    <cellStyle name="Standaard 2 3 2 2 2 2 2 6" xfId="21314"/>
    <cellStyle name="Standaard 2 3 2 2 2 2 3" xfId="2471"/>
    <cellStyle name="Standaard 2 3 2 2 2 2 3 2" xfId="3488"/>
    <cellStyle name="Standaard 2 3 2 2 2 2 3 2 2" xfId="5522"/>
    <cellStyle name="Standaard 2 3 2 2 2 2 3 2 2 2" xfId="13540"/>
    <cellStyle name="Standaard 2 3 2 2 2 2 3 2 2 2 2" xfId="21315"/>
    <cellStyle name="Standaard 2 3 2 2 2 2 3 2 2 3" xfId="21316"/>
    <cellStyle name="Standaard 2 3 2 2 2 2 3 2 3" xfId="13539"/>
    <cellStyle name="Standaard 2 3 2 2 2 2 3 2 3 2" xfId="21317"/>
    <cellStyle name="Standaard 2 3 2 2 2 2 3 2 4" xfId="21318"/>
    <cellStyle name="Standaard 2 3 2 2 2 2 3 3" xfId="4505"/>
    <cellStyle name="Standaard 2 3 2 2 2 2 3 3 2" xfId="13541"/>
    <cellStyle name="Standaard 2 3 2 2 2 2 3 3 2 2" xfId="21319"/>
    <cellStyle name="Standaard 2 3 2 2 2 2 3 3 3" xfId="21320"/>
    <cellStyle name="Standaard 2 3 2 2 2 2 3 4" xfId="9226"/>
    <cellStyle name="Standaard 2 3 2 2 2 2 3 4 2" xfId="21321"/>
    <cellStyle name="Standaard 2 3 2 2 2 2 3 5" xfId="21322"/>
    <cellStyle name="Standaard 2 3 2 2 2 2 4" xfId="2975"/>
    <cellStyle name="Standaard 2 3 2 2 2 2 4 2" xfId="5009"/>
    <cellStyle name="Standaard 2 3 2 2 2 2 4 2 2" xfId="13543"/>
    <cellStyle name="Standaard 2 3 2 2 2 2 4 2 2 2" xfId="21323"/>
    <cellStyle name="Standaard 2 3 2 2 2 2 4 2 3" xfId="21324"/>
    <cellStyle name="Standaard 2 3 2 2 2 2 4 3" xfId="13542"/>
    <cellStyle name="Standaard 2 3 2 2 2 2 4 3 2" xfId="21325"/>
    <cellStyle name="Standaard 2 3 2 2 2 2 4 4" xfId="21326"/>
    <cellStyle name="Standaard 2 3 2 2 2 2 5" xfId="3992"/>
    <cellStyle name="Standaard 2 3 2 2 2 2 5 2" xfId="13544"/>
    <cellStyle name="Standaard 2 3 2 2 2 2 5 2 2" xfId="21327"/>
    <cellStyle name="Standaard 2 3 2 2 2 2 5 3" xfId="21328"/>
    <cellStyle name="Standaard 2 3 2 2 2 2 6" xfId="9223"/>
    <cellStyle name="Standaard 2 3 2 2 2 2 6 2" xfId="21329"/>
    <cellStyle name="Standaard 2 3 2 2 2 2 7" xfId="21330"/>
    <cellStyle name="Standaard 2 3 2 2 2 3" xfId="2053"/>
    <cellStyle name="Standaard 2 3 2 2 2 3 2" xfId="2597"/>
    <cellStyle name="Standaard 2 3 2 2 2 3 2 2" xfId="3614"/>
    <cellStyle name="Standaard 2 3 2 2 2 3 2 2 2" xfId="5648"/>
    <cellStyle name="Standaard 2 3 2 2 2 3 2 2 2 2" xfId="13546"/>
    <cellStyle name="Standaard 2 3 2 2 2 3 2 2 2 2 2" xfId="21331"/>
    <cellStyle name="Standaard 2 3 2 2 2 3 2 2 2 3" xfId="21332"/>
    <cellStyle name="Standaard 2 3 2 2 2 3 2 2 3" xfId="13545"/>
    <cellStyle name="Standaard 2 3 2 2 2 3 2 2 3 2" xfId="21333"/>
    <cellStyle name="Standaard 2 3 2 2 2 3 2 2 4" xfId="21334"/>
    <cellStyle name="Standaard 2 3 2 2 2 3 2 3" xfId="4631"/>
    <cellStyle name="Standaard 2 3 2 2 2 3 2 3 2" xfId="13547"/>
    <cellStyle name="Standaard 2 3 2 2 2 3 2 3 2 2" xfId="21335"/>
    <cellStyle name="Standaard 2 3 2 2 2 3 2 3 3" xfId="21336"/>
    <cellStyle name="Standaard 2 3 2 2 2 3 2 4" xfId="9228"/>
    <cellStyle name="Standaard 2 3 2 2 2 3 2 4 2" xfId="21337"/>
    <cellStyle name="Standaard 2 3 2 2 2 3 2 5" xfId="21338"/>
    <cellStyle name="Standaard 2 3 2 2 2 3 3" xfId="3101"/>
    <cellStyle name="Standaard 2 3 2 2 2 3 3 2" xfId="5135"/>
    <cellStyle name="Standaard 2 3 2 2 2 3 3 2 2" xfId="13549"/>
    <cellStyle name="Standaard 2 3 2 2 2 3 3 2 2 2" xfId="21339"/>
    <cellStyle name="Standaard 2 3 2 2 2 3 3 2 3" xfId="21340"/>
    <cellStyle name="Standaard 2 3 2 2 2 3 3 3" xfId="13548"/>
    <cellStyle name="Standaard 2 3 2 2 2 3 3 3 2" xfId="21341"/>
    <cellStyle name="Standaard 2 3 2 2 2 3 3 4" xfId="21342"/>
    <cellStyle name="Standaard 2 3 2 2 2 3 4" xfId="4118"/>
    <cellStyle name="Standaard 2 3 2 2 2 3 4 2" xfId="13550"/>
    <cellStyle name="Standaard 2 3 2 2 2 3 4 2 2" xfId="21343"/>
    <cellStyle name="Standaard 2 3 2 2 2 3 4 3" xfId="21344"/>
    <cellStyle name="Standaard 2 3 2 2 2 3 5" xfId="9227"/>
    <cellStyle name="Standaard 2 3 2 2 2 3 5 2" xfId="21345"/>
    <cellStyle name="Standaard 2 3 2 2 2 3 6" xfId="21346"/>
    <cellStyle name="Standaard 2 3 2 2 2 4" xfId="2345"/>
    <cellStyle name="Standaard 2 3 2 2 2 4 2" xfId="3362"/>
    <cellStyle name="Standaard 2 3 2 2 2 4 2 2" xfId="5396"/>
    <cellStyle name="Standaard 2 3 2 2 2 4 2 2 2" xfId="13552"/>
    <cellStyle name="Standaard 2 3 2 2 2 4 2 2 2 2" xfId="21347"/>
    <cellStyle name="Standaard 2 3 2 2 2 4 2 2 3" xfId="21348"/>
    <cellStyle name="Standaard 2 3 2 2 2 4 2 3" xfId="13551"/>
    <cellStyle name="Standaard 2 3 2 2 2 4 2 3 2" xfId="21349"/>
    <cellStyle name="Standaard 2 3 2 2 2 4 2 4" xfId="21350"/>
    <cellStyle name="Standaard 2 3 2 2 2 4 3" xfId="4379"/>
    <cellStyle name="Standaard 2 3 2 2 2 4 3 2" xfId="13553"/>
    <cellStyle name="Standaard 2 3 2 2 2 4 3 2 2" xfId="21351"/>
    <cellStyle name="Standaard 2 3 2 2 2 4 3 3" xfId="21352"/>
    <cellStyle name="Standaard 2 3 2 2 2 4 4" xfId="9229"/>
    <cellStyle name="Standaard 2 3 2 2 2 4 4 2" xfId="21353"/>
    <cellStyle name="Standaard 2 3 2 2 2 4 5" xfId="21354"/>
    <cellStyle name="Standaard 2 3 2 2 2 5" xfId="2849"/>
    <cellStyle name="Standaard 2 3 2 2 2 5 2" xfId="4883"/>
    <cellStyle name="Standaard 2 3 2 2 2 5 2 2" xfId="13555"/>
    <cellStyle name="Standaard 2 3 2 2 2 5 2 2 2" xfId="21355"/>
    <cellStyle name="Standaard 2 3 2 2 2 5 2 3" xfId="21356"/>
    <cellStyle name="Standaard 2 3 2 2 2 5 3" xfId="13554"/>
    <cellStyle name="Standaard 2 3 2 2 2 5 3 2" xfId="21357"/>
    <cellStyle name="Standaard 2 3 2 2 2 5 4" xfId="21358"/>
    <cellStyle name="Standaard 2 3 2 2 2 6" xfId="3866"/>
    <cellStyle name="Standaard 2 3 2 2 2 6 2" xfId="13556"/>
    <cellStyle name="Standaard 2 3 2 2 2 6 2 2" xfId="21359"/>
    <cellStyle name="Standaard 2 3 2 2 2 6 3" xfId="21360"/>
    <cellStyle name="Standaard 2 3 2 2 2 7" xfId="9222"/>
    <cellStyle name="Standaard 2 3 2 2 2 7 2" xfId="21361"/>
    <cellStyle name="Standaard 2 3 2 2 2 8" xfId="21362"/>
    <cellStyle name="Standaard 2 3 2 2 3" xfId="1843"/>
    <cellStyle name="Standaard 2 3 2 2 3 2" xfId="1969"/>
    <cellStyle name="Standaard 2 3 2 2 3 2 2" xfId="2221"/>
    <cellStyle name="Standaard 2 3 2 2 3 2 2 2" xfId="2765"/>
    <cellStyle name="Standaard 2 3 2 2 3 2 2 2 2" xfId="3782"/>
    <cellStyle name="Standaard 2 3 2 2 3 2 2 2 2 2" xfId="5816"/>
    <cellStyle name="Standaard 2 3 2 2 3 2 2 2 2 2 2" xfId="13558"/>
    <cellStyle name="Standaard 2 3 2 2 3 2 2 2 2 2 2 2" xfId="21363"/>
    <cellStyle name="Standaard 2 3 2 2 3 2 2 2 2 2 3" xfId="21364"/>
    <cellStyle name="Standaard 2 3 2 2 3 2 2 2 2 3" xfId="13557"/>
    <cellStyle name="Standaard 2 3 2 2 3 2 2 2 2 3 2" xfId="21365"/>
    <cellStyle name="Standaard 2 3 2 2 3 2 2 2 2 4" xfId="21366"/>
    <cellStyle name="Standaard 2 3 2 2 3 2 2 2 3" xfId="4799"/>
    <cellStyle name="Standaard 2 3 2 2 3 2 2 2 3 2" xfId="13559"/>
    <cellStyle name="Standaard 2 3 2 2 3 2 2 2 3 2 2" xfId="21367"/>
    <cellStyle name="Standaard 2 3 2 2 3 2 2 2 3 3" xfId="21368"/>
    <cellStyle name="Standaard 2 3 2 2 3 2 2 2 4" xfId="9233"/>
    <cellStyle name="Standaard 2 3 2 2 3 2 2 2 4 2" xfId="21369"/>
    <cellStyle name="Standaard 2 3 2 2 3 2 2 2 5" xfId="21370"/>
    <cellStyle name="Standaard 2 3 2 2 3 2 2 3" xfId="3269"/>
    <cellStyle name="Standaard 2 3 2 2 3 2 2 3 2" xfId="5303"/>
    <cellStyle name="Standaard 2 3 2 2 3 2 2 3 2 2" xfId="13561"/>
    <cellStyle name="Standaard 2 3 2 2 3 2 2 3 2 2 2" xfId="21371"/>
    <cellStyle name="Standaard 2 3 2 2 3 2 2 3 2 3" xfId="21372"/>
    <cellStyle name="Standaard 2 3 2 2 3 2 2 3 3" xfId="13560"/>
    <cellStyle name="Standaard 2 3 2 2 3 2 2 3 3 2" xfId="21373"/>
    <cellStyle name="Standaard 2 3 2 2 3 2 2 3 4" xfId="21374"/>
    <cellStyle name="Standaard 2 3 2 2 3 2 2 4" xfId="4286"/>
    <cellStyle name="Standaard 2 3 2 2 3 2 2 4 2" xfId="13562"/>
    <cellStyle name="Standaard 2 3 2 2 3 2 2 4 2 2" xfId="21375"/>
    <cellStyle name="Standaard 2 3 2 2 3 2 2 4 3" xfId="21376"/>
    <cellStyle name="Standaard 2 3 2 2 3 2 2 5" xfId="9232"/>
    <cellStyle name="Standaard 2 3 2 2 3 2 2 5 2" xfId="21377"/>
    <cellStyle name="Standaard 2 3 2 2 3 2 2 6" xfId="21378"/>
    <cellStyle name="Standaard 2 3 2 2 3 2 3" xfId="2513"/>
    <cellStyle name="Standaard 2 3 2 2 3 2 3 2" xfId="3530"/>
    <cellStyle name="Standaard 2 3 2 2 3 2 3 2 2" xfId="5564"/>
    <cellStyle name="Standaard 2 3 2 2 3 2 3 2 2 2" xfId="13564"/>
    <cellStyle name="Standaard 2 3 2 2 3 2 3 2 2 2 2" xfId="21379"/>
    <cellStyle name="Standaard 2 3 2 2 3 2 3 2 2 3" xfId="21380"/>
    <cellStyle name="Standaard 2 3 2 2 3 2 3 2 3" xfId="13563"/>
    <cellStyle name="Standaard 2 3 2 2 3 2 3 2 3 2" xfId="21381"/>
    <cellStyle name="Standaard 2 3 2 2 3 2 3 2 4" xfId="21382"/>
    <cellStyle name="Standaard 2 3 2 2 3 2 3 3" xfId="4547"/>
    <cellStyle name="Standaard 2 3 2 2 3 2 3 3 2" xfId="13565"/>
    <cellStyle name="Standaard 2 3 2 2 3 2 3 3 2 2" xfId="21383"/>
    <cellStyle name="Standaard 2 3 2 2 3 2 3 3 3" xfId="21384"/>
    <cellStyle name="Standaard 2 3 2 2 3 2 3 4" xfId="9234"/>
    <cellStyle name="Standaard 2 3 2 2 3 2 3 4 2" xfId="21385"/>
    <cellStyle name="Standaard 2 3 2 2 3 2 3 5" xfId="21386"/>
    <cellStyle name="Standaard 2 3 2 2 3 2 4" xfId="3017"/>
    <cellStyle name="Standaard 2 3 2 2 3 2 4 2" xfId="5051"/>
    <cellStyle name="Standaard 2 3 2 2 3 2 4 2 2" xfId="13567"/>
    <cellStyle name="Standaard 2 3 2 2 3 2 4 2 2 2" xfId="21387"/>
    <cellStyle name="Standaard 2 3 2 2 3 2 4 2 3" xfId="21388"/>
    <cellStyle name="Standaard 2 3 2 2 3 2 4 3" xfId="13566"/>
    <cellStyle name="Standaard 2 3 2 2 3 2 4 3 2" xfId="21389"/>
    <cellStyle name="Standaard 2 3 2 2 3 2 4 4" xfId="21390"/>
    <cellStyle name="Standaard 2 3 2 2 3 2 5" xfId="4034"/>
    <cellStyle name="Standaard 2 3 2 2 3 2 5 2" xfId="13568"/>
    <cellStyle name="Standaard 2 3 2 2 3 2 5 2 2" xfId="21391"/>
    <cellStyle name="Standaard 2 3 2 2 3 2 5 3" xfId="21392"/>
    <cellStyle name="Standaard 2 3 2 2 3 2 6" xfId="9231"/>
    <cellStyle name="Standaard 2 3 2 2 3 2 6 2" xfId="21393"/>
    <cellStyle name="Standaard 2 3 2 2 3 2 7" xfId="21394"/>
    <cellStyle name="Standaard 2 3 2 2 3 3" xfId="2095"/>
    <cellStyle name="Standaard 2 3 2 2 3 3 2" xfId="2639"/>
    <cellStyle name="Standaard 2 3 2 2 3 3 2 2" xfId="3656"/>
    <cellStyle name="Standaard 2 3 2 2 3 3 2 2 2" xfId="5690"/>
    <cellStyle name="Standaard 2 3 2 2 3 3 2 2 2 2" xfId="13570"/>
    <cellStyle name="Standaard 2 3 2 2 3 3 2 2 2 2 2" xfId="21395"/>
    <cellStyle name="Standaard 2 3 2 2 3 3 2 2 2 3" xfId="21396"/>
    <cellStyle name="Standaard 2 3 2 2 3 3 2 2 3" xfId="13569"/>
    <cellStyle name="Standaard 2 3 2 2 3 3 2 2 3 2" xfId="21397"/>
    <cellStyle name="Standaard 2 3 2 2 3 3 2 2 4" xfId="21398"/>
    <cellStyle name="Standaard 2 3 2 2 3 3 2 3" xfId="4673"/>
    <cellStyle name="Standaard 2 3 2 2 3 3 2 3 2" xfId="13571"/>
    <cellStyle name="Standaard 2 3 2 2 3 3 2 3 2 2" xfId="21399"/>
    <cellStyle name="Standaard 2 3 2 2 3 3 2 3 3" xfId="21400"/>
    <cellStyle name="Standaard 2 3 2 2 3 3 2 4" xfId="9236"/>
    <cellStyle name="Standaard 2 3 2 2 3 3 2 4 2" xfId="21401"/>
    <cellStyle name="Standaard 2 3 2 2 3 3 2 5" xfId="21402"/>
    <cellStyle name="Standaard 2 3 2 2 3 3 3" xfId="3143"/>
    <cellStyle name="Standaard 2 3 2 2 3 3 3 2" xfId="5177"/>
    <cellStyle name="Standaard 2 3 2 2 3 3 3 2 2" xfId="13573"/>
    <cellStyle name="Standaard 2 3 2 2 3 3 3 2 2 2" xfId="21403"/>
    <cellStyle name="Standaard 2 3 2 2 3 3 3 2 3" xfId="21404"/>
    <cellStyle name="Standaard 2 3 2 2 3 3 3 3" xfId="13572"/>
    <cellStyle name="Standaard 2 3 2 2 3 3 3 3 2" xfId="21405"/>
    <cellStyle name="Standaard 2 3 2 2 3 3 3 4" xfId="21406"/>
    <cellStyle name="Standaard 2 3 2 2 3 3 4" xfId="4160"/>
    <cellStyle name="Standaard 2 3 2 2 3 3 4 2" xfId="13574"/>
    <cellStyle name="Standaard 2 3 2 2 3 3 4 2 2" xfId="21407"/>
    <cellStyle name="Standaard 2 3 2 2 3 3 4 3" xfId="21408"/>
    <cellStyle name="Standaard 2 3 2 2 3 3 5" xfId="9235"/>
    <cellStyle name="Standaard 2 3 2 2 3 3 5 2" xfId="21409"/>
    <cellStyle name="Standaard 2 3 2 2 3 3 6" xfId="21410"/>
    <cellStyle name="Standaard 2 3 2 2 3 4" xfId="2387"/>
    <cellStyle name="Standaard 2 3 2 2 3 4 2" xfId="3404"/>
    <cellStyle name="Standaard 2 3 2 2 3 4 2 2" xfId="5438"/>
    <cellStyle name="Standaard 2 3 2 2 3 4 2 2 2" xfId="13576"/>
    <cellStyle name="Standaard 2 3 2 2 3 4 2 2 2 2" xfId="21411"/>
    <cellStyle name="Standaard 2 3 2 2 3 4 2 2 3" xfId="21412"/>
    <cellStyle name="Standaard 2 3 2 2 3 4 2 3" xfId="13575"/>
    <cellStyle name="Standaard 2 3 2 2 3 4 2 3 2" xfId="21413"/>
    <cellStyle name="Standaard 2 3 2 2 3 4 2 4" xfId="21414"/>
    <cellStyle name="Standaard 2 3 2 2 3 4 3" xfId="4421"/>
    <cellStyle name="Standaard 2 3 2 2 3 4 3 2" xfId="13577"/>
    <cellStyle name="Standaard 2 3 2 2 3 4 3 2 2" xfId="21415"/>
    <cellStyle name="Standaard 2 3 2 2 3 4 3 3" xfId="21416"/>
    <cellStyle name="Standaard 2 3 2 2 3 4 4" xfId="9237"/>
    <cellStyle name="Standaard 2 3 2 2 3 4 4 2" xfId="21417"/>
    <cellStyle name="Standaard 2 3 2 2 3 4 5" xfId="21418"/>
    <cellStyle name="Standaard 2 3 2 2 3 5" xfId="2891"/>
    <cellStyle name="Standaard 2 3 2 2 3 5 2" xfId="4925"/>
    <cellStyle name="Standaard 2 3 2 2 3 5 2 2" xfId="13579"/>
    <cellStyle name="Standaard 2 3 2 2 3 5 2 2 2" xfId="21419"/>
    <cellStyle name="Standaard 2 3 2 2 3 5 2 3" xfId="21420"/>
    <cellStyle name="Standaard 2 3 2 2 3 5 3" xfId="13578"/>
    <cellStyle name="Standaard 2 3 2 2 3 5 3 2" xfId="21421"/>
    <cellStyle name="Standaard 2 3 2 2 3 5 4" xfId="21422"/>
    <cellStyle name="Standaard 2 3 2 2 3 6" xfId="3908"/>
    <cellStyle name="Standaard 2 3 2 2 3 6 2" xfId="13580"/>
    <cellStyle name="Standaard 2 3 2 2 3 6 2 2" xfId="21423"/>
    <cellStyle name="Standaard 2 3 2 2 3 6 3" xfId="21424"/>
    <cellStyle name="Standaard 2 3 2 2 3 7" xfId="9230"/>
    <cellStyle name="Standaard 2 3 2 2 3 7 2" xfId="21425"/>
    <cellStyle name="Standaard 2 3 2 2 3 8" xfId="21426"/>
    <cellStyle name="Standaard 2 3 2 2 4" xfId="1885"/>
    <cellStyle name="Standaard 2 3 2 2 4 2" xfId="2137"/>
    <cellStyle name="Standaard 2 3 2 2 4 2 2" xfId="2681"/>
    <cellStyle name="Standaard 2 3 2 2 4 2 2 2" xfId="3698"/>
    <cellStyle name="Standaard 2 3 2 2 4 2 2 2 2" xfId="5732"/>
    <cellStyle name="Standaard 2 3 2 2 4 2 2 2 2 2" xfId="13582"/>
    <cellStyle name="Standaard 2 3 2 2 4 2 2 2 2 2 2" xfId="21427"/>
    <cellStyle name="Standaard 2 3 2 2 4 2 2 2 2 3" xfId="21428"/>
    <cellStyle name="Standaard 2 3 2 2 4 2 2 2 3" xfId="13581"/>
    <cellStyle name="Standaard 2 3 2 2 4 2 2 2 3 2" xfId="21429"/>
    <cellStyle name="Standaard 2 3 2 2 4 2 2 2 4" xfId="21430"/>
    <cellStyle name="Standaard 2 3 2 2 4 2 2 3" xfId="4715"/>
    <cellStyle name="Standaard 2 3 2 2 4 2 2 3 2" xfId="13583"/>
    <cellStyle name="Standaard 2 3 2 2 4 2 2 3 2 2" xfId="21431"/>
    <cellStyle name="Standaard 2 3 2 2 4 2 2 3 3" xfId="21432"/>
    <cellStyle name="Standaard 2 3 2 2 4 2 2 4" xfId="9240"/>
    <cellStyle name="Standaard 2 3 2 2 4 2 2 4 2" xfId="21433"/>
    <cellStyle name="Standaard 2 3 2 2 4 2 2 5" xfId="21434"/>
    <cellStyle name="Standaard 2 3 2 2 4 2 3" xfId="3185"/>
    <cellStyle name="Standaard 2 3 2 2 4 2 3 2" xfId="5219"/>
    <cellStyle name="Standaard 2 3 2 2 4 2 3 2 2" xfId="13585"/>
    <cellStyle name="Standaard 2 3 2 2 4 2 3 2 2 2" xfId="21435"/>
    <cellStyle name="Standaard 2 3 2 2 4 2 3 2 3" xfId="21436"/>
    <cellStyle name="Standaard 2 3 2 2 4 2 3 3" xfId="13584"/>
    <cellStyle name="Standaard 2 3 2 2 4 2 3 3 2" xfId="21437"/>
    <cellStyle name="Standaard 2 3 2 2 4 2 3 4" xfId="21438"/>
    <cellStyle name="Standaard 2 3 2 2 4 2 4" xfId="4202"/>
    <cellStyle name="Standaard 2 3 2 2 4 2 4 2" xfId="13586"/>
    <cellStyle name="Standaard 2 3 2 2 4 2 4 2 2" xfId="21439"/>
    <cellStyle name="Standaard 2 3 2 2 4 2 4 3" xfId="21440"/>
    <cellStyle name="Standaard 2 3 2 2 4 2 5" xfId="9239"/>
    <cellStyle name="Standaard 2 3 2 2 4 2 5 2" xfId="21441"/>
    <cellStyle name="Standaard 2 3 2 2 4 2 6" xfId="21442"/>
    <cellStyle name="Standaard 2 3 2 2 4 3" xfId="2429"/>
    <cellStyle name="Standaard 2 3 2 2 4 3 2" xfId="3446"/>
    <cellStyle name="Standaard 2 3 2 2 4 3 2 2" xfId="5480"/>
    <cellStyle name="Standaard 2 3 2 2 4 3 2 2 2" xfId="13588"/>
    <cellStyle name="Standaard 2 3 2 2 4 3 2 2 2 2" xfId="21443"/>
    <cellStyle name="Standaard 2 3 2 2 4 3 2 2 3" xfId="21444"/>
    <cellStyle name="Standaard 2 3 2 2 4 3 2 3" xfId="13587"/>
    <cellStyle name="Standaard 2 3 2 2 4 3 2 3 2" xfId="21445"/>
    <cellStyle name="Standaard 2 3 2 2 4 3 2 4" xfId="21446"/>
    <cellStyle name="Standaard 2 3 2 2 4 3 3" xfId="4463"/>
    <cellStyle name="Standaard 2 3 2 2 4 3 3 2" xfId="13589"/>
    <cellStyle name="Standaard 2 3 2 2 4 3 3 2 2" xfId="21447"/>
    <cellStyle name="Standaard 2 3 2 2 4 3 3 3" xfId="21448"/>
    <cellStyle name="Standaard 2 3 2 2 4 3 4" xfId="9241"/>
    <cellStyle name="Standaard 2 3 2 2 4 3 4 2" xfId="21449"/>
    <cellStyle name="Standaard 2 3 2 2 4 3 5" xfId="21450"/>
    <cellStyle name="Standaard 2 3 2 2 4 4" xfId="2933"/>
    <cellStyle name="Standaard 2 3 2 2 4 4 2" xfId="4967"/>
    <cellStyle name="Standaard 2 3 2 2 4 4 2 2" xfId="13591"/>
    <cellStyle name="Standaard 2 3 2 2 4 4 2 2 2" xfId="21451"/>
    <cellStyle name="Standaard 2 3 2 2 4 4 2 3" xfId="21452"/>
    <cellStyle name="Standaard 2 3 2 2 4 4 3" xfId="13590"/>
    <cellStyle name="Standaard 2 3 2 2 4 4 3 2" xfId="21453"/>
    <cellStyle name="Standaard 2 3 2 2 4 4 4" xfId="21454"/>
    <cellStyle name="Standaard 2 3 2 2 4 5" xfId="3950"/>
    <cellStyle name="Standaard 2 3 2 2 4 5 2" xfId="13592"/>
    <cellStyle name="Standaard 2 3 2 2 4 5 2 2" xfId="21455"/>
    <cellStyle name="Standaard 2 3 2 2 4 5 3" xfId="21456"/>
    <cellStyle name="Standaard 2 3 2 2 4 6" xfId="9238"/>
    <cellStyle name="Standaard 2 3 2 2 4 6 2" xfId="21457"/>
    <cellStyle name="Standaard 2 3 2 2 4 7" xfId="21458"/>
    <cellStyle name="Standaard 2 3 2 2 5" xfId="2011"/>
    <cellStyle name="Standaard 2 3 2 2 5 2" xfId="2555"/>
    <cellStyle name="Standaard 2 3 2 2 5 2 2" xfId="3572"/>
    <cellStyle name="Standaard 2 3 2 2 5 2 2 2" xfId="5606"/>
    <cellStyle name="Standaard 2 3 2 2 5 2 2 2 2" xfId="13594"/>
    <cellStyle name="Standaard 2 3 2 2 5 2 2 2 2 2" xfId="21459"/>
    <cellStyle name="Standaard 2 3 2 2 5 2 2 2 3" xfId="21460"/>
    <cellStyle name="Standaard 2 3 2 2 5 2 2 3" xfId="13593"/>
    <cellStyle name="Standaard 2 3 2 2 5 2 2 3 2" xfId="21461"/>
    <cellStyle name="Standaard 2 3 2 2 5 2 2 4" xfId="21462"/>
    <cellStyle name="Standaard 2 3 2 2 5 2 3" xfId="4589"/>
    <cellStyle name="Standaard 2 3 2 2 5 2 3 2" xfId="13595"/>
    <cellStyle name="Standaard 2 3 2 2 5 2 3 2 2" xfId="21463"/>
    <cellStyle name="Standaard 2 3 2 2 5 2 3 3" xfId="21464"/>
    <cellStyle name="Standaard 2 3 2 2 5 2 4" xfId="9243"/>
    <cellStyle name="Standaard 2 3 2 2 5 2 4 2" xfId="21465"/>
    <cellStyle name="Standaard 2 3 2 2 5 2 5" xfId="21466"/>
    <cellStyle name="Standaard 2 3 2 2 5 3" xfId="3059"/>
    <cellStyle name="Standaard 2 3 2 2 5 3 2" xfId="5093"/>
    <cellStyle name="Standaard 2 3 2 2 5 3 2 2" xfId="13597"/>
    <cellStyle name="Standaard 2 3 2 2 5 3 2 2 2" xfId="21467"/>
    <cellStyle name="Standaard 2 3 2 2 5 3 2 3" xfId="21468"/>
    <cellStyle name="Standaard 2 3 2 2 5 3 3" xfId="13596"/>
    <cellStyle name="Standaard 2 3 2 2 5 3 3 2" xfId="21469"/>
    <cellStyle name="Standaard 2 3 2 2 5 3 4" xfId="21470"/>
    <cellStyle name="Standaard 2 3 2 2 5 4" xfId="4076"/>
    <cellStyle name="Standaard 2 3 2 2 5 4 2" xfId="13598"/>
    <cellStyle name="Standaard 2 3 2 2 5 4 2 2" xfId="21471"/>
    <cellStyle name="Standaard 2 3 2 2 5 4 3" xfId="21472"/>
    <cellStyle name="Standaard 2 3 2 2 5 5" xfId="9242"/>
    <cellStyle name="Standaard 2 3 2 2 5 5 2" xfId="21473"/>
    <cellStyle name="Standaard 2 3 2 2 5 6" xfId="21474"/>
    <cellStyle name="Standaard 2 3 2 2 6" xfId="2303"/>
    <cellStyle name="Standaard 2 3 2 2 6 2" xfId="3320"/>
    <cellStyle name="Standaard 2 3 2 2 6 2 2" xfId="5354"/>
    <cellStyle name="Standaard 2 3 2 2 6 2 2 2" xfId="13600"/>
    <cellStyle name="Standaard 2 3 2 2 6 2 2 2 2" xfId="21475"/>
    <cellStyle name="Standaard 2 3 2 2 6 2 2 3" xfId="21476"/>
    <cellStyle name="Standaard 2 3 2 2 6 2 3" xfId="13599"/>
    <cellStyle name="Standaard 2 3 2 2 6 2 3 2" xfId="21477"/>
    <cellStyle name="Standaard 2 3 2 2 6 2 4" xfId="21478"/>
    <cellStyle name="Standaard 2 3 2 2 6 3" xfId="4337"/>
    <cellStyle name="Standaard 2 3 2 2 6 3 2" xfId="13601"/>
    <cellStyle name="Standaard 2 3 2 2 6 3 2 2" xfId="21479"/>
    <cellStyle name="Standaard 2 3 2 2 6 3 3" xfId="21480"/>
    <cellStyle name="Standaard 2 3 2 2 6 4" xfId="9244"/>
    <cellStyle name="Standaard 2 3 2 2 6 4 2" xfId="21481"/>
    <cellStyle name="Standaard 2 3 2 2 6 5" xfId="21482"/>
    <cellStyle name="Standaard 2 3 2 2 7" xfId="2807"/>
    <cellStyle name="Standaard 2 3 2 2 7 2" xfId="4841"/>
    <cellStyle name="Standaard 2 3 2 2 7 2 2" xfId="13603"/>
    <cellStyle name="Standaard 2 3 2 2 7 2 2 2" xfId="21483"/>
    <cellStyle name="Standaard 2 3 2 2 7 2 3" xfId="21484"/>
    <cellStyle name="Standaard 2 3 2 2 7 3" xfId="13602"/>
    <cellStyle name="Standaard 2 3 2 2 7 3 2" xfId="21485"/>
    <cellStyle name="Standaard 2 3 2 2 7 4" xfId="21486"/>
    <cellStyle name="Standaard 2 3 2 2 8" xfId="3824"/>
    <cellStyle name="Standaard 2 3 2 2 8 2" xfId="13604"/>
    <cellStyle name="Standaard 2 3 2 2 8 2 2" xfId="21487"/>
    <cellStyle name="Standaard 2 3 2 2 8 3" xfId="21488"/>
    <cellStyle name="Standaard 2 3 2 2 9" xfId="9221"/>
    <cellStyle name="Standaard 2 3 2 2 9 2" xfId="21489"/>
    <cellStyle name="Standaard 2 3 2 3" xfId="1773"/>
    <cellStyle name="Standaard 2 3 2 3 10" xfId="21490"/>
    <cellStyle name="Standaard 2 3 2 3 2" xfId="1815"/>
    <cellStyle name="Standaard 2 3 2 3 2 2" xfId="1941"/>
    <cellStyle name="Standaard 2 3 2 3 2 2 2" xfId="2193"/>
    <cellStyle name="Standaard 2 3 2 3 2 2 2 2" xfId="2737"/>
    <cellStyle name="Standaard 2 3 2 3 2 2 2 2 2" xfId="3754"/>
    <cellStyle name="Standaard 2 3 2 3 2 2 2 2 2 2" xfId="5788"/>
    <cellStyle name="Standaard 2 3 2 3 2 2 2 2 2 2 2" xfId="13606"/>
    <cellStyle name="Standaard 2 3 2 3 2 2 2 2 2 2 2 2" xfId="21491"/>
    <cellStyle name="Standaard 2 3 2 3 2 2 2 2 2 2 3" xfId="21492"/>
    <cellStyle name="Standaard 2 3 2 3 2 2 2 2 2 3" xfId="13605"/>
    <cellStyle name="Standaard 2 3 2 3 2 2 2 2 2 3 2" xfId="21493"/>
    <cellStyle name="Standaard 2 3 2 3 2 2 2 2 2 4" xfId="21494"/>
    <cellStyle name="Standaard 2 3 2 3 2 2 2 2 3" xfId="4771"/>
    <cellStyle name="Standaard 2 3 2 3 2 2 2 2 3 2" xfId="13607"/>
    <cellStyle name="Standaard 2 3 2 3 2 2 2 2 3 2 2" xfId="21495"/>
    <cellStyle name="Standaard 2 3 2 3 2 2 2 2 3 3" xfId="21496"/>
    <cellStyle name="Standaard 2 3 2 3 2 2 2 2 4" xfId="9249"/>
    <cellStyle name="Standaard 2 3 2 3 2 2 2 2 4 2" xfId="21497"/>
    <cellStyle name="Standaard 2 3 2 3 2 2 2 2 5" xfId="21498"/>
    <cellStyle name="Standaard 2 3 2 3 2 2 2 3" xfId="3241"/>
    <cellStyle name="Standaard 2 3 2 3 2 2 2 3 2" xfId="5275"/>
    <cellStyle name="Standaard 2 3 2 3 2 2 2 3 2 2" xfId="13609"/>
    <cellStyle name="Standaard 2 3 2 3 2 2 2 3 2 2 2" xfId="21499"/>
    <cellStyle name="Standaard 2 3 2 3 2 2 2 3 2 3" xfId="21500"/>
    <cellStyle name="Standaard 2 3 2 3 2 2 2 3 3" xfId="13608"/>
    <cellStyle name="Standaard 2 3 2 3 2 2 2 3 3 2" xfId="21501"/>
    <cellStyle name="Standaard 2 3 2 3 2 2 2 3 4" xfId="21502"/>
    <cellStyle name="Standaard 2 3 2 3 2 2 2 4" xfId="4258"/>
    <cellStyle name="Standaard 2 3 2 3 2 2 2 4 2" xfId="13610"/>
    <cellStyle name="Standaard 2 3 2 3 2 2 2 4 2 2" xfId="21503"/>
    <cellStyle name="Standaard 2 3 2 3 2 2 2 4 3" xfId="21504"/>
    <cellStyle name="Standaard 2 3 2 3 2 2 2 5" xfId="9248"/>
    <cellStyle name="Standaard 2 3 2 3 2 2 2 5 2" xfId="21505"/>
    <cellStyle name="Standaard 2 3 2 3 2 2 2 6" xfId="21506"/>
    <cellStyle name="Standaard 2 3 2 3 2 2 3" xfId="2485"/>
    <cellStyle name="Standaard 2 3 2 3 2 2 3 2" xfId="3502"/>
    <cellStyle name="Standaard 2 3 2 3 2 2 3 2 2" xfId="5536"/>
    <cellStyle name="Standaard 2 3 2 3 2 2 3 2 2 2" xfId="13612"/>
    <cellStyle name="Standaard 2 3 2 3 2 2 3 2 2 2 2" xfId="21507"/>
    <cellStyle name="Standaard 2 3 2 3 2 2 3 2 2 3" xfId="21508"/>
    <cellStyle name="Standaard 2 3 2 3 2 2 3 2 3" xfId="13611"/>
    <cellStyle name="Standaard 2 3 2 3 2 2 3 2 3 2" xfId="21509"/>
    <cellStyle name="Standaard 2 3 2 3 2 2 3 2 4" xfId="21510"/>
    <cellStyle name="Standaard 2 3 2 3 2 2 3 3" xfId="4519"/>
    <cellStyle name="Standaard 2 3 2 3 2 2 3 3 2" xfId="13613"/>
    <cellStyle name="Standaard 2 3 2 3 2 2 3 3 2 2" xfId="21511"/>
    <cellStyle name="Standaard 2 3 2 3 2 2 3 3 3" xfId="21512"/>
    <cellStyle name="Standaard 2 3 2 3 2 2 3 4" xfId="9250"/>
    <cellStyle name="Standaard 2 3 2 3 2 2 3 4 2" xfId="21513"/>
    <cellStyle name="Standaard 2 3 2 3 2 2 3 5" xfId="21514"/>
    <cellStyle name="Standaard 2 3 2 3 2 2 4" xfId="2989"/>
    <cellStyle name="Standaard 2 3 2 3 2 2 4 2" xfId="5023"/>
    <cellStyle name="Standaard 2 3 2 3 2 2 4 2 2" xfId="13615"/>
    <cellStyle name="Standaard 2 3 2 3 2 2 4 2 2 2" xfId="21515"/>
    <cellStyle name="Standaard 2 3 2 3 2 2 4 2 3" xfId="21516"/>
    <cellStyle name="Standaard 2 3 2 3 2 2 4 3" xfId="13614"/>
    <cellStyle name="Standaard 2 3 2 3 2 2 4 3 2" xfId="21517"/>
    <cellStyle name="Standaard 2 3 2 3 2 2 4 4" xfId="21518"/>
    <cellStyle name="Standaard 2 3 2 3 2 2 5" xfId="4006"/>
    <cellStyle name="Standaard 2 3 2 3 2 2 5 2" xfId="13616"/>
    <cellStyle name="Standaard 2 3 2 3 2 2 5 2 2" xfId="21519"/>
    <cellStyle name="Standaard 2 3 2 3 2 2 5 3" xfId="21520"/>
    <cellStyle name="Standaard 2 3 2 3 2 2 6" xfId="9247"/>
    <cellStyle name="Standaard 2 3 2 3 2 2 6 2" xfId="21521"/>
    <cellStyle name="Standaard 2 3 2 3 2 2 7" xfId="21522"/>
    <cellStyle name="Standaard 2 3 2 3 2 3" xfId="2067"/>
    <cellStyle name="Standaard 2 3 2 3 2 3 2" xfId="2611"/>
    <cellStyle name="Standaard 2 3 2 3 2 3 2 2" xfId="3628"/>
    <cellStyle name="Standaard 2 3 2 3 2 3 2 2 2" xfId="5662"/>
    <cellStyle name="Standaard 2 3 2 3 2 3 2 2 2 2" xfId="13618"/>
    <cellStyle name="Standaard 2 3 2 3 2 3 2 2 2 2 2" xfId="21523"/>
    <cellStyle name="Standaard 2 3 2 3 2 3 2 2 2 3" xfId="21524"/>
    <cellStyle name="Standaard 2 3 2 3 2 3 2 2 3" xfId="13617"/>
    <cellStyle name="Standaard 2 3 2 3 2 3 2 2 3 2" xfId="21525"/>
    <cellStyle name="Standaard 2 3 2 3 2 3 2 2 4" xfId="21526"/>
    <cellStyle name="Standaard 2 3 2 3 2 3 2 3" xfId="4645"/>
    <cellStyle name="Standaard 2 3 2 3 2 3 2 3 2" xfId="13619"/>
    <cellStyle name="Standaard 2 3 2 3 2 3 2 3 2 2" xfId="21527"/>
    <cellStyle name="Standaard 2 3 2 3 2 3 2 3 3" xfId="21528"/>
    <cellStyle name="Standaard 2 3 2 3 2 3 2 4" xfId="9252"/>
    <cellStyle name="Standaard 2 3 2 3 2 3 2 4 2" xfId="21529"/>
    <cellStyle name="Standaard 2 3 2 3 2 3 2 5" xfId="21530"/>
    <cellStyle name="Standaard 2 3 2 3 2 3 3" xfId="3115"/>
    <cellStyle name="Standaard 2 3 2 3 2 3 3 2" xfId="5149"/>
    <cellStyle name="Standaard 2 3 2 3 2 3 3 2 2" xfId="13621"/>
    <cellStyle name="Standaard 2 3 2 3 2 3 3 2 2 2" xfId="21531"/>
    <cellStyle name="Standaard 2 3 2 3 2 3 3 2 3" xfId="21532"/>
    <cellStyle name="Standaard 2 3 2 3 2 3 3 3" xfId="13620"/>
    <cellStyle name="Standaard 2 3 2 3 2 3 3 3 2" xfId="21533"/>
    <cellStyle name="Standaard 2 3 2 3 2 3 3 4" xfId="21534"/>
    <cellStyle name="Standaard 2 3 2 3 2 3 4" xfId="4132"/>
    <cellStyle name="Standaard 2 3 2 3 2 3 4 2" xfId="13622"/>
    <cellStyle name="Standaard 2 3 2 3 2 3 4 2 2" xfId="21535"/>
    <cellStyle name="Standaard 2 3 2 3 2 3 4 3" xfId="21536"/>
    <cellStyle name="Standaard 2 3 2 3 2 3 5" xfId="9251"/>
    <cellStyle name="Standaard 2 3 2 3 2 3 5 2" xfId="21537"/>
    <cellStyle name="Standaard 2 3 2 3 2 3 6" xfId="21538"/>
    <cellStyle name="Standaard 2 3 2 3 2 4" xfId="2359"/>
    <cellStyle name="Standaard 2 3 2 3 2 4 2" xfId="3376"/>
    <cellStyle name="Standaard 2 3 2 3 2 4 2 2" xfId="5410"/>
    <cellStyle name="Standaard 2 3 2 3 2 4 2 2 2" xfId="13624"/>
    <cellStyle name="Standaard 2 3 2 3 2 4 2 2 2 2" xfId="21539"/>
    <cellStyle name="Standaard 2 3 2 3 2 4 2 2 3" xfId="21540"/>
    <cellStyle name="Standaard 2 3 2 3 2 4 2 3" xfId="13623"/>
    <cellStyle name="Standaard 2 3 2 3 2 4 2 3 2" xfId="21541"/>
    <cellStyle name="Standaard 2 3 2 3 2 4 2 4" xfId="21542"/>
    <cellStyle name="Standaard 2 3 2 3 2 4 3" xfId="4393"/>
    <cellStyle name="Standaard 2 3 2 3 2 4 3 2" xfId="13625"/>
    <cellStyle name="Standaard 2 3 2 3 2 4 3 2 2" xfId="21543"/>
    <cellStyle name="Standaard 2 3 2 3 2 4 3 3" xfId="21544"/>
    <cellStyle name="Standaard 2 3 2 3 2 4 4" xfId="9253"/>
    <cellStyle name="Standaard 2 3 2 3 2 4 4 2" xfId="21545"/>
    <cellStyle name="Standaard 2 3 2 3 2 4 5" xfId="21546"/>
    <cellStyle name="Standaard 2 3 2 3 2 5" xfId="2863"/>
    <cellStyle name="Standaard 2 3 2 3 2 5 2" xfId="4897"/>
    <cellStyle name="Standaard 2 3 2 3 2 5 2 2" xfId="13627"/>
    <cellStyle name="Standaard 2 3 2 3 2 5 2 2 2" xfId="21547"/>
    <cellStyle name="Standaard 2 3 2 3 2 5 2 3" xfId="21548"/>
    <cellStyle name="Standaard 2 3 2 3 2 5 3" xfId="13626"/>
    <cellStyle name="Standaard 2 3 2 3 2 5 3 2" xfId="21549"/>
    <cellStyle name="Standaard 2 3 2 3 2 5 4" xfId="21550"/>
    <cellStyle name="Standaard 2 3 2 3 2 6" xfId="3880"/>
    <cellStyle name="Standaard 2 3 2 3 2 6 2" xfId="13628"/>
    <cellStyle name="Standaard 2 3 2 3 2 6 2 2" xfId="21551"/>
    <cellStyle name="Standaard 2 3 2 3 2 6 3" xfId="21552"/>
    <cellStyle name="Standaard 2 3 2 3 2 7" xfId="9246"/>
    <cellStyle name="Standaard 2 3 2 3 2 7 2" xfId="21553"/>
    <cellStyle name="Standaard 2 3 2 3 2 8" xfId="21554"/>
    <cellStyle name="Standaard 2 3 2 3 3" xfId="1857"/>
    <cellStyle name="Standaard 2 3 2 3 3 2" xfId="1983"/>
    <cellStyle name="Standaard 2 3 2 3 3 2 2" xfId="2235"/>
    <cellStyle name="Standaard 2 3 2 3 3 2 2 2" xfId="2779"/>
    <cellStyle name="Standaard 2 3 2 3 3 2 2 2 2" xfId="3796"/>
    <cellStyle name="Standaard 2 3 2 3 3 2 2 2 2 2" xfId="5830"/>
    <cellStyle name="Standaard 2 3 2 3 3 2 2 2 2 2 2" xfId="13630"/>
    <cellStyle name="Standaard 2 3 2 3 3 2 2 2 2 2 2 2" xfId="21555"/>
    <cellStyle name="Standaard 2 3 2 3 3 2 2 2 2 2 3" xfId="21556"/>
    <cellStyle name="Standaard 2 3 2 3 3 2 2 2 2 3" xfId="13629"/>
    <cellStyle name="Standaard 2 3 2 3 3 2 2 2 2 3 2" xfId="21557"/>
    <cellStyle name="Standaard 2 3 2 3 3 2 2 2 2 4" xfId="21558"/>
    <cellStyle name="Standaard 2 3 2 3 3 2 2 2 3" xfId="4813"/>
    <cellStyle name="Standaard 2 3 2 3 3 2 2 2 3 2" xfId="13631"/>
    <cellStyle name="Standaard 2 3 2 3 3 2 2 2 3 2 2" xfId="21559"/>
    <cellStyle name="Standaard 2 3 2 3 3 2 2 2 3 3" xfId="21560"/>
    <cellStyle name="Standaard 2 3 2 3 3 2 2 2 4" xfId="9257"/>
    <cellStyle name="Standaard 2 3 2 3 3 2 2 2 4 2" xfId="21561"/>
    <cellStyle name="Standaard 2 3 2 3 3 2 2 2 5" xfId="21562"/>
    <cellStyle name="Standaard 2 3 2 3 3 2 2 3" xfId="3283"/>
    <cellStyle name="Standaard 2 3 2 3 3 2 2 3 2" xfId="5317"/>
    <cellStyle name="Standaard 2 3 2 3 3 2 2 3 2 2" xfId="13633"/>
    <cellStyle name="Standaard 2 3 2 3 3 2 2 3 2 2 2" xfId="21563"/>
    <cellStyle name="Standaard 2 3 2 3 3 2 2 3 2 3" xfId="21564"/>
    <cellStyle name="Standaard 2 3 2 3 3 2 2 3 3" xfId="13632"/>
    <cellStyle name="Standaard 2 3 2 3 3 2 2 3 3 2" xfId="21565"/>
    <cellStyle name="Standaard 2 3 2 3 3 2 2 3 4" xfId="21566"/>
    <cellStyle name="Standaard 2 3 2 3 3 2 2 4" xfId="4300"/>
    <cellStyle name="Standaard 2 3 2 3 3 2 2 4 2" xfId="13634"/>
    <cellStyle name="Standaard 2 3 2 3 3 2 2 4 2 2" xfId="21567"/>
    <cellStyle name="Standaard 2 3 2 3 3 2 2 4 3" xfId="21568"/>
    <cellStyle name="Standaard 2 3 2 3 3 2 2 5" xfId="9256"/>
    <cellStyle name="Standaard 2 3 2 3 3 2 2 5 2" xfId="21569"/>
    <cellStyle name="Standaard 2 3 2 3 3 2 2 6" xfId="21570"/>
    <cellStyle name="Standaard 2 3 2 3 3 2 3" xfId="2527"/>
    <cellStyle name="Standaard 2 3 2 3 3 2 3 2" xfId="3544"/>
    <cellStyle name="Standaard 2 3 2 3 3 2 3 2 2" xfId="5578"/>
    <cellStyle name="Standaard 2 3 2 3 3 2 3 2 2 2" xfId="13636"/>
    <cellStyle name="Standaard 2 3 2 3 3 2 3 2 2 2 2" xfId="21571"/>
    <cellStyle name="Standaard 2 3 2 3 3 2 3 2 2 3" xfId="21572"/>
    <cellStyle name="Standaard 2 3 2 3 3 2 3 2 3" xfId="13635"/>
    <cellStyle name="Standaard 2 3 2 3 3 2 3 2 3 2" xfId="21573"/>
    <cellStyle name="Standaard 2 3 2 3 3 2 3 2 4" xfId="21574"/>
    <cellStyle name="Standaard 2 3 2 3 3 2 3 3" xfId="4561"/>
    <cellStyle name="Standaard 2 3 2 3 3 2 3 3 2" xfId="13637"/>
    <cellStyle name="Standaard 2 3 2 3 3 2 3 3 2 2" xfId="21575"/>
    <cellStyle name="Standaard 2 3 2 3 3 2 3 3 3" xfId="21576"/>
    <cellStyle name="Standaard 2 3 2 3 3 2 3 4" xfId="9258"/>
    <cellStyle name="Standaard 2 3 2 3 3 2 3 4 2" xfId="21577"/>
    <cellStyle name="Standaard 2 3 2 3 3 2 3 5" xfId="21578"/>
    <cellStyle name="Standaard 2 3 2 3 3 2 4" xfId="3031"/>
    <cellStyle name="Standaard 2 3 2 3 3 2 4 2" xfId="5065"/>
    <cellStyle name="Standaard 2 3 2 3 3 2 4 2 2" xfId="13639"/>
    <cellStyle name="Standaard 2 3 2 3 3 2 4 2 2 2" xfId="21579"/>
    <cellStyle name="Standaard 2 3 2 3 3 2 4 2 3" xfId="21580"/>
    <cellStyle name="Standaard 2 3 2 3 3 2 4 3" xfId="13638"/>
    <cellStyle name="Standaard 2 3 2 3 3 2 4 3 2" xfId="21581"/>
    <cellStyle name="Standaard 2 3 2 3 3 2 4 4" xfId="21582"/>
    <cellStyle name="Standaard 2 3 2 3 3 2 5" xfId="4048"/>
    <cellStyle name="Standaard 2 3 2 3 3 2 5 2" xfId="13640"/>
    <cellStyle name="Standaard 2 3 2 3 3 2 5 2 2" xfId="21583"/>
    <cellStyle name="Standaard 2 3 2 3 3 2 5 3" xfId="21584"/>
    <cellStyle name="Standaard 2 3 2 3 3 2 6" xfId="9255"/>
    <cellStyle name="Standaard 2 3 2 3 3 2 6 2" xfId="21585"/>
    <cellStyle name="Standaard 2 3 2 3 3 2 7" xfId="21586"/>
    <cellStyle name="Standaard 2 3 2 3 3 3" xfId="2109"/>
    <cellStyle name="Standaard 2 3 2 3 3 3 2" xfId="2653"/>
    <cellStyle name="Standaard 2 3 2 3 3 3 2 2" xfId="3670"/>
    <cellStyle name="Standaard 2 3 2 3 3 3 2 2 2" xfId="5704"/>
    <cellStyle name="Standaard 2 3 2 3 3 3 2 2 2 2" xfId="13642"/>
    <cellStyle name="Standaard 2 3 2 3 3 3 2 2 2 2 2" xfId="21587"/>
    <cellStyle name="Standaard 2 3 2 3 3 3 2 2 2 3" xfId="21588"/>
    <cellStyle name="Standaard 2 3 2 3 3 3 2 2 3" xfId="13641"/>
    <cellStyle name="Standaard 2 3 2 3 3 3 2 2 3 2" xfId="21589"/>
    <cellStyle name="Standaard 2 3 2 3 3 3 2 2 4" xfId="21590"/>
    <cellStyle name="Standaard 2 3 2 3 3 3 2 3" xfId="4687"/>
    <cellStyle name="Standaard 2 3 2 3 3 3 2 3 2" xfId="13643"/>
    <cellStyle name="Standaard 2 3 2 3 3 3 2 3 2 2" xfId="21591"/>
    <cellStyle name="Standaard 2 3 2 3 3 3 2 3 3" xfId="21592"/>
    <cellStyle name="Standaard 2 3 2 3 3 3 2 4" xfId="9260"/>
    <cellStyle name="Standaard 2 3 2 3 3 3 2 4 2" xfId="21593"/>
    <cellStyle name="Standaard 2 3 2 3 3 3 2 5" xfId="21594"/>
    <cellStyle name="Standaard 2 3 2 3 3 3 3" xfId="3157"/>
    <cellStyle name="Standaard 2 3 2 3 3 3 3 2" xfId="5191"/>
    <cellStyle name="Standaard 2 3 2 3 3 3 3 2 2" xfId="13645"/>
    <cellStyle name="Standaard 2 3 2 3 3 3 3 2 2 2" xfId="21595"/>
    <cellStyle name="Standaard 2 3 2 3 3 3 3 2 3" xfId="21596"/>
    <cellStyle name="Standaard 2 3 2 3 3 3 3 3" xfId="13644"/>
    <cellStyle name="Standaard 2 3 2 3 3 3 3 3 2" xfId="21597"/>
    <cellStyle name="Standaard 2 3 2 3 3 3 3 4" xfId="21598"/>
    <cellStyle name="Standaard 2 3 2 3 3 3 4" xfId="4174"/>
    <cellStyle name="Standaard 2 3 2 3 3 3 4 2" xfId="13646"/>
    <cellStyle name="Standaard 2 3 2 3 3 3 4 2 2" xfId="21599"/>
    <cellStyle name="Standaard 2 3 2 3 3 3 4 3" xfId="21600"/>
    <cellStyle name="Standaard 2 3 2 3 3 3 5" xfId="9259"/>
    <cellStyle name="Standaard 2 3 2 3 3 3 5 2" xfId="21601"/>
    <cellStyle name="Standaard 2 3 2 3 3 3 6" xfId="21602"/>
    <cellStyle name="Standaard 2 3 2 3 3 4" xfId="2401"/>
    <cellStyle name="Standaard 2 3 2 3 3 4 2" xfId="3418"/>
    <cellStyle name="Standaard 2 3 2 3 3 4 2 2" xfId="5452"/>
    <cellStyle name="Standaard 2 3 2 3 3 4 2 2 2" xfId="13648"/>
    <cellStyle name="Standaard 2 3 2 3 3 4 2 2 2 2" xfId="21603"/>
    <cellStyle name="Standaard 2 3 2 3 3 4 2 2 3" xfId="21604"/>
    <cellStyle name="Standaard 2 3 2 3 3 4 2 3" xfId="13647"/>
    <cellStyle name="Standaard 2 3 2 3 3 4 2 3 2" xfId="21605"/>
    <cellStyle name="Standaard 2 3 2 3 3 4 2 4" xfId="21606"/>
    <cellStyle name="Standaard 2 3 2 3 3 4 3" xfId="4435"/>
    <cellStyle name="Standaard 2 3 2 3 3 4 3 2" xfId="13649"/>
    <cellStyle name="Standaard 2 3 2 3 3 4 3 2 2" xfId="21607"/>
    <cellStyle name="Standaard 2 3 2 3 3 4 3 3" xfId="21608"/>
    <cellStyle name="Standaard 2 3 2 3 3 4 4" xfId="9261"/>
    <cellStyle name="Standaard 2 3 2 3 3 4 4 2" xfId="21609"/>
    <cellStyle name="Standaard 2 3 2 3 3 4 5" xfId="21610"/>
    <cellStyle name="Standaard 2 3 2 3 3 5" xfId="2905"/>
    <cellStyle name="Standaard 2 3 2 3 3 5 2" xfId="4939"/>
    <cellStyle name="Standaard 2 3 2 3 3 5 2 2" xfId="13651"/>
    <cellStyle name="Standaard 2 3 2 3 3 5 2 2 2" xfId="21611"/>
    <cellStyle name="Standaard 2 3 2 3 3 5 2 3" xfId="21612"/>
    <cellStyle name="Standaard 2 3 2 3 3 5 3" xfId="13650"/>
    <cellStyle name="Standaard 2 3 2 3 3 5 3 2" xfId="21613"/>
    <cellStyle name="Standaard 2 3 2 3 3 5 4" xfId="21614"/>
    <cellStyle name="Standaard 2 3 2 3 3 6" xfId="3922"/>
    <cellStyle name="Standaard 2 3 2 3 3 6 2" xfId="13652"/>
    <cellStyle name="Standaard 2 3 2 3 3 6 2 2" xfId="21615"/>
    <cellStyle name="Standaard 2 3 2 3 3 6 3" xfId="21616"/>
    <cellStyle name="Standaard 2 3 2 3 3 7" xfId="9254"/>
    <cellStyle name="Standaard 2 3 2 3 3 7 2" xfId="21617"/>
    <cellStyle name="Standaard 2 3 2 3 3 8" xfId="21618"/>
    <cellStyle name="Standaard 2 3 2 3 4" xfId="1899"/>
    <cellStyle name="Standaard 2 3 2 3 4 2" xfId="2151"/>
    <cellStyle name="Standaard 2 3 2 3 4 2 2" xfId="2695"/>
    <cellStyle name="Standaard 2 3 2 3 4 2 2 2" xfId="3712"/>
    <cellStyle name="Standaard 2 3 2 3 4 2 2 2 2" xfId="5746"/>
    <cellStyle name="Standaard 2 3 2 3 4 2 2 2 2 2" xfId="13654"/>
    <cellStyle name="Standaard 2 3 2 3 4 2 2 2 2 2 2" xfId="21619"/>
    <cellStyle name="Standaard 2 3 2 3 4 2 2 2 2 3" xfId="21620"/>
    <cellStyle name="Standaard 2 3 2 3 4 2 2 2 3" xfId="13653"/>
    <cellStyle name="Standaard 2 3 2 3 4 2 2 2 3 2" xfId="21621"/>
    <cellStyle name="Standaard 2 3 2 3 4 2 2 2 4" xfId="21622"/>
    <cellStyle name="Standaard 2 3 2 3 4 2 2 3" xfId="4729"/>
    <cellStyle name="Standaard 2 3 2 3 4 2 2 3 2" xfId="13655"/>
    <cellStyle name="Standaard 2 3 2 3 4 2 2 3 2 2" xfId="21623"/>
    <cellStyle name="Standaard 2 3 2 3 4 2 2 3 3" xfId="21624"/>
    <cellStyle name="Standaard 2 3 2 3 4 2 2 4" xfId="9264"/>
    <cellStyle name="Standaard 2 3 2 3 4 2 2 4 2" xfId="21625"/>
    <cellStyle name="Standaard 2 3 2 3 4 2 2 5" xfId="21626"/>
    <cellStyle name="Standaard 2 3 2 3 4 2 3" xfId="3199"/>
    <cellStyle name="Standaard 2 3 2 3 4 2 3 2" xfId="5233"/>
    <cellStyle name="Standaard 2 3 2 3 4 2 3 2 2" xfId="13657"/>
    <cellStyle name="Standaard 2 3 2 3 4 2 3 2 2 2" xfId="21627"/>
    <cellStyle name="Standaard 2 3 2 3 4 2 3 2 3" xfId="21628"/>
    <cellStyle name="Standaard 2 3 2 3 4 2 3 3" xfId="13656"/>
    <cellStyle name="Standaard 2 3 2 3 4 2 3 3 2" xfId="21629"/>
    <cellStyle name="Standaard 2 3 2 3 4 2 3 4" xfId="21630"/>
    <cellStyle name="Standaard 2 3 2 3 4 2 4" xfId="4216"/>
    <cellStyle name="Standaard 2 3 2 3 4 2 4 2" xfId="13658"/>
    <cellStyle name="Standaard 2 3 2 3 4 2 4 2 2" xfId="21631"/>
    <cellStyle name="Standaard 2 3 2 3 4 2 4 3" xfId="21632"/>
    <cellStyle name="Standaard 2 3 2 3 4 2 5" xfId="9263"/>
    <cellStyle name="Standaard 2 3 2 3 4 2 5 2" xfId="21633"/>
    <cellStyle name="Standaard 2 3 2 3 4 2 6" xfId="21634"/>
    <cellStyle name="Standaard 2 3 2 3 4 3" xfId="2443"/>
    <cellStyle name="Standaard 2 3 2 3 4 3 2" xfId="3460"/>
    <cellStyle name="Standaard 2 3 2 3 4 3 2 2" xfId="5494"/>
    <cellStyle name="Standaard 2 3 2 3 4 3 2 2 2" xfId="13660"/>
    <cellStyle name="Standaard 2 3 2 3 4 3 2 2 2 2" xfId="21635"/>
    <cellStyle name="Standaard 2 3 2 3 4 3 2 2 3" xfId="21636"/>
    <cellStyle name="Standaard 2 3 2 3 4 3 2 3" xfId="13659"/>
    <cellStyle name="Standaard 2 3 2 3 4 3 2 3 2" xfId="21637"/>
    <cellStyle name="Standaard 2 3 2 3 4 3 2 4" xfId="21638"/>
    <cellStyle name="Standaard 2 3 2 3 4 3 3" xfId="4477"/>
    <cellStyle name="Standaard 2 3 2 3 4 3 3 2" xfId="13661"/>
    <cellStyle name="Standaard 2 3 2 3 4 3 3 2 2" xfId="21639"/>
    <cellStyle name="Standaard 2 3 2 3 4 3 3 3" xfId="21640"/>
    <cellStyle name="Standaard 2 3 2 3 4 3 4" xfId="9265"/>
    <cellStyle name="Standaard 2 3 2 3 4 3 4 2" xfId="21641"/>
    <cellStyle name="Standaard 2 3 2 3 4 3 5" xfId="21642"/>
    <cellStyle name="Standaard 2 3 2 3 4 4" xfId="2947"/>
    <cellStyle name="Standaard 2 3 2 3 4 4 2" xfId="4981"/>
    <cellStyle name="Standaard 2 3 2 3 4 4 2 2" xfId="13663"/>
    <cellStyle name="Standaard 2 3 2 3 4 4 2 2 2" xfId="21643"/>
    <cellStyle name="Standaard 2 3 2 3 4 4 2 3" xfId="21644"/>
    <cellStyle name="Standaard 2 3 2 3 4 4 3" xfId="13662"/>
    <cellStyle name="Standaard 2 3 2 3 4 4 3 2" xfId="21645"/>
    <cellStyle name="Standaard 2 3 2 3 4 4 4" xfId="21646"/>
    <cellStyle name="Standaard 2 3 2 3 4 5" xfId="3964"/>
    <cellStyle name="Standaard 2 3 2 3 4 5 2" xfId="13664"/>
    <cellStyle name="Standaard 2 3 2 3 4 5 2 2" xfId="21647"/>
    <cellStyle name="Standaard 2 3 2 3 4 5 3" xfId="21648"/>
    <cellStyle name="Standaard 2 3 2 3 4 6" xfId="9262"/>
    <cellStyle name="Standaard 2 3 2 3 4 6 2" xfId="21649"/>
    <cellStyle name="Standaard 2 3 2 3 4 7" xfId="21650"/>
    <cellStyle name="Standaard 2 3 2 3 5" xfId="2025"/>
    <cellStyle name="Standaard 2 3 2 3 5 2" xfId="2569"/>
    <cellStyle name="Standaard 2 3 2 3 5 2 2" xfId="3586"/>
    <cellStyle name="Standaard 2 3 2 3 5 2 2 2" xfId="5620"/>
    <cellStyle name="Standaard 2 3 2 3 5 2 2 2 2" xfId="13666"/>
    <cellStyle name="Standaard 2 3 2 3 5 2 2 2 2 2" xfId="21651"/>
    <cellStyle name="Standaard 2 3 2 3 5 2 2 2 3" xfId="21652"/>
    <cellStyle name="Standaard 2 3 2 3 5 2 2 3" xfId="13665"/>
    <cellStyle name="Standaard 2 3 2 3 5 2 2 3 2" xfId="21653"/>
    <cellStyle name="Standaard 2 3 2 3 5 2 2 4" xfId="21654"/>
    <cellStyle name="Standaard 2 3 2 3 5 2 3" xfId="4603"/>
    <cellStyle name="Standaard 2 3 2 3 5 2 3 2" xfId="13667"/>
    <cellStyle name="Standaard 2 3 2 3 5 2 3 2 2" xfId="21655"/>
    <cellStyle name="Standaard 2 3 2 3 5 2 3 3" xfId="21656"/>
    <cellStyle name="Standaard 2 3 2 3 5 2 4" xfId="9267"/>
    <cellStyle name="Standaard 2 3 2 3 5 2 4 2" xfId="21657"/>
    <cellStyle name="Standaard 2 3 2 3 5 2 5" xfId="21658"/>
    <cellStyle name="Standaard 2 3 2 3 5 3" xfId="3073"/>
    <cellStyle name="Standaard 2 3 2 3 5 3 2" xfId="5107"/>
    <cellStyle name="Standaard 2 3 2 3 5 3 2 2" xfId="13669"/>
    <cellStyle name="Standaard 2 3 2 3 5 3 2 2 2" xfId="21659"/>
    <cellStyle name="Standaard 2 3 2 3 5 3 2 3" xfId="21660"/>
    <cellStyle name="Standaard 2 3 2 3 5 3 3" xfId="13668"/>
    <cellStyle name="Standaard 2 3 2 3 5 3 3 2" xfId="21661"/>
    <cellStyle name="Standaard 2 3 2 3 5 3 4" xfId="21662"/>
    <cellStyle name="Standaard 2 3 2 3 5 4" xfId="4090"/>
    <cellStyle name="Standaard 2 3 2 3 5 4 2" xfId="13670"/>
    <cellStyle name="Standaard 2 3 2 3 5 4 2 2" xfId="21663"/>
    <cellStyle name="Standaard 2 3 2 3 5 4 3" xfId="21664"/>
    <cellStyle name="Standaard 2 3 2 3 5 5" xfId="9266"/>
    <cellStyle name="Standaard 2 3 2 3 5 5 2" xfId="21665"/>
    <cellStyle name="Standaard 2 3 2 3 5 6" xfId="21666"/>
    <cellStyle name="Standaard 2 3 2 3 6" xfId="2317"/>
    <cellStyle name="Standaard 2 3 2 3 6 2" xfId="3334"/>
    <cellStyle name="Standaard 2 3 2 3 6 2 2" xfId="5368"/>
    <cellStyle name="Standaard 2 3 2 3 6 2 2 2" xfId="13672"/>
    <cellStyle name="Standaard 2 3 2 3 6 2 2 2 2" xfId="21667"/>
    <cellStyle name="Standaard 2 3 2 3 6 2 2 3" xfId="21668"/>
    <cellStyle name="Standaard 2 3 2 3 6 2 3" xfId="13671"/>
    <cellStyle name="Standaard 2 3 2 3 6 2 3 2" xfId="21669"/>
    <cellStyle name="Standaard 2 3 2 3 6 2 4" xfId="21670"/>
    <cellStyle name="Standaard 2 3 2 3 6 3" xfId="4351"/>
    <cellStyle name="Standaard 2 3 2 3 6 3 2" xfId="13673"/>
    <cellStyle name="Standaard 2 3 2 3 6 3 2 2" xfId="21671"/>
    <cellStyle name="Standaard 2 3 2 3 6 3 3" xfId="21672"/>
    <cellStyle name="Standaard 2 3 2 3 6 4" xfId="9268"/>
    <cellStyle name="Standaard 2 3 2 3 6 4 2" xfId="21673"/>
    <cellStyle name="Standaard 2 3 2 3 6 5" xfId="21674"/>
    <cellStyle name="Standaard 2 3 2 3 7" xfId="2821"/>
    <cellStyle name="Standaard 2 3 2 3 7 2" xfId="4855"/>
    <cellStyle name="Standaard 2 3 2 3 7 2 2" xfId="13675"/>
    <cellStyle name="Standaard 2 3 2 3 7 2 2 2" xfId="21675"/>
    <cellStyle name="Standaard 2 3 2 3 7 2 3" xfId="21676"/>
    <cellStyle name="Standaard 2 3 2 3 7 3" xfId="13674"/>
    <cellStyle name="Standaard 2 3 2 3 7 3 2" xfId="21677"/>
    <cellStyle name="Standaard 2 3 2 3 7 4" xfId="21678"/>
    <cellStyle name="Standaard 2 3 2 3 8" xfId="3838"/>
    <cellStyle name="Standaard 2 3 2 3 8 2" xfId="13676"/>
    <cellStyle name="Standaard 2 3 2 3 8 2 2" xfId="21679"/>
    <cellStyle name="Standaard 2 3 2 3 8 3" xfId="21680"/>
    <cellStyle name="Standaard 2 3 2 3 9" xfId="9245"/>
    <cellStyle name="Standaard 2 3 2 3 9 2" xfId="21681"/>
    <cellStyle name="Standaard 2 3 2 4" xfId="1787"/>
    <cellStyle name="Standaard 2 3 2 4 2" xfId="1913"/>
    <cellStyle name="Standaard 2 3 2 4 2 2" xfId="2165"/>
    <cellStyle name="Standaard 2 3 2 4 2 2 2" xfId="2709"/>
    <cellStyle name="Standaard 2 3 2 4 2 2 2 2" xfId="3726"/>
    <cellStyle name="Standaard 2 3 2 4 2 2 2 2 2" xfId="5760"/>
    <cellStyle name="Standaard 2 3 2 4 2 2 2 2 2 2" xfId="13678"/>
    <cellStyle name="Standaard 2 3 2 4 2 2 2 2 2 2 2" xfId="21682"/>
    <cellStyle name="Standaard 2 3 2 4 2 2 2 2 2 3" xfId="21683"/>
    <cellStyle name="Standaard 2 3 2 4 2 2 2 2 3" xfId="13677"/>
    <cellStyle name="Standaard 2 3 2 4 2 2 2 2 3 2" xfId="21684"/>
    <cellStyle name="Standaard 2 3 2 4 2 2 2 2 4" xfId="21685"/>
    <cellStyle name="Standaard 2 3 2 4 2 2 2 3" xfId="4743"/>
    <cellStyle name="Standaard 2 3 2 4 2 2 2 3 2" xfId="13679"/>
    <cellStyle name="Standaard 2 3 2 4 2 2 2 3 2 2" xfId="21686"/>
    <cellStyle name="Standaard 2 3 2 4 2 2 2 3 3" xfId="21687"/>
    <cellStyle name="Standaard 2 3 2 4 2 2 2 4" xfId="9272"/>
    <cellStyle name="Standaard 2 3 2 4 2 2 2 4 2" xfId="21688"/>
    <cellStyle name="Standaard 2 3 2 4 2 2 2 5" xfId="21689"/>
    <cellStyle name="Standaard 2 3 2 4 2 2 3" xfId="3213"/>
    <cellStyle name="Standaard 2 3 2 4 2 2 3 2" xfId="5247"/>
    <cellStyle name="Standaard 2 3 2 4 2 2 3 2 2" xfId="13681"/>
    <cellStyle name="Standaard 2 3 2 4 2 2 3 2 2 2" xfId="21690"/>
    <cellStyle name="Standaard 2 3 2 4 2 2 3 2 3" xfId="21691"/>
    <cellStyle name="Standaard 2 3 2 4 2 2 3 3" xfId="13680"/>
    <cellStyle name="Standaard 2 3 2 4 2 2 3 3 2" xfId="21692"/>
    <cellStyle name="Standaard 2 3 2 4 2 2 3 4" xfId="21693"/>
    <cellStyle name="Standaard 2 3 2 4 2 2 4" xfId="4230"/>
    <cellStyle name="Standaard 2 3 2 4 2 2 4 2" xfId="13682"/>
    <cellStyle name="Standaard 2 3 2 4 2 2 4 2 2" xfId="21694"/>
    <cellStyle name="Standaard 2 3 2 4 2 2 4 3" xfId="21695"/>
    <cellStyle name="Standaard 2 3 2 4 2 2 5" xfId="9271"/>
    <cellStyle name="Standaard 2 3 2 4 2 2 5 2" xfId="21696"/>
    <cellStyle name="Standaard 2 3 2 4 2 2 6" xfId="21697"/>
    <cellStyle name="Standaard 2 3 2 4 2 3" xfId="2457"/>
    <cellStyle name="Standaard 2 3 2 4 2 3 2" xfId="3474"/>
    <cellStyle name="Standaard 2 3 2 4 2 3 2 2" xfId="5508"/>
    <cellStyle name="Standaard 2 3 2 4 2 3 2 2 2" xfId="13684"/>
    <cellStyle name="Standaard 2 3 2 4 2 3 2 2 2 2" xfId="21698"/>
    <cellStyle name="Standaard 2 3 2 4 2 3 2 2 3" xfId="21699"/>
    <cellStyle name="Standaard 2 3 2 4 2 3 2 3" xfId="13683"/>
    <cellStyle name="Standaard 2 3 2 4 2 3 2 3 2" xfId="21700"/>
    <cellStyle name="Standaard 2 3 2 4 2 3 2 4" xfId="21701"/>
    <cellStyle name="Standaard 2 3 2 4 2 3 3" xfId="4491"/>
    <cellStyle name="Standaard 2 3 2 4 2 3 3 2" xfId="13685"/>
    <cellStyle name="Standaard 2 3 2 4 2 3 3 2 2" xfId="21702"/>
    <cellStyle name="Standaard 2 3 2 4 2 3 3 3" xfId="21703"/>
    <cellStyle name="Standaard 2 3 2 4 2 3 4" xfId="9273"/>
    <cellStyle name="Standaard 2 3 2 4 2 3 4 2" xfId="21704"/>
    <cellStyle name="Standaard 2 3 2 4 2 3 5" xfId="21705"/>
    <cellStyle name="Standaard 2 3 2 4 2 4" xfId="2961"/>
    <cellStyle name="Standaard 2 3 2 4 2 4 2" xfId="4995"/>
    <cellStyle name="Standaard 2 3 2 4 2 4 2 2" xfId="13687"/>
    <cellStyle name="Standaard 2 3 2 4 2 4 2 2 2" xfId="21706"/>
    <cellStyle name="Standaard 2 3 2 4 2 4 2 3" xfId="21707"/>
    <cellStyle name="Standaard 2 3 2 4 2 4 3" xfId="13686"/>
    <cellStyle name="Standaard 2 3 2 4 2 4 3 2" xfId="21708"/>
    <cellStyle name="Standaard 2 3 2 4 2 4 4" xfId="21709"/>
    <cellStyle name="Standaard 2 3 2 4 2 5" xfId="3978"/>
    <cellStyle name="Standaard 2 3 2 4 2 5 2" xfId="13688"/>
    <cellStyle name="Standaard 2 3 2 4 2 5 2 2" xfId="21710"/>
    <cellStyle name="Standaard 2 3 2 4 2 5 3" xfId="21711"/>
    <cellStyle name="Standaard 2 3 2 4 2 6" xfId="9270"/>
    <cellStyle name="Standaard 2 3 2 4 2 6 2" xfId="21712"/>
    <cellStyle name="Standaard 2 3 2 4 2 7" xfId="21713"/>
    <cellStyle name="Standaard 2 3 2 4 3" xfId="2039"/>
    <cellStyle name="Standaard 2 3 2 4 3 2" xfId="2583"/>
    <cellStyle name="Standaard 2 3 2 4 3 2 2" xfId="3600"/>
    <cellStyle name="Standaard 2 3 2 4 3 2 2 2" xfId="5634"/>
    <cellStyle name="Standaard 2 3 2 4 3 2 2 2 2" xfId="13690"/>
    <cellStyle name="Standaard 2 3 2 4 3 2 2 2 2 2" xfId="21714"/>
    <cellStyle name="Standaard 2 3 2 4 3 2 2 2 3" xfId="21715"/>
    <cellStyle name="Standaard 2 3 2 4 3 2 2 3" xfId="13689"/>
    <cellStyle name="Standaard 2 3 2 4 3 2 2 3 2" xfId="21716"/>
    <cellStyle name="Standaard 2 3 2 4 3 2 2 4" xfId="21717"/>
    <cellStyle name="Standaard 2 3 2 4 3 2 3" xfId="4617"/>
    <cellStyle name="Standaard 2 3 2 4 3 2 3 2" xfId="13691"/>
    <cellStyle name="Standaard 2 3 2 4 3 2 3 2 2" xfId="21718"/>
    <cellStyle name="Standaard 2 3 2 4 3 2 3 3" xfId="21719"/>
    <cellStyle name="Standaard 2 3 2 4 3 2 4" xfId="9275"/>
    <cellStyle name="Standaard 2 3 2 4 3 2 4 2" xfId="21720"/>
    <cellStyle name="Standaard 2 3 2 4 3 2 5" xfId="21721"/>
    <cellStyle name="Standaard 2 3 2 4 3 3" xfId="3087"/>
    <cellStyle name="Standaard 2 3 2 4 3 3 2" xfId="5121"/>
    <cellStyle name="Standaard 2 3 2 4 3 3 2 2" xfId="13693"/>
    <cellStyle name="Standaard 2 3 2 4 3 3 2 2 2" xfId="21722"/>
    <cellStyle name="Standaard 2 3 2 4 3 3 2 3" xfId="21723"/>
    <cellStyle name="Standaard 2 3 2 4 3 3 3" xfId="13692"/>
    <cellStyle name="Standaard 2 3 2 4 3 3 3 2" xfId="21724"/>
    <cellStyle name="Standaard 2 3 2 4 3 3 4" xfId="21725"/>
    <cellStyle name="Standaard 2 3 2 4 3 4" xfId="4104"/>
    <cellStyle name="Standaard 2 3 2 4 3 4 2" xfId="13694"/>
    <cellStyle name="Standaard 2 3 2 4 3 4 2 2" xfId="21726"/>
    <cellStyle name="Standaard 2 3 2 4 3 4 3" xfId="21727"/>
    <cellStyle name="Standaard 2 3 2 4 3 5" xfId="9274"/>
    <cellStyle name="Standaard 2 3 2 4 3 5 2" xfId="21728"/>
    <cellStyle name="Standaard 2 3 2 4 3 6" xfId="21729"/>
    <cellStyle name="Standaard 2 3 2 4 4" xfId="2331"/>
    <cellStyle name="Standaard 2 3 2 4 4 2" xfId="3348"/>
    <cellStyle name="Standaard 2 3 2 4 4 2 2" xfId="5382"/>
    <cellStyle name="Standaard 2 3 2 4 4 2 2 2" xfId="13696"/>
    <cellStyle name="Standaard 2 3 2 4 4 2 2 2 2" xfId="21730"/>
    <cellStyle name="Standaard 2 3 2 4 4 2 2 3" xfId="21731"/>
    <cellStyle name="Standaard 2 3 2 4 4 2 3" xfId="13695"/>
    <cellStyle name="Standaard 2 3 2 4 4 2 3 2" xfId="21732"/>
    <cellStyle name="Standaard 2 3 2 4 4 2 4" xfId="21733"/>
    <cellStyle name="Standaard 2 3 2 4 4 3" xfId="4365"/>
    <cellStyle name="Standaard 2 3 2 4 4 3 2" xfId="13697"/>
    <cellStyle name="Standaard 2 3 2 4 4 3 2 2" xfId="21734"/>
    <cellStyle name="Standaard 2 3 2 4 4 3 3" xfId="21735"/>
    <cellStyle name="Standaard 2 3 2 4 4 4" xfId="9276"/>
    <cellStyle name="Standaard 2 3 2 4 4 4 2" xfId="21736"/>
    <cellStyle name="Standaard 2 3 2 4 4 5" xfId="21737"/>
    <cellStyle name="Standaard 2 3 2 4 5" xfId="2835"/>
    <cellStyle name="Standaard 2 3 2 4 5 2" xfId="4869"/>
    <cellStyle name="Standaard 2 3 2 4 5 2 2" xfId="13699"/>
    <cellStyle name="Standaard 2 3 2 4 5 2 2 2" xfId="21738"/>
    <cellStyle name="Standaard 2 3 2 4 5 2 3" xfId="21739"/>
    <cellStyle name="Standaard 2 3 2 4 5 3" xfId="13698"/>
    <cellStyle name="Standaard 2 3 2 4 5 3 2" xfId="21740"/>
    <cellStyle name="Standaard 2 3 2 4 5 4" xfId="21741"/>
    <cellStyle name="Standaard 2 3 2 4 6" xfId="3852"/>
    <cellStyle name="Standaard 2 3 2 4 6 2" xfId="13700"/>
    <cellStyle name="Standaard 2 3 2 4 6 2 2" xfId="21742"/>
    <cellStyle name="Standaard 2 3 2 4 6 3" xfId="21743"/>
    <cellStyle name="Standaard 2 3 2 4 7" xfId="9269"/>
    <cellStyle name="Standaard 2 3 2 4 7 2" xfId="21744"/>
    <cellStyle name="Standaard 2 3 2 4 8" xfId="21745"/>
    <cellStyle name="Standaard 2 3 2 5" xfId="1829"/>
    <cellStyle name="Standaard 2 3 2 5 2" xfId="1955"/>
    <cellStyle name="Standaard 2 3 2 5 2 2" xfId="2207"/>
    <cellStyle name="Standaard 2 3 2 5 2 2 2" xfId="2751"/>
    <cellStyle name="Standaard 2 3 2 5 2 2 2 2" xfId="3768"/>
    <cellStyle name="Standaard 2 3 2 5 2 2 2 2 2" xfId="5802"/>
    <cellStyle name="Standaard 2 3 2 5 2 2 2 2 2 2" xfId="13702"/>
    <cellStyle name="Standaard 2 3 2 5 2 2 2 2 2 2 2" xfId="21746"/>
    <cellStyle name="Standaard 2 3 2 5 2 2 2 2 2 3" xfId="21747"/>
    <cellStyle name="Standaard 2 3 2 5 2 2 2 2 3" xfId="13701"/>
    <cellStyle name="Standaard 2 3 2 5 2 2 2 2 3 2" xfId="21748"/>
    <cellStyle name="Standaard 2 3 2 5 2 2 2 2 4" xfId="21749"/>
    <cellStyle name="Standaard 2 3 2 5 2 2 2 3" xfId="4785"/>
    <cellStyle name="Standaard 2 3 2 5 2 2 2 3 2" xfId="13703"/>
    <cellStyle name="Standaard 2 3 2 5 2 2 2 3 2 2" xfId="21750"/>
    <cellStyle name="Standaard 2 3 2 5 2 2 2 3 3" xfId="21751"/>
    <cellStyle name="Standaard 2 3 2 5 2 2 2 4" xfId="9280"/>
    <cellStyle name="Standaard 2 3 2 5 2 2 2 4 2" xfId="21752"/>
    <cellStyle name="Standaard 2 3 2 5 2 2 2 5" xfId="21753"/>
    <cellStyle name="Standaard 2 3 2 5 2 2 3" xfId="3255"/>
    <cellStyle name="Standaard 2 3 2 5 2 2 3 2" xfId="5289"/>
    <cellStyle name="Standaard 2 3 2 5 2 2 3 2 2" xfId="13705"/>
    <cellStyle name="Standaard 2 3 2 5 2 2 3 2 2 2" xfId="21754"/>
    <cellStyle name="Standaard 2 3 2 5 2 2 3 2 3" xfId="21755"/>
    <cellStyle name="Standaard 2 3 2 5 2 2 3 3" xfId="13704"/>
    <cellStyle name="Standaard 2 3 2 5 2 2 3 3 2" xfId="21756"/>
    <cellStyle name="Standaard 2 3 2 5 2 2 3 4" xfId="21757"/>
    <cellStyle name="Standaard 2 3 2 5 2 2 4" xfId="4272"/>
    <cellStyle name="Standaard 2 3 2 5 2 2 4 2" xfId="13706"/>
    <cellStyle name="Standaard 2 3 2 5 2 2 4 2 2" xfId="21758"/>
    <cellStyle name="Standaard 2 3 2 5 2 2 4 3" xfId="21759"/>
    <cellStyle name="Standaard 2 3 2 5 2 2 5" xfId="9279"/>
    <cellStyle name="Standaard 2 3 2 5 2 2 5 2" xfId="21760"/>
    <cellStyle name="Standaard 2 3 2 5 2 2 6" xfId="21761"/>
    <cellStyle name="Standaard 2 3 2 5 2 3" xfId="2499"/>
    <cellStyle name="Standaard 2 3 2 5 2 3 2" xfId="3516"/>
    <cellStyle name="Standaard 2 3 2 5 2 3 2 2" xfId="5550"/>
    <cellStyle name="Standaard 2 3 2 5 2 3 2 2 2" xfId="13708"/>
    <cellStyle name="Standaard 2 3 2 5 2 3 2 2 2 2" xfId="21762"/>
    <cellStyle name="Standaard 2 3 2 5 2 3 2 2 3" xfId="21763"/>
    <cellStyle name="Standaard 2 3 2 5 2 3 2 3" xfId="13707"/>
    <cellStyle name="Standaard 2 3 2 5 2 3 2 3 2" xfId="21764"/>
    <cellStyle name="Standaard 2 3 2 5 2 3 2 4" xfId="21765"/>
    <cellStyle name="Standaard 2 3 2 5 2 3 3" xfId="4533"/>
    <cellStyle name="Standaard 2 3 2 5 2 3 3 2" xfId="13709"/>
    <cellStyle name="Standaard 2 3 2 5 2 3 3 2 2" xfId="21766"/>
    <cellStyle name="Standaard 2 3 2 5 2 3 3 3" xfId="21767"/>
    <cellStyle name="Standaard 2 3 2 5 2 3 4" xfId="9281"/>
    <cellStyle name="Standaard 2 3 2 5 2 3 4 2" xfId="21768"/>
    <cellStyle name="Standaard 2 3 2 5 2 3 5" xfId="21769"/>
    <cellStyle name="Standaard 2 3 2 5 2 4" xfId="3003"/>
    <cellStyle name="Standaard 2 3 2 5 2 4 2" xfId="5037"/>
    <cellStyle name="Standaard 2 3 2 5 2 4 2 2" xfId="13711"/>
    <cellStyle name="Standaard 2 3 2 5 2 4 2 2 2" xfId="21770"/>
    <cellStyle name="Standaard 2 3 2 5 2 4 2 3" xfId="21771"/>
    <cellStyle name="Standaard 2 3 2 5 2 4 3" xfId="13710"/>
    <cellStyle name="Standaard 2 3 2 5 2 4 3 2" xfId="21772"/>
    <cellStyle name="Standaard 2 3 2 5 2 4 4" xfId="21773"/>
    <cellStyle name="Standaard 2 3 2 5 2 5" xfId="4020"/>
    <cellStyle name="Standaard 2 3 2 5 2 5 2" xfId="13712"/>
    <cellStyle name="Standaard 2 3 2 5 2 5 2 2" xfId="21774"/>
    <cellStyle name="Standaard 2 3 2 5 2 5 3" xfId="21775"/>
    <cellStyle name="Standaard 2 3 2 5 2 6" xfId="9278"/>
    <cellStyle name="Standaard 2 3 2 5 2 6 2" xfId="21776"/>
    <cellStyle name="Standaard 2 3 2 5 2 7" xfId="21777"/>
    <cellStyle name="Standaard 2 3 2 5 3" xfId="2081"/>
    <cellStyle name="Standaard 2 3 2 5 3 2" xfId="2625"/>
    <cellStyle name="Standaard 2 3 2 5 3 2 2" xfId="3642"/>
    <cellStyle name="Standaard 2 3 2 5 3 2 2 2" xfId="5676"/>
    <cellStyle name="Standaard 2 3 2 5 3 2 2 2 2" xfId="13714"/>
    <cellStyle name="Standaard 2 3 2 5 3 2 2 2 2 2" xfId="21778"/>
    <cellStyle name="Standaard 2 3 2 5 3 2 2 2 3" xfId="21779"/>
    <cellStyle name="Standaard 2 3 2 5 3 2 2 3" xfId="13713"/>
    <cellStyle name="Standaard 2 3 2 5 3 2 2 3 2" xfId="21780"/>
    <cellStyle name="Standaard 2 3 2 5 3 2 2 4" xfId="21781"/>
    <cellStyle name="Standaard 2 3 2 5 3 2 3" xfId="4659"/>
    <cellStyle name="Standaard 2 3 2 5 3 2 3 2" xfId="13715"/>
    <cellStyle name="Standaard 2 3 2 5 3 2 3 2 2" xfId="21782"/>
    <cellStyle name="Standaard 2 3 2 5 3 2 3 3" xfId="21783"/>
    <cellStyle name="Standaard 2 3 2 5 3 2 4" xfId="9283"/>
    <cellStyle name="Standaard 2 3 2 5 3 2 4 2" xfId="21784"/>
    <cellStyle name="Standaard 2 3 2 5 3 2 5" xfId="21785"/>
    <cellStyle name="Standaard 2 3 2 5 3 3" xfId="3129"/>
    <cellStyle name="Standaard 2 3 2 5 3 3 2" xfId="5163"/>
    <cellStyle name="Standaard 2 3 2 5 3 3 2 2" xfId="13717"/>
    <cellStyle name="Standaard 2 3 2 5 3 3 2 2 2" xfId="21786"/>
    <cellStyle name="Standaard 2 3 2 5 3 3 2 3" xfId="21787"/>
    <cellStyle name="Standaard 2 3 2 5 3 3 3" xfId="13716"/>
    <cellStyle name="Standaard 2 3 2 5 3 3 3 2" xfId="21788"/>
    <cellStyle name="Standaard 2 3 2 5 3 3 4" xfId="21789"/>
    <cellStyle name="Standaard 2 3 2 5 3 4" xfId="4146"/>
    <cellStyle name="Standaard 2 3 2 5 3 4 2" xfId="13718"/>
    <cellStyle name="Standaard 2 3 2 5 3 4 2 2" xfId="21790"/>
    <cellStyle name="Standaard 2 3 2 5 3 4 3" xfId="21791"/>
    <cellStyle name="Standaard 2 3 2 5 3 5" xfId="9282"/>
    <cellStyle name="Standaard 2 3 2 5 3 5 2" xfId="21792"/>
    <cellStyle name="Standaard 2 3 2 5 3 6" xfId="21793"/>
    <cellStyle name="Standaard 2 3 2 5 4" xfId="2373"/>
    <cellStyle name="Standaard 2 3 2 5 4 2" xfId="3390"/>
    <cellStyle name="Standaard 2 3 2 5 4 2 2" xfId="5424"/>
    <cellStyle name="Standaard 2 3 2 5 4 2 2 2" xfId="13720"/>
    <cellStyle name="Standaard 2 3 2 5 4 2 2 2 2" xfId="21794"/>
    <cellStyle name="Standaard 2 3 2 5 4 2 2 3" xfId="21795"/>
    <cellStyle name="Standaard 2 3 2 5 4 2 3" xfId="13719"/>
    <cellStyle name="Standaard 2 3 2 5 4 2 3 2" xfId="21796"/>
    <cellStyle name="Standaard 2 3 2 5 4 2 4" xfId="21797"/>
    <cellStyle name="Standaard 2 3 2 5 4 3" xfId="4407"/>
    <cellStyle name="Standaard 2 3 2 5 4 3 2" xfId="13721"/>
    <cellStyle name="Standaard 2 3 2 5 4 3 2 2" xfId="21798"/>
    <cellStyle name="Standaard 2 3 2 5 4 3 3" xfId="21799"/>
    <cellStyle name="Standaard 2 3 2 5 4 4" xfId="9284"/>
    <cellStyle name="Standaard 2 3 2 5 4 4 2" xfId="21800"/>
    <cellStyle name="Standaard 2 3 2 5 4 5" xfId="21801"/>
    <cellStyle name="Standaard 2 3 2 5 5" xfId="2877"/>
    <cellStyle name="Standaard 2 3 2 5 5 2" xfId="4911"/>
    <cellStyle name="Standaard 2 3 2 5 5 2 2" xfId="13723"/>
    <cellStyle name="Standaard 2 3 2 5 5 2 2 2" xfId="21802"/>
    <cellStyle name="Standaard 2 3 2 5 5 2 3" xfId="21803"/>
    <cellStyle name="Standaard 2 3 2 5 5 3" xfId="13722"/>
    <cellStyle name="Standaard 2 3 2 5 5 3 2" xfId="21804"/>
    <cellStyle name="Standaard 2 3 2 5 5 4" xfId="21805"/>
    <cellStyle name="Standaard 2 3 2 5 6" xfId="3894"/>
    <cellStyle name="Standaard 2 3 2 5 6 2" xfId="13724"/>
    <cellStyle name="Standaard 2 3 2 5 6 2 2" xfId="21806"/>
    <cellStyle name="Standaard 2 3 2 5 6 3" xfId="21807"/>
    <cellStyle name="Standaard 2 3 2 5 7" xfId="9277"/>
    <cellStyle name="Standaard 2 3 2 5 7 2" xfId="21808"/>
    <cellStyle name="Standaard 2 3 2 5 8" xfId="21809"/>
    <cellStyle name="Standaard 2 3 2 6" xfId="1871"/>
    <cellStyle name="Standaard 2 3 2 6 2" xfId="2123"/>
    <cellStyle name="Standaard 2 3 2 6 2 2" xfId="2667"/>
    <cellStyle name="Standaard 2 3 2 6 2 2 2" xfId="3684"/>
    <cellStyle name="Standaard 2 3 2 6 2 2 2 2" xfId="5718"/>
    <cellStyle name="Standaard 2 3 2 6 2 2 2 2 2" xfId="13726"/>
    <cellStyle name="Standaard 2 3 2 6 2 2 2 2 2 2" xfId="21810"/>
    <cellStyle name="Standaard 2 3 2 6 2 2 2 2 3" xfId="21811"/>
    <cellStyle name="Standaard 2 3 2 6 2 2 2 3" xfId="13725"/>
    <cellStyle name="Standaard 2 3 2 6 2 2 2 3 2" xfId="21812"/>
    <cellStyle name="Standaard 2 3 2 6 2 2 2 4" xfId="21813"/>
    <cellStyle name="Standaard 2 3 2 6 2 2 3" xfId="4701"/>
    <cellStyle name="Standaard 2 3 2 6 2 2 3 2" xfId="13727"/>
    <cellStyle name="Standaard 2 3 2 6 2 2 3 2 2" xfId="21814"/>
    <cellStyle name="Standaard 2 3 2 6 2 2 3 3" xfId="21815"/>
    <cellStyle name="Standaard 2 3 2 6 2 2 4" xfId="9287"/>
    <cellStyle name="Standaard 2 3 2 6 2 2 4 2" xfId="21816"/>
    <cellStyle name="Standaard 2 3 2 6 2 2 5" xfId="21817"/>
    <cellStyle name="Standaard 2 3 2 6 2 3" xfId="3171"/>
    <cellStyle name="Standaard 2 3 2 6 2 3 2" xfId="5205"/>
    <cellStyle name="Standaard 2 3 2 6 2 3 2 2" xfId="13729"/>
    <cellStyle name="Standaard 2 3 2 6 2 3 2 2 2" xfId="21818"/>
    <cellStyle name="Standaard 2 3 2 6 2 3 2 3" xfId="21819"/>
    <cellStyle name="Standaard 2 3 2 6 2 3 3" xfId="13728"/>
    <cellStyle name="Standaard 2 3 2 6 2 3 3 2" xfId="21820"/>
    <cellStyle name="Standaard 2 3 2 6 2 3 4" xfId="21821"/>
    <cellStyle name="Standaard 2 3 2 6 2 4" xfId="4188"/>
    <cellStyle name="Standaard 2 3 2 6 2 4 2" xfId="13730"/>
    <cellStyle name="Standaard 2 3 2 6 2 4 2 2" xfId="21822"/>
    <cellStyle name="Standaard 2 3 2 6 2 4 3" xfId="21823"/>
    <cellStyle name="Standaard 2 3 2 6 2 5" xfId="9286"/>
    <cellStyle name="Standaard 2 3 2 6 2 5 2" xfId="21824"/>
    <cellStyle name="Standaard 2 3 2 6 2 6" xfId="21825"/>
    <cellStyle name="Standaard 2 3 2 6 3" xfId="2415"/>
    <cellStyle name="Standaard 2 3 2 6 3 2" xfId="3432"/>
    <cellStyle name="Standaard 2 3 2 6 3 2 2" xfId="5466"/>
    <cellStyle name="Standaard 2 3 2 6 3 2 2 2" xfId="13732"/>
    <cellStyle name="Standaard 2 3 2 6 3 2 2 2 2" xfId="21826"/>
    <cellStyle name="Standaard 2 3 2 6 3 2 2 3" xfId="21827"/>
    <cellStyle name="Standaard 2 3 2 6 3 2 3" xfId="13731"/>
    <cellStyle name="Standaard 2 3 2 6 3 2 3 2" xfId="21828"/>
    <cellStyle name="Standaard 2 3 2 6 3 2 4" xfId="21829"/>
    <cellStyle name="Standaard 2 3 2 6 3 3" xfId="4449"/>
    <cellStyle name="Standaard 2 3 2 6 3 3 2" xfId="13733"/>
    <cellStyle name="Standaard 2 3 2 6 3 3 2 2" xfId="21830"/>
    <cellStyle name="Standaard 2 3 2 6 3 3 3" xfId="21831"/>
    <cellStyle name="Standaard 2 3 2 6 3 4" xfId="9288"/>
    <cellStyle name="Standaard 2 3 2 6 3 4 2" xfId="21832"/>
    <cellStyle name="Standaard 2 3 2 6 3 5" xfId="21833"/>
    <cellStyle name="Standaard 2 3 2 6 4" xfId="2919"/>
    <cellStyle name="Standaard 2 3 2 6 4 2" xfId="4953"/>
    <cellStyle name="Standaard 2 3 2 6 4 2 2" xfId="13735"/>
    <cellStyle name="Standaard 2 3 2 6 4 2 2 2" xfId="21834"/>
    <cellStyle name="Standaard 2 3 2 6 4 2 3" xfId="21835"/>
    <cellStyle name="Standaard 2 3 2 6 4 3" xfId="13734"/>
    <cellStyle name="Standaard 2 3 2 6 4 3 2" xfId="21836"/>
    <cellStyle name="Standaard 2 3 2 6 4 4" xfId="21837"/>
    <cellStyle name="Standaard 2 3 2 6 5" xfId="3936"/>
    <cellStyle name="Standaard 2 3 2 6 5 2" xfId="13736"/>
    <cellStyle name="Standaard 2 3 2 6 5 2 2" xfId="21838"/>
    <cellStyle name="Standaard 2 3 2 6 5 3" xfId="21839"/>
    <cellStyle name="Standaard 2 3 2 6 6" xfId="9285"/>
    <cellStyle name="Standaard 2 3 2 6 6 2" xfId="21840"/>
    <cellStyle name="Standaard 2 3 2 6 7" xfId="21841"/>
    <cellStyle name="Standaard 2 3 2 7" xfId="1997"/>
    <cellStyle name="Standaard 2 3 2 7 2" xfId="2541"/>
    <cellStyle name="Standaard 2 3 2 7 2 2" xfId="3558"/>
    <cellStyle name="Standaard 2 3 2 7 2 2 2" xfId="5592"/>
    <cellStyle name="Standaard 2 3 2 7 2 2 2 2" xfId="13738"/>
    <cellStyle name="Standaard 2 3 2 7 2 2 2 2 2" xfId="21842"/>
    <cellStyle name="Standaard 2 3 2 7 2 2 2 3" xfId="21843"/>
    <cellStyle name="Standaard 2 3 2 7 2 2 3" xfId="13737"/>
    <cellStyle name="Standaard 2 3 2 7 2 2 3 2" xfId="21844"/>
    <cellStyle name="Standaard 2 3 2 7 2 2 4" xfId="21845"/>
    <cellStyle name="Standaard 2 3 2 7 2 3" xfId="4575"/>
    <cellStyle name="Standaard 2 3 2 7 2 3 2" xfId="13739"/>
    <cellStyle name="Standaard 2 3 2 7 2 3 2 2" xfId="21846"/>
    <cellStyle name="Standaard 2 3 2 7 2 3 3" xfId="21847"/>
    <cellStyle name="Standaard 2 3 2 7 2 4" xfId="9290"/>
    <cellStyle name="Standaard 2 3 2 7 2 4 2" xfId="21848"/>
    <cellStyle name="Standaard 2 3 2 7 2 5" xfId="21849"/>
    <cellStyle name="Standaard 2 3 2 7 3" xfId="3045"/>
    <cellStyle name="Standaard 2 3 2 7 3 2" xfId="5079"/>
    <cellStyle name="Standaard 2 3 2 7 3 2 2" xfId="13741"/>
    <cellStyle name="Standaard 2 3 2 7 3 2 2 2" xfId="21850"/>
    <cellStyle name="Standaard 2 3 2 7 3 2 3" xfId="21851"/>
    <cellStyle name="Standaard 2 3 2 7 3 3" xfId="13740"/>
    <cellStyle name="Standaard 2 3 2 7 3 3 2" xfId="21852"/>
    <cellStyle name="Standaard 2 3 2 7 3 4" xfId="21853"/>
    <cellStyle name="Standaard 2 3 2 7 4" xfId="4062"/>
    <cellStyle name="Standaard 2 3 2 7 4 2" xfId="13742"/>
    <cellStyle name="Standaard 2 3 2 7 4 2 2" xfId="21854"/>
    <cellStyle name="Standaard 2 3 2 7 4 3" xfId="21855"/>
    <cellStyle name="Standaard 2 3 2 7 5" xfId="9289"/>
    <cellStyle name="Standaard 2 3 2 7 5 2" xfId="21856"/>
    <cellStyle name="Standaard 2 3 2 7 6" xfId="21857"/>
    <cellStyle name="Standaard 2 3 2 8" xfId="2289"/>
    <cellStyle name="Standaard 2 3 2 8 2" xfId="3306"/>
    <cellStyle name="Standaard 2 3 2 8 2 2" xfId="5340"/>
    <cellStyle name="Standaard 2 3 2 8 2 2 2" xfId="13744"/>
    <cellStyle name="Standaard 2 3 2 8 2 2 2 2" xfId="21858"/>
    <cellStyle name="Standaard 2 3 2 8 2 2 3" xfId="21859"/>
    <cellStyle name="Standaard 2 3 2 8 2 3" xfId="13743"/>
    <cellStyle name="Standaard 2 3 2 8 2 3 2" xfId="21860"/>
    <cellStyle name="Standaard 2 3 2 8 2 4" xfId="21861"/>
    <cellStyle name="Standaard 2 3 2 8 3" xfId="4323"/>
    <cellStyle name="Standaard 2 3 2 8 3 2" xfId="13745"/>
    <cellStyle name="Standaard 2 3 2 8 3 2 2" xfId="21862"/>
    <cellStyle name="Standaard 2 3 2 8 3 3" xfId="21863"/>
    <cellStyle name="Standaard 2 3 2 8 4" xfId="9291"/>
    <cellStyle name="Standaard 2 3 2 8 4 2" xfId="21864"/>
    <cellStyle name="Standaard 2 3 2 8 5" xfId="21865"/>
    <cellStyle name="Standaard 2 3 2 9" xfId="2793"/>
    <cellStyle name="Standaard 2 3 2 9 2" xfId="4827"/>
    <cellStyle name="Standaard 2 3 2 9 2 2" xfId="13747"/>
    <cellStyle name="Standaard 2 3 2 9 2 2 2" xfId="21866"/>
    <cellStyle name="Standaard 2 3 2 9 2 3" xfId="21867"/>
    <cellStyle name="Standaard 2 3 2 9 3" xfId="13746"/>
    <cellStyle name="Standaard 2 3 2 9 3 2" xfId="21868"/>
    <cellStyle name="Standaard 2 3 2 9 4" xfId="21869"/>
    <cellStyle name="Standaard 2 3 3" xfId="1756"/>
    <cellStyle name="Standaard 2 3 3 10" xfId="21870"/>
    <cellStyle name="Standaard 2 3 3 2" xfId="1800"/>
    <cellStyle name="Standaard 2 3 3 2 2" xfId="1926"/>
    <cellStyle name="Standaard 2 3 3 2 2 2" xfId="2178"/>
    <cellStyle name="Standaard 2 3 3 2 2 2 2" xfId="2722"/>
    <cellStyle name="Standaard 2 3 3 2 2 2 2 2" xfId="3739"/>
    <cellStyle name="Standaard 2 3 3 2 2 2 2 2 2" xfId="5773"/>
    <cellStyle name="Standaard 2 3 3 2 2 2 2 2 2 2" xfId="13749"/>
    <cellStyle name="Standaard 2 3 3 2 2 2 2 2 2 2 2" xfId="21871"/>
    <cellStyle name="Standaard 2 3 3 2 2 2 2 2 2 3" xfId="21872"/>
    <cellStyle name="Standaard 2 3 3 2 2 2 2 2 3" xfId="13748"/>
    <cellStyle name="Standaard 2 3 3 2 2 2 2 2 3 2" xfId="21873"/>
    <cellStyle name="Standaard 2 3 3 2 2 2 2 2 4" xfId="21874"/>
    <cellStyle name="Standaard 2 3 3 2 2 2 2 3" xfId="4756"/>
    <cellStyle name="Standaard 2 3 3 2 2 2 2 3 2" xfId="13750"/>
    <cellStyle name="Standaard 2 3 3 2 2 2 2 3 2 2" xfId="21875"/>
    <cellStyle name="Standaard 2 3 3 2 2 2 2 3 3" xfId="21876"/>
    <cellStyle name="Standaard 2 3 3 2 2 2 2 4" xfId="9296"/>
    <cellStyle name="Standaard 2 3 3 2 2 2 2 4 2" xfId="21877"/>
    <cellStyle name="Standaard 2 3 3 2 2 2 2 5" xfId="21878"/>
    <cellStyle name="Standaard 2 3 3 2 2 2 3" xfId="3226"/>
    <cellStyle name="Standaard 2 3 3 2 2 2 3 2" xfId="5260"/>
    <cellStyle name="Standaard 2 3 3 2 2 2 3 2 2" xfId="13752"/>
    <cellStyle name="Standaard 2 3 3 2 2 2 3 2 2 2" xfId="21879"/>
    <cellStyle name="Standaard 2 3 3 2 2 2 3 2 3" xfId="21880"/>
    <cellStyle name="Standaard 2 3 3 2 2 2 3 3" xfId="13751"/>
    <cellStyle name="Standaard 2 3 3 2 2 2 3 3 2" xfId="21881"/>
    <cellStyle name="Standaard 2 3 3 2 2 2 3 4" xfId="21882"/>
    <cellStyle name="Standaard 2 3 3 2 2 2 4" xfId="4243"/>
    <cellStyle name="Standaard 2 3 3 2 2 2 4 2" xfId="13753"/>
    <cellStyle name="Standaard 2 3 3 2 2 2 4 2 2" xfId="21883"/>
    <cellStyle name="Standaard 2 3 3 2 2 2 4 3" xfId="21884"/>
    <cellStyle name="Standaard 2 3 3 2 2 2 5" xfId="9295"/>
    <cellStyle name="Standaard 2 3 3 2 2 2 5 2" xfId="21885"/>
    <cellStyle name="Standaard 2 3 3 2 2 2 6" xfId="21886"/>
    <cellStyle name="Standaard 2 3 3 2 2 3" xfId="2470"/>
    <cellStyle name="Standaard 2 3 3 2 2 3 2" xfId="3487"/>
    <cellStyle name="Standaard 2 3 3 2 2 3 2 2" xfId="5521"/>
    <cellStyle name="Standaard 2 3 3 2 2 3 2 2 2" xfId="13755"/>
    <cellStyle name="Standaard 2 3 3 2 2 3 2 2 2 2" xfId="21887"/>
    <cellStyle name="Standaard 2 3 3 2 2 3 2 2 3" xfId="21888"/>
    <cellStyle name="Standaard 2 3 3 2 2 3 2 3" xfId="13754"/>
    <cellStyle name="Standaard 2 3 3 2 2 3 2 3 2" xfId="21889"/>
    <cellStyle name="Standaard 2 3 3 2 2 3 2 4" xfId="21890"/>
    <cellStyle name="Standaard 2 3 3 2 2 3 3" xfId="4504"/>
    <cellStyle name="Standaard 2 3 3 2 2 3 3 2" xfId="13756"/>
    <cellStyle name="Standaard 2 3 3 2 2 3 3 2 2" xfId="21891"/>
    <cellStyle name="Standaard 2 3 3 2 2 3 3 3" xfId="21892"/>
    <cellStyle name="Standaard 2 3 3 2 2 3 4" xfId="9297"/>
    <cellStyle name="Standaard 2 3 3 2 2 3 4 2" xfId="21893"/>
    <cellStyle name="Standaard 2 3 3 2 2 3 5" xfId="21894"/>
    <cellStyle name="Standaard 2 3 3 2 2 4" xfId="2974"/>
    <cellStyle name="Standaard 2 3 3 2 2 4 2" xfId="5008"/>
    <cellStyle name="Standaard 2 3 3 2 2 4 2 2" xfId="13758"/>
    <cellStyle name="Standaard 2 3 3 2 2 4 2 2 2" xfId="21895"/>
    <cellStyle name="Standaard 2 3 3 2 2 4 2 3" xfId="21896"/>
    <cellStyle name="Standaard 2 3 3 2 2 4 3" xfId="13757"/>
    <cellStyle name="Standaard 2 3 3 2 2 4 3 2" xfId="21897"/>
    <cellStyle name="Standaard 2 3 3 2 2 4 4" xfId="21898"/>
    <cellStyle name="Standaard 2 3 3 2 2 5" xfId="3991"/>
    <cellStyle name="Standaard 2 3 3 2 2 5 2" xfId="13759"/>
    <cellStyle name="Standaard 2 3 3 2 2 5 2 2" xfId="21899"/>
    <cellStyle name="Standaard 2 3 3 2 2 5 3" xfId="21900"/>
    <cellStyle name="Standaard 2 3 3 2 2 6" xfId="9294"/>
    <cellStyle name="Standaard 2 3 3 2 2 6 2" xfId="21901"/>
    <cellStyle name="Standaard 2 3 3 2 2 7" xfId="21902"/>
    <cellStyle name="Standaard 2 3 3 2 3" xfId="2052"/>
    <cellStyle name="Standaard 2 3 3 2 3 2" xfId="2596"/>
    <cellStyle name="Standaard 2 3 3 2 3 2 2" xfId="3613"/>
    <cellStyle name="Standaard 2 3 3 2 3 2 2 2" xfId="5647"/>
    <cellStyle name="Standaard 2 3 3 2 3 2 2 2 2" xfId="13761"/>
    <cellStyle name="Standaard 2 3 3 2 3 2 2 2 2 2" xfId="21903"/>
    <cellStyle name="Standaard 2 3 3 2 3 2 2 2 3" xfId="21904"/>
    <cellStyle name="Standaard 2 3 3 2 3 2 2 3" xfId="13760"/>
    <cellStyle name="Standaard 2 3 3 2 3 2 2 3 2" xfId="21905"/>
    <cellStyle name="Standaard 2 3 3 2 3 2 2 4" xfId="21906"/>
    <cellStyle name="Standaard 2 3 3 2 3 2 3" xfId="4630"/>
    <cellStyle name="Standaard 2 3 3 2 3 2 3 2" xfId="13762"/>
    <cellStyle name="Standaard 2 3 3 2 3 2 3 2 2" xfId="21907"/>
    <cellStyle name="Standaard 2 3 3 2 3 2 3 3" xfId="21908"/>
    <cellStyle name="Standaard 2 3 3 2 3 2 4" xfId="9299"/>
    <cellStyle name="Standaard 2 3 3 2 3 2 4 2" xfId="21909"/>
    <cellStyle name="Standaard 2 3 3 2 3 2 5" xfId="21910"/>
    <cellStyle name="Standaard 2 3 3 2 3 3" xfId="3100"/>
    <cellStyle name="Standaard 2 3 3 2 3 3 2" xfId="5134"/>
    <cellStyle name="Standaard 2 3 3 2 3 3 2 2" xfId="13764"/>
    <cellStyle name="Standaard 2 3 3 2 3 3 2 2 2" xfId="21911"/>
    <cellStyle name="Standaard 2 3 3 2 3 3 2 3" xfId="21912"/>
    <cellStyle name="Standaard 2 3 3 2 3 3 3" xfId="13763"/>
    <cellStyle name="Standaard 2 3 3 2 3 3 3 2" xfId="21913"/>
    <cellStyle name="Standaard 2 3 3 2 3 3 4" xfId="21914"/>
    <cellStyle name="Standaard 2 3 3 2 3 4" xfId="4117"/>
    <cellStyle name="Standaard 2 3 3 2 3 4 2" xfId="13765"/>
    <cellStyle name="Standaard 2 3 3 2 3 4 2 2" xfId="21915"/>
    <cellStyle name="Standaard 2 3 3 2 3 4 3" xfId="21916"/>
    <cellStyle name="Standaard 2 3 3 2 3 5" xfId="9298"/>
    <cellStyle name="Standaard 2 3 3 2 3 5 2" xfId="21917"/>
    <cellStyle name="Standaard 2 3 3 2 3 6" xfId="21918"/>
    <cellStyle name="Standaard 2 3 3 2 4" xfId="2344"/>
    <cellStyle name="Standaard 2 3 3 2 4 2" xfId="3361"/>
    <cellStyle name="Standaard 2 3 3 2 4 2 2" xfId="5395"/>
    <cellStyle name="Standaard 2 3 3 2 4 2 2 2" xfId="13767"/>
    <cellStyle name="Standaard 2 3 3 2 4 2 2 2 2" xfId="21919"/>
    <cellStyle name="Standaard 2 3 3 2 4 2 2 3" xfId="21920"/>
    <cellStyle name="Standaard 2 3 3 2 4 2 3" xfId="13766"/>
    <cellStyle name="Standaard 2 3 3 2 4 2 3 2" xfId="21921"/>
    <cellStyle name="Standaard 2 3 3 2 4 2 4" xfId="21922"/>
    <cellStyle name="Standaard 2 3 3 2 4 3" xfId="4378"/>
    <cellStyle name="Standaard 2 3 3 2 4 3 2" xfId="13768"/>
    <cellStyle name="Standaard 2 3 3 2 4 3 2 2" xfId="21923"/>
    <cellStyle name="Standaard 2 3 3 2 4 3 3" xfId="21924"/>
    <cellStyle name="Standaard 2 3 3 2 4 4" xfId="9300"/>
    <cellStyle name="Standaard 2 3 3 2 4 4 2" xfId="21925"/>
    <cellStyle name="Standaard 2 3 3 2 4 5" xfId="21926"/>
    <cellStyle name="Standaard 2 3 3 2 5" xfId="2848"/>
    <cellStyle name="Standaard 2 3 3 2 5 2" xfId="4882"/>
    <cellStyle name="Standaard 2 3 3 2 5 2 2" xfId="13770"/>
    <cellStyle name="Standaard 2 3 3 2 5 2 2 2" xfId="21927"/>
    <cellStyle name="Standaard 2 3 3 2 5 2 3" xfId="21928"/>
    <cellStyle name="Standaard 2 3 3 2 5 3" xfId="13769"/>
    <cellStyle name="Standaard 2 3 3 2 5 3 2" xfId="21929"/>
    <cellStyle name="Standaard 2 3 3 2 5 4" xfId="21930"/>
    <cellStyle name="Standaard 2 3 3 2 6" xfId="3865"/>
    <cellStyle name="Standaard 2 3 3 2 6 2" xfId="13771"/>
    <cellStyle name="Standaard 2 3 3 2 6 2 2" xfId="21931"/>
    <cellStyle name="Standaard 2 3 3 2 6 3" xfId="21932"/>
    <cellStyle name="Standaard 2 3 3 2 7" xfId="9293"/>
    <cellStyle name="Standaard 2 3 3 2 7 2" xfId="21933"/>
    <cellStyle name="Standaard 2 3 3 2 8" xfId="21934"/>
    <cellStyle name="Standaard 2 3 3 3" xfId="1842"/>
    <cellStyle name="Standaard 2 3 3 3 2" xfId="1968"/>
    <cellStyle name="Standaard 2 3 3 3 2 2" xfId="2220"/>
    <cellStyle name="Standaard 2 3 3 3 2 2 2" xfId="2764"/>
    <cellStyle name="Standaard 2 3 3 3 2 2 2 2" xfId="3781"/>
    <cellStyle name="Standaard 2 3 3 3 2 2 2 2 2" xfId="5815"/>
    <cellStyle name="Standaard 2 3 3 3 2 2 2 2 2 2" xfId="13773"/>
    <cellStyle name="Standaard 2 3 3 3 2 2 2 2 2 2 2" xfId="21935"/>
    <cellStyle name="Standaard 2 3 3 3 2 2 2 2 2 3" xfId="21936"/>
    <cellStyle name="Standaard 2 3 3 3 2 2 2 2 3" xfId="13772"/>
    <cellStyle name="Standaard 2 3 3 3 2 2 2 2 3 2" xfId="21937"/>
    <cellStyle name="Standaard 2 3 3 3 2 2 2 2 4" xfId="21938"/>
    <cellStyle name="Standaard 2 3 3 3 2 2 2 3" xfId="4798"/>
    <cellStyle name="Standaard 2 3 3 3 2 2 2 3 2" xfId="13774"/>
    <cellStyle name="Standaard 2 3 3 3 2 2 2 3 2 2" xfId="21939"/>
    <cellStyle name="Standaard 2 3 3 3 2 2 2 3 3" xfId="21940"/>
    <cellStyle name="Standaard 2 3 3 3 2 2 2 4" xfId="9304"/>
    <cellStyle name="Standaard 2 3 3 3 2 2 2 4 2" xfId="21941"/>
    <cellStyle name="Standaard 2 3 3 3 2 2 2 5" xfId="21942"/>
    <cellStyle name="Standaard 2 3 3 3 2 2 3" xfId="3268"/>
    <cellStyle name="Standaard 2 3 3 3 2 2 3 2" xfId="5302"/>
    <cellStyle name="Standaard 2 3 3 3 2 2 3 2 2" xfId="13776"/>
    <cellStyle name="Standaard 2 3 3 3 2 2 3 2 2 2" xfId="21943"/>
    <cellStyle name="Standaard 2 3 3 3 2 2 3 2 3" xfId="21944"/>
    <cellStyle name="Standaard 2 3 3 3 2 2 3 3" xfId="13775"/>
    <cellStyle name="Standaard 2 3 3 3 2 2 3 3 2" xfId="21945"/>
    <cellStyle name="Standaard 2 3 3 3 2 2 3 4" xfId="21946"/>
    <cellStyle name="Standaard 2 3 3 3 2 2 4" xfId="4285"/>
    <cellStyle name="Standaard 2 3 3 3 2 2 4 2" xfId="13777"/>
    <cellStyle name="Standaard 2 3 3 3 2 2 4 2 2" xfId="21947"/>
    <cellStyle name="Standaard 2 3 3 3 2 2 4 3" xfId="21948"/>
    <cellStyle name="Standaard 2 3 3 3 2 2 5" xfId="9303"/>
    <cellStyle name="Standaard 2 3 3 3 2 2 5 2" xfId="21949"/>
    <cellStyle name="Standaard 2 3 3 3 2 2 6" xfId="21950"/>
    <cellStyle name="Standaard 2 3 3 3 2 3" xfId="2512"/>
    <cellStyle name="Standaard 2 3 3 3 2 3 2" xfId="3529"/>
    <cellStyle name="Standaard 2 3 3 3 2 3 2 2" xfId="5563"/>
    <cellStyle name="Standaard 2 3 3 3 2 3 2 2 2" xfId="13779"/>
    <cellStyle name="Standaard 2 3 3 3 2 3 2 2 2 2" xfId="21951"/>
    <cellStyle name="Standaard 2 3 3 3 2 3 2 2 3" xfId="21952"/>
    <cellStyle name="Standaard 2 3 3 3 2 3 2 3" xfId="13778"/>
    <cellStyle name="Standaard 2 3 3 3 2 3 2 3 2" xfId="21953"/>
    <cellStyle name="Standaard 2 3 3 3 2 3 2 4" xfId="21954"/>
    <cellStyle name="Standaard 2 3 3 3 2 3 3" xfId="4546"/>
    <cellStyle name="Standaard 2 3 3 3 2 3 3 2" xfId="13780"/>
    <cellStyle name="Standaard 2 3 3 3 2 3 3 2 2" xfId="21955"/>
    <cellStyle name="Standaard 2 3 3 3 2 3 3 3" xfId="21956"/>
    <cellStyle name="Standaard 2 3 3 3 2 3 4" xfId="9305"/>
    <cellStyle name="Standaard 2 3 3 3 2 3 4 2" xfId="21957"/>
    <cellStyle name="Standaard 2 3 3 3 2 3 5" xfId="21958"/>
    <cellStyle name="Standaard 2 3 3 3 2 4" xfId="3016"/>
    <cellStyle name="Standaard 2 3 3 3 2 4 2" xfId="5050"/>
    <cellStyle name="Standaard 2 3 3 3 2 4 2 2" xfId="13782"/>
    <cellStyle name="Standaard 2 3 3 3 2 4 2 2 2" xfId="21959"/>
    <cellStyle name="Standaard 2 3 3 3 2 4 2 3" xfId="21960"/>
    <cellStyle name="Standaard 2 3 3 3 2 4 3" xfId="13781"/>
    <cellStyle name="Standaard 2 3 3 3 2 4 3 2" xfId="21961"/>
    <cellStyle name="Standaard 2 3 3 3 2 4 4" xfId="21962"/>
    <cellStyle name="Standaard 2 3 3 3 2 5" xfId="4033"/>
    <cellStyle name="Standaard 2 3 3 3 2 5 2" xfId="13783"/>
    <cellStyle name="Standaard 2 3 3 3 2 5 2 2" xfId="21963"/>
    <cellStyle name="Standaard 2 3 3 3 2 5 3" xfId="21964"/>
    <cellStyle name="Standaard 2 3 3 3 2 6" xfId="9302"/>
    <cellStyle name="Standaard 2 3 3 3 2 6 2" xfId="21965"/>
    <cellStyle name="Standaard 2 3 3 3 2 7" xfId="21966"/>
    <cellStyle name="Standaard 2 3 3 3 3" xfId="2094"/>
    <cellStyle name="Standaard 2 3 3 3 3 2" xfId="2638"/>
    <cellStyle name="Standaard 2 3 3 3 3 2 2" xfId="3655"/>
    <cellStyle name="Standaard 2 3 3 3 3 2 2 2" xfId="5689"/>
    <cellStyle name="Standaard 2 3 3 3 3 2 2 2 2" xfId="13785"/>
    <cellStyle name="Standaard 2 3 3 3 3 2 2 2 2 2" xfId="21967"/>
    <cellStyle name="Standaard 2 3 3 3 3 2 2 2 3" xfId="21968"/>
    <cellStyle name="Standaard 2 3 3 3 3 2 2 3" xfId="13784"/>
    <cellStyle name="Standaard 2 3 3 3 3 2 2 3 2" xfId="21969"/>
    <cellStyle name="Standaard 2 3 3 3 3 2 2 4" xfId="21970"/>
    <cellStyle name="Standaard 2 3 3 3 3 2 3" xfId="4672"/>
    <cellStyle name="Standaard 2 3 3 3 3 2 3 2" xfId="13786"/>
    <cellStyle name="Standaard 2 3 3 3 3 2 3 2 2" xfId="21971"/>
    <cellStyle name="Standaard 2 3 3 3 3 2 3 3" xfId="21972"/>
    <cellStyle name="Standaard 2 3 3 3 3 2 4" xfId="9307"/>
    <cellStyle name="Standaard 2 3 3 3 3 2 4 2" xfId="21973"/>
    <cellStyle name="Standaard 2 3 3 3 3 2 5" xfId="21974"/>
    <cellStyle name="Standaard 2 3 3 3 3 3" xfId="3142"/>
    <cellStyle name="Standaard 2 3 3 3 3 3 2" xfId="5176"/>
    <cellStyle name="Standaard 2 3 3 3 3 3 2 2" xfId="13788"/>
    <cellStyle name="Standaard 2 3 3 3 3 3 2 2 2" xfId="21975"/>
    <cellStyle name="Standaard 2 3 3 3 3 3 2 3" xfId="21976"/>
    <cellStyle name="Standaard 2 3 3 3 3 3 3" xfId="13787"/>
    <cellStyle name="Standaard 2 3 3 3 3 3 3 2" xfId="21977"/>
    <cellStyle name="Standaard 2 3 3 3 3 3 4" xfId="21978"/>
    <cellStyle name="Standaard 2 3 3 3 3 4" xfId="4159"/>
    <cellStyle name="Standaard 2 3 3 3 3 4 2" xfId="13789"/>
    <cellStyle name="Standaard 2 3 3 3 3 4 2 2" xfId="21979"/>
    <cellStyle name="Standaard 2 3 3 3 3 4 3" xfId="21980"/>
    <cellStyle name="Standaard 2 3 3 3 3 5" xfId="9306"/>
    <cellStyle name="Standaard 2 3 3 3 3 5 2" xfId="21981"/>
    <cellStyle name="Standaard 2 3 3 3 3 6" xfId="21982"/>
    <cellStyle name="Standaard 2 3 3 3 4" xfId="2386"/>
    <cellStyle name="Standaard 2 3 3 3 4 2" xfId="3403"/>
    <cellStyle name="Standaard 2 3 3 3 4 2 2" xfId="5437"/>
    <cellStyle name="Standaard 2 3 3 3 4 2 2 2" xfId="13791"/>
    <cellStyle name="Standaard 2 3 3 3 4 2 2 2 2" xfId="21983"/>
    <cellStyle name="Standaard 2 3 3 3 4 2 2 3" xfId="21984"/>
    <cellStyle name="Standaard 2 3 3 3 4 2 3" xfId="13790"/>
    <cellStyle name="Standaard 2 3 3 3 4 2 3 2" xfId="21985"/>
    <cellStyle name="Standaard 2 3 3 3 4 2 4" xfId="21986"/>
    <cellStyle name="Standaard 2 3 3 3 4 3" xfId="4420"/>
    <cellStyle name="Standaard 2 3 3 3 4 3 2" xfId="13792"/>
    <cellStyle name="Standaard 2 3 3 3 4 3 2 2" xfId="21987"/>
    <cellStyle name="Standaard 2 3 3 3 4 3 3" xfId="21988"/>
    <cellStyle name="Standaard 2 3 3 3 4 4" xfId="9308"/>
    <cellStyle name="Standaard 2 3 3 3 4 4 2" xfId="21989"/>
    <cellStyle name="Standaard 2 3 3 3 4 5" xfId="21990"/>
    <cellStyle name="Standaard 2 3 3 3 5" xfId="2890"/>
    <cellStyle name="Standaard 2 3 3 3 5 2" xfId="4924"/>
    <cellStyle name="Standaard 2 3 3 3 5 2 2" xfId="13794"/>
    <cellStyle name="Standaard 2 3 3 3 5 2 2 2" xfId="21991"/>
    <cellStyle name="Standaard 2 3 3 3 5 2 3" xfId="21992"/>
    <cellStyle name="Standaard 2 3 3 3 5 3" xfId="13793"/>
    <cellStyle name="Standaard 2 3 3 3 5 3 2" xfId="21993"/>
    <cellStyle name="Standaard 2 3 3 3 5 4" xfId="21994"/>
    <cellStyle name="Standaard 2 3 3 3 6" xfId="3907"/>
    <cellStyle name="Standaard 2 3 3 3 6 2" xfId="13795"/>
    <cellStyle name="Standaard 2 3 3 3 6 2 2" xfId="21995"/>
    <cellStyle name="Standaard 2 3 3 3 6 3" xfId="21996"/>
    <cellStyle name="Standaard 2 3 3 3 7" xfId="9301"/>
    <cellStyle name="Standaard 2 3 3 3 7 2" xfId="21997"/>
    <cellStyle name="Standaard 2 3 3 3 8" xfId="21998"/>
    <cellStyle name="Standaard 2 3 3 4" xfId="1884"/>
    <cellStyle name="Standaard 2 3 3 4 2" xfId="2136"/>
    <cellStyle name="Standaard 2 3 3 4 2 2" xfId="2680"/>
    <cellStyle name="Standaard 2 3 3 4 2 2 2" xfId="3697"/>
    <cellStyle name="Standaard 2 3 3 4 2 2 2 2" xfId="5731"/>
    <cellStyle name="Standaard 2 3 3 4 2 2 2 2 2" xfId="13797"/>
    <cellStyle name="Standaard 2 3 3 4 2 2 2 2 2 2" xfId="21999"/>
    <cellStyle name="Standaard 2 3 3 4 2 2 2 2 3" xfId="22000"/>
    <cellStyle name="Standaard 2 3 3 4 2 2 2 3" xfId="13796"/>
    <cellStyle name="Standaard 2 3 3 4 2 2 2 3 2" xfId="22001"/>
    <cellStyle name="Standaard 2 3 3 4 2 2 2 4" xfId="22002"/>
    <cellStyle name="Standaard 2 3 3 4 2 2 3" xfId="4714"/>
    <cellStyle name="Standaard 2 3 3 4 2 2 3 2" xfId="13798"/>
    <cellStyle name="Standaard 2 3 3 4 2 2 3 2 2" xfId="22003"/>
    <cellStyle name="Standaard 2 3 3 4 2 2 3 3" xfId="22004"/>
    <cellStyle name="Standaard 2 3 3 4 2 2 4" xfId="9311"/>
    <cellStyle name="Standaard 2 3 3 4 2 2 4 2" xfId="22005"/>
    <cellStyle name="Standaard 2 3 3 4 2 2 5" xfId="22006"/>
    <cellStyle name="Standaard 2 3 3 4 2 3" xfId="3184"/>
    <cellStyle name="Standaard 2 3 3 4 2 3 2" xfId="5218"/>
    <cellStyle name="Standaard 2 3 3 4 2 3 2 2" xfId="13800"/>
    <cellStyle name="Standaard 2 3 3 4 2 3 2 2 2" xfId="22007"/>
    <cellStyle name="Standaard 2 3 3 4 2 3 2 3" xfId="22008"/>
    <cellStyle name="Standaard 2 3 3 4 2 3 3" xfId="13799"/>
    <cellStyle name="Standaard 2 3 3 4 2 3 3 2" xfId="22009"/>
    <cellStyle name="Standaard 2 3 3 4 2 3 4" xfId="22010"/>
    <cellStyle name="Standaard 2 3 3 4 2 4" xfId="4201"/>
    <cellStyle name="Standaard 2 3 3 4 2 4 2" xfId="13801"/>
    <cellStyle name="Standaard 2 3 3 4 2 4 2 2" xfId="22011"/>
    <cellStyle name="Standaard 2 3 3 4 2 4 3" xfId="22012"/>
    <cellStyle name="Standaard 2 3 3 4 2 5" xfId="9310"/>
    <cellStyle name="Standaard 2 3 3 4 2 5 2" xfId="22013"/>
    <cellStyle name="Standaard 2 3 3 4 2 6" xfId="22014"/>
    <cellStyle name="Standaard 2 3 3 4 3" xfId="2428"/>
    <cellStyle name="Standaard 2 3 3 4 3 2" xfId="3445"/>
    <cellStyle name="Standaard 2 3 3 4 3 2 2" xfId="5479"/>
    <cellStyle name="Standaard 2 3 3 4 3 2 2 2" xfId="13803"/>
    <cellStyle name="Standaard 2 3 3 4 3 2 2 2 2" xfId="22015"/>
    <cellStyle name="Standaard 2 3 3 4 3 2 2 3" xfId="22016"/>
    <cellStyle name="Standaard 2 3 3 4 3 2 3" xfId="13802"/>
    <cellStyle name="Standaard 2 3 3 4 3 2 3 2" xfId="22017"/>
    <cellStyle name="Standaard 2 3 3 4 3 2 4" xfId="22018"/>
    <cellStyle name="Standaard 2 3 3 4 3 3" xfId="4462"/>
    <cellStyle name="Standaard 2 3 3 4 3 3 2" xfId="13804"/>
    <cellStyle name="Standaard 2 3 3 4 3 3 2 2" xfId="22019"/>
    <cellStyle name="Standaard 2 3 3 4 3 3 3" xfId="22020"/>
    <cellStyle name="Standaard 2 3 3 4 3 4" xfId="9312"/>
    <cellStyle name="Standaard 2 3 3 4 3 4 2" xfId="22021"/>
    <cellStyle name="Standaard 2 3 3 4 3 5" xfId="22022"/>
    <cellStyle name="Standaard 2 3 3 4 4" xfId="2932"/>
    <cellStyle name="Standaard 2 3 3 4 4 2" xfId="4966"/>
    <cellStyle name="Standaard 2 3 3 4 4 2 2" xfId="13806"/>
    <cellStyle name="Standaard 2 3 3 4 4 2 2 2" xfId="22023"/>
    <cellStyle name="Standaard 2 3 3 4 4 2 3" xfId="22024"/>
    <cellStyle name="Standaard 2 3 3 4 4 3" xfId="13805"/>
    <cellStyle name="Standaard 2 3 3 4 4 3 2" xfId="22025"/>
    <cellStyle name="Standaard 2 3 3 4 4 4" xfId="22026"/>
    <cellStyle name="Standaard 2 3 3 4 5" xfId="3949"/>
    <cellStyle name="Standaard 2 3 3 4 5 2" xfId="13807"/>
    <cellStyle name="Standaard 2 3 3 4 5 2 2" xfId="22027"/>
    <cellStyle name="Standaard 2 3 3 4 5 3" xfId="22028"/>
    <cellStyle name="Standaard 2 3 3 4 6" xfId="9309"/>
    <cellStyle name="Standaard 2 3 3 4 6 2" xfId="22029"/>
    <cellStyle name="Standaard 2 3 3 4 7" xfId="22030"/>
    <cellStyle name="Standaard 2 3 3 5" xfId="2010"/>
    <cellStyle name="Standaard 2 3 3 5 2" xfId="2554"/>
    <cellStyle name="Standaard 2 3 3 5 2 2" xfId="3571"/>
    <cellStyle name="Standaard 2 3 3 5 2 2 2" xfId="5605"/>
    <cellStyle name="Standaard 2 3 3 5 2 2 2 2" xfId="13809"/>
    <cellStyle name="Standaard 2 3 3 5 2 2 2 2 2" xfId="22031"/>
    <cellStyle name="Standaard 2 3 3 5 2 2 2 3" xfId="22032"/>
    <cellStyle name="Standaard 2 3 3 5 2 2 3" xfId="13808"/>
    <cellStyle name="Standaard 2 3 3 5 2 2 3 2" xfId="22033"/>
    <cellStyle name="Standaard 2 3 3 5 2 2 4" xfId="22034"/>
    <cellStyle name="Standaard 2 3 3 5 2 3" xfId="4588"/>
    <cellStyle name="Standaard 2 3 3 5 2 3 2" xfId="13810"/>
    <cellStyle name="Standaard 2 3 3 5 2 3 2 2" xfId="22035"/>
    <cellStyle name="Standaard 2 3 3 5 2 3 3" xfId="22036"/>
    <cellStyle name="Standaard 2 3 3 5 2 4" xfId="9314"/>
    <cellStyle name="Standaard 2 3 3 5 2 4 2" xfId="22037"/>
    <cellStyle name="Standaard 2 3 3 5 2 5" xfId="22038"/>
    <cellStyle name="Standaard 2 3 3 5 3" xfId="3058"/>
    <cellStyle name="Standaard 2 3 3 5 3 2" xfId="5092"/>
    <cellStyle name="Standaard 2 3 3 5 3 2 2" xfId="13812"/>
    <cellStyle name="Standaard 2 3 3 5 3 2 2 2" xfId="22039"/>
    <cellStyle name="Standaard 2 3 3 5 3 2 3" xfId="22040"/>
    <cellStyle name="Standaard 2 3 3 5 3 3" xfId="13811"/>
    <cellStyle name="Standaard 2 3 3 5 3 3 2" xfId="22041"/>
    <cellStyle name="Standaard 2 3 3 5 3 4" xfId="22042"/>
    <cellStyle name="Standaard 2 3 3 5 4" xfId="4075"/>
    <cellStyle name="Standaard 2 3 3 5 4 2" xfId="13813"/>
    <cellStyle name="Standaard 2 3 3 5 4 2 2" xfId="22043"/>
    <cellStyle name="Standaard 2 3 3 5 4 3" xfId="22044"/>
    <cellStyle name="Standaard 2 3 3 5 5" xfId="9313"/>
    <cellStyle name="Standaard 2 3 3 5 5 2" xfId="22045"/>
    <cellStyle name="Standaard 2 3 3 5 6" xfId="22046"/>
    <cellStyle name="Standaard 2 3 3 6" xfId="2302"/>
    <cellStyle name="Standaard 2 3 3 6 2" xfId="3319"/>
    <cellStyle name="Standaard 2 3 3 6 2 2" xfId="5353"/>
    <cellStyle name="Standaard 2 3 3 6 2 2 2" xfId="13815"/>
    <cellStyle name="Standaard 2 3 3 6 2 2 2 2" xfId="22047"/>
    <cellStyle name="Standaard 2 3 3 6 2 2 3" xfId="22048"/>
    <cellStyle name="Standaard 2 3 3 6 2 3" xfId="13814"/>
    <cellStyle name="Standaard 2 3 3 6 2 3 2" xfId="22049"/>
    <cellStyle name="Standaard 2 3 3 6 2 4" xfId="22050"/>
    <cellStyle name="Standaard 2 3 3 6 3" xfId="4336"/>
    <cellStyle name="Standaard 2 3 3 6 3 2" xfId="13816"/>
    <cellStyle name="Standaard 2 3 3 6 3 2 2" xfId="22051"/>
    <cellStyle name="Standaard 2 3 3 6 3 3" xfId="22052"/>
    <cellStyle name="Standaard 2 3 3 6 4" xfId="9315"/>
    <cellStyle name="Standaard 2 3 3 6 4 2" xfId="22053"/>
    <cellStyle name="Standaard 2 3 3 6 5" xfId="22054"/>
    <cellStyle name="Standaard 2 3 3 7" xfId="2806"/>
    <cellStyle name="Standaard 2 3 3 7 2" xfId="4840"/>
    <cellStyle name="Standaard 2 3 3 7 2 2" xfId="13818"/>
    <cellStyle name="Standaard 2 3 3 7 2 2 2" xfId="22055"/>
    <cellStyle name="Standaard 2 3 3 7 2 3" xfId="22056"/>
    <cellStyle name="Standaard 2 3 3 7 3" xfId="13817"/>
    <cellStyle name="Standaard 2 3 3 7 3 2" xfId="22057"/>
    <cellStyle name="Standaard 2 3 3 7 4" xfId="22058"/>
    <cellStyle name="Standaard 2 3 3 8" xfId="3823"/>
    <cellStyle name="Standaard 2 3 3 8 2" xfId="13819"/>
    <cellStyle name="Standaard 2 3 3 8 2 2" xfId="22059"/>
    <cellStyle name="Standaard 2 3 3 8 3" xfId="22060"/>
    <cellStyle name="Standaard 2 3 3 9" xfId="9292"/>
    <cellStyle name="Standaard 2 3 3 9 2" xfId="22061"/>
    <cellStyle name="Standaard 2 3 4" xfId="1772"/>
    <cellStyle name="Standaard 2 3 4 10" xfId="22062"/>
    <cellStyle name="Standaard 2 3 4 2" xfId="1814"/>
    <cellStyle name="Standaard 2 3 4 2 2" xfId="1940"/>
    <cellStyle name="Standaard 2 3 4 2 2 2" xfId="2192"/>
    <cellStyle name="Standaard 2 3 4 2 2 2 2" xfId="2736"/>
    <cellStyle name="Standaard 2 3 4 2 2 2 2 2" xfId="3753"/>
    <cellStyle name="Standaard 2 3 4 2 2 2 2 2 2" xfId="5787"/>
    <cellStyle name="Standaard 2 3 4 2 2 2 2 2 2 2" xfId="13821"/>
    <cellStyle name="Standaard 2 3 4 2 2 2 2 2 2 2 2" xfId="22063"/>
    <cellStyle name="Standaard 2 3 4 2 2 2 2 2 2 3" xfId="22064"/>
    <cellStyle name="Standaard 2 3 4 2 2 2 2 2 3" xfId="13820"/>
    <cellStyle name="Standaard 2 3 4 2 2 2 2 2 3 2" xfId="22065"/>
    <cellStyle name="Standaard 2 3 4 2 2 2 2 2 4" xfId="22066"/>
    <cellStyle name="Standaard 2 3 4 2 2 2 2 3" xfId="4770"/>
    <cellStyle name="Standaard 2 3 4 2 2 2 2 3 2" xfId="13822"/>
    <cellStyle name="Standaard 2 3 4 2 2 2 2 3 2 2" xfId="22067"/>
    <cellStyle name="Standaard 2 3 4 2 2 2 2 3 3" xfId="22068"/>
    <cellStyle name="Standaard 2 3 4 2 2 2 2 4" xfId="9320"/>
    <cellStyle name="Standaard 2 3 4 2 2 2 2 4 2" xfId="22069"/>
    <cellStyle name="Standaard 2 3 4 2 2 2 2 5" xfId="22070"/>
    <cellStyle name="Standaard 2 3 4 2 2 2 3" xfId="3240"/>
    <cellStyle name="Standaard 2 3 4 2 2 2 3 2" xfId="5274"/>
    <cellStyle name="Standaard 2 3 4 2 2 2 3 2 2" xfId="13824"/>
    <cellStyle name="Standaard 2 3 4 2 2 2 3 2 2 2" xfId="22071"/>
    <cellStyle name="Standaard 2 3 4 2 2 2 3 2 3" xfId="22072"/>
    <cellStyle name="Standaard 2 3 4 2 2 2 3 3" xfId="13823"/>
    <cellStyle name="Standaard 2 3 4 2 2 2 3 3 2" xfId="22073"/>
    <cellStyle name="Standaard 2 3 4 2 2 2 3 4" xfId="22074"/>
    <cellStyle name="Standaard 2 3 4 2 2 2 4" xfId="4257"/>
    <cellStyle name="Standaard 2 3 4 2 2 2 4 2" xfId="13825"/>
    <cellStyle name="Standaard 2 3 4 2 2 2 4 2 2" xfId="22075"/>
    <cellStyle name="Standaard 2 3 4 2 2 2 4 3" xfId="22076"/>
    <cellStyle name="Standaard 2 3 4 2 2 2 5" xfId="9319"/>
    <cellStyle name="Standaard 2 3 4 2 2 2 5 2" xfId="22077"/>
    <cellStyle name="Standaard 2 3 4 2 2 2 6" xfId="22078"/>
    <cellStyle name="Standaard 2 3 4 2 2 3" xfId="2484"/>
    <cellStyle name="Standaard 2 3 4 2 2 3 2" xfId="3501"/>
    <cellStyle name="Standaard 2 3 4 2 2 3 2 2" xfId="5535"/>
    <cellStyle name="Standaard 2 3 4 2 2 3 2 2 2" xfId="13827"/>
    <cellStyle name="Standaard 2 3 4 2 2 3 2 2 2 2" xfId="22079"/>
    <cellStyle name="Standaard 2 3 4 2 2 3 2 2 3" xfId="22080"/>
    <cellStyle name="Standaard 2 3 4 2 2 3 2 3" xfId="13826"/>
    <cellStyle name="Standaard 2 3 4 2 2 3 2 3 2" xfId="22081"/>
    <cellStyle name="Standaard 2 3 4 2 2 3 2 4" xfId="22082"/>
    <cellStyle name="Standaard 2 3 4 2 2 3 3" xfId="4518"/>
    <cellStyle name="Standaard 2 3 4 2 2 3 3 2" xfId="13828"/>
    <cellStyle name="Standaard 2 3 4 2 2 3 3 2 2" xfId="22083"/>
    <cellStyle name="Standaard 2 3 4 2 2 3 3 3" xfId="22084"/>
    <cellStyle name="Standaard 2 3 4 2 2 3 4" xfId="9321"/>
    <cellStyle name="Standaard 2 3 4 2 2 3 4 2" xfId="22085"/>
    <cellStyle name="Standaard 2 3 4 2 2 3 5" xfId="22086"/>
    <cellStyle name="Standaard 2 3 4 2 2 4" xfId="2988"/>
    <cellStyle name="Standaard 2 3 4 2 2 4 2" xfId="5022"/>
    <cellStyle name="Standaard 2 3 4 2 2 4 2 2" xfId="13830"/>
    <cellStyle name="Standaard 2 3 4 2 2 4 2 2 2" xfId="22087"/>
    <cellStyle name="Standaard 2 3 4 2 2 4 2 3" xfId="22088"/>
    <cellStyle name="Standaard 2 3 4 2 2 4 3" xfId="13829"/>
    <cellStyle name="Standaard 2 3 4 2 2 4 3 2" xfId="22089"/>
    <cellStyle name="Standaard 2 3 4 2 2 4 4" xfId="22090"/>
    <cellStyle name="Standaard 2 3 4 2 2 5" xfId="4005"/>
    <cellStyle name="Standaard 2 3 4 2 2 5 2" xfId="13831"/>
    <cellStyle name="Standaard 2 3 4 2 2 5 2 2" xfId="22091"/>
    <cellStyle name="Standaard 2 3 4 2 2 5 3" xfId="22092"/>
    <cellStyle name="Standaard 2 3 4 2 2 6" xfId="9318"/>
    <cellStyle name="Standaard 2 3 4 2 2 6 2" xfId="22093"/>
    <cellStyle name="Standaard 2 3 4 2 2 7" xfId="22094"/>
    <cellStyle name="Standaard 2 3 4 2 3" xfId="2066"/>
    <cellStyle name="Standaard 2 3 4 2 3 2" xfId="2610"/>
    <cellStyle name="Standaard 2 3 4 2 3 2 2" xfId="3627"/>
    <cellStyle name="Standaard 2 3 4 2 3 2 2 2" xfId="5661"/>
    <cellStyle name="Standaard 2 3 4 2 3 2 2 2 2" xfId="13833"/>
    <cellStyle name="Standaard 2 3 4 2 3 2 2 2 2 2" xfId="22095"/>
    <cellStyle name="Standaard 2 3 4 2 3 2 2 2 3" xfId="22096"/>
    <cellStyle name="Standaard 2 3 4 2 3 2 2 3" xfId="13832"/>
    <cellStyle name="Standaard 2 3 4 2 3 2 2 3 2" xfId="22097"/>
    <cellStyle name="Standaard 2 3 4 2 3 2 2 4" xfId="22098"/>
    <cellStyle name="Standaard 2 3 4 2 3 2 3" xfId="4644"/>
    <cellStyle name="Standaard 2 3 4 2 3 2 3 2" xfId="13834"/>
    <cellStyle name="Standaard 2 3 4 2 3 2 3 2 2" xfId="22099"/>
    <cellStyle name="Standaard 2 3 4 2 3 2 3 3" xfId="22100"/>
    <cellStyle name="Standaard 2 3 4 2 3 2 4" xfId="9323"/>
    <cellStyle name="Standaard 2 3 4 2 3 2 4 2" xfId="22101"/>
    <cellStyle name="Standaard 2 3 4 2 3 2 5" xfId="22102"/>
    <cellStyle name="Standaard 2 3 4 2 3 3" xfId="3114"/>
    <cellStyle name="Standaard 2 3 4 2 3 3 2" xfId="5148"/>
    <cellStyle name="Standaard 2 3 4 2 3 3 2 2" xfId="13836"/>
    <cellStyle name="Standaard 2 3 4 2 3 3 2 2 2" xfId="22103"/>
    <cellStyle name="Standaard 2 3 4 2 3 3 2 3" xfId="22104"/>
    <cellStyle name="Standaard 2 3 4 2 3 3 3" xfId="13835"/>
    <cellStyle name="Standaard 2 3 4 2 3 3 3 2" xfId="22105"/>
    <cellStyle name="Standaard 2 3 4 2 3 3 4" xfId="22106"/>
    <cellStyle name="Standaard 2 3 4 2 3 4" xfId="4131"/>
    <cellStyle name="Standaard 2 3 4 2 3 4 2" xfId="13837"/>
    <cellStyle name="Standaard 2 3 4 2 3 4 2 2" xfId="22107"/>
    <cellStyle name="Standaard 2 3 4 2 3 4 3" xfId="22108"/>
    <cellStyle name="Standaard 2 3 4 2 3 5" xfId="9322"/>
    <cellStyle name="Standaard 2 3 4 2 3 5 2" xfId="22109"/>
    <cellStyle name="Standaard 2 3 4 2 3 6" xfId="22110"/>
    <cellStyle name="Standaard 2 3 4 2 4" xfId="2358"/>
    <cellStyle name="Standaard 2 3 4 2 4 2" xfId="3375"/>
    <cellStyle name="Standaard 2 3 4 2 4 2 2" xfId="5409"/>
    <cellStyle name="Standaard 2 3 4 2 4 2 2 2" xfId="13839"/>
    <cellStyle name="Standaard 2 3 4 2 4 2 2 2 2" xfId="22111"/>
    <cellStyle name="Standaard 2 3 4 2 4 2 2 3" xfId="22112"/>
    <cellStyle name="Standaard 2 3 4 2 4 2 3" xfId="13838"/>
    <cellStyle name="Standaard 2 3 4 2 4 2 3 2" xfId="22113"/>
    <cellStyle name="Standaard 2 3 4 2 4 2 4" xfId="22114"/>
    <cellStyle name="Standaard 2 3 4 2 4 3" xfId="4392"/>
    <cellStyle name="Standaard 2 3 4 2 4 3 2" xfId="13840"/>
    <cellStyle name="Standaard 2 3 4 2 4 3 2 2" xfId="22115"/>
    <cellStyle name="Standaard 2 3 4 2 4 3 3" xfId="22116"/>
    <cellStyle name="Standaard 2 3 4 2 4 4" xfId="9324"/>
    <cellStyle name="Standaard 2 3 4 2 4 4 2" xfId="22117"/>
    <cellStyle name="Standaard 2 3 4 2 4 5" xfId="22118"/>
    <cellStyle name="Standaard 2 3 4 2 5" xfId="2862"/>
    <cellStyle name="Standaard 2 3 4 2 5 2" xfId="4896"/>
    <cellStyle name="Standaard 2 3 4 2 5 2 2" xfId="13842"/>
    <cellStyle name="Standaard 2 3 4 2 5 2 2 2" xfId="22119"/>
    <cellStyle name="Standaard 2 3 4 2 5 2 3" xfId="22120"/>
    <cellStyle name="Standaard 2 3 4 2 5 3" xfId="13841"/>
    <cellStyle name="Standaard 2 3 4 2 5 3 2" xfId="22121"/>
    <cellStyle name="Standaard 2 3 4 2 5 4" xfId="22122"/>
    <cellStyle name="Standaard 2 3 4 2 6" xfId="3879"/>
    <cellStyle name="Standaard 2 3 4 2 6 2" xfId="13843"/>
    <cellStyle name="Standaard 2 3 4 2 6 2 2" xfId="22123"/>
    <cellStyle name="Standaard 2 3 4 2 6 3" xfId="22124"/>
    <cellStyle name="Standaard 2 3 4 2 7" xfId="9317"/>
    <cellStyle name="Standaard 2 3 4 2 7 2" xfId="22125"/>
    <cellStyle name="Standaard 2 3 4 2 8" xfId="22126"/>
    <cellStyle name="Standaard 2 3 4 3" xfId="1856"/>
    <cellStyle name="Standaard 2 3 4 3 2" xfId="1982"/>
    <cellStyle name="Standaard 2 3 4 3 2 2" xfId="2234"/>
    <cellStyle name="Standaard 2 3 4 3 2 2 2" xfId="2778"/>
    <cellStyle name="Standaard 2 3 4 3 2 2 2 2" xfId="3795"/>
    <cellStyle name="Standaard 2 3 4 3 2 2 2 2 2" xfId="5829"/>
    <cellStyle name="Standaard 2 3 4 3 2 2 2 2 2 2" xfId="13845"/>
    <cellStyle name="Standaard 2 3 4 3 2 2 2 2 2 2 2" xfId="22127"/>
    <cellStyle name="Standaard 2 3 4 3 2 2 2 2 2 3" xfId="22128"/>
    <cellStyle name="Standaard 2 3 4 3 2 2 2 2 3" xfId="13844"/>
    <cellStyle name="Standaard 2 3 4 3 2 2 2 2 3 2" xfId="22129"/>
    <cellStyle name="Standaard 2 3 4 3 2 2 2 2 4" xfId="22130"/>
    <cellStyle name="Standaard 2 3 4 3 2 2 2 3" xfId="4812"/>
    <cellStyle name="Standaard 2 3 4 3 2 2 2 3 2" xfId="13846"/>
    <cellStyle name="Standaard 2 3 4 3 2 2 2 3 2 2" xfId="22131"/>
    <cellStyle name="Standaard 2 3 4 3 2 2 2 3 3" xfId="22132"/>
    <cellStyle name="Standaard 2 3 4 3 2 2 2 4" xfId="9328"/>
    <cellStyle name="Standaard 2 3 4 3 2 2 2 4 2" xfId="22133"/>
    <cellStyle name="Standaard 2 3 4 3 2 2 2 5" xfId="22134"/>
    <cellStyle name="Standaard 2 3 4 3 2 2 3" xfId="3282"/>
    <cellStyle name="Standaard 2 3 4 3 2 2 3 2" xfId="5316"/>
    <cellStyle name="Standaard 2 3 4 3 2 2 3 2 2" xfId="13848"/>
    <cellStyle name="Standaard 2 3 4 3 2 2 3 2 2 2" xfId="22135"/>
    <cellStyle name="Standaard 2 3 4 3 2 2 3 2 3" xfId="22136"/>
    <cellStyle name="Standaard 2 3 4 3 2 2 3 3" xfId="13847"/>
    <cellStyle name="Standaard 2 3 4 3 2 2 3 3 2" xfId="22137"/>
    <cellStyle name="Standaard 2 3 4 3 2 2 3 4" xfId="22138"/>
    <cellStyle name="Standaard 2 3 4 3 2 2 4" xfId="4299"/>
    <cellStyle name="Standaard 2 3 4 3 2 2 4 2" xfId="13849"/>
    <cellStyle name="Standaard 2 3 4 3 2 2 4 2 2" xfId="22139"/>
    <cellStyle name="Standaard 2 3 4 3 2 2 4 3" xfId="22140"/>
    <cellStyle name="Standaard 2 3 4 3 2 2 5" xfId="9327"/>
    <cellStyle name="Standaard 2 3 4 3 2 2 5 2" xfId="22141"/>
    <cellStyle name="Standaard 2 3 4 3 2 2 6" xfId="22142"/>
    <cellStyle name="Standaard 2 3 4 3 2 3" xfId="2526"/>
    <cellStyle name="Standaard 2 3 4 3 2 3 2" xfId="3543"/>
    <cellStyle name="Standaard 2 3 4 3 2 3 2 2" xfId="5577"/>
    <cellStyle name="Standaard 2 3 4 3 2 3 2 2 2" xfId="13851"/>
    <cellStyle name="Standaard 2 3 4 3 2 3 2 2 2 2" xfId="22143"/>
    <cellStyle name="Standaard 2 3 4 3 2 3 2 2 3" xfId="22144"/>
    <cellStyle name="Standaard 2 3 4 3 2 3 2 3" xfId="13850"/>
    <cellStyle name="Standaard 2 3 4 3 2 3 2 3 2" xfId="22145"/>
    <cellStyle name="Standaard 2 3 4 3 2 3 2 4" xfId="22146"/>
    <cellStyle name="Standaard 2 3 4 3 2 3 3" xfId="4560"/>
    <cellStyle name="Standaard 2 3 4 3 2 3 3 2" xfId="13852"/>
    <cellStyle name="Standaard 2 3 4 3 2 3 3 2 2" xfId="22147"/>
    <cellStyle name="Standaard 2 3 4 3 2 3 3 3" xfId="22148"/>
    <cellStyle name="Standaard 2 3 4 3 2 3 4" xfId="9329"/>
    <cellStyle name="Standaard 2 3 4 3 2 3 4 2" xfId="22149"/>
    <cellStyle name="Standaard 2 3 4 3 2 3 5" xfId="22150"/>
    <cellStyle name="Standaard 2 3 4 3 2 4" xfId="3030"/>
    <cellStyle name="Standaard 2 3 4 3 2 4 2" xfId="5064"/>
    <cellStyle name="Standaard 2 3 4 3 2 4 2 2" xfId="13854"/>
    <cellStyle name="Standaard 2 3 4 3 2 4 2 2 2" xfId="22151"/>
    <cellStyle name="Standaard 2 3 4 3 2 4 2 3" xfId="22152"/>
    <cellStyle name="Standaard 2 3 4 3 2 4 3" xfId="13853"/>
    <cellStyle name="Standaard 2 3 4 3 2 4 3 2" xfId="22153"/>
    <cellStyle name="Standaard 2 3 4 3 2 4 4" xfId="22154"/>
    <cellStyle name="Standaard 2 3 4 3 2 5" xfId="4047"/>
    <cellStyle name="Standaard 2 3 4 3 2 5 2" xfId="13855"/>
    <cellStyle name="Standaard 2 3 4 3 2 5 2 2" xfId="22155"/>
    <cellStyle name="Standaard 2 3 4 3 2 5 3" xfId="22156"/>
    <cellStyle name="Standaard 2 3 4 3 2 6" xfId="9326"/>
    <cellStyle name="Standaard 2 3 4 3 2 6 2" xfId="22157"/>
    <cellStyle name="Standaard 2 3 4 3 2 7" xfId="22158"/>
    <cellStyle name="Standaard 2 3 4 3 3" xfId="2108"/>
    <cellStyle name="Standaard 2 3 4 3 3 2" xfId="2652"/>
    <cellStyle name="Standaard 2 3 4 3 3 2 2" xfId="3669"/>
    <cellStyle name="Standaard 2 3 4 3 3 2 2 2" xfId="5703"/>
    <cellStyle name="Standaard 2 3 4 3 3 2 2 2 2" xfId="13857"/>
    <cellStyle name="Standaard 2 3 4 3 3 2 2 2 2 2" xfId="22159"/>
    <cellStyle name="Standaard 2 3 4 3 3 2 2 2 3" xfId="22160"/>
    <cellStyle name="Standaard 2 3 4 3 3 2 2 3" xfId="13856"/>
    <cellStyle name="Standaard 2 3 4 3 3 2 2 3 2" xfId="22161"/>
    <cellStyle name="Standaard 2 3 4 3 3 2 2 4" xfId="22162"/>
    <cellStyle name="Standaard 2 3 4 3 3 2 3" xfId="4686"/>
    <cellStyle name="Standaard 2 3 4 3 3 2 3 2" xfId="13858"/>
    <cellStyle name="Standaard 2 3 4 3 3 2 3 2 2" xfId="22163"/>
    <cellStyle name="Standaard 2 3 4 3 3 2 3 3" xfId="22164"/>
    <cellStyle name="Standaard 2 3 4 3 3 2 4" xfId="9331"/>
    <cellStyle name="Standaard 2 3 4 3 3 2 4 2" xfId="22165"/>
    <cellStyle name="Standaard 2 3 4 3 3 2 5" xfId="22166"/>
    <cellStyle name="Standaard 2 3 4 3 3 3" xfId="3156"/>
    <cellStyle name="Standaard 2 3 4 3 3 3 2" xfId="5190"/>
    <cellStyle name="Standaard 2 3 4 3 3 3 2 2" xfId="13860"/>
    <cellStyle name="Standaard 2 3 4 3 3 3 2 2 2" xfId="22167"/>
    <cellStyle name="Standaard 2 3 4 3 3 3 2 3" xfId="22168"/>
    <cellStyle name="Standaard 2 3 4 3 3 3 3" xfId="13859"/>
    <cellStyle name="Standaard 2 3 4 3 3 3 3 2" xfId="22169"/>
    <cellStyle name="Standaard 2 3 4 3 3 3 4" xfId="22170"/>
    <cellStyle name="Standaard 2 3 4 3 3 4" xfId="4173"/>
    <cellStyle name="Standaard 2 3 4 3 3 4 2" xfId="13861"/>
    <cellStyle name="Standaard 2 3 4 3 3 4 2 2" xfId="22171"/>
    <cellStyle name="Standaard 2 3 4 3 3 4 3" xfId="22172"/>
    <cellStyle name="Standaard 2 3 4 3 3 5" xfId="9330"/>
    <cellStyle name="Standaard 2 3 4 3 3 5 2" xfId="22173"/>
    <cellStyle name="Standaard 2 3 4 3 3 6" xfId="22174"/>
    <cellStyle name="Standaard 2 3 4 3 4" xfId="2400"/>
    <cellStyle name="Standaard 2 3 4 3 4 2" xfId="3417"/>
    <cellStyle name="Standaard 2 3 4 3 4 2 2" xfId="5451"/>
    <cellStyle name="Standaard 2 3 4 3 4 2 2 2" xfId="13863"/>
    <cellStyle name="Standaard 2 3 4 3 4 2 2 2 2" xfId="22175"/>
    <cellStyle name="Standaard 2 3 4 3 4 2 2 3" xfId="22176"/>
    <cellStyle name="Standaard 2 3 4 3 4 2 3" xfId="13862"/>
    <cellStyle name="Standaard 2 3 4 3 4 2 3 2" xfId="22177"/>
    <cellStyle name="Standaard 2 3 4 3 4 2 4" xfId="22178"/>
    <cellStyle name="Standaard 2 3 4 3 4 3" xfId="4434"/>
    <cellStyle name="Standaard 2 3 4 3 4 3 2" xfId="13864"/>
    <cellStyle name="Standaard 2 3 4 3 4 3 2 2" xfId="22179"/>
    <cellStyle name="Standaard 2 3 4 3 4 3 3" xfId="22180"/>
    <cellStyle name="Standaard 2 3 4 3 4 4" xfId="9332"/>
    <cellStyle name="Standaard 2 3 4 3 4 4 2" xfId="22181"/>
    <cellStyle name="Standaard 2 3 4 3 4 5" xfId="22182"/>
    <cellStyle name="Standaard 2 3 4 3 5" xfId="2904"/>
    <cellStyle name="Standaard 2 3 4 3 5 2" xfId="4938"/>
    <cellStyle name="Standaard 2 3 4 3 5 2 2" xfId="13866"/>
    <cellStyle name="Standaard 2 3 4 3 5 2 2 2" xfId="22183"/>
    <cellStyle name="Standaard 2 3 4 3 5 2 3" xfId="22184"/>
    <cellStyle name="Standaard 2 3 4 3 5 3" xfId="13865"/>
    <cellStyle name="Standaard 2 3 4 3 5 3 2" xfId="22185"/>
    <cellStyle name="Standaard 2 3 4 3 5 4" xfId="22186"/>
    <cellStyle name="Standaard 2 3 4 3 6" xfId="3921"/>
    <cellStyle name="Standaard 2 3 4 3 6 2" xfId="13867"/>
    <cellStyle name="Standaard 2 3 4 3 6 2 2" xfId="22187"/>
    <cellStyle name="Standaard 2 3 4 3 6 3" xfId="22188"/>
    <cellStyle name="Standaard 2 3 4 3 7" xfId="9325"/>
    <cellStyle name="Standaard 2 3 4 3 7 2" xfId="22189"/>
    <cellStyle name="Standaard 2 3 4 3 8" xfId="22190"/>
    <cellStyle name="Standaard 2 3 4 4" xfId="1898"/>
    <cellStyle name="Standaard 2 3 4 4 2" xfId="2150"/>
    <cellStyle name="Standaard 2 3 4 4 2 2" xfId="2694"/>
    <cellStyle name="Standaard 2 3 4 4 2 2 2" xfId="3711"/>
    <cellStyle name="Standaard 2 3 4 4 2 2 2 2" xfId="5745"/>
    <cellStyle name="Standaard 2 3 4 4 2 2 2 2 2" xfId="13869"/>
    <cellStyle name="Standaard 2 3 4 4 2 2 2 2 2 2" xfId="22191"/>
    <cellStyle name="Standaard 2 3 4 4 2 2 2 2 3" xfId="22192"/>
    <cellStyle name="Standaard 2 3 4 4 2 2 2 3" xfId="13868"/>
    <cellStyle name="Standaard 2 3 4 4 2 2 2 3 2" xfId="22193"/>
    <cellStyle name="Standaard 2 3 4 4 2 2 2 4" xfId="22194"/>
    <cellStyle name="Standaard 2 3 4 4 2 2 3" xfId="4728"/>
    <cellStyle name="Standaard 2 3 4 4 2 2 3 2" xfId="13870"/>
    <cellStyle name="Standaard 2 3 4 4 2 2 3 2 2" xfId="22195"/>
    <cellStyle name="Standaard 2 3 4 4 2 2 3 3" xfId="22196"/>
    <cellStyle name="Standaard 2 3 4 4 2 2 4" xfId="9335"/>
    <cellStyle name="Standaard 2 3 4 4 2 2 4 2" xfId="22197"/>
    <cellStyle name="Standaard 2 3 4 4 2 2 5" xfId="22198"/>
    <cellStyle name="Standaard 2 3 4 4 2 3" xfId="3198"/>
    <cellStyle name="Standaard 2 3 4 4 2 3 2" xfId="5232"/>
    <cellStyle name="Standaard 2 3 4 4 2 3 2 2" xfId="13872"/>
    <cellStyle name="Standaard 2 3 4 4 2 3 2 2 2" xfId="22199"/>
    <cellStyle name="Standaard 2 3 4 4 2 3 2 3" xfId="22200"/>
    <cellStyle name="Standaard 2 3 4 4 2 3 3" xfId="13871"/>
    <cellStyle name="Standaard 2 3 4 4 2 3 3 2" xfId="22201"/>
    <cellStyle name="Standaard 2 3 4 4 2 3 4" xfId="22202"/>
    <cellStyle name="Standaard 2 3 4 4 2 4" xfId="4215"/>
    <cellStyle name="Standaard 2 3 4 4 2 4 2" xfId="13873"/>
    <cellStyle name="Standaard 2 3 4 4 2 4 2 2" xfId="22203"/>
    <cellStyle name="Standaard 2 3 4 4 2 4 3" xfId="22204"/>
    <cellStyle name="Standaard 2 3 4 4 2 5" xfId="9334"/>
    <cellStyle name="Standaard 2 3 4 4 2 5 2" xfId="22205"/>
    <cellStyle name="Standaard 2 3 4 4 2 6" xfId="22206"/>
    <cellStyle name="Standaard 2 3 4 4 3" xfId="2442"/>
    <cellStyle name="Standaard 2 3 4 4 3 2" xfId="3459"/>
    <cellStyle name="Standaard 2 3 4 4 3 2 2" xfId="5493"/>
    <cellStyle name="Standaard 2 3 4 4 3 2 2 2" xfId="13875"/>
    <cellStyle name="Standaard 2 3 4 4 3 2 2 2 2" xfId="22207"/>
    <cellStyle name="Standaard 2 3 4 4 3 2 2 3" xfId="22208"/>
    <cellStyle name="Standaard 2 3 4 4 3 2 3" xfId="13874"/>
    <cellStyle name="Standaard 2 3 4 4 3 2 3 2" xfId="22209"/>
    <cellStyle name="Standaard 2 3 4 4 3 2 4" xfId="22210"/>
    <cellStyle name="Standaard 2 3 4 4 3 3" xfId="4476"/>
    <cellStyle name="Standaard 2 3 4 4 3 3 2" xfId="13876"/>
    <cellStyle name="Standaard 2 3 4 4 3 3 2 2" xfId="22211"/>
    <cellStyle name="Standaard 2 3 4 4 3 3 3" xfId="22212"/>
    <cellStyle name="Standaard 2 3 4 4 3 4" xfId="9336"/>
    <cellStyle name="Standaard 2 3 4 4 3 4 2" xfId="22213"/>
    <cellStyle name="Standaard 2 3 4 4 3 5" xfId="22214"/>
    <cellStyle name="Standaard 2 3 4 4 4" xfId="2946"/>
    <cellStyle name="Standaard 2 3 4 4 4 2" xfId="4980"/>
    <cellStyle name="Standaard 2 3 4 4 4 2 2" xfId="13878"/>
    <cellStyle name="Standaard 2 3 4 4 4 2 2 2" xfId="22215"/>
    <cellStyle name="Standaard 2 3 4 4 4 2 3" xfId="22216"/>
    <cellStyle name="Standaard 2 3 4 4 4 3" xfId="13877"/>
    <cellStyle name="Standaard 2 3 4 4 4 3 2" xfId="22217"/>
    <cellStyle name="Standaard 2 3 4 4 4 4" xfId="22218"/>
    <cellStyle name="Standaard 2 3 4 4 5" xfId="3963"/>
    <cellStyle name="Standaard 2 3 4 4 5 2" xfId="13879"/>
    <cellStyle name="Standaard 2 3 4 4 5 2 2" xfId="22219"/>
    <cellStyle name="Standaard 2 3 4 4 5 3" xfId="22220"/>
    <cellStyle name="Standaard 2 3 4 4 6" xfId="9333"/>
    <cellStyle name="Standaard 2 3 4 4 6 2" xfId="22221"/>
    <cellStyle name="Standaard 2 3 4 4 7" xfId="22222"/>
    <cellStyle name="Standaard 2 3 4 5" xfId="2024"/>
    <cellStyle name="Standaard 2 3 4 5 2" xfId="2568"/>
    <cellStyle name="Standaard 2 3 4 5 2 2" xfId="3585"/>
    <cellStyle name="Standaard 2 3 4 5 2 2 2" xfId="5619"/>
    <cellStyle name="Standaard 2 3 4 5 2 2 2 2" xfId="13881"/>
    <cellStyle name="Standaard 2 3 4 5 2 2 2 2 2" xfId="22223"/>
    <cellStyle name="Standaard 2 3 4 5 2 2 2 3" xfId="22224"/>
    <cellStyle name="Standaard 2 3 4 5 2 2 3" xfId="13880"/>
    <cellStyle name="Standaard 2 3 4 5 2 2 3 2" xfId="22225"/>
    <cellStyle name="Standaard 2 3 4 5 2 2 4" xfId="22226"/>
    <cellStyle name="Standaard 2 3 4 5 2 3" xfId="4602"/>
    <cellStyle name="Standaard 2 3 4 5 2 3 2" xfId="13882"/>
    <cellStyle name="Standaard 2 3 4 5 2 3 2 2" xfId="22227"/>
    <cellStyle name="Standaard 2 3 4 5 2 3 3" xfId="22228"/>
    <cellStyle name="Standaard 2 3 4 5 2 4" xfId="9338"/>
    <cellStyle name="Standaard 2 3 4 5 2 4 2" xfId="22229"/>
    <cellStyle name="Standaard 2 3 4 5 2 5" xfId="22230"/>
    <cellStyle name="Standaard 2 3 4 5 3" xfId="3072"/>
    <cellStyle name="Standaard 2 3 4 5 3 2" xfId="5106"/>
    <cellStyle name="Standaard 2 3 4 5 3 2 2" xfId="13884"/>
    <cellStyle name="Standaard 2 3 4 5 3 2 2 2" xfId="22231"/>
    <cellStyle name="Standaard 2 3 4 5 3 2 3" xfId="22232"/>
    <cellStyle name="Standaard 2 3 4 5 3 3" xfId="13883"/>
    <cellStyle name="Standaard 2 3 4 5 3 3 2" xfId="22233"/>
    <cellStyle name="Standaard 2 3 4 5 3 4" xfId="22234"/>
    <cellStyle name="Standaard 2 3 4 5 4" xfId="4089"/>
    <cellStyle name="Standaard 2 3 4 5 4 2" xfId="13885"/>
    <cellStyle name="Standaard 2 3 4 5 4 2 2" xfId="22235"/>
    <cellStyle name="Standaard 2 3 4 5 4 3" xfId="22236"/>
    <cellStyle name="Standaard 2 3 4 5 5" xfId="9337"/>
    <cellStyle name="Standaard 2 3 4 5 5 2" xfId="22237"/>
    <cellStyle name="Standaard 2 3 4 5 6" xfId="22238"/>
    <cellStyle name="Standaard 2 3 4 6" xfId="2316"/>
    <cellStyle name="Standaard 2 3 4 6 2" xfId="3333"/>
    <cellStyle name="Standaard 2 3 4 6 2 2" xfId="5367"/>
    <cellStyle name="Standaard 2 3 4 6 2 2 2" xfId="13887"/>
    <cellStyle name="Standaard 2 3 4 6 2 2 2 2" xfId="22239"/>
    <cellStyle name="Standaard 2 3 4 6 2 2 3" xfId="22240"/>
    <cellStyle name="Standaard 2 3 4 6 2 3" xfId="13886"/>
    <cellStyle name="Standaard 2 3 4 6 2 3 2" xfId="22241"/>
    <cellStyle name="Standaard 2 3 4 6 2 4" xfId="22242"/>
    <cellStyle name="Standaard 2 3 4 6 3" xfId="4350"/>
    <cellStyle name="Standaard 2 3 4 6 3 2" xfId="13888"/>
    <cellStyle name="Standaard 2 3 4 6 3 2 2" xfId="22243"/>
    <cellStyle name="Standaard 2 3 4 6 3 3" xfId="22244"/>
    <cellStyle name="Standaard 2 3 4 6 4" xfId="9339"/>
    <cellStyle name="Standaard 2 3 4 6 4 2" xfId="22245"/>
    <cellStyle name="Standaard 2 3 4 6 5" xfId="22246"/>
    <cellStyle name="Standaard 2 3 4 7" xfId="2820"/>
    <cellStyle name="Standaard 2 3 4 7 2" xfId="4854"/>
    <cellStyle name="Standaard 2 3 4 7 2 2" xfId="13890"/>
    <cellStyle name="Standaard 2 3 4 7 2 2 2" xfId="22247"/>
    <cellStyle name="Standaard 2 3 4 7 2 3" xfId="22248"/>
    <cellStyle name="Standaard 2 3 4 7 3" xfId="13889"/>
    <cellStyle name="Standaard 2 3 4 7 3 2" xfId="22249"/>
    <cellStyle name="Standaard 2 3 4 7 4" xfId="22250"/>
    <cellStyle name="Standaard 2 3 4 8" xfId="3837"/>
    <cellStyle name="Standaard 2 3 4 8 2" xfId="13891"/>
    <cellStyle name="Standaard 2 3 4 8 2 2" xfId="22251"/>
    <cellStyle name="Standaard 2 3 4 8 3" xfId="22252"/>
    <cellStyle name="Standaard 2 3 4 9" xfId="9316"/>
    <cellStyle name="Standaard 2 3 4 9 2" xfId="22253"/>
    <cellStyle name="Standaard 2 3 5" xfId="1786"/>
    <cellStyle name="Standaard 2 3 5 2" xfId="1912"/>
    <cellStyle name="Standaard 2 3 5 2 2" xfId="2164"/>
    <cellStyle name="Standaard 2 3 5 2 2 2" xfId="2708"/>
    <cellStyle name="Standaard 2 3 5 2 2 2 2" xfId="3725"/>
    <cellStyle name="Standaard 2 3 5 2 2 2 2 2" xfId="5759"/>
    <cellStyle name="Standaard 2 3 5 2 2 2 2 2 2" xfId="13893"/>
    <cellStyle name="Standaard 2 3 5 2 2 2 2 2 2 2" xfId="22254"/>
    <cellStyle name="Standaard 2 3 5 2 2 2 2 2 3" xfId="22255"/>
    <cellStyle name="Standaard 2 3 5 2 2 2 2 3" xfId="13892"/>
    <cellStyle name="Standaard 2 3 5 2 2 2 2 3 2" xfId="22256"/>
    <cellStyle name="Standaard 2 3 5 2 2 2 2 4" xfId="22257"/>
    <cellStyle name="Standaard 2 3 5 2 2 2 3" xfId="4742"/>
    <cellStyle name="Standaard 2 3 5 2 2 2 3 2" xfId="13894"/>
    <cellStyle name="Standaard 2 3 5 2 2 2 3 2 2" xfId="22258"/>
    <cellStyle name="Standaard 2 3 5 2 2 2 3 3" xfId="22259"/>
    <cellStyle name="Standaard 2 3 5 2 2 2 4" xfId="9343"/>
    <cellStyle name="Standaard 2 3 5 2 2 2 4 2" xfId="22260"/>
    <cellStyle name="Standaard 2 3 5 2 2 2 5" xfId="22261"/>
    <cellStyle name="Standaard 2 3 5 2 2 3" xfId="3212"/>
    <cellStyle name="Standaard 2 3 5 2 2 3 2" xfId="5246"/>
    <cellStyle name="Standaard 2 3 5 2 2 3 2 2" xfId="13896"/>
    <cellStyle name="Standaard 2 3 5 2 2 3 2 2 2" xfId="22262"/>
    <cellStyle name="Standaard 2 3 5 2 2 3 2 3" xfId="22263"/>
    <cellStyle name="Standaard 2 3 5 2 2 3 3" xfId="13895"/>
    <cellStyle name="Standaard 2 3 5 2 2 3 3 2" xfId="22264"/>
    <cellStyle name="Standaard 2 3 5 2 2 3 4" xfId="22265"/>
    <cellStyle name="Standaard 2 3 5 2 2 4" xfId="4229"/>
    <cellStyle name="Standaard 2 3 5 2 2 4 2" xfId="13897"/>
    <cellStyle name="Standaard 2 3 5 2 2 4 2 2" xfId="22266"/>
    <cellStyle name="Standaard 2 3 5 2 2 4 3" xfId="22267"/>
    <cellStyle name="Standaard 2 3 5 2 2 5" xfId="9342"/>
    <cellStyle name="Standaard 2 3 5 2 2 5 2" xfId="22268"/>
    <cellStyle name="Standaard 2 3 5 2 2 6" xfId="22269"/>
    <cellStyle name="Standaard 2 3 5 2 3" xfId="2456"/>
    <cellStyle name="Standaard 2 3 5 2 3 2" xfId="3473"/>
    <cellStyle name="Standaard 2 3 5 2 3 2 2" xfId="5507"/>
    <cellStyle name="Standaard 2 3 5 2 3 2 2 2" xfId="13899"/>
    <cellStyle name="Standaard 2 3 5 2 3 2 2 2 2" xfId="22270"/>
    <cellStyle name="Standaard 2 3 5 2 3 2 2 3" xfId="22271"/>
    <cellStyle name="Standaard 2 3 5 2 3 2 3" xfId="13898"/>
    <cellStyle name="Standaard 2 3 5 2 3 2 3 2" xfId="22272"/>
    <cellStyle name="Standaard 2 3 5 2 3 2 4" xfId="22273"/>
    <cellStyle name="Standaard 2 3 5 2 3 3" xfId="4490"/>
    <cellStyle name="Standaard 2 3 5 2 3 3 2" xfId="13900"/>
    <cellStyle name="Standaard 2 3 5 2 3 3 2 2" xfId="22274"/>
    <cellStyle name="Standaard 2 3 5 2 3 3 3" xfId="22275"/>
    <cellStyle name="Standaard 2 3 5 2 3 4" xfId="9344"/>
    <cellStyle name="Standaard 2 3 5 2 3 4 2" xfId="22276"/>
    <cellStyle name="Standaard 2 3 5 2 3 5" xfId="22277"/>
    <cellStyle name="Standaard 2 3 5 2 4" xfId="2960"/>
    <cellStyle name="Standaard 2 3 5 2 4 2" xfId="4994"/>
    <cellStyle name="Standaard 2 3 5 2 4 2 2" xfId="13902"/>
    <cellStyle name="Standaard 2 3 5 2 4 2 2 2" xfId="22278"/>
    <cellStyle name="Standaard 2 3 5 2 4 2 3" xfId="22279"/>
    <cellStyle name="Standaard 2 3 5 2 4 3" xfId="13901"/>
    <cellStyle name="Standaard 2 3 5 2 4 3 2" xfId="22280"/>
    <cellStyle name="Standaard 2 3 5 2 4 4" xfId="22281"/>
    <cellStyle name="Standaard 2 3 5 2 5" xfId="3977"/>
    <cellStyle name="Standaard 2 3 5 2 5 2" xfId="13903"/>
    <cellStyle name="Standaard 2 3 5 2 5 2 2" xfId="22282"/>
    <cellStyle name="Standaard 2 3 5 2 5 3" xfId="22283"/>
    <cellStyle name="Standaard 2 3 5 2 6" xfId="9341"/>
    <cellStyle name="Standaard 2 3 5 2 6 2" xfId="22284"/>
    <cellStyle name="Standaard 2 3 5 2 7" xfId="22285"/>
    <cellStyle name="Standaard 2 3 5 3" xfId="2038"/>
    <cellStyle name="Standaard 2 3 5 3 2" xfId="2582"/>
    <cellStyle name="Standaard 2 3 5 3 2 2" xfId="3599"/>
    <cellStyle name="Standaard 2 3 5 3 2 2 2" xfId="5633"/>
    <cellStyle name="Standaard 2 3 5 3 2 2 2 2" xfId="13905"/>
    <cellStyle name="Standaard 2 3 5 3 2 2 2 2 2" xfId="22286"/>
    <cellStyle name="Standaard 2 3 5 3 2 2 2 3" xfId="22287"/>
    <cellStyle name="Standaard 2 3 5 3 2 2 3" xfId="13904"/>
    <cellStyle name="Standaard 2 3 5 3 2 2 3 2" xfId="22288"/>
    <cellStyle name="Standaard 2 3 5 3 2 2 4" xfId="22289"/>
    <cellStyle name="Standaard 2 3 5 3 2 3" xfId="4616"/>
    <cellStyle name="Standaard 2 3 5 3 2 3 2" xfId="13906"/>
    <cellStyle name="Standaard 2 3 5 3 2 3 2 2" xfId="22290"/>
    <cellStyle name="Standaard 2 3 5 3 2 3 3" xfId="22291"/>
    <cellStyle name="Standaard 2 3 5 3 2 4" xfId="9346"/>
    <cellStyle name="Standaard 2 3 5 3 2 4 2" xfId="22292"/>
    <cellStyle name="Standaard 2 3 5 3 2 5" xfId="22293"/>
    <cellStyle name="Standaard 2 3 5 3 3" xfId="3086"/>
    <cellStyle name="Standaard 2 3 5 3 3 2" xfId="5120"/>
    <cellStyle name="Standaard 2 3 5 3 3 2 2" xfId="13908"/>
    <cellStyle name="Standaard 2 3 5 3 3 2 2 2" xfId="22294"/>
    <cellStyle name="Standaard 2 3 5 3 3 2 3" xfId="22295"/>
    <cellStyle name="Standaard 2 3 5 3 3 3" xfId="13907"/>
    <cellStyle name="Standaard 2 3 5 3 3 3 2" xfId="22296"/>
    <cellStyle name="Standaard 2 3 5 3 3 4" xfId="22297"/>
    <cellStyle name="Standaard 2 3 5 3 4" xfId="4103"/>
    <cellStyle name="Standaard 2 3 5 3 4 2" xfId="13909"/>
    <cellStyle name="Standaard 2 3 5 3 4 2 2" xfId="22298"/>
    <cellStyle name="Standaard 2 3 5 3 4 3" xfId="22299"/>
    <cellStyle name="Standaard 2 3 5 3 5" xfId="9345"/>
    <cellStyle name="Standaard 2 3 5 3 5 2" xfId="22300"/>
    <cellStyle name="Standaard 2 3 5 3 6" xfId="22301"/>
    <cellStyle name="Standaard 2 3 5 4" xfId="2330"/>
    <cellStyle name="Standaard 2 3 5 4 2" xfId="3347"/>
    <cellStyle name="Standaard 2 3 5 4 2 2" xfId="5381"/>
    <cellStyle name="Standaard 2 3 5 4 2 2 2" xfId="13911"/>
    <cellStyle name="Standaard 2 3 5 4 2 2 2 2" xfId="22302"/>
    <cellStyle name="Standaard 2 3 5 4 2 2 3" xfId="22303"/>
    <cellStyle name="Standaard 2 3 5 4 2 3" xfId="13910"/>
    <cellStyle name="Standaard 2 3 5 4 2 3 2" xfId="22304"/>
    <cellStyle name="Standaard 2 3 5 4 2 4" xfId="22305"/>
    <cellStyle name="Standaard 2 3 5 4 3" xfId="4364"/>
    <cellStyle name="Standaard 2 3 5 4 3 2" xfId="13912"/>
    <cellStyle name="Standaard 2 3 5 4 3 2 2" xfId="22306"/>
    <cellStyle name="Standaard 2 3 5 4 3 3" xfId="22307"/>
    <cellStyle name="Standaard 2 3 5 4 4" xfId="9347"/>
    <cellStyle name="Standaard 2 3 5 4 4 2" xfId="22308"/>
    <cellStyle name="Standaard 2 3 5 4 5" xfId="22309"/>
    <cellStyle name="Standaard 2 3 5 5" xfId="2834"/>
    <cellStyle name="Standaard 2 3 5 5 2" xfId="4868"/>
    <cellStyle name="Standaard 2 3 5 5 2 2" xfId="13914"/>
    <cellStyle name="Standaard 2 3 5 5 2 2 2" xfId="22310"/>
    <cellStyle name="Standaard 2 3 5 5 2 3" xfId="22311"/>
    <cellStyle name="Standaard 2 3 5 5 3" xfId="13913"/>
    <cellStyle name="Standaard 2 3 5 5 3 2" xfId="22312"/>
    <cellStyle name="Standaard 2 3 5 5 4" xfId="22313"/>
    <cellStyle name="Standaard 2 3 5 6" xfId="3851"/>
    <cellStyle name="Standaard 2 3 5 6 2" xfId="13915"/>
    <cellStyle name="Standaard 2 3 5 6 2 2" xfId="22314"/>
    <cellStyle name="Standaard 2 3 5 6 3" xfId="22315"/>
    <cellStyle name="Standaard 2 3 5 7" xfId="9340"/>
    <cellStyle name="Standaard 2 3 5 7 2" xfId="22316"/>
    <cellStyle name="Standaard 2 3 5 8" xfId="22317"/>
    <cellStyle name="Standaard 2 3 6" xfId="1828"/>
    <cellStyle name="Standaard 2 3 6 2" xfId="1954"/>
    <cellStyle name="Standaard 2 3 6 2 2" xfId="2206"/>
    <cellStyle name="Standaard 2 3 6 2 2 2" xfId="2750"/>
    <cellStyle name="Standaard 2 3 6 2 2 2 2" xfId="3767"/>
    <cellStyle name="Standaard 2 3 6 2 2 2 2 2" xfId="5801"/>
    <cellStyle name="Standaard 2 3 6 2 2 2 2 2 2" xfId="13917"/>
    <cellStyle name="Standaard 2 3 6 2 2 2 2 2 2 2" xfId="22318"/>
    <cellStyle name="Standaard 2 3 6 2 2 2 2 2 3" xfId="22319"/>
    <cellStyle name="Standaard 2 3 6 2 2 2 2 3" xfId="13916"/>
    <cellStyle name="Standaard 2 3 6 2 2 2 2 3 2" xfId="22320"/>
    <cellStyle name="Standaard 2 3 6 2 2 2 2 4" xfId="22321"/>
    <cellStyle name="Standaard 2 3 6 2 2 2 3" xfId="4784"/>
    <cellStyle name="Standaard 2 3 6 2 2 2 3 2" xfId="13918"/>
    <cellStyle name="Standaard 2 3 6 2 2 2 3 2 2" xfId="22322"/>
    <cellStyle name="Standaard 2 3 6 2 2 2 3 3" xfId="22323"/>
    <cellStyle name="Standaard 2 3 6 2 2 2 4" xfId="9351"/>
    <cellStyle name="Standaard 2 3 6 2 2 2 4 2" xfId="22324"/>
    <cellStyle name="Standaard 2 3 6 2 2 2 5" xfId="22325"/>
    <cellStyle name="Standaard 2 3 6 2 2 3" xfId="3254"/>
    <cellStyle name="Standaard 2 3 6 2 2 3 2" xfId="5288"/>
    <cellStyle name="Standaard 2 3 6 2 2 3 2 2" xfId="13920"/>
    <cellStyle name="Standaard 2 3 6 2 2 3 2 2 2" xfId="22326"/>
    <cellStyle name="Standaard 2 3 6 2 2 3 2 3" xfId="22327"/>
    <cellStyle name="Standaard 2 3 6 2 2 3 3" xfId="13919"/>
    <cellStyle name="Standaard 2 3 6 2 2 3 3 2" xfId="22328"/>
    <cellStyle name="Standaard 2 3 6 2 2 3 4" xfId="22329"/>
    <cellStyle name="Standaard 2 3 6 2 2 4" xfId="4271"/>
    <cellStyle name="Standaard 2 3 6 2 2 4 2" xfId="13921"/>
    <cellStyle name="Standaard 2 3 6 2 2 4 2 2" xfId="22330"/>
    <cellStyle name="Standaard 2 3 6 2 2 4 3" xfId="22331"/>
    <cellStyle name="Standaard 2 3 6 2 2 5" xfId="9350"/>
    <cellStyle name="Standaard 2 3 6 2 2 5 2" xfId="22332"/>
    <cellStyle name="Standaard 2 3 6 2 2 6" xfId="22333"/>
    <cellStyle name="Standaard 2 3 6 2 3" xfId="2498"/>
    <cellStyle name="Standaard 2 3 6 2 3 2" xfId="3515"/>
    <cellStyle name="Standaard 2 3 6 2 3 2 2" xfId="5549"/>
    <cellStyle name="Standaard 2 3 6 2 3 2 2 2" xfId="13923"/>
    <cellStyle name="Standaard 2 3 6 2 3 2 2 2 2" xfId="22334"/>
    <cellStyle name="Standaard 2 3 6 2 3 2 2 3" xfId="22335"/>
    <cellStyle name="Standaard 2 3 6 2 3 2 3" xfId="13922"/>
    <cellStyle name="Standaard 2 3 6 2 3 2 3 2" xfId="22336"/>
    <cellStyle name="Standaard 2 3 6 2 3 2 4" xfId="22337"/>
    <cellStyle name="Standaard 2 3 6 2 3 3" xfId="4532"/>
    <cellStyle name="Standaard 2 3 6 2 3 3 2" xfId="13924"/>
    <cellStyle name="Standaard 2 3 6 2 3 3 2 2" xfId="22338"/>
    <cellStyle name="Standaard 2 3 6 2 3 3 3" xfId="22339"/>
    <cellStyle name="Standaard 2 3 6 2 3 4" xfId="9352"/>
    <cellStyle name="Standaard 2 3 6 2 3 4 2" xfId="22340"/>
    <cellStyle name="Standaard 2 3 6 2 3 5" xfId="22341"/>
    <cellStyle name="Standaard 2 3 6 2 4" xfId="3002"/>
    <cellStyle name="Standaard 2 3 6 2 4 2" xfId="5036"/>
    <cellStyle name="Standaard 2 3 6 2 4 2 2" xfId="13926"/>
    <cellStyle name="Standaard 2 3 6 2 4 2 2 2" xfId="22342"/>
    <cellStyle name="Standaard 2 3 6 2 4 2 3" xfId="22343"/>
    <cellStyle name="Standaard 2 3 6 2 4 3" xfId="13925"/>
    <cellStyle name="Standaard 2 3 6 2 4 3 2" xfId="22344"/>
    <cellStyle name="Standaard 2 3 6 2 4 4" xfId="22345"/>
    <cellStyle name="Standaard 2 3 6 2 5" xfId="4019"/>
    <cellStyle name="Standaard 2 3 6 2 5 2" xfId="13927"/>
    <cellStyle name="Standaard 2 3 6 2 5 2 2" xfId="22346"/>
    <cellStyle name="Standaard 2 3 6 2 5 3" xfId="22347"/>
    <cellStyle name="Standaard 2 3 6 2 6" xfId="9349"/>
    <cellStyle name="Standaard 2 3 6 2 6 2" xfId="22348"/>
    <cellStyle name="Standaard 2 3 6 2 7" xfId="22349"/>
    <cellStyle name="Standaard 2 3 6 3" xfId="2080"/>
    <cellStyle name="Standaard 2 3 6 3 2" xfId="2624"/>
    <cellStyle name="Standaard 2 3 6 3 2 2" xfId="3641"/>
    <cellStyle name="Standaard 2 3 6 3 2 2 2" xfId="5675"/>
    <cellStyle name="Standaard 2 3 6 3 2 2 2 2" xfId="13929"/>
    <cellStyle name="Standaard 2 3 6 3 2 2 2 2 2" xfId="22350"/>
    <cellStyle name="Standaard 2 3 6 3 2 2 2 3" xfId="22351"/>
    <cellStyle name="Standaard 2 3 6 3 2 2 3" xfId="13928"/>
    <cellStyle name="Standaard 2 3 6 3 2 2 3 2" xfId="22352"/>
    <cellStyle name="Standaard 2 3 6 3 2 2 4" xfId="22353"/>
    <cellStyle name="Standaard 2 3 6 3 2 3" xfId="4658"/>
    <cellStyle name="Standaard 2 3 6 3 2 3 2" xfId="13930"/>
    <cellStyle name="Standaard 2 3 6 3 2 3 2 2" xfId="22354"/>
    <cellStyle name="Standaard 2 3 6 3 2 3 3" xfId="22355"/>
    <cellStyle name="Standaard 2 3 6 3 2 4" xfId="9354"/>
    <cellStyle name="Standaard 2 3 6 3 2 4 2" xfId="22356"/>
    <cellStyle name="Standaard 2 3 6 3 2 5" xfId="22357"/>
    <cellStyle name="Standaard 2 3 6 3 3" xfId="3128"/>
    <cellStyle name="Standaard 2 3 6 3 3 2" xfId="5162"/>
    <cellStyle name="Standaard 2 3 6 3 3 2 2" xfId="13932"/>
    <cellStyle name="Standaard 2 3 6 3 3 2 2 2" xfId="22358"/>
    <cellStyle name="Standaard 2 3 6 3 3 2 3" xfId="22359"/>
    <cellStyle name="Standaard 2 3 6 3 3 3" xfId="13931"/>
    <cellStyle name="Standaard 2 3 6 3 3 3 2" xfId="22360"/>
    <cellStyle name="Standaard 2 3 6 3 3 4" xfId="22361"/>
    <cellStyle name="Standaard 2 3 6 3 4" xfId="4145"/>
    <cellStyle name="Standaard 2 3 6 3 4 2" xfId="13933"/>
    <cellStyle name="Standaard 2 3 6 3 4 2 2" xfId="22362"/>
    <cellStyle name="Standaard 2 3 6 3 4 3" xfId="22363"/>
    <cellStyle name="Standaard 2 3 6 3 5" xfId="9353"/>
    <cellStyle name="Standaard 2 3 6 3 5 2" xfId="22364"/>
    <cellStyle name="Standaard 2 3 6 3 6" xfId="22365"/>
    <cellStyle name="Standaard 2 3 6 4" xfId="2372"/>
    <cellStyle name="Standaard 2 3 6 4 2" xfId="3389"/>
    <cellStyle name="Standaard 2 3 6 4 2 2" xfId="5423"/>
    <cellStyle name="Standaard 2 3 6 4 2 2 2" xfId="13935"/>
    <cellStyle name="Standaard 2 3 6 4 2 2 2 2" xfId="22366"/>
    <cellStyle name="Standaard 2 3 6 4 2 2 3" xfId="22367"/>
    <cellStyle name="Standaard 2 3 6 4 2 3" xfId="13934"/>
    <cellStyle name="Standaard 2 3 6 4 2 3 2" xfId="22368"/>
    <cellStyle name="Standaard 2 3 6 4 2 4" xfId="22369"/>
    <cellStyle name="Standaard 2 3 6 4 3" xfId="4406"/>
    <cellStyle name="Standaard 2 3 6 4 3 2" xfId="13936"/>
    <cellStyle name="Standaard 2 3 6 4 3 2 2" xfId="22370"/>
    <cellStyle name="Standaard 2 3 6 4 3 3" xfId="22371"/>
    <cellStyle name="Standaard 2 3 6 4 4" xfId="9355"/>
    <cellStyle name="Standaard 2 3 6 4 4 2" xfId="22372"/>
    <cellStyle name="Standaard 2 3 6 4 5" xfId="22373"/>
    <cellStyle name="Standaard 2 3 6 5" xfId="2876"/>
    <cellStyle name="Standaard 2 3 6 5 2" xfId="4910"/>
    <cellStyle name="Standaard 2 3 6 5 2 2" xfId="13938"/>
    <cellStyle name="Standaard 2 3 6 5 2 2 2" xfId="22374"/>
    <cellStyle name="Standaard 2 3 6 5 2 3" xfId="22375"/>
    <cellStyle name="Standaard 2 3 6 5 3" xfId="13937"/>
    <cellStyle name="Standaard 2 3 6 5 3 2" xfId="22376"/>
    <cellStyle name="Standaard 2 3 6 5 4" xfId="22377"/>
    <cellStyle name="Standaard 2 3 6 6" xfId="3893"/>
    <cellStyle name="Standaard 2 3 6 6 2" xfId="13939"/>
    <cellStyle name="Standaard 2 3 6 6 2 2" xfId="22378"/>
    <cellStyle name="Standaard 2 3 6 6 3" xfId="22379"/>
    <cellStyle name="Standaard 2 3 6 7" xfId="9348"/>
    <cellStyle name="Standaard 2 3 6 7 2" xfId="22380"/>
    <cellStyle name="Standaard 2 3 6 8" xfId="22381"/>
    <cellStyle name="Standaard 2 3 7" xfId="1870"/>
    <cellStyle name="Standaard 2 3 7 2" xfId="2122"/>
    <cellStyle name="Standaard 2 3 7 2 2" xfId="2666"/>
    <cellStyle name="Standaard 2 3 7 2 2 2" xfId="3683"/>
    <cellStyle name="Standaard 2 3 7 2 2 2 2" xfId="5717"/>
    <cellStyle name="Standaard 2 3 7 2 2 2 2 2" xfId="13941"/>
    <cellStyle name="Standaard 2 3 7 2 2 2 2 2 2" xfId="22382"/>
    <cellStyle name="Standaard 2 3 7 2 2 2 2 3" xfId="22383"/>
    <cellStyle name="Standaard 2 3 7 2 2 2 3" xfId="13940"/>
    <cellStyle name="Standaard 2 3 7 2 2 2 3 2" xfId="22384"/>
    <cellStyle name="Standaard 2 3 7 2 2 2 4" xfId="22385"/>
    <cellStyle name="Standaard 2 3 7 2 2 3" xfId="4700"/>
    <cellStyle name="Standaard 2 3 7 2 2 3 2" xfId="13942"/>
    <cellStyle name="Standaard 2 3 7 2 2 3 2 2" xfId="22386"/>
    <cellStyle name="Standaard 2 3 7 2 2 3 3" xfId="22387"/>
    <cellStyle name="Standaard 2 3 7 2 2 4" xfId="9358"/>
    <cellStyle name="Standaard 2 3 7 2 2 4 2" xfId="22388"/>
    <cellStyle name="Standaard 2 3 7 2 2 5" xfId="22389"/>
    <cellStyle name="Standaard 2 3 7 2 3" xfId="3170"/>
    <cellStyle name="Standaard 2 3 7 2 3 2" xfId="5204"/>
    <cellStyle name="Standaard 2 3 7 2 3 2 2" xfId="13944"/>
    <cellStyle name="Standaard 2 3 7 2 3 2 2 2" xfId="22390"/>
    <cellStyle name="Standaard 2 3 7 2 3 2 3" xfId="22391"/>
    <cellStyle name="Standaard 2 3 7 2 3 3" xfId="13943"/>
    <cellStyle name="Standaard 2 3 7 2 3 3 2" xfId="22392"/>
    <cellStyle name="Standaard 2 3 7 2 3 4" xfId="22393"/>
    <cellStyle name="Standaard 2 3 7 2 4" xfId="4187"/>
    <cellStyle name="Standaard 2 3 7 2 4 2" xfId="13945"/>
    <cellStyle name="Standaard 2 3 7 2 4 2 2" xfId="22394"/>
    <cellStyle name="Standaard 2 3 7 2 4 3" xfId="22395"/>
    <cellStyle name="Standaard 2 3 7 2 5" xfId="9357"/>
    <cellStyle name="Standaard 2 3 7 2 5 2" xfId="22396"/>
    <cellStyle name="Standaard 2 3 7 2 6" xfId="22397"/>
    <cellStyle name="Standaard 2 3 7 3" xfId="2414"/>
    <cellStyle name="Standaard 2 3 7 3 2" xfId="3431"/>
    <cellStyle name="Standaard 2 3 7 3 2 2" xfId="5465"/>
    <cellStyle name="Standaard 2 3 7 3 2 2 2" xfId="13947"/>
    <cellStyle name="Standaard 2 3 7 3 2 2 2 2" xfId="22398"/>
    <cellStyle name="Standaard 2 3 7 3 2 2 3" xfId="22399"/>
    <cellStyle name="Standaard 2 3 7 3 2 3" xfId="13946"/>
    <cellStyle name="Standaard 2 3 7 3 2 3 2" xfId="22400"/>
    <cellStyle name="Standaard 2 3 7 3 2 4" xfId="22401"/>
    <cellStyle name="Standaard 2 3 7 3 3" xfId="4448"/>
    <cellStyle name="Standaard 2 3 7 3 3 2" xfId="13948"/>
    <cellStyle name="Standaard 2 3 7 3 3 2 2" xfId="22402"/>
    <cellStyle name="Standaard 2 3 7 3 3 3" xfId="22403"/>
    <cellStyle name="Standaard 2 3 7 3 4" xfId="9359"/>
    <cellStyle name="Standaard 2 3 7 3 4 2" xfId="22404"/>
    <cellStyle name="Standaard 2 3 7 3 5" xfId="22405"/>
    <cellStyle name="Standaard 2 3 7 4" xfId="2918"/>
    <cellStyle name="Standaard 2 3 7 4 2" xfId="4952"/>
    <cellStyle name="Standaard 2 3 7 4 2 2" xfId="13950"/>
    <cellStyle name="Standaard 2 3 7 4 2 2 2" xfId="22406"/>
    <cellStyle name="Standaard 2 3 7 4 2 3" xfId="22407"/>
    <cellStyle name="Standaard 2 3 7 4 3" xfId="13949"/>
    <cellStyle name="Standaard 2 3 7 4 3 2" xfId="22408"/>
    <cellStyle name="Standaard 2 3 7 4 4" xfId="22409"/>
    <cellStyle name="Standaard 2 3 7 5" xfId="3935"/>
    <cellStyle name="Standaard 2 3 7 5 2" xfId="13951"/>
    <cellStyle name="Standaard 2 3 7 5 2 2" xfId="22410"/>
    <cellStyle name="Standaard 2 3 7 5 3" xfId="22411"/>
    <cellStyle name="Standaard 2 3 7 6" xfId="9356"/>
    <cellStyle name="Standaard 2 3 7 6 2" xfId="22412"/>
    <cellStyle name="Standaard 2 3 7 7" xfId="22413"/>
    <cellStyle name="Standaard 2 3 8" xfId="1996"/>
    <cellStyle name="Standaard 2 3 8 2" xfId="2540"/>
    <cellStyle name="Standaard 2 3 8 2 2" xfId="3557"/>
    <cellStyle name="Standaard 2 3 8 2 2 2" xfId="5591"/>
    <cellStyle name="Standaard 2 3 8 2 2 2 2" xfId="13953"/>
    <cellStyle name="Standaard 2 3 8 2 2 2 2 2" xfId="22414"/>
    <cellStyle name="Standaard 2 3 8 2 2 2 3" xfId="22415"/>
    <cellStyle name="Standaard 2 3 8 2 2 3" xfId="13952"/>
    <cellStyle name="Standaard 2 3 8 2 2 3 2" xfId="22416"/>
    <cellStyle name="Standaard 2 3 8 2 2 4" xfId="22417"/>
    <cellStyle name="Standaard 2 3 8 2 3" xfId="4574"/>
    <cellStyle name="Standaard 2 3 8 2 3 2" xfId="13954"/>
    <cellStyle name="Standaard 2 3 8 2 3 2 2" xfId="22418"/>
    <cellStyle name="Standaard 2 3 8 2 3 3" xfId="22419"/>
    <cellStyle name="Standaard 2 3 8 2 4" xfId="9361"/>
    <cellStyle name="Standaard 2 3 8 2 4 2" xfId="22420"/>
    <cellStyle name="Standaard 2 3 8 2 5" xfId="22421"/>
    <cellStyle name="Standaard 2 3 8 3" xfId="3044"/>
    <cellStyle name="Standaard 2 3 8 3 2" xfId="5078"/>
    <cellStyle name="Standaard 2 3 8 3 2 2" xfId="13956"/>
    <cellStyle name="Standaard 2 3 8 3 2 2 2" xfId="22422"/>
    <cellStyle name="Standaard 2 3 8 3 2 3" xfId="22423"/>
    <cellStyle name="Standaard 2 3 8 3 3" xfId="13955"/>
    <cellStyle name="Standaard 2 3 8 3 3 2" xfId="22424"/>
    <cellStyle name="Standaard 2 3 8 3 4" xfId="22425"/>
    <cellStyle name="Standaard 2 3 8 4" xfId="4061"/>
    <cellStyle name="Standaard 2 3 8 4 2" xfId="13957"/>
    <cellStyle name="Standaard 2 3 8 4 2 2" xfId="22426"/>
    <cellStyle name="Standaard 2 3 8 4 3" xfId="22427"/>
    <cellStyle name="Standaard 2 3 8 5" xfId="9360"/>
    <cellStyle name="Standaard 2 3 8 5 2" xfId="22428"/>
    <cellStyle name="Standaard 2 3 8 6" xfId="22429"/>
    <cellStyle name="Standaard 2 3 9" xfId="2288"/>
    <cellStyle name="Standaard 2 3 9 2" xfId="3305"/>
    <cellStyle name="Standaard 2 3 9 2 2" xfId="5339"/>
    <cellStyle name="Standaard 2 3 9 2 2 2" xfId="13959"/>
    <cellStyle name="Standaard 2 3 9 2 2 2 2" xfId="22430"/>
    <cellStyle name="Standaard 2 3 9 2 2 3" xfId="22431"/>
    <cellStyle name="Standaard 2 3 9 2 3" xfId="13958"/>
    <cellStyle name="Standaard 2 3 9 2 3 2" xfId="22432"/>
    <cellStyle name="Standaard 2 3 9 2 4" xfId="22433"/>
    <cellStyle name="Standaard 2 3 9 3" xfId="4322"/>
    <cellStyle name="Standaard 2 3 9 3 2" xfId="13960"/>
    <cellStyle name="Standaard 2 3 9 3 2 2" xfId="22434"/>
    <cellStyle name="Standaard 2 3 9 3 3" xfId="22435"/>
    <cellStyle name="Standaard 2 3 9 4" xfId="9362"/>
    <cellStyle name="Standaard 2 3 9 4 2" xfId="22436"/>
    <cellStyle name="Standaard 2 3 9 5" xfId="22437"/>
    <cellStyle name="Standaard 2 4" xfId="1167"/>
    <cellStyle name="Standaard 2 4 10" xfId="3811"/>
    <cellStyle name="Standaard 2 4 10 2" xfId="13961"/>
    <cellStyle name="Standaard 2 4 10 2 2" xfId="22438"/>
    <cellStyle name="Standaard 2 4 10 3" xfId="22439"/>
    <cellStyle name="Standaard 2 4 11" xfId="9363"/>
    <cellStyle name="Standaard 2 4 11 2" xfId="22440"/>
    <cellStyle name="Standaard 2 4 12" xfId="22441"/>
    <cellStyle name="Standaard 2 4 2" xfId="1758"/>
    <cellStyle name="Standaard 2 4 2 10" xfId="22442"/>
    <cellStyle name="Standaard 2 4 2 2" xfId="1802"/>
    <cellStyle name="Standaard 2 4 2 2 2" xfId="1928"/>
    <cellStyle name="Standaard 2 4 2 2 2 2" xfId="2180"/>
    <cellStyle name="Standaard 2 4 2 2 2 2 2" xfId="2724"/>
    <cellStyle name="Standaard 2 4 2 2 2 2 2 2" xfId="3741"/>
    <cellStyle name="Standaard 2 4 2 2 2 2 2 2 2" xfId="5775"/>
    <cellStyle name="Standaard 2 4 2 2 2 2 2 2 2 2" xfId="13963"/>
    <cellStyle name="Standaard 2 4 2 2 2 2 2 2 2 2 2" xfId="22443"/>
    <cellStyle name="Standaard 2 4 2 2 2 2 2 2 2 3" xfId="22444"/>
    <cellStyle name="Standaard 2 4 2 2 2 2 2 2 3" xfId="13962"/>
    <cellStyle name="Standaard 2 4 2 2 2 2 2 2 3 2" xfId="22445"/>
    <cellStyle name="Standaard 2 4 2 2 2 2 2 2 4" xfId="22446"/>
    <cellStyle name="Standaard 2 4 2 2 2 2 2 3" xfId="4758"/>
    <cellStyle name="Standaard 2 4 2 2 2 2 2 3 2" xfId="13964"/>
    <cellStyle name="Standaard 2 4 2 2 2 2 2 3 2 2" xfId="22447"/>
    <cellStyle name="Standaard 2 4 2 2 2 2 2 3 3" xfId="22448"/>
    <cellStyle name="Standaard 2 4 2 2 2 2 2 4" xfId="9368"/>
    <cellStyle name="Standaard 2 4 2 2 2 2 2 4 2" xfId="22449"/>
    <cellStyle name="Standaard 2 4 2 2 2 2 2 5" xfId="22450"/>
    <cellStyle name="Standaard 2 4 2 2 2 2 3" xfId="3228"/>
    <cellStyle name="Standaard 2 4 2 2 2 2 3 2" xfId="5262"/>
    <cellStyle name="Standaard 2 4 2 2 2 2 3 2 2" xfId="13966"/>
    <cellStyle name="Standaard 2 4 2 2 2 2 3 2 2 2" xfId="22451"/>
    <cellStyle name="Standaard 2 4 2 2 2 2 3 2 3" xfId="22452"/>
    <cellStyle name="Standaard 2 4 2 2 2 2 3 3" xfId="13965"/>
    <cellStyle name="Standaard 2 4 2 2 2 2 3 3 2" xfId="22453"/>
    <cellStyle name="Standaard 2 4 2 2 2 2 3 4" xfId="22454"/>
    <cellStyle name="Standaard 2 4 2 2 2 2 4" xfId="4245"/>
    <cellStyle name="Standaard 2 4 2 2 2 2 4 2" xfId="13967"/>
    <cellStyle name="Standaard 2 4 2 2 2 2 4 2 2" xfId="22455"/>
    <cellStyle name="Standaard 2 4 2 2 2 2 4 3" xfId="22456"/>
    <cellStyle name="Standaard 2 4 2 2 2 2 5" xfId="9367"/>
    <cellStyle name="Standaard 2 4 2 2 2 2 5 2" xfId="22457"/>
    <cellStyle name="Standaard 2 4 2 2 2 2 6" xfId="22458"/>
    <cellStyle name="Standaard 2 4 2 2 2 3" xfId="2472"/>
    <cellStyle name="Standaard 2 4 2 2 2 3 2" xfId="3489"/>
    <cellStyle name="Standaard 2 4 2 2 2 3 2 2" xfId="5523"/>
    <cellStyle name="Standaard 2 4 2 2 2 3 2 2 2" xfId="13969"/>
    <cellStyle name="Standaard 2 4 2 2 2 3 2 2 2 2" xfId="22459"/>
    <cellStyle name="Standaard 2 4 2 2 2 3 2 2 3" xfId="22460"/>
    <cellStyle name="Standaard 2 4 2 2 2 3 2 3" xfId="13968"/>
    <cellStyle name="Standaard 2 4 2 2 2 3 2 3 2" xfId="22461"/>
    <cellStyle name="Standaard 2 4 2 2 2 3 2 4" xfId="22462"/>
    <cellStyle name="Standaard 2 4 2 2 2 3 3" xfId="4506"/>
    <cellStyle name="Standaard 2 4 2 2 2 3 3 2" xfId="13970"/>
    <cellStyle name="Standaard 2 4 2 2 2 3 3 2 2" xfId="22463"/>
    <cellStyle name="Standaard 2 4 2 2 2 3 3 3" xfId="22464"/>
    <cellStyle name="Standaard 2 4 2 2 2 3 4" xfId="9369"/>
    <cellStyle name="Standaard 2 4 2 2 2 3 4 2" xfId="22465"/>
    <cellStyle name="Standaard 2 4 2 2 2 3 5" xfId="22466"/>
    <cellStyle name="Standaard 2 4 2 2 2 4" xfId="2976"/>
    <cellStyle name="Standaard 2 4 2 2 2 4 2" xfId="5010"/>
    <cellStyle name="Standaard 2 4 2 2 2 4 2 2" xfId="13972"/>
    <cellStyle name="Standaard 2 4 2 2 2 4 2 2 2" xfId="22467"/>
    <cellStyle name="Standaard 2 4 2 2 2 4 2 3" xfId="22468"/>
    <cellStyle name="Standaard 2 4 2 2 2 4 3" xfId="13971"/>
    <cellStyle name="Standaard 2 4 2 2 2 4 3 2" xfId="22469"/>
    <cellStyle name="Standaard 2 4 2 2 2 4 4" xfId="22470"/>
    <cellStyle name="Standaard 2 4 2 2 2 5" xfId="3993"/>
    <cellStyle name="Standaard 2 4 2 2 2 5 2" xfId="13973"/>
    <cellStyle name="Standaard 2 4 2 2 2 5 2 2" xfId="22471"/>
    <cellStyle name="Standaard 2 4 2 2 2 5 3" xfId="22472"/>
    <cellStyle name="Standaard 2 4 2 2 2 6" xfId="9366"/>
    <cellStyle name="Standaard 2 4 2 2 2 6 2" xfId="22473"/>
    <cellStyle name="Standaard 2 4 2 2 2 7" xfId="22474"/>
    <cellStyle name="Standaard 2 4 2 2 3" xfId="2054"/>
    <cellStyle name="Standaard 2 4 2 2 3 2" xfId="2598"/>
    <cellStyle name="Standaard 2 4 2 2 3 2 2" xfId="3615"/>
    <cellStyle name="Standaard 2 4 2 2 3 2 2 2" xfId="5649"/>
    <cellStyle name="Standaard 2 4 2 2 3 2 2 2 2" xfId="13975"/>
    <cellStyle name="Standaard 2 4 2 2 3 2 2 2 2 2" xfId="22475"/>
    <cellStyle name="Standaard 2 4 2 2 3 2 2 2 3" xfId="22476"/>
    <cellStyle name="Standaard 2 4 2 2 3 2 2 3" xfId="13974"/>
    <cellStyle name="Standaard 2 4 2 2 3 2 2 3 2" xfId="22477"/>
    <cellStyle name="Standaard 2 4 2 2 3 2 2 4" xfId="22478"/>
    <cellStyle name="Standaard 2 4 2 2 3 2 3" xfId="4632"/>
    <cellStyle name="Standaard 2 4 2 2 3 2 3 2" xfId="13976"/>
    <cellStyle name="Standaard 2 4 2 2 3 2 3 2 2" xfId="22479"/>
    <cellStyle name="Standaard 2 4 2 2 3 2 3 3" xfId="22480"/>
    <cellStyle name="Standaard 2 4 2 2 3 2 4" xfId="9371"/>
    <cellStyle name="Standaard 2 4 2 2 3 2 4 2" xfId="22481"/>
    <cellStyle name="Standaard 2 4 2 2 3 2 5" xfId="22482"/>
    <cellStyle name="Standaard 2 4 2 2 3 3" xfId="3102"/>
    <cellStyle name="Standaard 2 4 2 2 3 3 2" xfId="5136"/>
    <cellStyle name="Standaard 2 4 2 2 3 3 2 2" xfId="13978"/>
    <cellStyle name="Standaard 2 4 2 2 3 3 2 2 2" xfId="22483"/>
    <cellStyle name="Standaard 2 4 2 2 3 3 2 3" xfId="22484"/>
    <cellStyle name="Standaard 2 4 2 2 3 3 3" xfId="13977"/>
    <cellStyle name="Standaard 2 4 2 2 3 3 3 2" xfId="22485"/>
    <cellStyle name="Standaard 2 4 2 2 3 3 4" xfId="22486"/>
    <cellStyle name="Standaard 2 4 2 2 3 4" xfId="4119"/>
    <cellStyle name="Standaard 2 4 2 2 3 4 2" xfId="13979"/>
    <cellStyle name="Standaard 2 4 2 2 3 4 2 2" xfId="22487"/>
    <cellStyle name="Standaard 2 4 2 2 3 4 3" xfId="22488"/>
    <cellStyle name="Standaard 2 4 2 2 3 5" xfId="9370"/>
    <cellStyle name="Standaard 2 4 2 2 3 5 2" xfId="22489"/>
    <cellStyle name="Standaard 2 4 2 2 3 6" xfId="22490"/>
    <cellStyle name="Standaard 2 4 2 2 4" xfId="2346"/>
    <cellStyle name="Standaard 2 4 2 2 4 2" xfId="3363"/>
    <cellStyle name="Standaard 2 4 2 2 4 2 2" xfId="5397"/>
    <cellStyle name="Standaard 2 4 2 2 4 2 2 2" xfId="13981"/>
    <cellStyle name="Standaard 2 4 2 2 4 2 2 2 2" xfId="22491"/>
    <cellStyle name="Standaard 2 4 2 2 4 2 2 3" xfId="22492"/>
    <cellStyle name="Standaard 2 4 2 2 4 2 3" xfId="13980"/>
    <cellStyle name="Standaard 2 4 2 2 4 2 3 2" xfId="22493"/>
    <cellStyle name="Standaard 2 4 2 2 4 2 4" xfId="22494"/>
    <cellStyle name="Standaard 2 4 2 2 4 3" xfId="4380"/>
    <cellStyle name="Standaard 2 4 2 2 4 3 2" xfId="13982"/>
    <cellStyle name="Standaard 2 4 2 2 4 3 2 2" xfId="22495"/>
    <cellStyle name="Standaard 2 4 2 2 4 3 3" xfId="22496"/>
    <cellStyle name="Standaard 2 4 2 2 4 4" xfId="9372"/>
    <cellStyle name="Standaard 2 4 2 2 4 4 2" xfId="22497"/>
    <cellStyle name="Standaard 2 4 2 2 4 5" xfId="22498"/>
    <cellStyle name="Standaard 2 4 2 2 5" xfId="2850"/>
    <cellStyle name="Standaard 2 4 2 2 5 2" xfId="4884"/>
    <cellStyle name="Standaard 2 4 2 2 5 2 2" xfId="13984"/>
    <cellStyle name="Standaard 2 4 2 2 5 2 2 2" xfId="22499"/>
    <cellStyle name="Standaard 2 4 2 2 5 2 3" xfId="22500"/>
    <cellStyle name="Standaard 2 4 2 2 5 3" xfId="13983"/>
    <cellStyle name="Standaard 2 4 2 2 5 3 2" xfId="22501"/>
    <cellStyle name="Standaard 2 4 2 2 5 4" xfId="22502"/>
    <cellStyle name="Standaard 2 4 2 2 6" xfId="3867"/>
    <cellStyle name="Standaard 2 4 2 2 6 2" xfId="13985"/>
    <cellStyle name="Standaard 2 4 2 2 6 2 2" xfId="22503"/>
    <cellStyle name="Standaard 2 4 2 2 6 3" xfId="22504"/>
    <cellStyle name="Standaard 2 4 2 2 7" xfId="9365"/>
    <cellStyle name="Standaard 2 4 2 2 7 2" xfId="22505"/>
    <cellStyle name="Standaard 2 4 2 2 8" xfId="22506"/>
    <cellStyle name="Standaard 2 4 2 3" xfId="1844"/>
    <cellStyle name="Standaard 2 4 2 3 2" xfId="1970"/>
    <cellStyle name="Standaard 2 4 2 3 2 2" xfId="2222"/>
    <cellStyle name="Standaard 2 4 2 3 2 2 2" xfId="2766"/>
    <cellStyle name="Standaard 2 4 2 3 2 2 2 2" xfId="3783"/>
    <cellStyle name="Standaard 2 4 2 3 2 2 2 2 2" xfId="5817"/>
    <cellStyle name="Standaard 2 4 2 3 2 2 2 2 2 2" xfId="13987"/>
    <cellStyle name="Standaard 2 4 2 3 2 2 2 2 2 2 2" xfId="22507"/>
    <cellStyle name="Standaard 2 4 2 3 2 2 2 2 2 3" xfId="22508"/>
    <cellStyle name="Standaard 2 4 2 3 2 2 2 2 3" xfId="13986"/>
    <cellStyle name="Standaard 2 4 2 3 2 2 2 2 3 2" xfId="22509"/>
    <cellStyle name="Standaard 2 4 2 3 2 2 2 2 4" xfId="22510"/>
    <cellStyle name="Standaard 2 4 2 3 2 2 2 3" xfId="4800"/>
    <cellStyle name="Standaard 2 4 2 3 2 2 2 3 2" xfId="13988"/>
    <cellStyle name="Standaard 2 4 2 3 2 2 2 3 2 2" xfId="22511"/>
    <cellStyle name="Standaard 2 4 2 3 2 2 2 3 3" xfId="22512"/>
    <cellStyle name="Standaard 2 4 2 3 2 2 2 4" xfId="9376"/>
    <cellStyle name="Standaard 2 4 2 3 2 2 2 4 2" xfId="22513"/>
    <cellStyle name="Standaard 2 4 2 3 2 2 2 5" xfId="22514"/>
    <cellStyle name="Standaard 2 4 2 3 2 2 3" xfId="3270"/>
    <cellStyle name="Standaard 2 4 2 3 2 2 3 2" xfId="5304"/>
    <cellStyle name="Standaard 2 4 2 3 2 2 3 2 2" xfId="13990"/>
    <cellStyle name="Standaard 2 4 2 3 2 2 3 2 2 2" xfId="22515"/>
    <cellStyle name="Standaard 2 4 2 3 2 2 3 2 3" xfId="22516"/>
    <cellStyle name="Standaard 2 4 2 3 2 2 3 3" xfId="13989"/>
    <cellStyle name="Standaard 2 4 2 3 2 2 3 3 2" xfId="22517"/>
    <cellStyle name="Standaard 2 4 2 3 2 2 3 4" xfId="22518"/>
    <cellStyle name="Standaard 2 4 2 3 2 2 4" xfId="4287"/>
    <cellStyle name="Standaard 2 4 2 3 2 2 4 2" xfId="13991"/>
    <cellStyle name="Standaard 2 4 2 3 2 2 4 2 2" xfId="22519"/>
    <cellStyle name="Standaard 2 4 2 3 2 2 4 3" xfId="22520"/>
    <cellStyle name="Standaard 2 4 2 3 2 2 5" xfId="9375"/>
    <cellStyle name="Standaard 2 4 2 3 2 2 5 2" xfId="22521"/>
    <cellStyle name="Standaard 2 4 2 3 2 2 6" xfId="22522"/>
    <cellStyle name="Standaard 2 4 2 3 2 3" xfId="2514"/>
    <cellStyle name="Standaard 2 4 2 3 2 3 2" xfId="3531"/>
    <cellStyle name="Standaard 2 4 2 3 2 3 2 2" xfId="5565"/>
    <cellStyle name="Standaard 2 4 2 3 2 3 2 2 2" xfId="13993"/>
    <cellStyle name="Standaard 2 4 2 3 2 3 2 2 2 2" xfId="22523"/>
    <cellStyle name="Standaard 2 4 2 3 2 3 2 2 3" xfId="22524"/>
    <cellStyle name="Standaard 2 4 2 3 2 3 2 3" xfId="13992"/>
    <cellStyle name="Standaard 2 4 2 3 2 3 2 3 2" xfId="22525"/>
    <cellStyle name="Standaard 2 4 2 3 2 3 2 4" xfId="22526"/>
    <cellStyle name="Standaard 2 4 2 3 2 3 3" xfId="4548"/>
    <cellStyle name="Standaard 2 4 2 3 2 3 3 2" xfId="13994"/>
    <cellStyle name="Standaard 2 4 2 3 2 3 3 2 2" xfId="22527"/>
    <cellStyle name="Standaard 2 4 2 3 2 3 3 3" xfId="22528"/>
    <cellStyle name="Standaard 2 4 2 3 2 3 4" xfId="9377"/>
    <cellStyle name="Standaard 2 4 2 3 2 3 4 2" xfId="22529"/>
    <cellStyle name="Standaard 2 4 2 3 2 3 5" xfId="22530"/>
    <cellStyle name="Standaard 2 4 2 3 2 4" xfId="3018"/>
    <cellStyle name="Standaard 2 4 2 3 2 4 2" xfId="5052"/>
    <cellStyle name="Standaard 2 4 2 3 2 4 2 2" xfId="13996"/>
    <cellStyle name="Standaard 2 4 2 3 2 4 2 2 2" xfId="22531"/>
    <cellStyle name="Standaard 2 4 2 3 2 4 2 3" xfId="22532"/>
    <cellStyle name="Standaard 2 4 2 3 2 4 3" xfId="13995"/>
    <cellStyle name="Standaard 2 4 2 3 2 4 3 2" xfId="22533"/>
    <cellStyle name="Standaard 2 4 2 3 2 4 4" xfId="22534"/>
    <cellStyle name="Standaard 2 4 2 3 2 5" xfId="4035"/>
    <cellStyle name="Standaard 2 4 2 3 2 5 2" xfId="13997"/>
    <cellStyle name="Standaard 2 4 2 3 2 5 2 2" xfId="22535"/>
    <cellStyle name="Standaard 2 4 2 3 2 5 3" xfId="22536"/>
    <cellStyle name="Standaard 2 4 2 3 2 6" xfId="9374"/>
    <cellStyle name="Standaard 2 4 2 3 2 6 2" xfId="22537"/>
    <cellStyle name="Standaard 2 4 2 3 2 7" xfId="22538"/>
    <cellStyle name="Standaard 2 4 2 3 3" xfId="2096"/>
    <cellStyle name="Standaard 2 4 2 3 3 2" xfId="2640"/>
    <cellStyle name="Standaard 2 4 2 3 3 2 2" xfId="3657"/>
    <cellStyle name="Standaard 2 4 2 3 3 2 2 2" xfId="5691"/>
    <cellStyle name="Standaard 2 4 2 3 3 2 2 2 2" xfId="13999"/>
    <cellStyle name="Standaard 2 4 2 3 3 2 2 2 2 2" xfId="22539"/>
    <cellStyle name="Standaard 2 4 2 3 3 2 2 2 3" xfId="22540"/>
    <cellStyle name="Standaard 2 4 2 3 3 2 2 3" xfId="13998"/>
    <cellStyle name="Standaard 2 4 2 3 3 2 2 3 2" xfId="22541"/>
    <cellStyle name="Standaard 2 4 2 3 3 2 2 4" xfId="22542"/>
    <cellStyle name="Standaard 2 4 2 3 3 2 3" xfId="4674"/>
    <cellStyle name="Standaard 2 4 2 3 3 2 3 2" xfId="14000"/>
    <cellStyle name="Standaard 2 4 2 3 3 2 3 2 2" xfId="22543"/>
    <cellStyle name="Standaard 2 4 2 3 3 2 3 3" xfId="22544"/>
    <cellStyle name="Standaard 2 4 2 3 3 2 4" xfId="9379"/>
    <cellStyle name="Standaard 2 4 2 3 3 2 4 2" xfId="22545"/>
    <cellStyle name="Standaard 2 4 2 3 3 2 5" xfId="22546"/>
    <cellStyle name="Standaard 2 4 2 3 3 3" xfId="3144"/>
    <cellStyle name="Standaard 2 4 2 3 3 3 2" xfId="5178"/>
    <cellStyle name="Standaard 2 4 2 3 3 3 2 2" xfId="14002"/>
    <cellStyle name="Standaard 2 4 2 3 3 3 2 2 2" xfId="22547"/>
    <cellStyle name="Standaard 2 4 2 3 3 3 2 3" xfId="22548"/>
    <cellStyle name="Standaard 2 4 2 3 3 3 3" xfId="14001"/>
    <cellStyle name="Standaard 2 4 2 3 3 3 3 2" xfId="22549"/>
    <cellStyle name="Standaard 2 4 2 3 3 3 4" xfId="22550"/>
    <cellStyle name="Standaard 2 4 2 3 3 4" xfId="4161"/>
    <cellStyle name="Standaard 2 4 2 3 3 4 2" xfId="14003"/>
    <cellStyle name="Standaard 2 4 2 3 3 4 2 2" xfId="22551"/>
    <cellStyle name="Standaard 2 4 2 3 3 4 3" xfId="22552"/>
    <cellStyle name="Standaard 2 4 2 3 3 5" xfId="9378"/>
    <cellStyle name="Standaard 2 4 2 3 3 5 2" xfId="22553"/>
    <cellStyle name="Standaard 2 4 2 3 3 6" xfId="22554"/>
    <cellStyle name="Standaard 2 4 2 3 4" xfId="2388"/>
    <cellStyle name="Standaard 2 4 2 3 4 2" xfId="3405"/>
    <cellStyle name="Standaard 2 4 2 3 4 2 2" xfId="5439"/>
    <cellStyle name="Standaard 2 4 2 3 4 2 2 2" xfId="14005"/>
    <cellStyle name="Standaard 2 4 2 3 4 2 2 2 2" xfId="22555"/>
    <cellStyle name="Standaard 2 4 2 3 4 2 2 3" xfId="22556"/>
    <cellStyle name="Standaard 2 4 2 3 4 2 3" xfId="14004"/>
    <cellStyle name="Standaard 2 4 2 3 4 2 3 2" xfId="22557"/>
    <cellStyle name="Standaard 2 4 2 3 4 2 4" xfId="22558"/>
    <cellStyle name="Standaard 2 4 2 3 4 3" xfId="4422"/>
    <cellStyle name="Standaard 2 4 2 3 4 3 2" xfId="14006"/>
    <cellStyle name="Standaard 2 4 2 3 4 3 2 2" xfId="22559"/>
    <cellStyle name="Standaard 2 4 2 3 4 3 3" xfId="22560"/>
    <cellStyle name="Standaard 2 4 2 3 4 4" xfId="9380"/>
    <cellStyle name="Standaard 2 4 2 3 4 4 2" xfId="22561"/>
    <cellStyle name="Standaard 2 4 2 3 4 5" xfId="22562"/>
    <cellStyle name="Standaard 2 4 2 3 5" xfId="2892"/>
    <cellStyle name="Standaard 2 4 2 3 5 2" xfId="4926"/>
    <cellStyle name="Standaard 2 4 2 3 5 2 2" xfId="14008"/>
    <cellStyle name="Standaard 2 4 2 3 5 2 2 2" xfId="22563"/>
    <cellStyle name="Standaard 2 4 2 3 5 2 3" xfId="22564"/>
    <cellStyle name="Standaard 2 4 2 3 5 3" xfId="14007"/>
    <cellStyle name="Standaard 2 4 2 3 5 3 2" xfId="22565"/>
    <cellStyle name="Standaard 2 4 2 3 5 4" xfId="22566"/>
    <cellStyle name="Standaard 2 4 2 3 6" xfId="3909"/>
    <cellStyle name="Standaard 2 4 2 3 6 2" xfId="14009"/>
    <cellStyle name="Standaard 2 4 2 3 6 2 2" xfId="22567"/>
    <cellStyle name="Standaard 2 4 2 3 6 3" xfId="22568"/>
    <cellStyle name="Standaard 2 4 2 3 7" xfId="9373"/>
    <cellStyle name="Standaard 2 4 2 3 7 2" xfId="22569"/>
    <cellStyle name="Standaard 2 4 2 3 8" xfId="22570"/>
    <cellStyle name="Standaard 2 4 2 4" xfId="1886"/>
    <cellStyle name="Standaard 2 4 2 4 2" xfId="2138"/>
    <cellStyle name="Standaard 2 4 2 4 2 2" xfId="2682"/>
    <cellStyle name="Standaard 2 4 2 4 2 2 2" xfId="3699"/>
    <cellStyle name="Standaard 2 4 2 4 2 2 2 2" xfId="5733"/>
    <cellStyle name="Standaard 2 4 2 4 2 2 2 2 2" xfId="14011"/>
    <cellStyle name="Standaard 2 4 2 4 2 2 2 2 2 2" xfId="22571"/>
    <cellStyle name="Standaard 2 4 2 4 2 2 2 2 3" xfId="22572"/>
    <cellStyle name="Standaard 2 4 2 4 2 2 2 3" xfId="14010"/>
    <cellStyle name="Standaard 2 4 2 4 2 2 2 3 2" xfId="22573"/>
    <cellStyle name="Standaard 2 4 2 4 2 2 2 4" xfId="22574"/>
    <cellStyle name="Standaard 2 4 2 4 2 2 3" xfId="4716"/>
    <cellStyle name="Standaard 2 4 2 4 2 2 3 2" xfId="14012"/>
    <cellStyle name="Standaard 2 4 2 4 2 2 3 2 2" xfId="22575"/>
    <cellStyle name="Standaard 2 4 2 4 2 2 3 3" xfId="22576"/>
    <cellStyle name="Standaard 2 4 2 4 2 2 4" xfId="9383"/>
    <cellStyle name="Standaard 2 4 2 4 2 2 4 2" xfId="22577"/>
    <cellStyle name="Standaard 2 4 2 4 2 2 5" xfId="22578"/>
    <cellStyle name="Standaard 2 4 2 4 2 3" xfId="3186"/>
    <cellStyle name="Standaard 2 4 2 4 2 3 2" xfId="5220"/>
    <cellStyle name="Standaard 2 4 2 4 2 3 2 2" xfId="14014"/>
    <cellStyle name="Standaard 2 4 2 4 2 3 2 2 2" xfId="22579"/>
    <cellStyle name="Standaard 2 4 2 4 2 3 2 3" xfId="22580"/>
    <cellStyle name="Standaard 2 4 2 4 2 3 3" xfId="14013"/>
    <cellStyle name="Standaard 2 4 2 4 2 3 3 2" xfId="22581"/>
    <cellStyle name="Standaard 2 4 2 4 2 3 4" xfId="22582"/>
    <cellStyle name="Standaard 2 4 2 4 2 4" xfId="4203"/>
    <cellStyle name="Standaard 2 4 2 4 2 4 2" xfId="14015"/>
    <cellStyle name="Standaard 2 4 2 4 2 4 2 2" xfId="22583"/>
    <cellStyle name="Standaard 2 4 2 4 2 4 3" xfId="22584"/>
    <cellStyle name="Standaard 2 4 2 4 2 5" xfId="9382"/>
    <cellStyle name="Standaard 2 4 2 4 2 5 2" xfId="22585"/>
    <cellStyle name="Standaard 2 4 2 4 2 6" xfId="22586"/>
    <cellStyle name="Standaard 2 4 2 4 3" xfId="2430"/>
    <cellStyle name="Standaard 2 4 2 4 3 2" xfId="3447"/>
    <cellStyle name="Standaard 2 4 2 4 3 2 2" xfId="5481"/>
    <cellStyle name="Standaard 2 4 2 4 3 2 2 2" xfId="14017"/>
    <cellStyle name="Standaard 2 4 2 4 3 2 2 2 2" xfId="22587"/>
    <cellStyle name="Standaard 2 4 2 4 3 2 2 3" xfId="22588"/>
    <cellStyle name="Standaard 2 4 2 4 3 2 3" xfId="14016"/>
    <cellStyle name="Standaard 2 4 2 4 3 2 3 2" xfId="22589"/>
    <cellStyle name="Standaard 2 4 2 4 3 2 4" xfId="22590"/>
    <cellStyle name="Standaard 2 4 2 4 3 3" xfId="4464"/>
    <cellStyle name="Standaard 2 4 2 4 3 3 2" xfId="14018"/>
    <cellStyle name="Standaard 2 4 2 4 3 3 2 2" xfId="22591"/>
    <cellStyle name="Standaard 2 4 2 4 3 3 3" xfId="22592"/>
    <cellStyle name="Standaard 2 4 2 4 3 4" xfId="9384"/>
    <cellStyle name="Standaard 2 4 2 4 3 4 2" xfId="22593"/>
    <cellStyle name="Standaard 2 4 2 4 3 5" xfId="22594"/>
    <cellStyle name="Standaard 2 4 2 4 4" xfId="2934"/>
    <cellStyle name="Standaard 2 4 2 4 4 2" xfId="4968"/>
    <cellStyle name="Standaard 2 4 2 4 4 2 2" xfId="14020"/>
    <cellStyle name="Standaard 2 4 2 4 4 2 2 2" xfId="22595"/>
    <cellStyle name="Standaard 2 4 2 4 4 2 3" xfId="22596"/>
    <cellStyle name="Standaard 2 4 2 4 4 3" xfId="14019"/>
    <cellStyle name="Standaard 2 4 2 4 4 3 2" xfId="22597"/>
    <cellStyle name="Standaard 2 4 2 4 4 4" xfId="22598"/>
    <cellStyle name="Standaard 2 4 2 4 5" xfId="3951"/>
    <cellStyle name="Standaard 2 4 2 4 5 2" xfId="14021"/>
    <cellStyle name="Standaard 2 4 2 4 5 2 2" xfId="22599"/>
    <cellStyle name="Standaard 2 4 2 4 5 3" xfId="22600"/>
    <cellStyle name="Standaard 2 4 2 4 6" xfId="9381"/>
    <cellStyle name="Standaard 2 4 2 4 6 2" xfId="22601"/>
    <cellStyle name="Standaard 2 4 2 4 7" xfId="22602"/>
    <cellStyle name="Standaard 2 4 2 5" xfId="2012"/>
    <cellStyle name="Standaard 2 4 2 5 2" xfId="2556"/>
    <cellStyle name="Standaard 2 4 2 5 2 2" xfId="3573"/>
    <cellStyle name="Standaard 2 4 2 5 2 2 2" xfId="5607"/>
    <cellStyle name="Standaard 2 4 2 5 2 2 2 2" xfId="14023"/>
    <cellStyle name="Standaard 2 4 2 5 2 2 2 2 2" xfId="22603"/>
    <cellStyle name="Standaard 2 4 2 5 2 2 2 3" xfId="22604"/>
    <cellStyle name="Standaard 2 4 2 5 2 2 3" xfId="14022"/>
    <cellStyle name="Standaard 2 4 2 5 2 2 3 2" xfId="22605"/>
    <cellStyle name="Standaard 2 4 2 5 2 2 4" xfId="22606"/>
    <cellStyle name="Standaard 2 4 2 5 2 3" xfId="4590"/>
    <cellStyle name="Standaard 2 4 2 5 2 3 2" xfId="14024"/>
    <cellStyle name="Standaard 2 4 2 5 2 3 2 2" xfId="22607"/>
    <cellStyle name="Standaard 2 4 2 5 2 3 3" xfId="22608"/>
    <cellStyle name="Standaard 2 4 2 5 2 4" xfId="9386"/>
    <cellStyle name="Standaard 2 4 2 5 2 4 2" xfId="22609"/>
    <cellStyle name="Standaard 2 4 2 5 2 5" xfId="22610"/>
    <cellStyle name="Standaard 2 4 2 5 3" xfId="3060"/>
    <cellStyle name="Standaard 2 4 2 5 3 2" xfId="5094"/>
    <cellStyle name="Standaard 2 4 2 5 3 2 2" xfId="14026"/>
    <cellStyle name="Standaard 2 4 2 5 3 2 2 2" xfId="22611"/>
    <cellStyle name="Standaard 2 4 2 5 3 2 3" xfId="22612"/>
    <cellStyle name="Standaard 2 4 2 5 3 3" xfId="14025"/>
    <cellStyle name="Standaard 2 4 2 5 3 3 2" xfId="22613"/>
    <cellStyle name="Standaard 2 4 2 5 3 4" xfId="22614"/>
    <cellStyle name="Standaard 2 4 2 5 4" xfId="4077"/>
    <cellStyle name="Standaard 2 4 2 5 4 2" xfId="14027"/>
    <cellStyle name="Standaard 2 4 2 5 4 2 2" xfId="22615"/>
    <cellStyle name="Standaard 2 4 2 5 4 3" xfId="22616"/>
    <cellStyle name="Standaard 2 4 2 5 5" xfId="9385"/>
    <cellStyle name="Standaard 2 4 2 5 5 2" xfId="22617"/>
    <cellStyle name="Standaard 2 4 2 5 6" xfId="22618"/>
    <cellStyle name="Standaard 2 4 2 6" xfId="2304"/>
    <cellStyle name="Standaard 2 4 2 6 2" xfId="3321"/>
    <cellStyle name="Standaard 2 4 2 6 2 2" xfId="5355"/>
    <cellStyle name="Standaard 2 4 2 6 2 2 2" xfId="14029"/>
    <cellStyle name="Standaard 2 4 2 6 2 2 2 2" xfId="22619"/>
    <cellStyle name="Standaard 2 4 2 6 2 2 3" xfId="22620"/>
    <cellStyle name="Standaard 2 4 2 6 2 3" xfId="14028"/>
    <cellStyle name="Standaard 2 4 2 6 2 3 2" xfId="22621"/>
    <cellStyle name="Standaard 2 4 2 6 2 4" xfId="22622"/>
    <cellStyle name="Standaard 2 4 2 6 3" xfId="4338"/>
    <cellStyle name="Standaard 2 4 2 6 3 2" xfId="14030"/>
    <cellStyle name="Standaard 2 4 2 6 3 2 2" xfId="22623"/>
    <cellStyle name="Standaard 2 4 2 6 3 3" xfId="22624"/>
    <cellStyle name="Standaard 2 4 2 6 4" xfId="9387"/>
    <cellStyle name="Standaard 2 4 2 6 4 2" xfId="22625"/>
    <cellStyle name="Standaard 2 4 2 6 5" xfId="22626"/>
    <cellStyle name="Standaard 2 4 2 7" xfId="2808"/>
    <cellStyle name="Standaard 2 4 2 7 2" xfId="4842"/>
    <cellStyle name="Standaard 2 4 2 7 2 2" xfId="14032"/>
    <cellStyle name="Standaard 2 4 2 7 2 2 2" xfId="22627"/>
    <cellStyle name="Standaard 2 4 2 7 2 3" xfId="22628"/>
    <cellStyle name="Standaard 2 4 2 7 3" xfId="14031"/>
    <cellStyle name="Standaard 2 4 2 7 3 2" xfId="22629"/>
    <cellStyle name="Standaard 2 4 2 7 4" xfId="22630"/>
    <cellStyle name="Standaard 2 4 2 8" xfId="3825"/>
    <cellStyle name="Standaard 2 4 2 8 2" xfId="14033"/>
    <cellStyle name="Standaard 2 4 2 8 2 2" xfId="22631"/>
    <cellStyle name="Standaard 2 4 2 8 3" xfId="22632"/>
    <cellStyle name="Standaard 2 4 2 9" xfId="9364"/>
    <cellStyle name="Standaard 2 4 2 9 2" xfId="22633"/>
    <cellStyle name="Standaard 2 4 3" xfId="1774"/>
    <cellStyle name="Standaard 2 4 3 10" xfId="22634"/>
    <cellStyle name="Standaard 2 4 3 2" xfId="1816"/>
    <cellStyle name="Standaard 2 4 3 2 2" xfId="1942"/>
    <cellStyle name="Standaard 2 4 3 2 2 2" xfId="2194"/>
    <cellStyle name="Standaard 2 4 3 2 2 2 2" xfId="2738"/>
    <cellStyle name="Standaard 2 4 3 2 2 2 2 2" xfId="3755"/>
    <cellStyle name="Standaard 2 4 3 2 2 2 2 2 2" xfId="5789"/>
    <cellStyle name="Standaard 2 4 3 2 2 2 2 2 2 2" xfId="14035"/>
    <cellStyle name="Standaard 2 4 3 2 2 2 2 2 2 2 2" xfId="22635"/>
    <cellStyle name="Standaard 2 4 3 2 2 2 2 2 2 3" xfId="22636"/>
    <cellStyle name="Standaard 2 4 3 2 2 2 2 2 3" xfId="14034"/>
    <cellStyle name="Standaard 2 4 3 2 2 2 2 2 3 2" xfId="22637"/>
    <cellStyle name="Standaard 2 4 3 2 2 2 2 2 4" xfId="22638"/>
    <cellStyle name="Standaard 2 4 3 2 2 2 2 3" xfId="4772"/>
    <cellStyle name="Standaard 2 4 3 2 2 2 2 3 2" xfId="14036"/>
    <cellStyle name="Standaard 2 4 3 2 2 2 2 3 2 2" xfId="22639"/>
    <cellStyle name="Standaard 2 4 3 2 2 2 2 3 3" xfId="22640"/>
    <cellStyle name="Standaard 2 4 3 2 2 2 2 4" xfId="9392"/>
    <cellStyle name="Standaard 2 4 3 2 2 2 2 4 2" xfId="22641"/>
    <cellStyle name="Standaard 2 4 3 2 2 2 2 5" xfId="22642"/>
    <cellStyle name="Standaard 2 4 3 2 2 2 3" xfId="3242"/>
    <cellStyle name="Standaard 2 4 3 2 2 2 3 2" xfId="5276"/>
    <cellStyle name="Standaard 2 4 3 2 2 2 3 2 2" xfId="14038"/>
    <cellStyle name="Standaard 2 4 3 2 2 2 3 2 2 2" xfId="22643"/>
    <cellStyle name="Standaard 2 4 3 2 2 2 3 2 3" xfId="22644"/>
    <cellStyle name="Standaard 2 4 3 2 2 2 3 3" xfId="14037"/>
    <cellStyle name="Standaard 2 4 3 2 2 2 3 3 2" xfId="22645"/>
    <cellStyle name="Standaard 2 4 3 2 2 2 3 4" xfId="22646"/>
    <cellStyle name="Standaard 2 4 3 2 2 2 4" xfId="4259"/>
    <cellStyle name="Standaard 2 4 3 2 2 2 4 2" xfId="14039"/>
    <cellStyle name="Standaard 2 4 3 2 2 2 4 2 2" xfId="22647"/>
    <cellStyle name="Standaard 2 4 3 2 2 2 4 3" xfId="22648"/>
    <cellStyle name="Standaard 2 4 3 2 2 2 5" xfId="9391"/>
    <cellStyle name="Standaard 2 4 3 2 2 2 5 2" xfId="22649"/>
    <cellStyle name="Standaard 2 4 3 2 2 2 6" xfId="22650"/>
    <cellStyle name="Standaard 2 4 3 2 2 3" xfId="2486"/>
    <cellStyle name="Standaard 2 4 3 2 2 3 2" xfId="3503"/>
    <cellStyle name="Standaard 2 4 3 2 2 3 2 2" xfId="5537"/>
    <cellStyle name="Standaard 2 4 3 2 2 3 2 2 2" xfId="14041"/>
    <cellStyle name="Standaard 2 4 3 2 2 3 2 2 2 2" xfId="22651"/>
    <cellStyle name="Standaard 2 4 3 2 2 3 2 2 3" xfId="22652"/>
    <cellStyle name="Standaard 2 4 3 2 2 3 2 3" xfId="14040"/>
    <cellStyle name="Standaard 2 4 3 2 2 3 2 3 2" xfId="22653"/>
    <cellStyle name="Standaard 2 4 3 2 2 3 2 4" xfId="22654"/>
    <cellStyle name="Standaard 2 4 3 2 2 3 3" xfId="4520"/>
    <cellStyle name="Standaard 2 4 3 2 2 3 3 2" xfId="14042"/>
    <cellStyle name="Standaard 2 4 3 2 2 3 3 2 2" xfId="22655"/>
    <cellStyle name="Standaard 2 4 3 2 2 3 3 3" xfId="22656"/>
    <cellStyle name="Standaard 2 4 3 2 2 3 4" xfId="9393"/>
    <cellStyle name="Standaard 2 4 3 2 2 3 4 2" xfId="22657"/>
    <cellStyle name="Standaard 2 4 3 2 2 3 5" xfId="22658"/>
    <cellStyle name="Standaard 2 4 3 2 2 4" xfId="2990"/>
    <cellStyle name="Standaard 2 4 3 2 2 4 2" xfId="5024"/>
    <cellStyle name="Standaard 2 4 3 2 2 4 2 2" xfId="14044"/>
    <cellStyle name="Standaard 2 4 3 2 2 4 2 2 2" xfId="22659"/>
    <cellStyle name="Standaard 2 4 3 2 2 4 2 3" xfId="22660"/>
    <cellStyle name="Standaard 2 4 3 2 2 4 3" xfId="14043"/>
    <cellStyle name="Standaard 2 4 3 2 2 4 3 2" xfId="22661"/>
    <cellStyle name="Standaard 2 4 3 2 2 4 4" xfId="22662"/>
    <cellStyle name="Standaard 2 4 3 2 2 5" xfId="4007"/>
    <cellStyle name="Standaard 2 4 3 2 2 5 2" xfId="14045"/>
    <cellStyle name="Standaard 2 4 3 2 2 5 2 2" xfId="22663"/>
    <cellStyle name="Standaard 2 4 3 2 2 5 3" xfId="22664"/>
    <cellStyle name="Standaard 2 4 3 2 2 6" xfId="9390"/>
    <cellStyle name="Standaard 2 4 3 2 2 6 2" xfId="22665"/>
    <cellStyle name="Standaard 2 4 3 2 2 7" xfId="22666"/>
    <cellStyle name="Standaard 2 4 3 2 3" xfId="2068"/>
    <cellStyle name="Standaard 2 4 3 2 3 2" xfId="2612"/>
    <cellStyle name="Standaard 2 4 3 2 3 2 2" xfId="3629"/>
    <cellStyle name="Standaard 2 4 3 2 3 2 2 2" xfId="5663"/>
    <cellStyle name="Standaard 2 4 3 2 3 2 2 2 2" xfId="14047"/>
    <cellStyle name="Standaard 2 4 3 2 3 2 2 2 2 2" xfId="22667"/>
    <cellStyle name="Standaard 2 4 3 2 3 2 2 2 3" xfId="22668"/>
    <cellStyle name="Standaard 2 4 3 2 3 2 2 3" xfId="14046"/>
    <cellStyle name="Standaard 2 4 3 2 3 2 2 3 2" xfId="22669"/>
    <cellStyle name="Standaard 2 4 3 2 3 2 2 4" xfId="22670"/>
    <cellStyle name="Standaard 2 4 3 2 3 2 3" xfId="4646"/>
    <cellStyle name="Standaard 2 4 3 2 3 2 3 2" xfId="14048"/>
    <cellStyle name="Standaard 2 4 3 2 3 2 3 2 2" xfId="22671"/>
    <cellStyle name="Standaard 2 4 3 2 3 2 3 3" xfId="22672"/>
    <cellStyle name="Standaard 2 4 3 2 3 2 4" xfId="9395"/>
    <cellStyle name="Standaard 2 4 3 2 3 2 4 2" xfId="22673"/>
    <cellStyle name="Standaard 2 4 3 2 3 2 5" xfId="22674"/>
    <cellStyle name="Standaard 2 4 3 2 3 3" xfId="3116"/>
    <cellStyle name="Standaard 2 4 3 2 3 3 2" xfId="5150"/>
    <cellStyle name="Standaard 2 4 3 2 3 3 2 2" xfId="14050"/>
    <cellStyle name="Standaard 2 4 3 2 3 3 2 2 2" xfId="22675"/>
    <cellStyle name="Standaard 2 4 3 2 3 3 2 3" xfId="22676"/>
    <cellStyle name="Standaard 2 4 3 2 3 3 3" xfId="14049"/>
    <cellStyle name="Standaard 2 4 3 2 3 3 3 2" xfId="22677"/>
    <cellStyle name="Standaard 2 4 3 2 3 3 4" xfId="22678"/>
    <cellStyle name="Standaard 2 4 3 2 3 4" xfId="4133"/>
    <cellStyle name="Standaard 2 4 3 2 3 4 2" xfId="14051"/>
    <cellStyle name="Standaard 2 4 3 2 3 4 2 2" xfId="22679"/>
    <cellStyle name="Standaard 2 4 3 2 3 4 3" xfId="22680"/>
    <cellStyle name="Standaard 2 4 3 2 3 5" xfId="9394"/>
    <cellStyle name="Standaard 2 4 3 2 3 5 2" xfId="22681"/>
    <cellStyle name="Standaard 2 4 3 2 3 6" xfId="22682"/>
    <cellStyle name="Standaard 2 4 3 2 4" xfId="2360"/>
    <cellStyle name="Standaard 2 4 3 2 4 2" xfId="3377"/>
    <cellStyle name="Standaard 2 4 3 2 4 2 2" xfId="5411"/>
    <cellStyle name="Standaard 2 4 3 2 4 2 2 2" xfId="14053"/>
    <cellStyle name="Standaard 2 4 3 2 4 2 2 2 2" xfId="22683"/>
    <cellStyle name="Standaard 2 4 3 2 4 2 2 3" xfId="22684"/>
    <cellStyle name="Standaard 2 4 3 2 4 2 3" xfId="14052"/>
    <cellStyle name="Standaard 2 4 3 2 4 2 3 2" xfId="22685"/>
    <cellStyle name="Standaard 2 4 3 2 4 2 4" xfId="22686"/>
    <cellStyle name="Standaard 2 4 3 2 4 3" xfId="4394"/>
    <cellStyle name="Standaard 2 4 3 2 4 3 2" xfId="14054"/>
    <cellStyle name="Standaard 2 4 3 2 4 3 2 2" xfId="22687"/>
    <cellStyle name="Standaard 2 4 3 2 4 3 3" xfId="22688"/>
    <cellStyle name="Standaard 2 4 3 2 4 4" xfId="9396"/>
    <cellStyle name="Standaard 2 4 3 2 4 4 2" xfId="22689"/>
    <cellStyle name="Standaard 2 4 3 2 4 5" xfId="22690"/>
    <cellStyle name="Standaard 2 4 3 2 5" xfId="2864"/>
    <cellStyle name="Standaard 2 4 3 2 5 2" xfId="4898"/>
    <cellStyle name="Standaard 2 4 3 2 5 2 2" xfId="14056"/>
    <cellStyle name="Standaard 2 4 3 2 5 2 2 2" xfId="22691"/>
    <cellStyle name="Standaard 2 4 3 2 5 2 3" xfId="22692"/>
    <cellStyle name="Standaard 2 4 3 2 5 3" xfId="14055"/>
    <cellStyle name="Standaard 2 4 3 2 5 3 2" xfId="22693"/>
    <cellStyle name="Standaard 2 4 3 2 5 4" xfId="22694"/>
    <cellStyle name="Standaard 2 4 3 2 6" xfId="3881"/>
    <cellStyle name="Standaard 2 4 3 2 6 2" xfId="14057"/>
    <cellStyle name="Standaard 2 4 3 2 6 2 2" xfId="22695"/>
    <cellStyle name="Standaard 2 4 3 2 6 3" xfId="22696"/>
    <cellStyle name="Standaard 2 4 3 2 7" xfId="9389"/>
    <cellStyle name="Standaard 2 4 3 2 7 2" xfId="22697"/>
    <cellStyle name="Standaard 2 4 3 2 8" xfId="22698"/>
    <cellStyle name="Standaard 2 4 3 3" xfId="1858"/>
    <cellStyle name="Standaard 2 4 3 3 2" xfId="1984"/>
    <cellStyle name="Standaard 2 4 3 3 2 2" xfId="2236"/>
    <cellStyle name="Standaard 2 4 3 3 2 2 2" xfId="2780"/>
    <cellStyle name="Standaard 2 4 3 3 2 2 2 2" xfId="3797"/>
    <cellStyle name="Standaard 2 4 3 3 2 2 2 2 2" xfId="5831"/>
    <cellStyle name="Standaard 2 4 3 3 2 2 2 2 2 2" xfId="14059"/>
    <cellStyle name="Standaard 2 4 3 3 2 2 2 2 2 2 2" xfId="22699"/>
    <cellStyle name="Standaard 2 4 3 3 2 2 2 2 2 3" xfId="22700"/>
    <cellStyle name="Standaard 2 4 3 3 2 2 2 2 3" xfId="14058"/>
    <cellStyle name="Standaard 2 4 3 3 2 2 2 2 3 2" xfId="22701"/>
    <cellStyle name="Standaard 2 4 3 3 2 2 2 2 4" xfId="22702"/>
    <cellStyle name="Standaard 2 4 3 3 2 2 2 3" xfId="4814"/>
    <cellStyle name="Standaard 2 4 3 3 2 2 2 3 2" xfId="14060"/>
    <cellStyle name="Standaard 2 4 3 3 2 2 2 3 2 2" xfId="22703"/>
    <cellStyle name="Standaard 2 4 3 3 2 2 2 3 3" xfId="22704"/>
    <cellStyle name="Standaard 2 4 3 3 2 2 2 4" xfId="9400"/>
    <cellStyle name="Standaard 2 4 3 3 2 2 2 4 2" xfId="22705"/>
    <cellStyle name="Standaard 2 4 3 3 2 2 2 5" xfId="22706"/>
    <cellStyle name="Standaard 2 4 3 3 2 2 3" xfId="3284"/>
    <cellStyle name="Standaard 2 4 3 3 2 2 3 2" xfId="5318"/>
    <cellStyle name="Standaard 2 4 3 3 2 2 3 2 2" xfId="14062"/>
    <cellStyle name="Standaard 2 4 3 3 2 2 3 2 2 2" xfId="22707"/>
    <cellStyle name="Standaard 2 4 3 3 2 2 3 2 3" xfId="22708"/>
    <cellStyle name="Standaard 2 4 3 3 2 2 3 3" xfId="14061"/>
    <cellStyle name="Standaard 2 4 3 3 2 2 3 3 2" xfId="22709"/>
    <cellStyle name="Standaard 2 4 3 3 2 2 3 4" xfId="22710"/>
    <cellStyle name="Standaard 2 4 3 3 2 2 4" xfId="4301"/>
    <cellStyle name="Standaard 2 4 3 3 2 2 4 2" xfId="14063"/>
    <cellStyle name="Standaard 2 4 3 3 2 2 4 2 2" xfId="22711"/>
    <cellStyle name="Standaard 2 4 3 3 2 2 4 3" xfId="22712"/>
    <cellStyle name="Standaard 2 4 3 3 2 2 5" xfId="9399"/>
    <cellStyle name="Standaard 2 4 3 3 2 2 5 2" xfId="22713"/>
    <cellStyle name="Standaard 2 4 3 3 2 2 6" xfId="22714"/>
    <cellStyle name="Standaard 2 4 3 3 2 3" xfId="2528"/>
    <cellStyle name="Standaard 2 4 3 3 2 3 2" xfId="3545"/>
    <cellStyle name="Standaard 2 4 3 3 2 3 2 2" xfId="5579"/>
    <cellStyle name="Standaard 2 4 3 3 2 3 2 2 2" xfId="14065"/>
    <cellStyle name="Standaard 2 4 3 3 2 3 2 2 2 2" xfId="22715"/>
    <cellStyle name="Standaard 2 4 3 3 2 3 2 2 3" xfId="22716"/>
    <cellStyle name="Standaard 2 4 3 3 2 3 2 3" xfId="14064"/>
    <cellStyle name="Standaard 2 4 3 3 2 3 2 3 2" xfId="22717"/>
    <cellStyle name="Standaard 2 4 3 3 2 3 2 4" xfId="22718"/>
    <cellStyle name="Standaard 2 4 3 3 2 3 3" xfId="4562"/>
    <cellStyle name="Standaard 2 4 3 3 2 3 3 2" xfId="14066"/>
    <cellStyle name="Standaard 2 4 3 3 2 3 3 2 2" xfId="22719"/>
    <cellStyle name="Standaard 2 4 3 3 2 3 3 3" xfId="22720"/>
    <cellStyle name="Standaard 2 4 3 3 2 3 4" xfId="9401"/>
    <cellStyle name="Standaard 2 4 3 3 2 3 4 2" xfId="22721"/>
    <cellStyle name="Standaard 2 4 3 3 2 3 5" xfId="22722"/>
    <cellStyle name="Standaard 2 4 3 3 2 4" xfId="3032"/>
    <cellStyle name="Standaard 2 4 3 3 2 4 2" xfId="5066"/>
    <cellStyle name="Standaard 2 4 3 3 2 4 2 2" xfId="14068"/>
    <cellStyle name="Standaard 2 4 3 3 2 4 2 2 2" xfId="22723"/>
    <cellStyle name="Standaard 2 4 3 3 2 4 2 3" xfId="22724"/>
    <cellStyle name="Standaard 2 4 3 3 2 4 3" xfId="14067"/>
    <cellStyle name="Standaard 2 4 3 3 2 4 3 2" xfId="22725"/>
    <cellStyle name="Standaard 2 4 3 3 2 4 4" xfId="22726"/>
    <cellStyle name="Standaard 2 4 3 3 2 5" xfId="4049"/>
    <cellStyle name="Standaard 2 4 3 3 2 5 2" xfId="14069"/>
    <cellStyle name="Standaard 2 4 3 3 2 5 2 2" xfId="22727"/>
    <cellStyle name="Standaard 2 4 3 3 2 5 3" xfId="22728"/>
    <cellStyle name="Standaard 2 4 3 3 2 6" xfId="9398"/>
    <cellStyle name="Standaard 2 4 3 3 2 6 2" xfId="22729"/>
    <cellStyle name="Standaard 2 4 3 3 2 7" xfId="22730"/>
    <cellStyle name="Standaard 2 4 3 3 3" xfId="2110"/>
    <cellStyle name="Standaard 2 4 3 3 3 2" xfId="2654"/>
    <cellStyle name="Standaard 2 4 3 3 3 2 2" xfId="3671"/>
    <cellStyle name="Standaard 2 4 3 3 3 2 2 2" xfId="5705"/>
    <cellStyle name="Standaard 2 4 3 3 3 2 2 2 2" xfId="14071"/>
    <cellStyle name="Standaard 2 4 3 3 3 2 2 2 2 2" xfId="22731"/>
    <cellStyle name="Standaard 2 4 3 3 3 2 2 2 3" xfId="22732"/>
    <cellStyle name="Standaard 2 4 3 3 3 2 2 3" xfId="14070"/>
    <cellStyle name="Standaard 2 4 3 3 3 2 2 3 2" xfId="22733"/>
    <cellStyle name="Standaard 2 4 3 3 3 2 2 4" xfId="22734"/>
    <cellStyle name="Standaard 2 4 3 3 3 2 3" xfId="4688"/>
    <cellStyle name="Standaard 2 4 3 3 3 2 3 2" xfId="14072"/>
    <cellStyle name="Standaard 2 4 3 3 3 2 3 2 2" xfId="22735"/>
    <cellStyle name="Standaard 2 4 3 3 3 2 3 3" xfId="22736"/>
    <cellStyle name="Standaard 2 4 3 3 3 2 4" xfId="9403"/>
    <cellStyle name="Standaard 2 4 3 3 3 2 4 2" xfId="22737"/>
    <cellStyle name="Standaard 2 4 3 3 3 2 5" xfId="22738"/>
    <cellStyle name="Standaard 2 4 3 3 3 3" xfId="3158"/>
    <cellStyle name="Standaard 2 4 3 3 3 3 2" xfId="5192"/>
    <cellStyle name="Standaard 2 4 3 3 3 3 2 2" xfId="14074"/>
    <cellStyle name="Standaard 2 4 3 3 3 3 2 2 2" xfId="22739"/>
    <cellStyle name="Standaard 2 4 3 3 3 3 2 3" xfId="22740"/>
    <cellStyle name="Standaard 2 4 3 3 3 3 3" xfId="14073"/>
    <cellStyle name="Standaard 2 4 3 3 3 3 3 2" xfId="22741"/>
    <cellStyle name="Standaard 2 4 3 3 3 3 4" xfId="22742"/>
    <cellStyle name="Standaard 2 4 3 3 3 4" xfId="4175"/>
    <cellStyle name="Standaard 2 4 3 3 3 4 2" xfId="14075"/>
    <cellStyle name="Standaard 2 4 3 3 3 4 2 2" xfId="22743"/>
    <cellStyle name="Standaard 2 4 3 3 3 4 3" xfId="22744"/>
    <cellStyle name="Standaard 2 4 3 3 3 5" xfId="9402"/>
    <cellStyle name="Standaard 2 4 3 3 3 5 2" xfId="22745"/>
    <cellStyle name="Standaard 2 4 3 3 3 6" xfId="22746"/>
    <cellStyle name="Standaard 2 4 3 3 4" xfId="2402"/>
    <cellStyle name="Standaard 2 4 3 3 4 2" xfId="3419"/>
    <cellStyle name="Standaard 2 4 3 3 4 2 2" xfId="5453"/>
    <cellStyle name="Standaard 2 4 3 3 4 2 2 2" xfId="14077"/>
    <cellStyle name="Standaard 2 4 3 3 4 2 2 2 2" xfId="22747"/>
    <cellStyle name="Standaard 2 4 3 3 4 2 2 3" xfId="22748"/>
    <cellStyle name="Standaard 2 4 3 3 4 2 3" xfId="14076"/>
    <cellStyle name="Standaard 2 4 3 3 4 2 3 2" xfId="22749"/>
    <cellStyle name="Standaard 2 4 3 3 4 2 4" xfId="22750"/>
    <cellStyle name="Standaard 2 4 3 3 4 3" xfId="4436"/>
    <cellStyle name="Standaard 2 4 3 3 4 3 2" xfId="14078"/>
    <cellStyle name="Standaard 2 4 3 3 4 3 2 2" xfId="22751"/>
    <cellStyle name="Standaard 2 4 3 3 4 3 3" xfId="22752"/>
    <cellStyle name="Standaard 2 4 3 3 4 4" xfId="9404"/>
    <cellStyle name="Standaard 2 4 3 3 4 4 2" xfId="22753"/>
    <cellStyle name="Standaard 2 4 3 3 4 5" xfId="22754"/>
    <cellStyle name="Standaard 2 4 3 3 5" xfId="2906"/>
    <cellStyle name="Standaard 2 4 3 3 5 2" xfId="4940"/>
    <cellStyle name="Standaard 2 4 3 3 5 2 2" xfId="14080"/>
    <cellStyle name="Standaard 2 4 3 3 5 2 2 2" xfId="22755"/>
    <cellStyle name="Standaard 2 4 3 3 5 2 3" xfId="22756"/>
    <cellStyle name="Standaard 2 4 3 3 5 3" xfId="14079"/>
    <cellStyle name="Standaard 2 4 3 3 5 3 2" xfId="22757"/>
    <cellStyle name="Standaard 2 4 3 3 5 4" xfId="22758"/>
    <cellStyle name="Standaard 2 4 3 3 6" xfId="3923"/>
    <cellStyle name="Standaard 2 4 3 3 6 2" xfId="14081"/>
    <cellStyle name="Standaard 2 4 3 3 6 2 2" xfId="22759"/>
    <cellStyle name="Standaard 2 4 3 3 6 3" xfId="22760"/>
    <cellStyle name="Standaard 2 4 3 3 7" xfId="9397"/>
    <cellStyle name="Standaard 2 4 3 3 7 2" xfId="22761"/>
    <cellStyle name="Standaard 2 4 3 3 8" xfId="22762"/>
    <cellStyle name="Standaard 2 4 3 4" xfId="1900"/>
    <cellStyle name="Standaard 2 4 3 4 2" xfId="2152"/>
    <cellStyle name="Standaard 2 4 3 4 2 2" xfId="2696"/>
    <cellStyle name="Standaard 2 4 3 4 2 2 2" xfId="3713"/>
    <cellStyle name="Standaard 2 4 3 4 2 2 2 2" xfId="5747"/>
    <cellStyle name="Standaard 2 4 3 4 2 2 2 2 2" xfId="14083"/>
    <cellStyle name="Standaard 2 4 3 4 2 2 2 2 2 2" xfId="22763"/>
    <cellStyle name="Standaard 2 4 3 4 2 2 2 2 3" xfId="22764"/>
    <cellStyle name="Standaard 2 4 3 4 2 2 2 3" xfId="14082"/>
    <cellStyle name="Standaard 2 4 3 4 2 2 2 3 2" xfId="22765"/>
    <cellStyle name="Standaard 2 4 3 4 2 2 2 4" xfId="22766"/>
    <cellStyle name="Standaard 2 4 3 4 2 2 3" xfId="4730"/>
    <cellStyle name="Standaard 2 4 3 4 2 2 3 2" xfId="14084"/>
    <cellStyle name="Standaard 2 4 3 4 2 2 3 2 2" xfId="22767"/>
    <cellStyle name="Standaard 2 4 3 4 2 2 3 3" xfId="22768"/>
    <cellStyle name="Standaard 2 4 3 4 2 2 4" xfId="9407"/>
    <cellStyle name="Standaard 2 4 3 4 2 2 4 2" xfId="22769"/>
    <cellStyle name="Standaard 2 4 3 4 2 2 5" xfId="22770"/>
    <cellStyle name="Standaard 2 4 3 4 2 3" xfId="3200"/>
    <cellStyle name="Standaard 2 4 3 4 2 3 2" xfId="5234"/>
    <cellStyle name="Standaard 2 4 3 4 2 3 2 2" xfId="14086"/>
    <cellStyle name="Standaard 2 4 3 4 2 3 2 2 2" xfId="22771"/>
    <cellStyle name="Standaard 2 4 3 4 2 3 2 3" xfId="22772"/>
    <cellStyle name="Standaard 2 4 3 4 2 3 3" xfId="14085"/>
    <cellStyle name="Standaard 2 4 3 4 2 3 3 2" xfId="22773"/>
    <cellStyle name="Standaard 2 4 3 4 2 3 4" xfId="22774"/>
    <cellStyle name="Standaard 2 4 3 4 2 4" xfId="4217"/>
    <cellStyle name="Standaard 2 4 3 4 2 4 2" xfId="14087"/>
    <cellStyle name="Standaard 2 4 3 4 2 4 2 2" xfId="22775"/>
    <cellStyle name="Standaard 2 4 3 4 2 4 3" xfId="22776"/>
    <cellStyle name="Standaard 2 4 3 4 2 5" xfId="9406"/>
    <cellStyle name="Standaard 2 4 3 4 2 5 2" xfId="22777"/>
    <cellStyle name="Standaard 2 4 3 4 2 6" xfId="22778"/>
    <cellStyle name="Standaard 2 4 3 4 3" xfId="2444"/>
    <cellStyle name="Standaard 2 4 3 4 3 2" xfId="3461"/>
    <cellStyle name="Standaard 2 4 3 4 3 2 2" xfId="5495"/>
    <cellStyle name="Standaard 2 4 3 4 3 2 2 2" xfId="14089"/>
    <cellStyle name="Standaard 2 4 3 4 3 2 2 2 2" xfId="22779"/>
    <cellStyle name="Standaard 2 4 3 4 3 2 2 3" xfId="22780"/>
    <cellStyle name="Standaard 2 4 3 4 3 2 3" xfId="14088"/>
    <cellStyle name="Standaard 2 4 3 4 3 2 3 2" xfId="22781"/>
    <cellStyle name="Standaard 2 4 3 4 3 2 4" xfId="22782"/>
    <cellStyle name="Standaard 2 4 3 4 3 3" xfId="4478"/>
    <cellStyle name="Standaard 2 4 3 4 3 3 2" xfId="14090"/>
    <cellStyle name="Standaard 2 4 3 4 3 3 2 2" xfId="22783"/>
    <cellStyle name="Standaard 2 4 3 4 3 3 3" xfId="22784"/>
    <cellStyle name="Standaard 2 4 3 4 3 4" xfId="9408"/>
    <cellStyle name="Standaard 2 4 3 4 3 4 2" xfId="22785"/>
    <cellStyle name="Standaard 2 4 3 4 3 5" xfId="22786"/>
    <cellStyle name="Standaard 2 4 3 4 4" xfId="2948"/>
    <cellStyle name="Standaard 2 4 3 4 4 2" xfId="4982"/>
    <cellStyle name="Standaard 2 4 3 4 4 2 2" xfId="14092"/>
    <cellStyle name="Standaard 2 4 3 4 4 2 2 2" xfId="22787"/>
    <cellStyle name="Standaard 2 4 3 4 4 2 3" xfId="22788"/>
    <cellStyle name="Standaard 2 4 3 4 4 3" xfId="14091"/>
    <cellStyle name="Standaard 2 4 3 4 4 3 2" xfId="22789"/>
    <cellStyle name="Standaard 2 4 3 4 4 4" xfId="22790"/>
    <cellStyle name="Standaard 2 4 3 4 5" xfId="3965"/>
    <cellStyle name="Standaard 2 4 3 4 5 2" xfId="14093"/>
    <cellStyle name="Standaard 2 4 3 4 5 2 2" xfId="22791"/>
    <cellStyle name="Standaard 2 4 3 4 5 3" xfId="22792"/>
    <cellStyle name="Standaard 2 4 3 4 6" xfId="9405"/>
    <cellStyle name="Standaard 2 4 3 4 6 2" xfId="22793"/>
    <cellStyle name="Standaard 2 4 3 4 7" xfId="22794"/>
    <cellStyle name="Standaard 2 4 3 5" xfId="2026"/>
    <cellStyle name="Standaard 2 4 3 5 2" xfId="2570"/>
    <cellStyle name="Standaard 2 4 3 5 2 2" xfId="3587"/>
    <cellStyle name="Standaard 2 4 3 5 2 2 2" xfId="5621"/>
    <cellStyle name="Standaard 2 4 3 5 2 2 2 2" xfId="14095"/>
    <cellStyle name="Standaard 2 4 3 5 2 2 2 2 2" xfId="22795"/>
    <cellStyle name="Standaard 2 4 3 5 2 2 2 3" xfId="22796"/>
    <cellStyle name="Standaard 2 4 3 5 2 2 3" xfId="14094"/>
    <cellStyle name="Standaard 2 4 3 5 2 2 3 2" xfId="22797"/>
    <cellStyle name="Standaard 2 4 3 5 2 2 4" xfId="22798"/>
    <cellStyle name="Standaard 2 4 3 5 2 3" xfId="4604"/>
    <cellStyle name="Standaard 2 4 3 5 2 3 2" xfId="14096"/>
    <cellStyle name="Standaard 2 4 3 5 2 3 2 2" xfId="22799"/>
    <cellStyle name="Standaard 2 4 3 5 2 3 3" xfId="22800"/>
    <cellStyle name="Standaard 2 4 3 5 2 4" xfId="9410"/>
    <cellStyle name="Standaard 2 4 3 5 2 4 2" xfId="22801"/>
    <cellStyle name="Standaard 2 4 3 5 2 5" xfId="22802"/>
    <cellStyle name="Standaard 2 4 3 5 3" xfId="3074"/>
    <cellStyle name="Standaard 2 4 3 5 3 2" xfId="5108"/>
    <cellStyle name="Standaard 2 4 3 5 3 2 2" xfId="14098"/>
    <cellStyle name="Standaard 2 4 3 5 3 2 2 2" xfId="22803"/>
    <cellStyle name="Standaard 2 4 3 5 3 2 3" xfId="22804"/>
    <cellStyle name="Standaard 2 4 3 5 3 3" xfId="14097"/>
    <cellStyle name="Standaard 2 4 3 5 3 3 2" xfId="22805"/>
    <cellStyle name="Standaard 2 4 3 5 3 4" xfId="22806"/>
    <cellStyle name="Standaard 2 4 3 5 4" xfId="4091"/>
    <cellStyle name="Standaard 2 4 3 5 4 2" xfId="14099"/>
    <cellStyle name="Standaard 2 4 3 5 4 2 2" xfId="22807"/>
    <cellStyle name="Standaard 2 4 3 5 4 3" xfId="22808"/>
    <cellStyle name="Standaard 2 4 3 5 5" xfId="9409"/>
    <cellStyle name="Standaard 2 4 3 5 5 2" xfId="22809"/>
    <cellStyle name="Standaard 2 4 3 5 6" xfId="22810"/>
    <cellStyle name="Standaard 2 4 3 6" xfId="2318"/>
    <cellStyle name="Standaard 2 4 3 6 2" xfId="3335"/>
    <cellStyle name="Standaard 2 4 3 6 2 2" xfId="5369"/>
    <cellStyle name="Standaard 2 4 3 6 2 2 2" xfId="14101"/>
    <cellStyle name="Standaard 2 4 3 6 2 2 2 2" xfId="22811"/>
    <cellStyle name="Standaard 2 4 3 6 2 2 3" xfId="22812"/>
    <cellStyle name="Standaard 2 4 3 6 2 3" xfId="14100"/>
    <cellStyle name="Standaard 2 4 3 6 2 3 2" xfId="22813"/>
    <cellStyle name="Standaard 2 4 3 6 2 4" xfId="22814"/>
    <cellStyle name="Standaard 2 4 3 6 3" xfId="4352"/>
    <cellStyle name="Standaard 2 4 3 6 3 2" xfId="14102"/>
    <cellStyle name="Standaard 2 4 3 6 3 2 2" xfId="22815"/>
    <cellStyle name="Standaard 2 4 3 6 3 3" xfId="22816"/>
    <cellStyle name="Standaard 2 4 3 6 4" xfId="9411"/>
    <cellStyle name="Standaard 2 4 3 6 4 2" xfId="22817"/>
    <cellStyle name="Standaard 2 4 3 6 5" xfId="22818"/>
    <cellStyle name="Standaard 2 4 3 7" xfId="2822"/>
    <cellStyle name="Standaard 2 4 3 7 2" xfId="4856"/>
    <cellStyle name="Standaard 2 4 3 7 2 2" xfId="14104"/>
    <cellStyle name="Standaard 2 4 3 7 2 2 2" xfId="22819"/>
    <cellStyle name="Standaard 2 4 3 7 2 3" xfId="22820"/>
    <cellStyle name="Standaard 2 4 3 7 3" xfId="14103"/>
    <cellStyle name="Standaard 2 4 3 7 3 2" xfId="22821"/>
    <cellStyle name="Standaard 2 4 3 7 4" xfId="22822"/>
    <cellStyle name="Standaard 2 4 3 8" xfId="3839"/>
    <cellStyle name="Standaard 2 4 3 8 2" xfId="14105"/>
    <cellStyle name="Standaard 2 4 3 8 2 2" xfId="22823"/>
    <cellStyle name="Standaard 2 4 3 8 3" xfId="22824"/>
    <cellStyle name="Standaard 2 4 3 9" xfId="9388"/>
    <cellStyle name="Standaard 2 4 3 9 2" xfId="22825"/>
    <cellStyle name="Standaard 2 4 4" xfId="1788"/>
    <cellStyle name="Standaard 2 4 4 2" xfId="1914"/>
    <cellStyle name="Standaard 2 4 4 2 2" xfId="2166"/>
    <cellStyle name="Standaard 2 4 4 2 2 2" xfId="2710"/>
    <cellStyle name="Standaard 2 4 4 2 2 2 2" xfId="3727"/>
    <cellStyle name="Standaard 2 4 4 2 2 2 2 2" xfId="5761"/>
    <cellStyle name="Standaard 2 4 4 2 2 2 2 2 2" xfId="14107"/>
    <cellStyle name="Standaard 2 4 4 2 2 2 2 2 2 2" xfId="22826"/>
    <cellStyle name="Standaard 2 4 4 2 2 2 2 2 3" xfId="22827"/>
    <cellStyle name="Standaard 2 4 4 2 2 2 2 3" xfId="14106"/>
    <cellStyle name="Standaard 2 4 4 2 2 2 2 3 2" xfId="22828"/>
    <cellStyle name="Standaard 2 4 4 2 2 2 2 4" xfId="22829"/>
    <cellStyle name="Standaard 2 4 4 2 2 2 3" xfId="4744"/>
    <cellStyle name="Standaard 2 4 4 2 2 2 3 2" xfId="14108"/>
    <cellStyle name="Standaard 2 4 4 2 2 2 3 2 2" xfId="22830"/>
    <cellStyle name="Standaard 2 4 4 2 2 2 3 3" xfId="22831"/>
    <cellStyle name="Standaard 2 4 4 2 2 2 4" xfId="9415"/>
    <cellStyle name="Standaard 2 4 4 2 2 2 4 2" xfId="22832"/>
    <cellStyle name="Standaard 2 4 4 2 2 2 5" xfId="22833"/>
    <cellStyle name="Standaard 2 4 4 2 2 3" xfId="3214"/>
    <cellStyle name="Standaard 2 4 4 2 2 3 2" xfId="5248"/>
    <cellStyle name="Standaard 2 4 4 2 2 3 2 2" xfId="14110"/>
    <cellStyle name="Standaard 2 4 4 2 2 3 2 2 2" xfId="22834"/>
    <cellStyle name="Standaard 2 4 4 2 2 3 2 3" xfId="22835"/>
    <cellStyle name="Standaard 2 4 4 2 2 3 3" xfId="14109"/>
    <cellStyle name="Standaard 2 4 4 2 2 3 3 2" xfId="22836"/>
    <cellStyle name="Standaard 2 4 4 2 2 3 4" xfId="22837"/>
    <cellStyle name="Standaard 2 4 4 2 2 4" xfId="4231"/>
    <cellStyle name="Standaard 2 4 4 2 2 4 2" xfId="14111"/>
    <cellStyle name="Standaard 2 4 4 2 2 4 2 2" xfId="22838"/>
    <cellStyle name="Standaard 2 4 4 2 2 4 3" xfId="22839"/>
    <cellStyle name="Standaard 2 4 4 2 2 5" xfId="9414"/>
    <cellStyle name="Standaard 2 4 4 2 2 5 2" xfId="22840"/>
    <cellStyle name="Standaard 2 4 4 2 2 6" xfId="22841"/>
    <cellStyle name="Standaard 2 4 4 2 3" xfId="2458"/>
    <cellStyle name="Standaard 2 4 4 2 3 2" xfId="3475"/>
    <cellStyle name="Standaard 2 4 4 2 3 2 2" xfId="5509"/>
    <cellStyle name="Standaard 2 4 4 2 3 2 2 2" xfId="14113"/>
    <cellStyle name="Standaard 2 4 4 2 3 2 2 2 2" xfId="22842"/>
    <cellStyle name="Standaard 2 4 4 2 3 2 2 3" xfId="22843"/>
    <cellStyle name="Standaard 2 4 4 2 3 2 3" xfId="14112"/>
    <cellStyle name="Standaard 2 4 4 2 3 2 3 2" xfId="22844"/>
    <cellStyle name="Standaard 2 4 4 2 3 2 4" xfId="22845"/>
    <cellStyle name="Standaard 2 4 4 2 3 3" xfId="4492"/>
    <cellStyle name="Standaard 2 4 4 2 3 3 2" xfId="14114"/>
    <cellStyle name="Standaard 2 4 4 2 3 3 2 2" xfId="22846"/>
    <cellStyle name="Standaard 2 4 4 2 3 3 3" xfId="22847"/>
    <cellStyle name="Standaard 2 4 4 2 3 4" xfId="9416"/>
    <cellStyle name="Standaard 2 4 4 2 3 4 2" xfId="22848"/>
    <cellStyle name="Standaard 2 4 4 2 3 5" xfId="22849"/>
    <cellStyle name="Standaard 2 4 4 2 4" xfId="2962"/>
    <cellStyle name="Standaard 2 4 4 2 4 2" xfId="4996"/>
    <cellStyle name="Standaard 2 4 4 2 4 2 2" xfId="14116"/>
    <cellStyle name="Standaard 2 4 4 2 4 2 2 2" xfId="22850"/>
    <cellStyle name="Standaard 2 4 4 2 4 2 3" xfId="22851"/>
    <cellStyle name="Standaard 2 4 4 2 4 3" xfId="14115"/>
    <cellStyle name="Standaard 2 4 4 2 4 3 2" xfId="22852"/>
    <cellStyle name="Standaard 2 4 4 2 4 4" xfId="22853"/>
    <cellStyle name="Standaard 2 4 4 2 5" xfId="3979"/>
    <cellStyle name="Standaard 2 4 4 2 5 2" xfId="14117"/>
    <cellStyle name="Standaard 2 4 4 2 5 2 2" xfId="22854"/>
    <cellStyle name="Standaard 2 4 4 2 5 3" xfId="22855"/>
    <cellStyle name="Standaard 2 4 4 2 6" xfId="9413"/>
    <cellStyle name="Standaard 2 4 4 2 6 2" xfId="22856"/>
    <cellStyle name="Standaard 2 4 4 2 7" xfId="22857"/>
    <cellStyle name="Standaard 2 4 4 3" xfId="2040"/>
    <cellStyle name="Standaard 2 4 4 3 2" xfId="2584"/>
    <cellStyle name="Standaard 2 4 4 3 2 2" xfId="3601"/>
    <cellStyle name="Standaard 2 4 4 3 2 2 2" xfId="5635"/>
    <cellStyle name="Standaard 2 4 4 3 2 2 2 2" xfId="14119"/>
    <cellStyle name="Standaard 2 4 4 3 2 2 2 2 2" xfId="22858"/>
    <cellStyle name="Standaard 2 4 4 3 2 2 2 3" xfId="22859"/>
    <cellStyle name="Standaard 2 4 4 3 2 2 3" xfId="14118"/>
    <cellStyle name="Standaard 2 4 4 3 2 2 3 2" xfId="22860"/>
    <cellStyle name="Standaard 2 4 4 3 2 2 4" xfId="22861"/>
    <cellStyle name="Standaard 2 4 4 3 2 3" xfId="4618"/>
    <cellStyle name="Standaard 2 4 4 3 2 3 2" xfId="14120"/>
    <cellStyle name="Standaard 2 4 4 3 2 3 2 2" xfId="22862"/>
    <cellStyle name="Standaard 2 4 4 3 2 3 3" xfId="22863"/>
    <cellStyle name="Standaard 2 4 4 3 2 4" xfId="9418"/>
    <cellStyle name="Standaard 2 4 4 3 2 4 2" xfId="22864"/>
    <cellStyle name="Standaard 2 4 4 3 2 5" xfId="22865"/>
    <cellStyle name="Standaard 2 4 4 3 3" xfId="3088"/>
    <cellStyle name="Standaard 2 4 4 3 3 2" xfId="5122"/>
    <cellStyle name="Standaard 2 4 4 3 3 2 2" xfId="14122"/>
    <cellStyle name="Standaard 2 4 4 3 3 2 2 2" xfId="22866"/>
    <cellStyle name="Standaard 2 4 4 3 3 2 3" xfId="22867"/>
    <cellStyle name="Standaard 2 4 4 3 3 3" xfId="14121"/>
    <cellStyle name="Standaard 2 4 4 3 3 3 2" xfId="22868"/>
    <cellStyle name="Standaard 2 4 4 3 3 4" xfId="22869"/>
    <cellStyle name="Standaard 2 4 4 3 4" xfId="4105"/>
    <cellStyle name="Standaard 2 4 4 3 4 2" xfId="14123"/>
    <cellStyle name="Standaard 2 4 4 3 4 2 2" xfId="22870"/>
    <cellStyle name="Standaard 2 4 4 3 4 3" xfId="22871"/>
    <cellStyle name="Standaard 2 4 4 3 5" xfId="9417"/>
    <cellStyle name="Standaard 2 4 4 3 5 2" xfId="22872"/>
    <cellStyle name="Standaard 2 4 4 3 6" xfId="22873"/>
    <cellStyle name="Standaard 2 4 4 4" xfId="2332"/>
    <cellStyle name="Standaard 2 4 4 4 2" xfId="3349"/>
    <cellStyle name="Standaard 2 4 4 4 2 2" xfId="5383"/>
    <cellStyle name="Standaard 2 4 4 4 2 2 2" xfId="14125"/>
    <cellStyle name="Standaard 2 4 4 4 2 2 2 2" xfId="22874"/>
    <cellStyle name="Standaard 2 4 4 4 2 2 3" xfId="22875"/>
    <cellStyle name="Standaard 2 4 4 4 2 3" xfId="14124"/>
    <cellStyle name="Standaard 2 4 4 4 2 3 2" xfId="22876"/>
    <cellStyle name="Standaard 2 4 4 4 2 4" xfId="22877"/>
    <cellStyle name="Standaard 2 4 4 4 3" xfId="4366"/>
    <cellStyle name="Standaard 2 4 4 4 3 2" xfId="14126"/>
    <cellStyle name="Standaard 2 4 4 4 3 2 2" xfId="22878"/>
    <cellStyle name="Standaard 2 4 4 4 3 3" xfId="22879"/>
    <cellStyle name="Standaard 2 4 4 4 4" xfId="9419"/>
    <cellStyle name="Standaard 2 4 4 4 4 2" xfId="22880"/>
    <cellStyle name="Standaard 2 4 4 4 5" xfId="22881"/>
    <cellStyle name="Standaard 2 4 4 5" xfId="2836"/>
    <cellStyle name="Standaard 2 4 4 5 2" xfId="4870"/>
    <cellStyle name="Standaard 2 4 4 5 2 2" xfId="14128"/>
    <cellStyle name="Standaard 2 4 4 5 2 2 2" xfId="22882"/>
    <cellStyle name="Standaard 2 4 4 5 2 3" xfId="22883"/>
    <cellStyle name="Standaard 2 4 4 5 3" xfId="14127"/>
    <cellStyle name="Standaard 2 4 4 5 3 2" xfId="22884"/>
    <cellStyle name="Standaard 2 4 4 5 4" xfId="22885"/>
    <cellStyle name="Standaard 2 4 4 6" xfId="3853"/>
    <cellStyle name="Standaard 2 4 4 6 2" xfId="14129"/>
    <cellStyle name="Standaard 2 4 4 6 2 2" xfId="22886"/>
    <cellStyle name="Standaard 2 4 4 6 3" xfId="22887"/>
    <cellStyle name="Standaard 2 4 4 7" xfId="9412"/>
    <cellStyle name="Standaard 2 4 4 7 2" xfId="22888"/>
    <cellStyle name="Standaard 2 4 4 8" xfId="22889"/>
    <cellStyle name="Standaard 2 4 5" xfId="1830"/>
    <cellStyle name="Standaard 2 4 5 2" xfId="1956"/>
    <cellStyle name="Standaard 2 4 5 2 2" xfId="2208"/>
    <cellStyle name="Standaard 2 4 5 2 2 2" xfId="2752"/>
    <cellStyle name="Standaard 2 4 5 2 2 2 2" xfId="3769"/>
    <cellStyle name="Standaard 2 4 5 2 2 2 2 2" xfId="5803"/>
    <cellStyle name="Standaard 2 4 5 2 2 2 2 2 2" xfId="14131"/>
    <cellStyle name="Standaard 2 4 5 2 2 2 2 2 2 2" xfId="22890"/>
    <cellStyle name="Standaard 2 4 5 2 2 2 2 2 3" xfId="22891"/>
    <cellStyle name="Standaard 2 4 5 2 2 2 2 3" xfId="14130"/>
    <cellStyle name="Standaard 2 4 5 2 2 2 2 3 2" xfId="22892"/>
    <cellStyle name="Standaard 2 4 5 2 2 2 2 4" xfId="22893"/>
    <cellStyle name="Standaard 2 4 5 2 2 2 3" xfId="4786"/>
    <cellStyle name="Standaard 2 4 5 2 2 2 3 2" xfId="14132"/>
    <cellStyle name="Standaard 2 4 5 2 2 2 3 2 2" xfId="22894"/>
    <cellStyle name="Standaard 2 4 5 2 2 2 3 3" xfId="22895"/>
    <cellStyle name="Standaard 2 4 5 2 2 2 4" xfId="9423"/>
    <cellStyle name="Standaard 2 4 5 2 2 2 4 2" xfId="22896"/>
    <cellStyle name="Standaard 2 4 5 2 2 2 5" xfId="22897"/>
    <cellStyle name="Standaard 2 4 5 2 2 3" xfId="3256"/>
    <cellStyle name="Standaard 2 4 5 2 2 3 2" xfId="5290"/>
    <cellStyle name="Standaard 2 4 5 2 2 3 2 2" xfId="14134"/>
    <cellStyle name="Standaard 2 4 5 2 2 3 2 2 2" xfId="22898"/>
    <cellStyle name="Standaard 2 4 5 2 2 3 2 3" xfId="22899"/>
    <cellStyle name="Standaard 2 4 5 2 2 3 3" xfId="14133"/>
    <cellStyle name="Standaard 2 4 5 2 2 3 3 2" xfId="22900"/>
    <cellStyle name="Standaard 2 4 5 2 2 3 4" xfId="22901"/>
    <cellStyle name="Standaard 2 4 5 2 2 4" xfId="4273"/>
    <cellStyle name="Standaard 2 4 5 2 2 4 2" xfId="14135"/>
    <cellStyle name="Standaard 2 4 5 2 2 4 2 2" xfId="22902"/>
    <cellStyle name="Standaard 2 4 5 2 2 4 3" xfId="22903"/>
    <cellStyle name="Standaard 2 4 5 2 2 5" xfId="9422"/>
    <cellStyle name="Standaard 2 4 5 2 2 5 2" xfId="22904"/>
    <cellStyle name="Standaard 2 4 5 2 2 6" xfId="22905"/>
    <cellStyle name="Standaard 2 4 5 2 3" xfId="2500"/>
    <cellStyle name="Standaard 2 4 5 2 3 2" xfId="3517"/>
    <cellStyle name="Standaard 2 4 5 2 3 2 2" xfId="5551"/>
    <cellStyle name="Standaard 2 4 5 2 3 2 2 2" xfId="14137"/>
    <cellStyle name="Standaard 2 4 5 2 3 2 2 2 2" xfId="22906"/>
    <cellStyle name="Standaard 2 4 5 2 3 2 2 3" xfId="22907"/>
    <cellStyle name="Standaard 2 4 5 2 3 2 3" xfId="14136"/>
    <cellStyle name="Standaard 2 4 5 2 3 2 3 2" xfId="22908"/>
    <cellStyle name="Standaard 2 4 5 2 3 2 4" xfId="22909"/>
    <cellStyle name="Standaard 2 4 5 2 3 3" xfId="4534"/>
    <cellStyle name="Standaard 2 4 5 2 3 3 2" xfId="14138"/>
    <cellStyle name="Standaard 2 4 5 2 3 3 2 2" xfId="22910"/>
    <cellStyle name="Standaard 2 4 5 2 3 3 3" xfId="22911"/>
    <cellStyle name="Standaard 2 4 5 2 3 4" xfId="9424"/>
    <cellStyle name="Standaard 2 4 5 2 3 4 2" xfId="22912"/>
    <cellStyle name="Standaard 2 4 5 2 3 5" xfId="22913"/>
    <cellStyle name="Standaard 2 4 5 2 4" xfId="3004"/>
    <cellStyle name="Standaard 2 4 5 2 4 2" xfId="5038"/>
    <cellStyle name="Standaard 2 4 5 2 4 2 2" xfId="14140"/>
    <cellStyle name="Standaard 2 4 5 2 4 2 2 2" xfId="22914"/>
    <cellStyle name="Standaard 2 4 5 2 4 2 3" xfId="22915"/>
    <cellStyle name="Standaard 2 4 5 2 4 3" xfId="14139"/>
    <cellStyle name="Standaard 2 4 5 2 4 3 2" xfId="22916"/>
    <cellStyle name="Standaard 2 4 5 2 4 4" xfId="22917"/>
    <cellStyle name="Standaard 2 4 5 2 5" xfId="4021"/>
    <cellStyle name="Standaard 2 4 5 2 5 2" xfId="14141"/>
    <cellStyle name="Standaard 2 4 5 2 5 2 2" xfId="22918"/>
    <cellStyle name="Standaard 2 4 5 2 5 3" xfId="22919"/>
    <cellStyle name="Standaard 2 4 5 2 6" xfId="9421"/>
    <cellStyle name="Standaard 2 4 5 2 6 2" xfId="22920"/>
    <cellStyle name="Standaard 2 4 5 2 7" xfId="22921"/>
    <cellStyle name="Standaard 2 4 5 3" xfId="2082"/>
    <cellStyle name="Standaard 2 4 5 3 2" xfId="2626"/>
    <cellStyle name="Standaard 2 4 5 3 2 2" xfId="3643"/>
    <cellStyle name="Standaard 2 4 5 3 2 2 2" xfId="5677"/>
    <cellStyle name="Standaard 2 4 5 3 2 2 2 2" xfId="14143"/>
    <cellStyle name="Standaard 2 4 5 3 2 2 2 2 2" xfId="22922"/>
    <cellStyle name="Standaard 2 4 5 3 2 2 2 3" xfId="22923"/>
    <cellStyle name="Standaard 2 4 5 3 2 2 3" xfId="14142"/>
    <cellStyle name="Standaard 2 4 5 3 2 2 3 2" xfId="22924"/>
    <cellStyle name="Standaard 2 4 5 3 2 2 4" xfId="22925"/>
    <cellStyle name="Standaard 2 4 5 3 2 3" xfId="4660"/>
    <cellStyle name="Standaard 2 4 5 3 2 3 2" xfId="14144"/>
    <cellStyle name="Standaard 2 4 5 3 2 3 2 2" xfId="22926"/>
    <cellStyle name="Standaard 2 4 5 3 2 3 3" xfId="22927"/>
    <cellStyle name="Standaard 2 4 5 3 2 4" xfId="9426"/>
    <cellStyle name="Standaard 2 4 5 3 2 4 2" xfId="22928"/>
    <cellStyle name="Standaard 2 4 5 3 2 5" xfId="22929"/>
    <cellStyle name="Standaard 2 4 5 3 3" xfId="3130"/>
    <cellStyle name="Standaard 2 4 5 3 3 2" xfId="5164"/>
    <cellStyle name="Standaard 2 4 5 3 3 2 2" xfId="14146"/>
    <cellStyle name="Standaard 2 4 5 3 3 2 2 2" xfId="22930"/>
    <cellStyle name="Standaard 2 4 5 3 3 2 3" xfId="22931"/>
    <cellStyle name="Standaard 2 4 5 3 3 3" xfId="14145"/>
    <cellStyle name="Standaard 2 4 5 3 3 3 2" xfId="22932"/>
    <cellStyle name="Standaard 2 4 5 3 3 4" xfId="22933"/>
    <cellStyle name="Standaard 2 4 5 3 4" xfId="4147"/>
    <cellStyle name="Standaard 2 4 5 3 4 2" xfId="14147"/>
    <cellStyle name="Standaard 2 4 5 3 4 2 2" xfId="22934"/>
    <cellStyle name="Standaard 2 4 5 3 4 3" xfId="22935"/>
    <cellStyle name="Standaard 2 4 5 3 5" xfId="9425"/>
    <cellStyle name="Standaard 2 4 5 3 5 2" xfId="22936"/>
    <cellStyle name="Standaard 2 4 5 3 6" xfId="22937"/>
    <cellStyle name="Standaard 2 4 5 4" xfId="2374"/>
    <cellStyle name="Standaard 2 4 5 4 2" xfId="3391"/>
    <cellStyle name="Standaard 2 4 5 4 2 2" xfId="5425"/>
    <cellStyle name="Standaard 2 4 5 4 2 2 2" xfId="14149"/>
    <cellStyle name="Standaard 2 4 5 4 2 2 2 2" xfId="22938"/>
    <cellStyle name="Standaard 2 4 5 4 2 2 3" xfId="22939"/>
    <cellStyle name="Standaard 2 4 5 4 2 3" xfId="14148"/>
    <cellStyle name="Standaard 2 4 5 4 2 3 2" xfId="22940"/>
    <cellStyle name="Standaard 2 4 5 4 2 4" xfId="22941"/>
    <cellStyle name="Standaard 2 4 5 4 3" xfId="4408"/>
    <cellStyle name="Standaard 2 4 5 4 3 2" xfId="14150"/>
    <cellStyle name="Standaard 2 4 5 4 3 2 2" xfId="22942"/>
    <cellStyle name="Standaard 2 4 5 4 3 3" xfId="22943"/>
    <cellStyle name="Standaard 2 4 5 4 4" xfId="9427"/>
    <cellStyle name="Standaard 2 4 5 4 4 2" xfId="22944"/>
    <cellStyle name="Standaard 2 4 5 4 5" xfId="22945"/>
    <cellStyle name="Standaard 2 4 5 5" xfId="2878"/>
    <cellStyle name="Standaard 2 4 5 5 2" xfId="4912"/>
    <cellStyle name="Standaard 2 4 5 5 2 2" xfId="14152"/>
    <cellStyle name="Standaard 2 4 5 5 2 2 2" xfId="22946"/>
    <cellStyle name="Standaard 2 4 5 5 2 3" xfId="22947"/>
    <cellStyle name="Standaard 2 4 5 5 3" xfId="14151"/>
    <cellStyle name="Standaard 2 4 5 5 3 2" xfId="22948"/>
    <cellStyle name="Standaard 2 4 5 5 4" xfId="22949"/>
    <cellStyle name="Standaard 2 4 5 6" xfId="3895"/>
    <cellStyle name="Standaard 2 4 5 6 2" xfId="14153"/>
    <cellStyle name="Standaard 2 4 5 6 2 2" xfId="22950"/>
    <cellStyle name="Standaard 2 4 5 6 3" xfId="22951"/>
    <cellStyle name="Standaard 2 4 5 7" xfId="9420"/>
    <cellStyle name="Standaard 2 4 5 7 2" xfId="22952"/>
    <cellStyle name="Standaard 2 4 5 8" xfId="22953"/>
    <cellStyle name="Standaard 2 4 6" xfId="1872"/>
    <cellStyle name="Standaard 2 4 6 2" xfId="2124"/>
    <cellStyle name="Standaard 2 4 6 2 2" xfId="2668"/>
    <cellStyle name="Standaard 2 4 6 2 2 2" xfId="3685"/>
    <cellStyle name="Standaard 2 4 6 2 2 2 2" xfId="5719"/>
    <cellStyle name="Standaard 2 4 6 2 2 2 2 2" xfId="14155"/>
    <cellStyle name="Standaard 2 4 6 2 2 2 2 2 2" xfId="22954"/>
    <cellStyle name="Standaard 2 4 6 2 2 2 2 3" xfId="22955"/>
    <cellStyle name="Standaard 2 4 6 2 2 2 3" xfId="14154"/>
    <cellStyle name="Standaard 2 4 6 2 2 2 3 2" xfId="22956"/>
    <cellStyle name="Standaard 2 4 6 2 2 2 4" xfId="22957"/>
    <cellStyle name="Standaard 2 4 6 2 2 3" xfId="4702"/>
    <cellStyle name="Standaard 2 4 6 2 2 3 2" xfId="14156"/>
    <cellStyle name="Standaard 2 4 6 2 2 3 2 2" xfId="22958"/>
    <cellStyle name="Standaard 2 4 6 2 2 3 3" xfId="22959"/>
    <cellStyle name="Standaard 2 4 6 2 2 4" xfId="9430"/>
    <cellStyle name="Standaard 2 4 6 2 2 4 2" xfId="22960"/>
    <cellStyle name="Standaard 2 4 6 2 2 5" xfId="22961"/>
    <cellStyle name="Standaard 2 4 6 2 3" xfId="3172"/>
    <cellStyle name="Standaard 2 4 6 2 3 2" xfId="5206"/>
    <cellStyle name="Standaard 2 4 6 2 3 2 2" xfId="14158"/>
    <cellStyle name="Standaard 2 4 6 2 3 2 2 2" xfId="22962"/>
    <cellStyle name="Standaard 2 4 6 2 3 2 3" xfId="22963"/>
    <cellStyle name="Standaard 2 4 6 2 3 3" xfId="14157"/>
    <cellStyle name="Standaard 2 4 6 2 3 3 2" xfId="22964"/>
    <cellStyle name="Standaard 2 4 6 2 3 4" xfId="22965"/>
    <cellStyle name="Standaard 2 4 6 2 4" xfId="4189"/>
    <cellStyle name="Standaard 2 4 6 2 4 2" xfId="14159"/>
    <cellStyle name="Standaard 2 4 6 2 4 2 2" xfId="22966"/>
    <cellStyle name="Standaard 2 4 6 2 4 3" xfId="22967"/>
    <cellStyle name="Standaard 2 4 6 2 5" xfId="9429"/>
    <cellStyle name="Standaard 2 4 6 2 5 2" xfId="22968"/>
    <cellStyle name="Standaard 2 4 6 2 6" xfId="22969"/>
    <cellStyle name="Standaard 2 4 6 3" xfId="2416"/>
    <cellStyle name="Standaard 2 4 6 3 2" xfId="3433"/>
    <cellStyle name="Standaard 2 4 6 3 2 2" xfId="5467"/>
    <cellStyle name="Standaard 2 4 6 3 2 2 2" xfId="14161"/>
    <cellStyle name="Standaard 2 4 6 3 2 2 2 2" xfId="22970"/>
    <cellStyle name="Standaard 2 4 6 3 2 2 3" xfId="22971"/>
    <cellStyle name="Standaard 2 4 6 3 2 3" xfId="14160"/>
    <cellStyle name="Standaard 2 4 6 3 2 3 2" xfId="22972"/>
    <cellStyle name="Standaard 2 4 6 3 2 4" xfId="22973"/>
    <cellStyle name="Standaard 2 4 6 3 3" xfId="4450"/>
    <cellStyle name="Standaard 2 4 6 3 3 2" xfId="14162"/>
    <cellStyle name="Standaard 2 4 6 3 3 2 2" xfId="22974"/>
    <cellStyle name="Standaard 2 4 6 3 3 3" xfId="22975"/>
    <cellStyle name="Standaard 2 4 6 3 4" xfId="9431"/>
    <cellStyle name="Standaard 2 4 6 3 4 2" xfId="22976"/>
    <cellStyle name="Standaard 2 4 6 3 5" xfId="22977"/>
    <cellStyle name="Standaard 2 4 6 4" xfId="2920"/>
    <cellStyle name="Standaard 2 4 6 4 2" xfId="4954"/>
    <cellStyle name="Standaard 2 4 6 4 2 2" xfId="14164"/>
    <cellStyle name="Standaard 2 4 6 4 2 2 2" xfId="22978"/>
    <cellStyle name="Standaard 2 4 6 4 2 3" xfId="22979"/>
    <cellStyle name="Standaard 2 4 6 4 3" xfId="14163"/>
    <cellStyle name="Standaard 2 4 6 4 3 2" xfId="22980"/>
    <cellStyle name="Standaard 2 4 6 4 4" xfId="22981"/>
    <cellStyle name="Standaard 2 4 6 5" xfId="3937"/>
    <cellStyle name="Standaard 2 4 6 5 2" xfId="14165"/>
    <cellStyle name="Standaard 2 4 6 5 2 2" xfId="22982"/>
    <cellStyle name="Standaard 2 4 6 5 3" xfId="22983"/>
    <cellStyle name="Standaard 2 4 6 6" xfId="9428"/>
    <cellStyle name="Standaard 2 4 6 6 2" xfId="22984"/>
    <cellStyle name="Standaard 2 4 6 7" xfId="22985"/>
    <cellStyle name="Standaard 2 4 7" xfId="1998"/>
    <cellStyle name="Standaard 2 4 7 2" xfId="2542"/>
    <cellStyle name="Standaard 2 4 7 2 2" xfId="3559"/>
    <cellStyle name="Standaard 2 4 7 2 2 2" xfId="5593"/>
    <cellStyle name="Standaard 2 4 7 2 2 2 2" xfId="14167"/>
    <cellStyle name="Standaard 2 4 7 2 2 2 2 2" xfId="22986"/>
    <cellStyle name="Standaard 2 4 7 2 2 2 3" xfId="22987"/>
    <cellStyle name="Standaard 2 4 7 2 2 3" xfId="14166"/>
    <cellStyle name="Standaard 2 4 7 2 2 3 2" xfId="22988"/>
    <cellStyle name="Standaard 2 4 7 2 2 4" xfId="22989"/>
    <cellStyle name="Standaard 2 4 7 2 3" xfId="4576"/>
    <cellStyle name="Standaard 2 4 7 2 3 2" xfId="14168"/>
    <cellStyle name="Standaard 2 4 7 2 3 2 2" xfId="22990"/>
    <cellStyle name="Standaard 2 4 7 2 3 3" xfId="22991"/>
    <cellStyle name="Standaard 2 4 7 2 4" xfId="9433"/>
    <cellStyle name="Standaard 2 4 7 2 4 2" xfId="22992"/>
    <cellStyle name="Standaard 2 4 7 2 5" xfId="22993"/>
    <cellStyle name="Standaard 2 4 7 3" xfId="3046"/>
    <cellStyle name="Standaard 2 4 7 3 2" xfId="5080"/>
    <cellStyle name="Standaard 2 4 7 3 2 2" xfId="14170"/>
    <cellStyle name="Standaard 2 4 7 3 2 2 2" xfId="22994"/>
    <cellStyle name="Standaard 2 4 7 3 2 3" xfId="22995"/>
    <cellStyle name="Standaard 2 4 7 3 3" xfId="14169"/>
    <cellStyle name="Standaard 2 4 7 3 3 2" xfId="22996"/>
    <cellStyle name="Standaard 2 4 7 3 4" xfId="22997"/>
    <cellStyle name="Standaard 2 4 7 4" xfId="4063"/>
    <cellStyle name="Standaard 2 4 7 4 2" xfId="14171"/>
    <cellStyle name="Standaard 2 4 7 4 2 2" xfId="22998"/>
    <cellStyle name="Standaard 2 4 7 4 3" xfId="22999"/>
    <cellStyle name="Standaard 2 4 7 5" xfId="9432"/>
    <cellStyle name="Standaard 2 4 7 5 2" xfId="23000"/>
    <cellStyle name="Standaard 2 4 7 6" xfId="23001"/>
    <cellStyle name="Standaard 2 4 8" xfId="2290"/>
    <cellStyle name="Standaard 2 4 8 2" xfId="3307"/>
    <cellStyle name="Standaard 2 4 8 2 2" xfId="5341"/>
    <cellStyle name="Standaard 2 4 8 2 2 2" xfId="14173"/>
    <cellStyle name="Standaard 2 4 8 2 2 2 2" xfId="23002"/>
    <cellStyle name="Standaard 2 4 8 2 2 3" xfId="23003"/>
    <cellStyle name="Standaard 2 4 8 2 3" xfId="14172"/>
    <cellStyle name="Standaard 2 4 8 2 3 2" xfId="23004"/>
    <cellStyle name="Standaard 2 4 8 2 4" xfId="23005"/>
    <cellStyle name="Standaard 2 4 8 3" xfId="4324"/>
    <cellStyle name="Standaard 2 4 8 3 2" xfId="14174"/>
    <cellStyle name="Standaard 2 4 8 3 2 2" xfId="23006"/>
    <cellStyle name="Standaard 2 4 8 3 3" xfId="23007"/>
    <cellStyle name="Standaard 2 4 8 4" xfId="9434"/>
    <cellStyle name="Standaard 2 4 8 4 2" xfId="23008"/>
    <cellStyle name="Standaard 2 4 8 5" xfId="23009"/>
    <cellStyle name="Standaard 2 4 9" xfId="2794"/>
    <cellStyle name="Standaard 2 4 9 2" xfId="4828"/>
    <cellStyle name="Standaard 2 4 9 2 2" xfId="14176"/>
    <cellStyle name="Standaard 2 4 9 2 2 2" xfId="23010"/>
    <cellStyle name="Standaard 2 4 9 2 3" xfId="23011"/>
    <cellStyle name="Standaard 2 4 9 3" xfId="14175"/>
    <cellStyle name="Standaard 2 4 9 3 2" xfId="23012"/>
    <cellStyle name="Standaard 2 4 9 4" xfId="23013"/>
    <cellStyle name="Standaard 2 5" xfId="1168"/>
    <cellStyle name="Standaard 2 6" xfId="1169"/>
    <cellStyle name="Standaard 2 6 10" xfId="3812"/>
    <cellStyle name="Standaard 2 6 10 2" xfId="14177"/>
    <cellStyle name="Standaard 2 6 10 2 2" xfId="23014"/>
    <cellStyle name="Standaard 2 6 10 3" xfId="23015"/>
    <cellStyle name="Standaard 2 6 11" xfId="9435"/>
    <cellStyle name="Standaard 2 6 11 2" xfId="23016"/>
    <cellStyle name="Standaard 2 6 12" xfId="23017"/>
    <cellStyle name="Standaard 2 6 2" xfId="1759"/>
    <cellStyle name="Standaard 2 6 2 10" xfId="23018"/>
    <cellStyle name="Standaard 2 6 2 2" xfId="1803"/>
    <cellStyle name="Standaard 2 6 2 2 2" xfId="1929"/>
    <cellStyle name="Standaard 2 6 2 2 2 2" xfId="2181"/>
    <cellStyle name="Standaard 2 6 2 2 2 2 2" xfId="2725"/>
    <cellStyle name="Standaard 2 6 2 2 2 2 2 2" xfId="3742"/>
    <cellStyle name="Standaard 2 6 2 2 2 2 2 2 2" xfId="5776"/>
    <cellStyle name="Standaard 2 6 2 2 2 2 2 2 2 2" xfId="14179"/>
    <cellStyle name="Standaard 2 6 2 2 2 2 2 2 2 2 2" xfId="23019"/>
    <cellStyle name="Standaard 2 6 2 2 2 2 2 2 2 3" xfId="23020"/>
    <cellStyle name="Standaard 2 6 2 2 2 2 2 2 3" xfId="14178"/>
    <cellStyle name="Standaard 2 6 2 2 2 2 2 2 3 2" xfId="23021"/>
    <cellStyle name="Standaard 2 6 2 2 2 2 2 2 4" xfId="23022"/>
    <cellStyle name="Standaard 2 6 2 2 2 2 2 3" xfId="4759"/>
    <cellStyle name="Standaard 2 6 2 2 2 2 2 3 2" xfId="14180"/>
    <cellStyle name="Standaard 2 6 2 2 2 2 2 3 2 2" xfId="23023"/>
    <cellStyle name="Standaard 2 6 2 2 2 2 2 3 3" xfId="23024"/>
    <cellStyle name="Standaard 2 6 2 2 2 2 2 4" xfId="9440"/>
    <cellStyle name="Standaard 2 6 2 2 2 2 2 4 2" xfId="23025"/>
    <cellStyle name="Standaard 2 6 2 2 2 2 2 5" xfId="23026"/>
    <cellStyle name="Standaard 2 6 2 2 2 2 3" xfId="3229"/>
    <cellStyle name="Standaard 2 6 2 2 2 2 3 2" xfId="5263"/>
    <cellStyle name="Standaard 2 6 2 2 2 2 3 2 2" xfId="14182"/>
    <cellStyle name="Standaard 2 6 2 2 2 2 3 2 2 2" xfId="23027"/>
    <cellStyle name="Standaard 2 6 2 2 2 2 3 2 3" xfId="23028"/>
    <cellStyle name="Standaard 2 6 2 2 2 2 3 3" xfId="14181"/>
    <cellStyle name="Standaard 2 6 2 2 2 2 3 3 2" xfId="23029"/>
    <cellStyle name="Standaard 2 6 2 2 2 2 3 4" xfId="23030"/>
    <cellStyle name="Standaard 2 6 2 2 2 2 4" xfId="4246"/>
    <cellStyle name="Standaard 2 6 2 2 2 2 4 2" xfId="14183"/>
    <cellStyle name="Standaard 2 6 2 2 2 2 4 2 2" xfId="23031"/>
    <cellStyle name="Standaard 2 6 2 2 2 2 4 3" xfId="23032"/>
    <cellStyle name="Standaard 2 6 2 2 2 2 5" xfId="9439"/>
    <cellStyle name="Standaard 2 6 2 2 2 2 5 2" xfId="23033"/>
    <cellStyle name="Standaard 2 6 2 2 2 2 6" xfId="23034"/>
    <cellStyle name="Standaard 2 6 2 2 2 3" xfId="2473"/>
    <cellStyle name="Standaard 2 6 2 2 2 3 2" xfId="3490"/>
    <cellStyle name="Standaard 2 6 2 2 2 3 2 2" xfId="5524"/>
    <cellStyle name="Standaard 2 6 2 2 2 3 2 2 2" xfId="14185"/>
    <cellStyle name="Standaard 2 6 2 2 2 3 2 2 2 2" xfId="23035"/>
    <cellStyle name="Standaard 2 6 2 2 2 3 2 2 3" xfId="23036"/>
    <cellStyle name="Standaard 2 6 2 2 2 3 2 3" xfId="14184"/>
    <cellStyle name="Standaard 2 6 2 2 2 3 2 3 2" xfId="23037"/>
    <cellStyle name="Standaard 2 6 2 2 2 3 2 4" xfId="23038"/>
    <cellStyle name="Standaard 2 6 2 2 2 3 3" xfId="4507"/>
    <cellStyle name="Standaard 2 6 2 2 2 3 3 2" xfId="14186"/>
    <cellStyle name="Standaard 2 6 2 2 2 3 3 2 2" xfId="23039"/>
    <cellStyle name="Standaard 2 6 2 2 2 3 3 3" xfId="23040"/>
    <cellStyle name="Standaard 2 6 2 2 2 3 4" xfId="9441"/>
    <cellStyle name="Standaard 2 6 2 2 2 3 4 2" xfId="23041"/>
    <cellStyle name="Standaard 2 6 2 2 2 3 5" xfId="23042"/>
    <cellStyle name="Standaard 2 6 2 2 2 4" xfId="2977"/>
    <cellStyle name="Standaard 2 6 2 2 2 4 2" xfId="5011"/>
    <cellStyle name="Standaard 2 6 2 2 2 4 2 2" xfId="14188"/>
    <cellStyle name="Standaard 2 6 2 2 2 4 2 2 2" xfId="23043"/>
    <cellStyle name="Standaard 2 6 2 2 2 4 2 3" xfId="23044"/>
    <cellStyle name="Standaard 2 6 2 2 2 4 3" xfId="14187"/>
    <cellStyle name="Standaard 2 6 2 2 2 4 3 2" xfId="23045"/>
    <cellStyle name="Standaard 2 6 2 2 2 4 4" xfId="23046"/>
    <cellStyle name="Standaard 2 6 2 2 2 5" xfId="3994"/>
    <cellStyle name="Standaard 2 6 2 2 2 5 2" xfId="14189"/>
    <cellStyle name="Standaard 2 6 2 2 2 5 2 2" xfId="23047"/>
    <cellStyle name="Standaard 2 6 2 2 2 5 3" xfId="23048"/>
    <cellStyle name="Standaard 2 6 2 2 2 6" xfId="9438"/>
    <cellStyle name="Standaard 2 6 2 2 2 6 2" xfId="23049"/>
    <cellStyle name="Standaard 2 6 2 2 2 7" xfId="23050"/>
    <cellStyle name="Standaard 2 6 2 2 3" xfId="2055"/>
    <cellStyle name="Standaard 2 6 2 2 3 2" xfId="2599"/>
    <cellStyle name="Standaard 2 6 2 2 3 2 2" xfId="3616"/>
    <cellStyle name="Standaard 2 6 2 2 3 2 2 2" xfId="5650"/>
    <cellStyle name="Standaard 2 6 2 2 3 2 2 2 2" xfId="14191"/>
    <cellStyle name="Standaard 2 6 2 2 3 2 2 2 2 2" xfId="23051"/>
    <cellStyle name="Standaard 2 6 2 2 3 2 2 2 3" xfId="23052"/>
    <cellStyle name="Standaard 2 6 2 2 3 2 2 3" xfId="14190"/>
    <cellStyle name="Standaard 2 6 2 2 3 2 2 3 2" xfId="23053"/>
    <cellStyle name="Standaard 2 6 2 2 3 2 2 4" xfId="23054"/>
    <cellStyle name="Standaard 2 6 2 2 3 2 3" xfId="4633"/>
    <cellStyle name="Standaard 2 6 2 2 3 2 3 2" xfId="14192"/>
    <cellStyle name="Standaard 2 6 2 2 3 2 3 2 2" xfId="23055"/>
    <cellStyle name="Standaard 2 6 2 2 3 2 3 3" xfId="23056"/>
    <cellStyle name="Standaard 2 6 2 2 3 2 4" xfId="9443"/>
    <cellStyle name="Standaard 2 6 2 2 3 2 4 2" xfId="23057"/>
    <cellStyle name="Standaard 2 6 2 2 3 2 5" xfId="23058"/>
    <cellStyle name="Standaard 2 6 2 2 3 3" xfId="3103"/>
    <cellStyle name="Standaard 2 6 2 2 3 3 2" xfId="5137"/>
    <cellStyle name="Standaard 2 6 2 2 3 3 2 2" xfId="14194"/>
    <cellStyle name="Standaard 2 6 2 2 3 3 2 2 2" xfId="23059"/>
    <cellStyle name="Standaard 2 6 2 2 3 3 2 3" xfId="23060"/>
    <cellStyle name="Standaard 2 6 2 2 3 3 3" xfId="14193"/>
    <cellStyle name="Standaard 2 6 2 2 3 3 3 2" xfId="23061"/>
    <cellStyle name="Standaard 2 6 2 2 3 3 4" xfId="23062"/>
    <cellStyle name="Standaard 2 6 2 2 3 4" xfId="4120"/>
    <cellStyle name="Standaard 2 6 2 2 3 4 2" xfId="14195"/>
    <cellStyle name="Standaard 2 6 2 2 3 4 2 2" xfId="23063"/>
    <cellStyle name="Standaard 2 6 2 2 3 4 3" xfId="23064"/>
    <cellStyle name="Standaard 2 6 2 2 3 5" xfId="9442"/>
    <cellStyle name="Standaard 2 6 2 2 3 5 2" xfId="23065"/>
    <cellStyle name="Standaard 2 6 2 2 3 6" xfId="23066"/>
    <cellStyle name="Standaard 2 6 2 2 4" xfId="2347"/>
    <cellStyle name="Standaard 2 6 2 2 4 2" xfId="3364"/>
    <cellStyle name="Standaard 2 6 2 2 4 2 2" xfId="5398"/>
    <cellStyle name="Standaard 2 6 2 2 4 2 2 2" xfId="14197"/>
    <cellStyle name="Standaard 2 6 2 2 4 2 2 2 2" xfId="23067"/>
    <cellStyle name="Standaard 2 6 2 2 4 2 2 3" xfId="23068"/>
    <cellStyle name="Standaard 2 6 2 2 4 2 3" xfId="14196"/>
    <cellStyle name="Standaard 2 6 2 2 4 2 3 2" xfId="23069"/>
    <cellStyle name="Standaard 2 6 2 2 4 2 4" xfId="23070"/>
    <cellStyle name="Standaard 2 6 2 2 4 3" xfId="4381"/>
    <cellStyle name="Standaard 2 6 2 2 4 3 2" xfId="14198"/>
    <cellStyle name="Standaard 2 6 2 2 4 3 2 2" xfId="23071"/>
    <cellStyle name="Standaard 2 6 2 2 4 3 3" xfId="23072"/>
    <cellStyle name="Standaard 2 6 2 2 4 4" xfId="9444"/>
    <cellStyle name="Standaard 2 6 2 2 4 4 2" xfId="23073"/>
    <cellStyle name="Standaard 2 6 2 2 4 5" xfId="23074"/>
    <cellStyle name="Standaard 2 6 2 2 5" xfId="2851"/>
    <cellStyle name="Standaard 2 6 2 2 5 2" xfId="4885"/>
    <cellStyle name="Standaard 2 6 2 2 5 2 2" xfId="14200"/>
    <cellStyle name="Standaard 2 6 2 2 5 2 2 2" xfId="23075"/>
    <cellStyle name="Standaard 2 6 2 2 5 2 3" xfId="23076"/>
    <cellStyle name="Standaard 2 6 2 2 5 3" xfId="14199"/>
    <cellStyle name="Standaard 2 6 2 2 5 3 2" xfId="23077"/>
    <cellStyle name="Standaard 2 6 2 2 5 4" xfId="23078"/>
    <cellStyle name="Standaard 2 6 2 2 6" xfId="3868"/>
    <cellStyle name="Standaard 2 6 2 2 6 2" xfId="14201"/>
    <cellStyle name="Standaard 2 6 2 2 6 2 2" xfId="23079"/>
    <cellStyle name="Standaard 2 6 2 2 6 3" xfId="23080"/>
    <cellStyle name="Standaard 2 6 2 2 7" xfId="9437"/>
    <cellStyle name="Standaard 2 6 2 2 7 2" xfId="23081"/>
    <cellStyle name="Standaard 2 6 2 2 8" xfId="23082"/>
    <cellStyle name="Standaard 2 6 2 3" xfId="1845"/>
    <cellStyle name="Standaard 2 6 2 3 2" xfId="1971"/>
    <cellStyle name="Standaard 2 6 2 3 2 2" xfId="2223"/>
    <cellStyle name="Standaard 2 6 2 3 2 2 2" xfId="2767"/>
    <cellStyle name="Standaard 2 6 2 3 2 2 2 2" xfId="3784"/>
    <cellStyle name="Standaard 2 6 2 3 2 2 2 2 2" xfId="5818"/>
    <cellStyle name="Standaard 2 6 2 3 2 2 2 2 2 2" xfId="14203"/>
    <cellStyle name="Standaard 2 6 2 3 2 2 2 2 2 2 2" xfId="23083"/>
    <cellStyle name="Standaard 2 6 2 3 2 2 2 2 2 3" xfId="23084"/>
    <cellStyle name="Standaard 2 6 2 3 2 2 2 2 3" xfId="14202"/>
    <cellStyle name="Standaard 2 6 2 3 2 2 2 2 3 2" xfId="23085"/>
    <cellStyle name="Standaard 2 6 2 3 2 2 2 2 4" xfId="23086"/>
    <cellStyle name="Standaard 2 6 2 3 2 2 2 3" xfId="4801"/>
    <cellStyle name="Standaard 2 6 2 3 2 2 2 3 2" xfId="14204"/>
    <cellStyle name="Standaard 2 6 2 3 2 2 2 3 2 2" xfId="23087"/>
    <cellStyle name="Standaard 2 6 2 3 2 2 2 3 3" xfId="23088"/>
    <cellStyle name="Standaard 2 6 2 3 2 2 2 4" xfId="9448"/>
    <cellStyle name="Standaard 2 6 2 3 2 2 2 4 2" xfId="23089"/>
    <cellStyle name="Standaard 2 6 2 3 2 2 2 5" xfId="23090"/>
    <cellStyle name="Standaard 2 6 2 3 2 2 3" xfId="3271"/>
    <cellStyle name="Standaard 2 6 2 3 2 2 3 2" xfId="5305"/>
    <cellStyle name="Standaard 2 6 2 3 2 2 3 2 2" xfId="14206"/>
    <cellStyle name="Standaard 2 6 2 3 2 2 3 2 2 2" xfId="23091"/>
    <cellStyle name="Standaard 2 6 2 3 2 2 3 2 3" xfId="23092"/>
    <cellStyle name="Standaard 2 6 2 3 2 2 3 3" xfId="14205"/>
    <cellStyle name="Standaard 2 6 2 3 2 2 3 3 2" xfId="23093"/>
    <cellStyle name="Standaard 2 6 2 3 2 2 3 4" xfId="23094"/>
    <cellStyle name="Standaard 2 6 2 3 2 2 4" xfId="4288"/>
    <cellStyle name="Standaard 2 6 2 3 2 2 4 2" xfId="14207"/>
    <cellStyle name="Standaard 2 6 2 3 2 2 4 2 2" xfId="23095"/>
    <cellStyle name="Standaard 2 6 2 3 2 2 4 3" xfId="23096"/>
    <cellStyle name="Standaard 2 6 2 3 2 2 5" xfId="9447"/>
    <cellStyle name="Standaard 2 6 2 3 2 2 5 2" xfId="23097"/>
    <cellStyle name="Standaard 2 6 2 3 2 2 6" xfId="23098"/>
    <cellStyle name="Standaard 2 6 2 3 2 3" xfId="2515"/>
    <cellStyle name="Standaard 2 6 2 3 2 3 2" xfId="3532"/>
    <cellStyle name="Standaard 2 6 2 3 2 3 2 2" xfId="5566"/>
    <cellStyle name="Standaard 2 6 2 3 2 3 2 2 2" xfId="14209"/>
    <cellStyle name="Standaard 2 6 2 3 2 3 2 2 2 2" xfId="23099"/>
    <cellStyle name="Standaard 2 6 2 3 2 3 2 2 3" xfId="23100"/>
    <cellStyle name="Standaard 2 6 2 3 2 3 2 3" xfId="14208"/>
    <cellStyle name="Standaard 2 6 2 3 2 3 2 3 2" xfId="23101"/>
    <cellStyle name="Standaard 2 6 2 3 2 3 2 4" xfId="23102"/>
    <cellStyle name="Standaard 2 6 2 3 2 3 3" xfId="4549"/>
    <cellStyle name="Standaard 2 6 2 3 2 3 3 2" xfId="14210"/>
    <cellStyle name="Standaard 2 6 2 3 2 3 3 2 2" xfId="23103"/>
    <cellStyle name="Standaard 2 6 2 3 2 3 3 3" xfId="23104"/>
    <cellStyle name="Standaard 2 6 2 3 2 3 4" xfId="9449"/>
    <cellStyle name="Standaard 2 6 2 3 2 3 4 2" xfId="23105"/>
    <cellStyle name="Standaard 2 6 2 3 2 3 5" xfId="23106"/>
    <cellStyle name="Standaard 2 6 2 3 2 4" xfId="3019"/>
    <cellStyle name="Standaard 2 6 2 3 2 4 2" xfId="5053"/>
    <cellStyle name="Standaard 2 6 2 3 2 4 2 2" xfId="14212"/>
    <cellStyle name="Standaard 2 6 2 3 2 4 2 2 2" xfId="23107"/>
    <cellStyle name="Standaard 2 6 2 3 2 4 2 3" xfId="23108"/>
    <cellStyle name="Standaard 2 6 2 3 2 4 3" xfId="14211"/>
    <cellStyle name="Standaard 2 6 2 3 2 4 3 2" xfId="23109"/>
    <cellStyle name="Standaard 2 6 2 3 2 4 4" xfId="23110"/>
    <cellStyle name="Standaard 2 6 2 3 2 5" xfId="4036"/>
    <cellStyle name="Standaard 2 6 2 3 2 5 2" xfId="14213"/>
    <cellStyle name="Standaard 2 6 2 3 2 5 2 2" xfId="23111"/>
    <cellStyle name="Standaard 2 6 2 3 2 5 3" xfId="23112"/>
    <cellStyle name="Standaard 2 6 2 3 2 6" xfId="9446"/>
    <cellStyle name="Standaard 2 6 2 3 2 6 2" xfId="23113"/>
    <cellStyle name="Standaard 2 6 2 3 2 7" xfId="23114"/>
    <cellStyle name="Standaard 2 6 2 3 3" xfId="2097"/>
    <cellStyle name="Standaard 2 6 2 3 3 2" xfId="2641"/>
    <cellStyle name="Standaard 2 6 2 3 3 2 2" xfId="3658"/>
    <cellStyle name="Standaard 2 6 2 3 3 2 2 2" xfId="5692"/>
    <cellStyle name="Standaard 2 6 2 3 3 2 2 2 2" xfId="14215"/>
    <cellStyle name="Standaard 2 6 2 3 3 2 2 2 2 2" xfId="23115"/>
    <cellStyle name="Standaard 2 6 2 3 3 2 2 2 3" xfId="23116"/>
    <cellStyle name="Standaard 2 6 2 3 3 2 2 3" xfId="14214"/>
    <cellStyle name="Standaard 2 6 2 3 3 2 2 3 2" xfId="23117"/>
    <cellStyle name="Standaard 2 6 2 3 3 2 2 4" xfId="23118"/>
    <cellStyle name="Standaard 2 6 2 3 3 2 3" xfId="4675"/>
    <cellStyle name="Standaard 2 6 2 3 3 2 3 2" xfId="14216"/>
    <cellStyle name="Standaard 2 6 2 3 3 2 3 2 2" xfId="23119"/>
    <cellStyle name="Standaard 2 6 2 3 3 2 3 3" xfId="23120"/>
    <cellStyle name="Standaard 2 6 2 3 3 2 4" xfId="9451"/>
    <cellStyle name="Standaard 2 6 2 3 3 2 4 2" xfId="23121"/>
    <cellStyle name="Standaard 2 6 2 3 3 2 5" xfId="23122"/>
    <cellStyle name="Standaard 2 6 2 3 3 3" xfId="3145"/>
    <cellStyle name="Standaard 2 6 2 3 3 3 2" xfId="5179"/>
    <cellStyle name="Standaard 2 6 2 3 3 3 2 2" xfId="14218"/>
    <cellStyle name="Standaard 2 6 2 3 3 3 2 2 2" xfId="23123"/>
    <cellStyle name="Standaard 2 6 2 3 3 3 2 3" xfId="23124"/>
    <cellStyle name="Standaard 2 6 2 3 3 3 3" xfId="14217"/>
    <cellStyle name="Standaard 2 6 2 3 3 3 3 2" xfId="23125"/>
    <cellStyle name="Standaard 2 6 2 3 3 3 4" xfId="23126"/>
    <cellStyle name="Standaard 2 6 2 3 3 4" xfId="4162"/>
    <cellStyle name="Standaard 2 6 2 3 3 4 2" xfId="14219"/>
    <cellStyle name="Standaard 2 6 2 3 3 4 2 2" xfId="23127"/>
    <cellStyle name="Standaard 2 6 2 3 3 4 3" xfId="23128"/>
    <cellStyle name="Standaard 2 6 2 3 3 5" xfId="9450"/>
    <cellStyle name="Standaard 2 6 2 3 3 5 2" xfId="23129"/>
    <cellStyle name="Standaard 2 6 2 3 3 6" xfId="23130"/>
    <cellStyle name="Standaard 2 6 2 3 4" xfId="2389"/>
    <cellStyle name="Standaard 2 6 2 3 4 2" xfId="3406"/>
    <cellStyle name="Standaard 2 6 2 3 4 2 2" xfId="5440"/>
    <cellStyle name="Standaard 2 6 2 3 4 2 2 2" xfId="14221"/>
    <cellStyle name="Standaard 2 6 2 3 4 2 2 2 2" xfId="23131"/>
    <cellStyle name="Standaard 2 6 2 3 4 2 2 3" xfId="23132"/>
    <cellStyle name="Standaard 2 6 2 3 4 2 3" xfId="14220"/>
    <cellStyle name="Standaard 2 6 2 3 4 2 3 2" xfId="23133"/>
    <cellStyle name="Standaard 2 6 2 3 4 2 4" xfId="23134"/>
    <cellStyle name="Standaard 2 6 2 3 4 3" xfId="4423"/>
    <cellStyle name="Standaard 2 6 2 3 4 3 2" xfId="14222"/>
    <cellStyle name="Standaard 2 6 2 3 4 3 2 2" xfId="23135"/>
    <cellStyle name="Standaard 2 6 2 3 4 3 3" xfId="23136"/>
    <cellStyle name="Standaard 2 6 2 3 4 4" xfId="9452"/>
    <cellStyle name="Standaard 2 6 2 3 4 4 2" xfId="23137"/>
    <cellStyle name="Standaard 2 6 2 3 4 5" xfId="23138"/>
    <cellStyle name="Standaard 2 6 2 3 5" xfId="2893"/>
    <cellStyle name="Standaard 2 6 2 3 5 2" xfId="4927"/>
    <cellStyle name="Standaard 2 6 2 3 5 2 2" xfId="14224"/>
    <cellStyle name="Standaard 2 6 2 3 5 2 2 2" xfId="23139"/>
    <cellStyle name="Standaard 2 6 2 3 5 2 3" xfId="23140"/>
    <cellStyle name="Standaard 2 6 2 3 5 3" xfId="14223"/>
    <cellStyle name="Standaard 2 6 2 3 5 3 2" xfId="23141"/>
    <cellStyle name="Standaard 2 6 2 3 5 4" xfId="23142"/>
    <cellStyle name="Standaard 2 6 2 3 6" xfId="3910"/>
    <cellStyle name="Standaard 2 6 2 3 6 2" xfId="14225"/>
    <cellStyle name="Standaard 2 6 2 3 6 2 2" xfId="23143"/>
    <cellStyle name="Standaard 2 6 2 3 6 3" xfId="23144"/>
    <cellStyle name="Standaard 2 6 2 3 7" xfId="9445"/>
    <cellStyle name="Standaard 2 6 2 3 7 2" xfId="23145"/>
    <cellStyle name="Standaard 2 6 2 3 8" xfId="23146"/>
    <cellStyle name="Standaard 2 6 2 4" xfId="1887"/>
    <cellStyle name="Standaard 2 6 2 4 2" xfId="2139"/>
    <cellStyle name="Standaard 2 6 2 4 2 2" xfId="2683"/>
    <cellStyle name="Standaard 2 6 2 4 2 2 2" xfId="3700"/>
    <cellStyle name="Standaard 2 6 2 4 2 2 2 2" xfId="5734"/>
    <cellStyle name="Standaard 2 6 2 4 2 2 2 2 2" xfId="14227"/>
    <cellStyle name="Standaard 2 6 2 4 2 2 2 2 2 2" xfId="23147"/>
    <cellStyle name="Standaard 2 6 2 4 2 2 2 2 3" xfId="23148"/>
    <cellStyle name="Standaard 2 6 2 4 2 2 2 3" xfId="14226"/>
    <cellStyle name="Standaard 2 6 2 4 2 2 2 3 2" xfId="23149"/>
    <cellStyle name="Standaard 2 6 2 4 2 2 2 4" xfId="23150"/>
    <cellStyle name="Standaard 2 6 2 4 2 2 3" xfId="4717"/>
    <cellStyle name="Standaard 2 6 2 4 2 2 3 2" xfId="14228"/>
    <cellStyle name="Standaard 2 6 2 4 2 2 3 2 2" xfId="23151"/>
    <cellStyle name="Standaard 2 6 2 4 2 2 3 3" xfId="23152"/>
    <cellStyle name="Standaard 2 6 2 4 2 2 4" xfId="9455"/>
    <cellStyle name="Standaard 2 6 2 4 2 2 4 2" xfId="23153"/>
    <cellStyle name="Standaard 2 6 2 4 2 2 5" xfId="23154"/>
    <cellStyle name="Standaard 2 6 2 4 2 3" xfId="3187"/>
    <cellStyle name="Standaard 2 6 2 4 2 3 2" xfId="5221"/>
    <cellStyle name="Standaard 2 6 2 4 2 3 2 2" xfId="14230"/>
    <cellStyle name="Standaard 2 6 2 4 2 3 2 2 2" xfId="23155"/>
    <cellStyle name="Standaard 2 6 2 4 2 3 2 3" xfId="23156"/>
    <cellStyle name="Standaard 2 6 2 4 2 3 3" xfId="14229"/>
    <cellStyle name="Standaard 2 6 2 4 2 3 3 2" xfId="23157"/>
    <cellStyle name="Standaard 2 6 2 4 2 3 4" xfId="23158"/>
    <cellStyle name="Standaard 2 6 2 4 2 4" xfId="4204"/>
    <cellStyle name="Standaard 2 6 2 4 2 4 2" xfId="14231"/>
    <cellStyle name="Standaard 2 6 2 4 2 4 2 2" xfId="23159"/>
    <cellStyle name="Standaard 2 6 2 4 2 4 3" xfId="23160"/>
    <cellStyle name="Standaard 2 6 2 4 2 5" xfId="9454"/>
    <cellStyle name="Standaard 2 6 2 4 2 5 2" xfId="23161"/>
    <cellStyle name="Standaard 2 6 2 4 2 6" xfId="23162"/>
    <cellStyle name="Standaard 2 6 2 4 3" xfId="2431"/>
    <cellStyle name="Standaard 2 6 2 4 3 2" xfId="3448"/>
    <cellStyle name="Standaard 2 6 2 4 3 2 2" xfId="5482"/>
    <cellStyle name="Standaard 2 6 2 4 3 2 2 2" xfId="14233"/>
    <cellStyle name="Standaard 2 6 2 4 3 2 2 2 2" xfId="23163"/>
    <cellStyle name="Standaard 2 6 2 4 3 2 2 3" xfId="23164"/>
    <cellStyle name="Standaard 2 6 2 4 3 2 3" xfId="14232"/>
    <cellStyle name="Standaard 2 6 2 4 3 2 3 2" xfId="23165"/>
    <cellStyle name="Standaard 2 6 2 4 3 2 4" xfId="23166"/>
    <cellStyle name="Standaard 2 6 2 4 3 3" xfId="4465"/>
    <cellStyle name="Standaard 2 6 2 4 3 3 2" xfId="14234"/>
    <cellStyle name="Standaard 2 6 2 4 3 3 2 2" xfId="23167"/>
    <cellStyle name="Standaard 2 6 2 4 3 3 3" xfId="23168"/>
    <cellStyle name="Standaard 2 6 2 4 3 4" xfId="9456"/>
    <cellStyle name="Standaard 2 6 2 4 3 4 2" xfId="23169"/>
    <cellStyle name="Standaard 2 6 2 4 3 5" xfId="23170"/>
    <cellStyle name="Standaard 2 6 2 4 4" xfId="2935"/>
    <cellStyle name="Standaard 2 6 2 4 4 2" xfId="4969"/>
    <cellStyle name="Standaard 2 6 2 4 4 2 2" xfId="14236"/>
    <cellStyle name="Standaard 2 6 2 4 4 2 2 2" xfId="23171"/>
    <cellStyle name="Standaard 2 6 2 4 4 2 3" xfId="23172"/>
    <cellStyle name="Standaard 2 6 2 4 4 3" xfId="14235"/>
    <cellStyle name="Standaard 2 6 2 4 4 3 2" xfId="23173"/>
    <cellStyle name="Standaard 2 6 2 4 4 4" xfId="23174"/>
    <cellStyle name="Standaard 2 6 2 4 5" xfId="3952"/>
    <cellStyle name="Standaard 2 6 2 4 5 2" xfId="14237"/>
    <cellStyle name="Standaard 2 6 2 4 5 2 2" xfId="23175"/>
    <cellStyle name="Standaard 2 6 2 4 5 3" xfId="23176"/>
    <cellStyle name="Standaard 2 6 2 4 6" xfId="9453"/>
    <cellStyle name="Standaard 2 6 2 4 6 2" xfId="23177"/>
    <cellStyle name="Standaard 2 6 2 4 7" xfId="23178"/>
    <cellStyle name="Standaard 2 6 2 5" xfId="2013"/>
    <cellStyle name="Standaard 2 6 2 5 2" xfId="2557"/>
    <cellStyle name="Standaard 2 6 2 5 2 2" xfId="3574"/>
    <cellStyle name="Standaard 2 6 2 5 2 2 2" xfId="5608"/>
    <cellStyle name="Standaard 2 6 2 5 2 2 2 2" xfId="14239"/>
    <cellStyle name="Standaard 2 6 2 5 2 2 2 2 2" xfId="23179"/>
    <cellStyle name="Standaard 2 6 2 5 2 2 2 3" xfId="23180"/>
    <cellStyle name="Standaard 2 6 2 5 2 2 3" xfId="14238"/>
    <cellStyle name="Standaard 2 6 2 5 2 2 3 2" xfId="23181"/>
    <cellStyle name="Standaard 2 6 2 5 2 2 4" xfId="23182"/>
    <cellStyle name="Standaard 2 6 2 5 2 3" xfId="4591"/>
    <cellStyle name="Standaard 2 6 2 5 2 3 2" xfId="14240"/>
    <cellStyle name="Standaard 2 6 2 5 2 3 2 2" xfId="23183"/>
    <cellStyle name="Standaard 2 6 2 5 2 3 3" xfId="23184"/>
    <cellStyle name="Standaard 2 6 2 5 2 4" xfId="9458"/>
    <cellStyle name="Standaard 2 6 2 5 2 4 2" xfId="23185"/>
    <cellStyle name="Standaard 2 6 2 5 2 5" xfId="23186"/>
    <cellStyle name="Standaard 2 6 2 5 3" xfId="3061"/>
    <cellStyle name="Standaard 2 6 2 5 3 2" xfId="5095"/>
    <cellStyle name="Standaard 2 6 2 5 3 2 2" xfId="14242"/>
    <cellStyle name="Standaard 2 6 2 5 3 2 2 2" xfId="23187"/>
    <cellStyle name="Standaard 2 6 2 5 3 2 3" xfId="23188"/>
    <cellStyle name="Standaard 2 6 2 5 3 3" xfId="14241"/>
    <cellStyle name="Standaard 2 6 2 5 3 3 2" xfId="23189"/>
    <cellStyle name="Standaard 2 6 2 5 3 4" xfId="23190"/>
    <cellStyle name="Standaard 2 6 2 5 4" xfId="4078"/>
    <cellStyle name="Standaard 2 6 2 5 4 2" xfId="14243"/>
    <cellStyle name="Standaard 2 6 2 5 4 2 2" xfId="23191"/>
    <cellStyle name="Standaard 2 6 2 5 4 3" xfId="23192"/>
    <cellStyle name="Standaard 2 6 2 5 5" xfId="9457"/>
    <cellStyle name="Standaard 2 6 2 5 5 2" xfId="23193"/>
    <cellStyle name="Standaard 2 6 2 5 6" xfId="23194"/>
    <cellStyle name="Standaard 2 6 2 6" xfId="2305"/>
    <cellStyle name="Standaard 2 6 2 6 2" xfId="3322"/>
    <cellStyle name="Standaard 2 6 2 6 2 2" xfId="5356"/>
    <cellStyle name="Standaard 2 6 2 6 2 2 2" xfId="14245"/>
    <cellStyle name="Standaard 2 6 2 6 2 2 2 2" xfId="23195"/>
    <cellStyle name="Standaard 2 6 2 6 2 2 3" xfId="23196"/>
    <cellStyle name="Standaard 2 6 2 6 2 3" xfId="14244"/>
    <cellStyle name="Standaard 2 6 2 6 2 3 2" xfId="23197"/>
    <cellStyle name="Standaard 2 6 2 6 2 4" xfId="23198"/>
    <cellStyle name="Standaard 2 6 2 6 3" xfId="4339"/>
    <cellStyle name="Standaard 2 6 2 6 3 2" xfId="14246"/>
    <cellStyle name="Standaard 2 6 2 6 3 2 2" xfId="23199"/>
    <cellStyle name="Standaard 2 6 2 6 3 3" xfId="23200"/>
    <cellStyle name="Standaard 2 6 2 6 4" xfId="9459"/>
    <cellStyle name="Standaard 2 6 2 6 4 2" xfId="23201"/>
    <cellStyle name="Standaard 2 6 2 6 5" xfId="23202"/>
    <cellStyle name="Standaard 2 6 2 7" xfId="2809"/>
    <cellStyle name="Standaard 2 6 2 7 2" xfId="4843"/>
    <cellStyle name="Standaard 2 6 2 7 2 2" xfId="14248"/>
    <cellStyle name="Standaard 2 6 2 7 2 2 2" xfId="23203"/>
    <cellStyle name="Standaard 2 6 2 7 2 3" xfId="23204"/>
    <cellStyle name="Standaard 2 6 2 7 3" xfId="14247"/>
    <cellStyle name="Standaard 2 6 2 7 3 2" xfId="23205"/>
    <cellStyle name="Standaard 2 6 2 7 4" xfId="23206"/>
    <cellStyle name="Standaard 2 6 2 8" xfId="3826"/>
    <cellStyle name="Standaard 2 6 2 8 2" xfId="14249"/>
    <cellStyle name="Standaard 2 6 2 8 2 2" xfId="23207"/>
    <cellStyle name="Standaard 2 6 2 8 3" xfId="23208"/>
    <cellStyle name="Standaard 2 6 2 9" xfId="9436"/>
    <cellStyle name="Standaard 2 6 2 9 2" xfId="23209"/>
    <cellStyle name="Standaard 2 6 3" xfId="1775"/>
    <cellStyle name="Standaard 2 6 3 10" xfId="23210"/>
    <cellStyle name="Standaard 2 6 3 2" xfId="1817"/>
    <cellStyle name="Standaard 2 6 3 2 2" xfId="1943"/>
    <cellStyle name="Standaard 2 6 3 2 2 2" xfId="2195"/>
    <cellStyle name="Standaard 2 6 3 2 2 2 2" xfId="2739"/>
    <cellStyle name="Standaard 2 6 3 2 2 2 2 2" xfId="3756"/>
    <cellStyle name="Standaard 2 6 3 2 2 2 2 2 2" xfId="5790"/>
    <cellStyle name="Standaard 2 6 3 2 2 2 2 2 2 2" xfId="14251"/>
    <cellStyle name="Standaard 2 6 3 2 2 2 2 2 2 2 2" xfId="23211"/>
    <cellStyle name="Standaard 2 6 3 2 2 2 2 2 2 3" xfId="23212"/>
    <cellStyle name="Standaard 2 6 3 2 2 2 2 2 3" xfId="14250"/>
    <cellStyle name="Standaard 2 6 3 2 2 2 2 2 3 2" xfId="23213"/>
    <cellStyle name="Standaard 2 6 3 2 2 2 2 2 4" xfId="23214"/>
    <cellStyle name="Standaard 2 6 3 2 2 2 2 3" xfId="4773"/>
    <cellStyle name="Standaard 2 6 3 2 2 2 2 3 2" xfId="14252"/>
    <cellStyle name="Standaard 2 6 3 2 2 2 2 3 2 2" xfId="23215"/>
    <cellStyle name="Standaard 2 6 3 2 2 2 2 3 3" xfId="23216"/>
    <cellStyle name="Standaard 2 6 3 2 2 2 2 4" xfId="9464"/>
    <cellStyle name="Standaard 2 6 3 2 2 2 2 4 2" xfId="23217"/>
    <cellStyle name="Standaard 2 6 3 2 2 2 2 5" xfId="23218"/>
    <cellStyle name="Standaard 2 6 3 2 2 2 3" xfId="3243"/>
    <cellStyle name="Standaard 2 6 3 2 2 2 3 2" xfId="5277"/>
    <cellStyle name="Standaard 2 6 3 2 2 2 3 2 2" xfId="14254"/>
    <cellStyle name="Standaard 2 6 3 2 2 2 3 2 2 2" xfId="23219"/>
    <cellStyle name="Standaard 2 6 3 2 2 2 3 2 3" xfId="23220"/>
    <cellStyle name="Standaard 2 6 3 2 2 2 3 3" xfId="14253"/>
    <cellStyle name="Standaard 2 6 3 2 2 2 3 3 2" xfId="23221"/>
    <cellStyle name="Standaard 2 6 3 2 2 2 3 4" xfId="23222"/>
    <cellStyle name="Standaard 2 6 3 2 2 2 4" xfId="4260"/>
    <cellStyle name="Standaard 2 6 3 2 2 2 4 2" xfId="14255"/>
    <cellStyle name="Standaard 2 6 3 2 2 2 4 2 2" xfId="23223"/>
    <cellStyle name="Standaard 2 6 3 2 2 2 4 3" xfId="23224"/>
    <cellStyle name="Standaard 2 6 3 2 2 2 5" xfId="9463"/>
    <cellStyle name="Standaard 2 6 3 2 2 2 5 2" xfId="23225"/>
    <cellStyle name="Standaard 2 6 3 2 2 2 6" xfId="23226"/>
    <cellStyle name="Standaard 2 6 3 2 2 3" xfId="2487"/>
    <cellStyle name="Standaard 2 6 3 2 2 3 2" xfId="3504"/>
    <cellStyle name="Standaard 2 6 3 2 2 3 2 2" xfId="5538"/>
    <cellStyle name="Standaard 2 6 3 2 2 3 2 2 2" xfId="14257"/>
    <cellStyle name="Standaard 2 6 3 2 2 3 2 2 2 2" xfId="23227"/>
    <cellStyle name="Standaard 2 6 3 2 2 3 2 2 3" xfId="23228"/>
    <cellStyle name="Standaard 2 6 3 2 2 3 2 3" xfId="14256"/>
    <cellStyle name="Standaard 2 6 3 2 2 3 2 3 2" xfId="23229"/>
    <cellStyle name="Standaard 2 6 3 2 2 3 2 4" xfId="23230"/>
    <cellStyle name="Standaard 2 6 3 2 2 3 3" xfId="4521"/>
    <cellStyle name="Standaard 2 6 3 2 2 3 3 2" xfId="14258"/>
    <cellStyle name="Standaard 2 6 3 2 2 3 3 2 2" xfId="23231"/>
    <cellStyle name="Standaard 2 6 3 2 2 3 3 3" xfId="23232"/>
    <cellStyle name="Standaard 2 6 3 2 2 3 4" xfId="9465"/>
    <cellStyle name="Standaard 2 6 3 2 2 3 4 2" xfId="23233"/>
    <cellStyle name="Standaard 2 6 3 2 2 3 5" xfId="23234"/>
    <cellStyle name="Standaard 2 6 3 2 2 4" xfId="2991"/>
    <cellStyle name="Standaard 2 6 3 2 2 4 2" xfId="5025"/>
    <cellStyle name="Standaard 2 6 3 2 2 4 2 2" xfId="14260"/>
    <cellStyle name="Standaard 2 6 3 2 2 4 2 2 2" xfId="23235"/>
    <cellStyle name="Standaard 2 6 3 2 2 4 2 3" xfId="23236"/>
    <cellStyle name="Standaard 2 6 3 2 2 4 3" xfId="14259"/>
    <cellStyle name="Standaard 2 6 3 2 2 4 3 2" xfId="23237"/>
    <cellStyle name="Standaard 2 6 3 2 2 4 4" xfId="23238"/>
    <cellStyle name="Standaard 2 6 3 2 2 5" xfId="4008"/>
    <cellStyle name="Standaard 2 6 3 2 2 5 2" xfId="14261"/>
    <cellStyle name="Standaard 2 6 3 2 2 5 2 2" xfId="23239"/>
    <cellStyle name="Standaard 2 6 3 2 2 5 3" xfId="23240"/>
    <cellStyle name="Standaard 2 6 3 2 2 6" xfId="9462"/>
    <cellStyle name="Standaard 2 6 3 2 2 6 2" xfId="23241"/>
    <cellStyle name="Standaard 2 6 3 2 2 7" xfId="23242"/>
    <cellStyle name="Standaard 2 6 3 2 3" xfId="2069"/>
    <cellStyle name="Standaard 2 6 3 2 3 2" xfId="2613"/>
    <cellStyle name="Standaard 2 6 3 2 3 2 2" xfId="3630"/>
    <cellStyle name="Standaard 2 6 3 2 3 2 2 2" xfId="5664"/>
    <cellStyle name="Standaard 2 6 3 2 3 2 2 2 2" xfId="14263"/>
    <cellStyle name="Standaard 2 6 3 2 3 2 2 2 2 2" xfId="23243"/>
    <cellStyle name="Standaard 2 6 3 2 3 2 2 2 3" xfId="23244"/>
    <cellStyle name="Standaard 2 6 3 2 3 2 2 3" xfId="14262"/>
    <cellStyle name="Standaard 2 6 3 2 3 2 2 3 2" xfId="23245"/>
    <cellStyle name="Standaard 2 6 3 2 3 2 2 4" xfId="23246"/>
    <cellStyle name="Standaard 2 6 3 2 3 2 3" xfId="4647"/>
    <cellStyle name="Standaard 2 6 3 2 3 2 3 2" xfId="14264"/>
    <cellStyle name="Standaard 2 6 3 2 3 2 3 2 2" xfId="23247"/>
    <cellStyle name="Standaard 2 6 3 2 3 2 3 3" xfId="23248"/>
    <cellStyle name="Standaard 2 6 3 2 3 2 4" xfId="9467"/>
    <cellStyle name="Standaard 2 6 3 2 3 2 4 2" xfId="23249"/>
    <cellStyle name="Standaard 2 6 3 2 3 2 5" xfId="23250"/>
    <cellStyle name="Standaard 2 6 3 2 3 3" xfId="3117"/>
    <cellStyle name="Standaard 2 6 3 2 3 3 2" xfId="5151"/>
    <cellStyle name="Standaard 2 6 3 2 3 3 2 2" xfId="14266"/>
    <cellStyle name="Standaard 2 6 3 2 3 3 2 2 2" xfId="23251"/>
    <cellStyle name="Standaard 2 6 3 2 3 3 2 3" xfId="23252"/>
    <cellStyle name="Standaard 2 6 3 2 3 3 3" xfId="14265"/>
    <cellStyle name="Standaard 2 6 3 2 3 3 3 2" xfId="23253"/>
    <cellStyle name="Standaard 2 6 3 2 3 3 4" xfId="23254"/>
    <cellStyle name="Standaard 2 6 3 2 3 4" xfId="4134"/>
    <cellStyle name="Standaard 2 6 3 2 3 4 2" xfId="14267"/>
    <cellStyle name="Standaard 2 6 3 2 3 4 2 2" xfId="23255"/>
    <cellStyle name="Standaard 2 6 3 2 3 4 3" xfId="23256"/>
    <cellStyle name="Standaard 2 6 3 2 3 5" xfId="9466"/>
    <cellStyle name="Standaard 2 6 3 2 3 5 2" xfId="23257"/>
    <cellStyle name="Standaard 2 6 3 2 3 6" xfId="23258"/>
    <cellStyle name="Standaard 2 6 3 2 4" xfId="2361"/>
    <cellStyle name="Standaard 2 6 3 2 4 2" xfId="3378"/>
    <cellStyle name="Standaard 2 6 3 2 4 2 2" xfId="5412"/>
    <cellStyle name="Standaard 2 6 3 2 4 2 2 2" xfId="14269"/>
    <cellStyle name="Standaard 2 6 3 2 4 2 2 2 2" xfId="23259"/>
    <cellStyle name="Standaard 2 6 3 2 4 2 2 3" xfId="23260"/>
    <cellStyle name="Standaard 2 6 3 2 4 2 3" xfId="14268"/>
    <cellStyle name="Standaard 2 6 3 2 4 2 3 2" xfId="23261"/>
    <cellStyle name="Standaard 2 6 3 2 4 2 4" xfId="23262"/>
    <cellStyle name="Standaard 2 6 3 2 4 3" xfId="4395"/>
    <cellStyle name="Standaard 2 6 3 2 4 3 2" xfId="14270"/>
    <cellStyle name="Standaard 2 6 3 2 4 3 2 2" xfId="23263"/>
    <cellStyle name="Standaard 2 6 3 2 4 3 3" xfId="23264"/>
    <cellStyle name="Standaard 2 6 3 2 4 4" xfId="9468"/>
    <cellStyle name="Standaard 2 6 3 2 4 4 2" xfId="23265"/>
    <cellStyle name="Standaard 2 6 3 2 4 5" xfId="23266"/>
    <cellStyle name="Standaard 2 6 3 2 5" xfId="2865"/>
    <cellStyle name="Standaard 2 6 3 2 5 2" xfId="4899"/>
    <cellStyle name="Standaard 2 6 3 2 5 2 2" xfId="14272"/>
    <cellStyle name="Standaard 2 6 3 2 5 2 2 2" xfId="23267"/>
    <cellStyle name="Standaard 2 6 3 2 5 2 3" xfId="23268"/>
    <cellStyle name="Standaard 2 6 3 2 5 3" xfId="14271"/>
    <cellStyle name="Standaard 2 6 3 2 5 3 2" xfId="23269"/>
    <cellStyle name="Standaard 2 6 3 2 5 4" xfId="23270"/>
    <cellStyle name="Standaard 2 6 3 2 6" xfId="3882"/>
    <cellStyle name="Standaard 2 6 3 2 6 2" xfId="14273"/>
    <cellStyle name="Standaard 2 6 3 2 6 2 2" xfId="23271"/>
    <cellStyle name="Standaard 2 6 3 2 6 3" xfId="23272"/>
    <cellStyle name="Standaard 2 6 3 2 7" xfId="9461"/>
    <cellStyle name="Standaard 2 6 3 2 7 2" xfId="23273"/>
    <cellStyle name="Standaard 2 6 3 2 8" xfId="23274"/>
    <cellStyle name="Standaard 2 6 3 3" xfId="1859"/>
    <cellStyle name="Standaard 2 6 3 3 2" xfId="1985"/>
    <cellStyle name="Standaard 2 6 3 3 2 2" xfId="2237"/>
    <cellStyle name="Standaard 2 6 3 3 2 2 2" xfId="2781"/>
    <cellStyle name="Standaard 2 6 3 3 2 2 2 2" xfId="3798"/>
    <cellStyle name="Standaard 2 6 3 3 2 2 2 2 2" xfId="5832"/>
    <cellStyle name="Standaard 2 6 3 3 2 2 2 2 2 2" xfId="14275"/>
    <cellStyle name="Standaard 2 6 3 3 2 2 2 2 2 2 2" xfId="23275"/>
    <cellStyle name="Standaard 2 6 3 3 2 2 2 2 2 3" xfId="23276"/>
    <cellStyle name="Standaard 2 6 3 3 2 2 2 2 3" xfId="14274"/>
    <cellStyle name="Standaard 2 6 3 3 2 2 2 2 3 2" xfId="23277"/>
    <cellStyle name="Standaard 2 6 3 3 2 2 2 2 4" xfId="23278"/>
    <cellStyle name="Standaard 2 6 3 3 2 2 2 3" xfId="4815"/>
    <cellStyle name="Standaard 2 6 3 3 2 2 2 3 2" xfId="14276"/>
    <cellStyle name="Standaard 2 6 3 3 2 2 2 3 2 2" xfId="23279"/>
    <cellStyle name="Standaard 2 6 3 3 2 2 2 3 3" xfId="23280"/>
    <cellStyle name="Standaard 2 6 3 3 2 2 2 4" xfId="9472"/>
    <cellStyle name="Standaard 2 6 3 3 2 2 2 4 2" xfId="23281"/>
    <cellStyle name="Standaard 2 6 3 3 2 2 2 5" xfId="23282"/>
    <cellStyle name="Standaard 2 6 3 3 2 2 3" xfId="3285"/>
    <cellStyle name="Standaard 2 6 3 3 2 2 3 2" xfId="5319"/>
    <cellStyle name="Standaard 2 6 3 3 2 2 3 2 2" xfId="14278"/>
    <cellStyle name="Standaard 2 6 3 3 2 2 3 2 2 2" xfId="23283"/>
    <cellStyle name="Standaard 2 6 3 3 2 2 3 2 3" xfId="23284"/>
    <cellStyle name="Standaard 2 6 3 3 2 2 3 3" xfId="14277"/>
    <cellStyle name="Standaard 2 6 3 3 2 2 3 3 2" xfId="23285"/>
    <cellStyle name="Standaard 2 6 3 3 2 2 3 4" xfId="23286"/>
    <cellStyle name="Standaard 2 6 3 3 2 2 4" xfId="4302"/>
    <cellStyle name="Standaard 2 6 3 3 2 2 4 2" xfId="14279"/>
    <cellStyle name="Standaard 2 6 3 3 2 2 4 2 2" xfId="23287"/>
    <cellStyle name="Standaard 2 6 3 3 2 2 4 3" xfId="23288"/>
    <cellStyle name="Standaard 2 6 3 3 2 2 5" xfId="9471"/>
    <cellStyle name="Standaard 2 6 3 3 2 2 5 2" xfId="23289"/>
    <cellStyle name="Standaard 2 6 3 3 2 2 6" xfId="23290"/>
    <cellStyle name="Standaard 2 6 3 3 2 3" xfId="2529"/>
    <cellStyle name="Standaard 2 6 3 3 2 3 2" xfId="3546"/>
    <cellStyle name="Standaard 2 6 3 3 2 3 2 2" xfId="5580"/>
    <cellStyle name="Standaard 2 6 3 3 2 3 2 2 2" xfId="14281"/>
    <cellStyle name="Standaard 2 6 3 3 2 3 2 2 2 2" xfId="23291"/>
    <cellStyle name="Standaard 2 6 3 3 2 3 2 2 3" xfId="23292"/>
    <cellStyle name="Standaard 2 6 3 3 2 3 2 3" xfId="14280"/>
    <cellStyle name="Standaard 2 6 3 3 2 3 2 3 2" xfId="23293"/>
    <cellStyle name="Standaard 2 6 3 3 2 3 2 4" xfId="23294"/>
    <cellStyle name="Standaard 2 6 3 3 2 3 3" xfId="4563"/>
    <cellStyle name="Standaard 2 6 3 3 2 3 3 2" xfId="14282"/>
    <cellStyle name="Standaard 2 6 3 3 2 3 3 2 2" xfId="23295"/>
    <cellStyle name="Standaard 2 6 3 3 2 3 3 3" xfId="23296"/>
    <cellStyle name="Standaard 2 6 3 3 2 3 4" xfId="9473"/>
    <cellStyle name="Standaard 2 6 3 3 2 3 4 2" xfId="23297"/>
    <cellStyle name="Standaard 2 6 3 3 2 3 5" xfId="23298"/>
    <cellStyle name="Standaard 2 6 3 3 2 4" xfId="3033"/>
    <cellStyle name="Standaard 2 6 3 3 2 4 2" xfId="5067"/>
    <cellStyle name="Standaard 2 6 3 3 2 4 2 2" xfId="14284"/>
    <cellStyle name="Standaard 2 6 3 3 2 4 2 2 2" xfId="23299"/>
    <cellStyle name="Standaard 2 6 3 3 2 4 2 3" xfId="23300"/>
    <cellStyle name="Standaard 2 6 3 3 2 4 3" xfId="14283"/>
    <cellStyle name="Standaard 2 6 3 3 2 4 3 2" xfId="23301"/>
    <cellStyle name="Standaard 2 6 3 3 2 4 4" xfId="23302"/>
    <cellStyle name="Standaard 2 6 3 3 2 5" xfId="4050"/>
    <cellStyle name="Standaard 2 6 3 3 2 5 2" xfId="14285"/>
    <cellStyle name="Standaard 2 6 3 3 2 5 2 2" xfId="23303"/>
    <cellStyle name="Standaard 2 6 3 3 2 5 3" xfId="23304"/>
    <cellStyle name="Standaard 2 6 3 3 2 6" xfId="9470"/>
    <cellStyle name="Standaard 2 6 3 3 2 6 2" xfId="23305"/>
    <cellStyle name="Standaard 2 6 3 3 2 7" xfId="23306"/>
    <cellStyle name="Standaard 2 6 3 3 3" xfId="2111"/>
    <cellStyle name="Standaard 2 6 3 3 3 2" xfId="2655"/>
    <cellStyle name="Standaard 2 6 3 3 3 2 2" xfId="3672"/>
    <cellStyle name="Standaard 2 6 3 3 3 2 2 2" xfId="5706"/>
    <cellStyle name="Standaard 2 6 3 3 3 2 2 2 2" xfId="14287"/>
    <cellStyle name="Standaard 2 6 3 3 3 2 2 2 2 2" xfId="23307"/>
    <cellStyle name="Standaard 2 6 3 3 3 2 2 2 3" xfId="23308"/>
    <cellStyle name="Standaard 2 6 3 3 3 2 2 3" xfId="14286"/>
    <cellStyle name="Standaard 2 6 3 3 3 2 2 3 2" xfId="23309"/>
    <cellStyle name="Standaard 2 6 3 3 3 2 2 4" xfId="23310"/>
    <cellStyle name="Standaard 2 6 3 3 3 2 3" xfId="4689"/>
    <cellStyle name="Standaard 2 6 3 3 3 2 3 2" xfId="14288"/>
    <cellStyle name="Standaard 2 6 3 3 3 2 3 2 2" xfId="23311"/>
    <cellStyle name="Standaard 2 6 3 3 3 2 3 3" xfId="23312"/>
    <cellStyle name="Standaard 2 6 3 3 3 2 4" xfId="9475"/>
    <cellStyle name="Standaard 2 6 3 3 3 2 4 2" xfId="23313"/>
    <cellStyle name="Standaard 2 6 3 3 3 2 5" xfId="23314"/>
    <cellStyle name="Standaard 2 6 3 3 3 3" xfId="3159"/>
    <cellStyle name="Standaard 2 6 3 3 3 3 2" xfId="5193"/>
    <cellStyle name="Standaard 2 6 3 3 3 3 2 2" xfId="14290"/>
    <cellStyle name="Standaard 2 6 3 3 3 3 2 2 2" xfId="23315"/>
    <cellStyle name="Standaard 2 6 3 3 3 3 2 3" xfId="23316"/>
    <cellStyle name="Standaard 2 6 3 3 3 3 3" xfId="14289"/>
    <cellStyle name="Standaard 2 6 3 3 3 3 3 2" xfId="23317"/>
    <cellStyle name="Standaard 2 6 3 3 3 3 4" xfId="23318"/>
    <cellStyle name="Standaard 2 6 3 3 3 4" xfId="4176"/>
    <cellStyle name="Standaard 2 6 3 3 3 4 2" xfId="14291"/>
    <cellStyle name="Standaard 2 6 3 3 3 4 2 2" xfId="23319"/>
    <cellStyle name="Standaard 2 6 3 3 3 4 3" xfId="23320"/>
    <cellStyle name="Standaard 2 6 3 3 3 5" xfId="9474"/>
    <cellStyle name="Standaard 2 6 3 3 3 5 2" xfId="23321"/>
    <cellStyle name="Standaard 2 6 3 3 3 6" xfId="23322"/>
    <cellStyle name="Standaard 2 6 3 3 4" xfId="2403"/>
    <cellStyle name="Standaard 2 6 3 3 4 2" xfId="3420"/>
    <cellStyle name="Standaard 2 6 3 3 4 2 2" xfId="5454"/>
    <cellStyle name="Standaard 2 6 3 3 4 2 2 2" xfId="14293"/>
    <cellStyle name="Standaard 2 6 3 3 4 2 2 2 2" xfId="23323"/>
    <cellStyle name="Standaard 2 6 3 3 4 2 2 3" xfId="23324"/>
    <cellStyle name="Standaard 2 6 3 3 4 2 3" xfId="14292"/>
    <cellStyle name="Standaard 2 6 3 3 4 2 3 2" xfId="23325"/>
    <cellStyle name="Standaard 2 6 3 3 4 2 4" xfId="23326"/>
    <cellStyle name="Standaard 2 6 3 3 4 3" xfId="4437"/>
    <cellStyle name="Standaard 2 6 3 3 4 3 2" xfId="14294"/>
    <cellStyle name="Standaard 2 6 3 3 4 3 2 2" xfId="23327"/>
    <cellStyle name="Standaard 2 6 3 3 4 3 3" xfId="23328"/>
    <cellStyle name="Standaard 2 6 3 3 4 4" xfId="9476"/>
    <cellStyle name="Standaard 2 6 3 3 4 4 2" xfId="23329"/>
    <cellStyle name="Standaard 2 6 3 3 4 5" xfId="23330"/>
    <cellStyle name="Standaard 2 6 3 3 5" xfId="2907"/>
    <cellStyle name="Standaard 2 6 3 3 5 2" xfId="4941"/>
    <cellStyle name="Standaard 2 6 3 3 5 2 2" xfId="14296"/>
    <cellStyle name="Standaard 2 6 3 3 5 2 2 2" xfId="23331"/>
    <cellStyle name="Standaard 2 6 3 3 5 2 3" xfId="23332"/>
    <cellStyle name="Standaard 2 6 3 3 5 3" xfId="14295"/>
    <cellStyle name="Standaard 2 6 3 3 5 3 2" xfId="23333"/>
    <cellStyle name="Standaard 2 6 3 3 5 4" xfId="23334"/>
    <cellStyle name="Standaard 2 6 3 3 6" xfId="3924"/>
    <cellStyle name="Standaard 2 6 3 3 6 2" xfId="14297"/>
    <cellStyle name="Standaard 2 6 3 3 6 2 2" xfId="23335"/>
    <cellStyle name="Standaard 2 6 3 3 6 3" xfId="23336"/>
    <cellStyle name="Standaard 2 6 3 3 7" xfId="9469"/>
    <cellStyle name="Standaard 2 6 3 3 7 2" xfId="23337"/>
    <cellStyle name="Standaard 2 6 3 3 8" xfId="23338"/>
    <cellStyle name="Standaard 2 6 3 4" xfId="1901"/>
    <cellStyle name="Standaard 2 6 3 4 2" xfId="2153"/>
    <cellStyle name="Standaard 2 6 3 4 2 2" xfId="2697"/>
    <cellStyle name="Standaard 2 6 3 4 2 2 2" xfId="3714"/>
    <cellStyle name="Standaard 2 6 3 4 2 2 2 2" xfId="5748"/>
    <cellStyle name="Standaard 2 6 3 4 2 2 2 2 2" xfId="14299"/>
    <cellStyle name="Standaard 2 6 3 4 2 2 2 2 2 2" xfId="23339"/>
    <cellStyle name="Standaard 2 6 3 4 2 2 2 2 3" xfId="23340"/>
    <cellStyle name="Standaard 2 6 3 4 2 2 2 3" xfId="14298"/>
    <cellStyle name="Standaard 2 6 3 4 2 2 2 3 2" xfId="23341"/>
    <cellStyle name="Standaard 2 6 3 4 2 2 2 4" xfId="23342"/>
    <cellStyle name="Standaard 2 6 3 4 2 2 3" xfId="4731"/>
    <cellStyle name="Standaard 2 6 3 4 2 2 3 2" xfId="14300"/>
    <cellStyle name="Standaard 2 6 3 4 2 2 3 2 2" xfId="23343"/>
    <cellStyle name="Standaard 2 6 3 4 2 2 3 3" xfId="23344"/>
    <cellStyle name="Standaard 2 6 3 4 2 2 4" xfId="9479"/>
    <cellStyle name="Standaard 2 6 3 4 2 2 4 2" xfId="23345"/>
    <cellStyle name="Standaard 2 6 3 4 2 2 5" xfId="23346"/>
    <cellStyle name="Standaard 2 6 3 4 2 3" xfId="3201"/>
    <cellStyle name="Standaard 2 6 3 4 2 3 2" xfId="5235"/>
    <cellStyle name="Standaard 2 6 3 4 2 3 2 2" xfId="14302"/>
    <cellStyle name="Standaard 2 6 3 4 2 3 2 2 2" xfId="23347"/>
    <cellStyle name="Standaard 2 6 3 4 2 3 2 3" xfId="23348"/>
    <cellStyle name="Standaard 2 6 3 4 2 3 3" xfId="14301"/>
    <cellStyle name="Standaard 2 6 3 4 2 3 3 2" xfId="23349"/>
    <cellStyle name="Standaard 2 6 3 4 2 3 4" xfId="23350"/>
    <cellStyle name="Standaard 2 6 3 4 2 4" xfId="4218"/>
    <cellStyle name="Standaard 2 6 3 4 2 4 2" xfId="14303"/>
    <cellStyle name="Standaard 2 6 3 4 2 4 2 2" xfId="23351"/>
    <cellStyle name="Standaard 2 6 3 4 2 4 3" xfId="23352"/>
    <cellStyle name="Standaard 2 6 3 4 2 5" xfId="9478"/>
    <cellStyle name="Standaard 2 6 3 4 2 5 2" xfId="23353"/>
    <cellStyle name="Standaard 2 6 3 4 2 6" xfId="23354"/>
    <cellStyle name="Standaard 2 6 3 4 3" xfId="2445"/>
    <cellStyle name="Standaard 2 6 3 4 3 2" xfId="3462"/>
    <cellStyle name="Standaard 2 6 3 4 3 2 2" xfId="5496"/>
    <cellStyle name="Standaard 2 6 3 4 3 2 2 2" xfId="14305"/>
    <cellStyle name="Standaard 2 6 3 4 3 2 2 2 2" xfId="23355"/>
    <cellStyle name="Standaard 2 6 3 4 3 2 2 3" xfId="23356"/>
    <cellStyle name="Standaard 2 6 3 4 3 2 3" xfId="14304"/>
    <cellStyle name="Standaard 2 6 3 4 3 2 3 2" xfId="23357"/>
    <cellStyle name="Standaard 2 6 3 4 3 2 4" xfId="23358"/>
    <cellStyle name="Standaard 2 6 3 4 3 3" xfId="4479"/>
    <cellStyle name="Standaard 2 6 3 4 3 3 2" xfId="14306"/>
    <cellStyle name="Standaard 2 6 3 4 3 3 2 2" xfId="23359"/>
    <cellStyle name="Standaard 2 6 3 4 3 3 3" xfId="23360"/>
    <cellStyle name="Standaard 2 6 3 4 3 4" xfId="9480"/>
    <cellStyle name="Standaard 2 6 3 4 3 4 2" xfId="23361"/>
    <cellStyle name="Standaard 2 6 3 4 3 5" xfId="23362"/>
    <cellStyle name="Standaard 2 6 3 4 4" xfId="2949"/>
    <cellStyle name="Standaard 2 6 3 4 4 2" xfId="4983"/>
    <cellStyle name="Standaard 2 6 3 4 4 2 2" xfId="14308"/>
    <cellStyle name="Standaard 2 6 3 4 4 2 2 2" xfId="23363"/>
    <cellStyle name="Standaard 2 6 3 4 4 2 3" xfId="23364"/>
    <cellStyle name="Standaard 2 6 3 4 4 3" xfId="14307"/>
    <cellStyle name="Standaard 2 6 3 4 4 3 2" xfId="23365"/>
    <cellStyle name="Standaard 2 6 3 4 4 4" xfId="23366"/>
    <cellStyle name="Standaard 2 6 3 4 5" xfId="3966"/>
    <cellStyle name="Standaard 2 6 3 4 5 2" xfId="14309"/>
    <cellStyle name="Standaard 2 6 3 4 5 2 2" xfId="23367"/>
    <cellStyle name="Standaard 2 6 3 4 5 3" xfId="23368"/>
    <cellStyle name="Standaard 2 6 3 4 6" xfId="9477"/>
    <cellStyle name="Standaard 2 6 3 4 6 2" xfId="23369"/>
    <cellStyle name="Standaard 2 6 3 4 7" xfId="23370"/>
    <cellStyle name="Standaard 2 6 3 5" xfId="2027"/>
    <cellStyle name="Standaard 2 6 3 5 2" xfId="2571"/>
    <cellStyle name="Standaard 2 6 3 5 2 2" xfId="3588"/>
    <cellStyle name="Standaard 2 6 3 5 2 2 2" xfId="5622"/>
    <cellStyle name="Standaard 2 6 3 5 2 2 2 2" xfId="14311"/>
    <cellStyle name="Standaard 2 6 3 5 2 2 2 2 2" xfId="23371"/>
    <cellStyle name="Standaard 2 6 3 5 2 2 2 3" xfId="23372"/>
    <cellStyle name="Standaard 2 6 3 5 2 2 3" xfId="14310"/>
    <cellStyle name="Standaard 2 6 3 5 2 2 3 2" xfId="23373"/>
    <cellStyle name="Standaard 2 6 3 5 2 2 4" xfId="23374"/>
    <cellStyle name="Standaard 2 6 3 5 2 3" xfId="4605"/>
    <cellStyle name="Standaard 2 6 3 5 2 3 2" xfId="14312"/>
    <cellStyle name="Standaard 2 6 3 5 2 3 2 2" xfId="23375"/>
    <cellStyle name="Standaard 2 6 3 5 2 3 3" xfId="23376"/>
    <cellStyle name="Standaard 2 6 3 5 2 4" xfId="9482"/>
    <cellStyle name="Standaard 2 6 3 5 2 4 2" xfId="23377"/>
    <cellStyle name="Standaard 2 6 3 5 2 5" xfId="23378"/>
    <cellStyle name="Standaard 2 6 3 5 3" xfId="3075"/>
    <cellStyle name="Standaard 2 6 3 5 3 2" xfId="5109"/>
    <cellStyle name="Standaard 2 6 3 5 3 2 2" xfId="14314"/>
    <cellStyle name="Standaard 2 6 3 5 3 2 2 2" xfId="23379"/>
    <cellStyle name="Standaard 2 6 3 5 3 2 3" xfId="23380"/>
    <cellStyle name="Standaard 2 6 3 5 3 3" xfId="14313"/>
    <cellStyle name="Standaard 2 6 3 5 3 3 2" xfId="23381"/>
    <cellStyle name="Standaard 2 6 3 5 3 4" xfId="23382"/>
    <cellStyle name="Standaard 2 6 3 5 4" xfId="4092"/>
    <cellStyle name="Standaard 2 6 3 5 4 2" xfId="14315"/>
    <cellStyle name="Standaard 2 6 3 5 4 2 2" xfId="23383"/>
    <cellStyle name="Standaard 2 6 3 5 4 3" xfId="23384"/>
    <cellStyle name="Standaard 2 6 3 5 5" xfId="9481"/>
    <cellStyle name="Standaard 2 6 3 5 5 2" xfId="23385"/>
    <cellStyle name="Standaard 2 6 3 5 6" xfId="23386"/>
    <cellStyle name="Standaard 2 6 3 6" xfId="2319"/>
    <cellStyle name="Standaard 2 6 3 6 2" xfId="3336"/>
    <cellStyle name="Standaard 2 6 3 6 2 2" xfId="5370"/>
    <cellStyle name="Standaard 2 6 3 6 2 2 2" xfId="14317"/>
    <cellStyle name="Standaard 2 6 3 6 2 2 2 2" xfId="23387"/>
    <cellStyle name="Standaard 2 6 3 6 2 2 3" xfId="23388"/>
    <cellStyle name="Standaard 2 6 3 6 2 3" xfId="14316"/>
    <cellStyle name="Standaard 2 6 3 6 2 3 2" xfId="23389"/>
    <cellStyle name="Standaard 2 6 3 6 2 4" xfId="23390"/>
    <cellStyle name="Standaard 2 6 3 6 3" xfId="4353"/>
    <cellStyle name="Standaard 2 6 3 6 3 2" xfId="14318"/>
    <cellStyle name="Standaard 2 6 3 6 3 2 2" xfId="23391"/>
    <cellStyle name="Standaard 2 6 3 6 3 3" xfId="23392"/>
    <cellStyle name="Standaard 2 6 3 6 4" xfId="9483"/>
    <cellStyle name="Standaard 2 6 3 6 4 2" xfId="23393"/>
    <cellStyle name="Standaard 2 6 3 6 5" xfId="23394"/>
    <cellStyle name="Standaard 2 6 3 7" xfId="2823"/>
    <cellStyle name="Standaard 2 6 3 7 2" xfId="4857"/>
    <cellStyle name="Standaard 2 6 3 7 2 2" xfId="14320"/>
    <cellStyle name="Standaard 2 6 3 7 2 2 2" xfId="23395"/>
    <cellStyle name="Standaard 2 6 3 7 2 3" xfId="23396"/>
    <cellStyle name="Standaard 2 6 3 7 3" xfId="14319"/>
    <cellStyle name="Standaard 2 6 3 7 3 2" xfId="23397"/>
    <cellStyle name="Standaard 2 6 3 7 4" xfId="23398"/>
    <cellStyle name="Standaard 2 6 3 8" xfId="3840"/>
    <cellStyle name="Standaard 2 6 3 8 2" xfId="14321"/>
    <cellStyle name="Standaard 2 6 3 8 2 2" xfId="23399"/>
    <cellStyle name="Standaard 2 6 3 8 3" xfId="23400"/>
    <cellStyle name="Standaard 2 6 3 9" xfId="9460"/>
    <cellStyle name="Standaard 2 6 3 9 2" xfId="23401"/>
    <cellStyle name="Standaard 2 6 4" xfId="1789"/>
    <cellStyle name="Standaard 2 6 4 2" xfId="1915"/>
    <cellStyle name="Standaard 2 6 4 2 2" xfId="2167"/>
    <cellStyle name="Standaard 2 6 4 2 2 2" xfId="2711"/>
    <cellStyle name="Standaard 2 6 4 2 2 2 2" xfId="3728"/>
    <cellStyle name="Standaard 2 6 4 2 2 2 2 2" xfId="5762"/>
    <cellStyle name="Standaard 2 6 4 2 2 2 2 2 2" xfId="14323"/>
    <cellStyle name="Standaard 2 6 4 2 2 2 2 2 2 2" xfId="23402"/>
    <cellStyle name="Standaard 2 6 4 2 2 2 2 2 3" xfId="23403"/>
    <cellStyle name="Standaard 2 6 4 2 2 2 2 3" xfId="14322"/>
    <cellStyle name="Standaard 2 6 4 2 2 2 2 3 2" xfId="23404"/>
    <cellStyle name="Standaard 2 6 4 2 2 2 2 4" xfId="23405"/>
    <cellStyle name="Standaard 2 6 4 2 2 2 3" xfId="4745"/>
    <cellStyle name="Standaard 2 6 4 2 2 2 3 2" xfId="14324"/>
    <cellStyle name="Standaard 2 6 4 2 2 2 3 2 2" xfId="23406"/>
    <cellStyle name="Standaard 2 6 4 2 2 2 3 3" xfId="23407"/>
    <cellStyle name="Standaard 2 6 4 2 2 2 4" xfId="9487"/>
    <cellStyle name="Standaard 2 6 4 2 2 2 4 2" xfId="23408"/>
    <cellStyle name="Standaard 2 6 4 2 2 2 5" xfId="23409"/>
    <cellStyle name="Standaard 2 6 4 2 2 3" xfId="3215"/>
    <cellStyle name="Standaard 2 6 4 2 2 3 2" xfId="5249"/>
    <cellStyle name="Standaard 2 6 4 2 2 3 2 2" xfId="14326"/>
    <cellStyle name="Standaard 2 6 4 2 2 3 2 2 2" xfId="23410"/>
    <cellStyle name="Standaard 2 6 4 2 2 3 2 3" xfId="23411"/>
    <cellStyle name="Standaard 2 6 4 2 2 3 3" xfId="14325"/>
    <cellStyle name="Standaard 2 6 4 2 2 3 3 2" xfId="23412"/>
    <cellStyle name="Standaard 2 6 4 2 2 3 4" xfId="23413"/>
    <cellStyle name="Standaard 2 6 4 2 2 4" xfId="4232"/>
    <cellStyle name="Standaard 2 6 4 2 2 4 2" xfId="14327"/>
    <cellStyle name="Standaard 2 6 4 2 2 4 2 2" xfId="23414"/>
    <cellStyle name="Standaard 2 6 4 2 2 4 3" xfId="23415"/>
    <cellStyle name="Standaard 2 6 4 2 2 5" xfId="9486"/>
    <cellStyle name="Standaard 2 6 4 2 2 5 2" xfId="23416"/>
    <cellStyle name="Standaard 2 6 4 2 2 6" xfId="23417"/>
    <cellStyle name="Standaard 2 6 4 2 3" xfId="2459"/>
    <cellStyle name="Standaard 2 6 4 2 3 2" xfId="3476"/>
    <cellStyle name="Standaard 2 6 4 2 3 2 2" xfId="5510"/>
    <cellStyle name="Standaard 2 6 4 2 3 2 2 2" xfId="14329"/>
    <cellStyle name="Standaard 2 6 4 2 3 2 2 2 2" xfId="23418"/>
    <cellStyle name="Standaard 2 6 4 2 3 2 2 3" xfId="23419"/>
    <cellStyle name="Standaard 2 6 4 2 3 2 3" xfId="14328"/>
    <cellStyle name="Standaard 2 6 4 2 3 2 3 2" xfId="23420"/>
    <cellStyle name="Standaard 2 6 4 2 3 2 4" xfId="23421"/>
    <cellStyle name="Standaard 2 6 4 2 3 3" xfId="4493"/>
    <cellStyle name="Standaard 2 6 4 2 3 3 2" xfId="14330"/>
    <cellStyle name="Standaard 2 6 4 2 3 3 2 2" xfId="23422"/>
    <cellStyle name="Standaard 2 6 4 2 3 3 3" xfId="23423"/>
    <cellStyle name="Standaard 2 6 4 2 3 4" xfId="9488"/>
    <cellStyle name="Standaard 2 6 4 2 3 4 2" xfId="23424"/>
    <cellStyle name="Standaard 2 6 4 2 3 5" xfId="23425"/>
    <cellStyle name="Standaard 2 6 4 2 4" xfId="2963"/>
    <cellStyle name="Standaard 2 6 4 2 4 2" xfId="4997"/>
    <cellStyle name="Standaard 2 6 4 2 4 2 2" xfId="14332"/>
    <cellStyle name="Standaard 2 6 4 2 4 2 2 2" xfId="23426"/>
    <cellStyle name="Standaard 2 6 4 2 4 2 3" xfId="23427"/>
    <cellStyle name="Standaard 2 6 4 2 4 3" xfId="14331"/>
    <cellStyle name="Standaard 2 6 4 2 4 3 2" xfId="23428"/>
    <cellStyle name="Standaard 2 6 4 2 4 4" xfId="23429"/>
    <cellStyle name="Standaard 2 6 4 2 5" xfId="3980"/>
    <cellStyle name="Standaard 2 6 4 2 5 2" xfId="14333"/>
    <cellStyle name="Standaard 2 6 4 2 5 2 2" xfId="23430"/>
    <cellStyle name="Standaard 2 6 4 2 5 3" xfId="23431"/>
    <cellStyle name="Standaard 2 6 4 2 6" xfId="9485"/>
    <cellStyle name="Standaard 2 6 4 2 6 2" xfId="23432"/>
    <cellStyle name="Standaard 2 6 4 2 7" xfId="23433"/>
    <cellStyle name="Standaard 2 6 4 3" xfId="2041"/>
    <cellStyle name="Standaard 2 6 4 3 2" xfId="2585"/>
    <cellStyle name="Standaard 2 6 4 3 2 2" xfId="3602"/>
    <cellStyle name="Standaard 2 6 4 3 2 2 2" xfId="5636"/>
    <cellStyle name="Standaard 2 6 4 3 2 2 2 2" xfId="14335"/>
    <cellStyle name="Standaard 2 6 4 3 2 2 2 2 2" xfId="23434"/>
    <cellStyle name="Standaard 2 6 4 3 2 2 2 3" xfId="23435"/>
    <cellStyle name="Standaard 2 6 4 3 2 2 3" xfId="14334"/>
    <cellStyle name="Standaard 2 6 4 3 2 2 3 2" xfId="23436"/>
    <cellStyle name="Standaard 2 6 4 3 2 2 4" xfId="23437"/>
    <cellStyle name="Standaard 2 6 4 3 2 3" xfId="4619"/>
    <cellStyle name="Standaard 2 6 4 3 2 3 2" xfId="14336"/>
    <cellStyle name="Standaard 2 6 4 3 2 3 2 2" xfId="23438"/>
    <cellStyle name="Standaard 2 6 4 3 2 3 3" xfId="23439"/>
    <cellStyle name="Standaard 2 6 4 3 2 4" xfId="9490"/>
    <cellStyle name="Standaard 2 6 4 3 2 4 2" xfId="23440"/>
    <cellStyle name="Standaard 2 6 4 3 2 5" xfId="23441"/>
    <cellStyle name="Standaard 2 6 4 3 3" xfId="3089"/>
    <cellStyle name="Standaard 2 6 4 3 3 2" xfId="5123"/>
    <cellStyle name="Standaard 2 6 4 3 3 2 2" xfId="14338"/>
    <cellStyle name="Standaard 2 6 4 3 3 2 2 2" xfId="23442"/>
    <cellStyle name="Standaard 2 6 4 3 3 2 3" xfId="23443"/>
    <cellStyle name="Standaard 2 6 4 3 3 3" xfId="14337"/>
    <cellStyle name="Standaard 2 6 4 3 3 3 2" xfId="23444"/>
    <cellStyle name="Standaard 2 6 4 3 3 4" xfId="23445"/>
    <cellStyle name="Standaard 2 6 4 3 4" xfId="4106"/>
    <cellStyle name="Standaard 2 6 4 3 4 2" xfId="14339"/>
    <cellStyle name="Standaard 2 6 4 3 4 2 2" xfId="23446"/>
    <cellStyle name="Standaard 2 6 4 3 4 3" xfId="23447"/>
    <cellStyle name="Standaard 2 6 4 3 5" xfId="9489"/>
    <cellStyle name="Standaard 2 6 4 3 5 2" xfId="23448"/>
    <cellStyle name="Standaard 2 6 4 3 6" xfId="23449"/>
    <cellStyle name="Standaard 2 6 4 4" xfId="2333"/>
    <cellStyle name="Standaard 2 6 4 4 2" xfId="3350"/>
    <cellStyle name="Standaard 2 6 4 4 2 2" xfId="5384"/>
    <cellStyle name="Standaard 2 6 4 4 2 2 2" xfId="14341"/>
    <cellStyle name="Standaard 2 6 4 4 2 2 2 2" xfId="23450"/>
    <cellStyle name="Standaard 2 6 4 4 2 2 3" xfId="23451"/>
    <cellStyle name="Standaard 2 6 4 4 2 3" xfId="14340"/>
    <cellStyle name="Standaard 2 6 4 4 2 3 2" xfId="23452"/>
    <cellStyle name="Standaard 2 6 4 4 2 4" xfId="23453"/>
    <cellStyle name="Standaard 2 6 4 4 3" xfId="4367"/>
    <cellStyle name="Standaard 2 6 4 4 3 2" xfId="14342"/>
    <cellStyle name="Standaard 2 6 4 4 3 2 2" xfId="23454"/>
    <cellStyle name="Standaard 2 6 4 4 3 3" xfId="23455"/>
    <cellStyle name="Standaard 2 6 4 4 4" xfId="9491"/>
    <cellStyle name="Standaard 2 6 4 4 4 2" xfId="23456"/>
    <cellStyle name="Standaard 2 6 4 4 5" xfId="23457"/>
    <cellStyle name="Standaard 2 6 4 5" xfId="2837"/>
    <cellStyle name="Standaard 2 6 4 5 2" xfId="4871"/>
    <cellStyle name="Standaard 2 6 4 5 2 2" xfId="14344"/>
    <cellStyle name="Standaard 2 6 4 5 2 2 2" xfId="23458"/>
    <cellStyle name="Standaard 2 6 4 5 2 3" xfId="23459"/>
    <cellStyle name="Standaard 2 6 4 5 3" xfId="14343"/>
    <cellStyle name="Standaard 2 6 4 5 3 2" xfId="23460"/>
    <cellStyle name="Standaard 2 6 4 5 4" xfId="23461"/>
    <cellStyle name="Standaard 2 6 4 6" xfId="3854"/>
    <cellStyle name="Standaard 2 6 4 6 2" xfId="14345"/>
    <cellStyle name="Standaard 2 6 4 6 2 2" xfId="23462"/>
    <cellStyle name="Standaard 2 6 4 6 3" xfId="23463"/>
    <cellStyle name="Standaard 2 6 4 7" xfId="9484"/>
    <cellStyle name="Standaard 2 6 4 7 2" xfId="23464"/>
    <cellStyle name="Standaard 2 6 4 8" xfId="23465"/>
    <cellStyle name="Standaard 2 6 5" xfId="1831"/>
    <cellStyle name="Standaard 2 6 5 2" xfId="1957"/>
    <cellStyle name="Standaard 2 6 5 2 2" xfId="2209"/>
    <cellStyle name="Standaard 2 6 5 2 2 2" xfId="2753"/>
    <cellStyle name="Standaard 2 6 5 2 2 2 2" xfId="3770"/>
    <cellStyle name="Standaard 2 6 5 2 2 2 2 2" xfId="5804"/>
    <cellStyle name="Standaard 2 6 5 2 2 2 2 2 2" xfId="14347"/>
    <cellStyle name="Standaard 2 6 5 2 2 2 2 2 2 2" xfId="23466"/>
    <cellStyle name="Standaard 2 6 5 2 2 2 2 2 3" xfId="23467"/>
    <cellStyle name="Standaard 2 6 5 2 2 2 2 3" xfId="14346"/>
    <cellStyle name="Standaard 2 6 5 2 2 2 2 3 2" xfId="23468"/>
    <cellStyle name="Standaard 2 6 5 2 2 2 2 4" xfId="23469"/>
    <cellStyle name="Standaard 2 6 5 2 2 2 3" xfId="4787"/>
    <cellStyle name="Standaard 2 6 5 2 2 2 3 2" xfId="14348"/>
    <cellStyle name="Standaard 2 6 5 2 2 2 3 2 2" xfId="23470"/>
    <cellStyle name="Standaard 2 6 5 2 2 2 3 3" xfId="23471"/>
    <cellStyle name="Standaard 2 6 5 2 2 2 4" xfId="9495"/>
    <cellStyle name="Standaard 2 6 5 2 2 2 4 2" xfId="23472"/>
    <cellStyle name="Standaard 2 6 5 2 2 2 5" xfId="23473"/>
    <cellStyle name="Standaard 2 6 5 2 2 3" xfId="3257"/>
    <cellStyle name="Standaard 2 6 5 2 2 3 2" xfId="5291"/>
    <cellStyle name="Standaard 2 6 5 2 2 3 2 2" xfId="14350"/>
    <cellStyle name="Standaard 2 6 5 2 2 3 2 2 2" xfId="23474"/>
    <cellStyle name="Standaard 2 6 5 2 2 3 2 3" xfId="23475"/>
    <cellStyle name="Standaard 2 6 5 2 2 3 3" xfId="14349"/>
    <cellStyle name="Standaard 2 6 5 2 2 3 3 2" xfId="23476"/>
    <cellStyle name="Standaard 2 6 5 2 2 3 4" xfId="23477"/>
    <cellStyle name="Standaard 2 6 5 2 2 4" xfId="4274"/>
    <cellStyle name="Standaard 2 6 5 2 2 4 2" xfId="14351"/>
    <cellStyle name="Standaard 2 6 5 2 2 4 2 2" xfId="23478"/>
    <cellStyle name="Standaard 2 6 5 2 2 4 3" xfId="23479"/>
    <cellStyle name="Standaard 2 6 5 2 2 5" xfId="9494"/>
    <cellStyle name="Standaard 2 6 5 2 2 5 2" xfId="23480"/>
    <cellStyle name="Standaard 2 6 5 2 2 6" xfId="23481"/>
    <cellStyle name="Standaard 2 6 5 2 3" xfId="2501"/>
    <cellStyle name="Standaard 2 6 5 2 3 2" xfId="3518"/>
    <cellStyle name="Standaard 2 6 5 2 3 2 2" xfId="5552"/>
    <cellStyle name="Standaard 2 6 5 2 3 2 2 2" xfId="14353"/>
    <cellStyle name="Standaard 2 6 5 2 3 2 2 2 2" xfId="23482"/>
    <cellStyle name="Standaard 2 6 5 2 3 2 2 3" xfId="23483"/>
    <cellStyle name="Standaard 2 6 5 2 3 2 3" xfId="14352"/>
    <cellStyle name="Standaard 2 6 5 2 3 2 3 2" xfId="23484"/>
    <cellStyle name="Standaard 2 6 5 2 3 2 4" xfId="23485"/>
    <cellStyle name="Standaard 2 6 5 2 3 3" xfId="4535"/>
    <cellStyle name="Standaard 2 6 5 2 3 3 2" xfId="14354"/>
    <cellStyle name="Standaard 2 6 5 2 3 3 2 2" xfId="23486"/>
    <cellStyle name="Standaard 2 6 5 2 3 3 3" xfId="23487"/>
    <cellStyle name="Standaard 2 6 5 2 3 4" xfId="9496"/>
    <cellStyle name="Standaard 2 6 5 2 3 4 2" xfId="23488"/>
    <cellStyle name="Standaard 2 6 5 2 3 5" xfId="23489"/>
    <cellStyle name="Standaard 2 6 5 2 4" xfId="3005"/>
    <cellStyle name="Standaard 2 6 5 2 4 2" xfId="5039"/>
    <cellStyle name="Standaard 2 6 5 2 4 2 2" xfId="14356"/>
    <cellStyle name="Standaard 2 6 5 2 4 2 2 2" xfId="23490"/>
    <cellStyle name="Standaard 2 6 5 2 4 2 3" xfId="23491"/>
    <cellStyle name="Standaard 2 6 5 2 4 3" xfId="14355"/>
    <cellStyle name="Standaard 2 6 5 2 4 3 2" xfId="23492"/>
    <cellStyle name="Standaard 2 6 5 2 4 4" xfId="23493"/>
    <cellStyle name="Standaard 2 6 5 2 5" xfId="4022"/>
    <cellStyle name="Standaard 2 6 5 2 5 2" xfId="14357"/>
    <cellStyle name="Standaard 2 6 5 2 5 2 2" xfId="23494"/>
    <cellStyle name="Standaard 2 6 5 2 5 3" xfId="23495"/>
    <cellStyle name="Standaard 2 6 5 2 6" xfId="9493"/>
    <cellStyle name="Standaard 2 6 5 2 6 2" xfId="23496"/>
    <cellStyle name="Standaard 2 6 5 2 7" xfId="23497"/>
    <cellStyle name="Standaard 2 6 5 3" xfId="2083"/>
    <cellStyle name="Standaard 2 6 5 3 2" xfId="2627"/>
    <cellStyle name="Standaard 2 6 5 3 2 2" xfId="3644"/>
    <cellStyle name="Standaard 2 6 5 3 2 2 2" xfId="5678"/>
    <cellStyle name="Standaard 2 6 5 3 2 2 2 2" xfId="14359"/>
    <cellStyle name="Standaard 2 6 5 3 2 2 2 2 2" xfId="23498"/>
    <cellStyle name="Standaard 2 6 5 3 2 2 2 3" xfId="23499"/>
    <cellStyle name="Standaard 2 6 5 3 2 2 3" xfId="14358"/>
    <cellStyle name="Standaard 2 6 5 3 2 2 3 2" xfId="23500"/>
    <cellStyle name="Standaard 2 6 5 3 2 2 4" xfId="23501"/>
    <cellStyle name="Standaard 2 6 5 3 2 3" xfId="4661"/>
    <cellStyle name="Standaard 2 6 5 3 2 3 2" xfId="14360"/>
    <cellStyle name="Standaard 2 6 5 3 2 3 2 2" xfId="23502"/>
    <cellStyle name="Standaard 2 6 5 3 2 3 3" xfId="23503"/>
    <cellStyle name="Standaard 2 6 5 3 2 4" xfId="9498"/>
    <cellStyle name="Standaard 2 6 5 3 2 4 2" xfId="23504"/>
    <cellStyle name="Standaard 2 6 5 3 2 5" xfId="23505"/>
    <cellStyle name="Standaard 2 6 5 3 3" xfId="3131"/>
    <cellStyle name="Standaard 2 6 5 3 3 2" xfId="5165"/>
    <cellStyle name="Standaard 2 6 5 3 3 2 2" xfId="14362"/>
    <cellStyle name="Standaard 2 6 5 3 3 2 2 2" xfId="23506"/>
    <cellStyle name="Standaard 2 6 5 3 3 2 3" xfId="23507"/>
    <cellStyle name="Standaard 2 6 5 3 3 3" xfId="14361"/>
    <cellStyle name="Standaard 2 6 5 3 3 3 2" xfId="23508"/>
    <cellStyle name="Standaard 2 6 5 3 3 4" xfId="23509"/>
    <cellStyle name="Standaard 2 6 5 3 4" xfId="4148"/>
    <cellStyle name="Standaard 2 6 5 3 4 2" xfId="14363"/>
    <cellStyle name="Standaard 2 6 5 3 4 2 2" xfId="23510"/>
    <cellStyle name="Standaard 2 6 5 3 4 3" xfId="23511"/>
    <cellStyle name="Standaard 2 6 5 3 5" xfId="9497"/>
    <cellStyle name="Standaard 2 6 5 3 5 2" xfId="23512"/>
    <cellStyle name="Standaard 2 6 5 3 6" xfId="23513"/>
    <cellStyle name="Standaard 2 6 5 4" xfId="2375"/>
    <cellStyle name="Standaard 2 6 5 4 2" xfId="3392"/>
    <cellStyle name="Standaard 2 6 5 4 2 2" xfId="5426"/>
    <cellStyle name="Standaard 2 6 5 4 2 2 2" xfId="14365"/>
    <cellStyle name="Standaard 2 6 5 4 2 2 2 2" xfId="23514"/>
    <cellStyle name="Standaard 2 6 5 4 2 2 3" xfId="23515"/>
    <cellStyle name="Standaard 2 6 5 4 2 3" xfId="14364"/>
    <cellStyle name="Standaard 2 6 5 4 2 3 2" xfId="23516"/>
    <cellStyle name="Standaard 2 6 5 4 2 4" xfId="23517"/>
    <cellStyle name="Standaard 2 6 5 4 3" xfId="4409"/>
    <cellStyle name="Standaard 2 6 5 4 3 2" xfId="14366"/>
    <cellStyle name="Standaard 2 6 5 4 3 2 2" xfId="23518"/>
    <cellStyle name="Standaard 2 6 5 4 3 3" xfId="23519"/>
    <cellStyle name="Standaard 2 6 5 4 4" xfId="9499"/>
    <cellStyle name="Standaard 2 6 5 4 4 2" xfId="23520"/>
    <cellStyle name="Standaard 2 6 5 4 5" xfId="23521"/>
    <cellStyle name="Standaard 2 6 5 5" xfId="2879"/>
    <cellStyle name="Standaard 2 6 5 5 2" xfId="4913"/>
    <cellStyle name="Standaard 2 6 5 5 2 2" xfId="14368"/>
    <cellStyle name="Standaard 2 6 5 5 2 2 2" xfId="23522"/>
    <cellStyle name="Standaard 2 6 5 5 2 3" xfId="23523"/>
    <cellStyle name="Standaard 2 6 5 5 3" xfId="14367"/>
    <cellStyle name="Standaard 2 6 5 5 3 2" xfId="23524"/>
    <cellStyle name="Standaard 2 6 5 5 4" xfId="23525"/>
    <cellStyle name="Standaard 2 6 5 6" xfId="3896"/>
    <cellStyle name="Standaard 2 6 5 6 2" xfId="14369"/>
    <cellStyle name="Standaard 2 6 5 6 2 2" xfId="23526"/>
    <cellStyle name="Standaard 2 6 5 6 3" xfId="23527"/>
    <cellStyle name="Standaard 2 6 5 7" xfId="9492"/>
    <cellStyle name="Standaard 2 6 5 7 2" xfId="23528"/>
    <cellStyle name="Standaard 2 6 5 8" xfId="23529"/>
    <cellStyle name="Standaard 2 6 6" xfId="1873"/>
    <cellStyle name="Standaard 2 6 6 2" xfId="2125"/>
    <cellStyle name="Standaard 2 6 6 2 2" xfId="2669"/>
    <cellStyle name="Standaard 2 6 6 2 2 2" xfId="3686"/>
    <cellStyle name="Standaard 2 6 6 2 2 2 2" xfId="5720"/>
    <cellStyle name="Standaard 2 6 6 2 2 2 2 2" xfId="14371"/>
    <cellStyle name="Standaard 2 6 6 2 2 2 2 2 2" xfId="23530"/>
    <cellStyle name="Standaard 2 6 6 2 2 2 2 3" xfId="23531"/>
    <cellStyle name="Standaard 2 6 6 2 2 2 3" xfId="14370"/>
    <cellStyle name="Standaard 2 6 6 2 2 2 3 2" xfId="23532"/>
    <cellStyle name="Standaard 2 6 6 2 2 2 4" xfId="23533"/>
    <cellStyle name="Standaard 2 6 6 2 2 3" xfId="4703"/>
    <cellStyle name="Standaard 2 6 6 2 2 3 2" xfId="14372"/>
    <cellStyle name="Standaard 2 6 6 2 2 3 2 2" xfId="23534"/>
    <cellStyle name="Standaard 2 6 6 2 2 3 3" xfId="23535"/>
    <cellStyle name="Standaard 2 6 6 2 2 4" xfId="9502"/>
    <cellStyle name="Standaard 2 6 6 2 2 4 2" xfId="23536"/>
    <cellStyle name="Standaard 2 6 6 2 2 5" xfId="23537"/>
    <cellStyle name="Standaard 2 6 6 2 3" xfId="3173"/>
    <cellStyle name="Standaard 2 6 6 2 3 2" xfId="5207"/>
    <cellStyle name="Standaard 2 6 6 2 3 2 2" xfId="14374"/>
    <cellStyle name="Standaard 2 6 6 2 3 2 2 2" xfId="23538"/>
    <cellStyle name="Standaard 2 6 6 2 3 2 3" xfId="23539"/>
    <cellStyle name="Standaard 2 6 6 2 3 3" xfId="14373"/>
    <cellStyle name="Standaard 2 6 6 2 3 3 2" xfId="23540"/>
    <cellStyle name="Standaard 2 6 6 2 3 4" xfId="23541"/>
    <cellStyle name="Standaard 2 6 6 2 4" xfId="4190"/>
    <cellStyle name="Standaard 2 6 6 2 4 2" xfId="14375"/>
    <cellStyle name="Standaard 2 6 6 2 4 2 2" xfId="23542"/>
    <cellStyle name="Standaard 2 6 6 2 4 3" xfId="23543"/>
    <cellStyle name="Standaard 2 6 6 2 5" xfId="9501"/>
    <cellStyle name="Standaard 2 6 6 2 5 2" xfId="23544"/>
    <cellStyle name="Standaard 2 6 6 2 6" xfId="23545"/>
    <cellStyle name="Standaard 2 6 6 3" xfId="2417"/>
    <cellStyle name="Standaard 2 6 6 3 2" xfId="3434"/>
    <cellStyle name="Standaard 2 6 6 3 2 2" xfId="5468"/>
    <cellStyle name="Standaard 2 6 6 3 2 2 2" xfId="14377"/>
    <cellStyle name="Standaard 2 6 6 3 2 2 2 2" xfId="23546"/>
    <cellStyle name="Standaard 2 6 6 3 2 2 3" xfId="23547"/>
    <cellStyle name="Standaard 2 6 6 3 2 3" xfId="14376"/>
    <cellStyle name="Standaard 2 6 6 3 2 3 2" xfId="23548"/>
    <cellStyle name="Standaard 2 6 6 3 2 4" xfId="23549"/>
    <cellStyle name="Standaard 2 6 6 3 3" xfId="4451"/>
    <cellStyle name="Standaard 2 6 6 3 3 2" xfId="14378"/>
    <cellStyle name="Standaard 2 6 6 3 3 2 2" xfId="23550"/>
    <cellStyle name="Standaard 2 6 6 3 3 3" xfId="23551"/>
    <cellStyle name="Standaard 2 6 6 3 4" xfId="9503"/>
    <cellStyle name="Standaard 2 6 6 3 4 2" xfId="23552"/>
    <cellStyle name="Standaard 2 6 6 3 5" xfId="23553"/>
    <cellStyle name="Standaard 2 6 6 4" xfId="2921"/>
    <cellStyle name="Standaard 2 6 6 4 2" xfId="4955"/>
    <cellStyle name="Standaard 2 6 6 4 2 2" xfId="14380"/>
    <cellStyle name="Standaard 2 6 6 4 2 2 2" xfId="23554"/>
    <cellStyle name="Standaard 2 6 6 4 2 3" xfId="23555"/>
    <cellStyle name="Standaard 2 6 6 4 3" xfId="14379"/>
    <cellStyle name="Standaard 2 6 6 4 3 2" xfId="23556"/>
    <cellStyle name="Standaard 2 6 6 4 4" xfId="23557"/>
    <cellStyle name="Standaard 2 6 6 5" xfId="3938"/>
    <cellStyle name="Standaard 2 6 6 5 2" xfId="14381"/>
    <cellStyle name="Standaard 2 6 6 5 2 2" xfId="23558"/>
    <cellStyle name="Standaard 2 6 6 5 3" xfId="23559"/>
    <cellStyle name="Standaard 2 6 6 6" xfId="9500"/>
    <cellStyle name="Standaard 2 6 6 6 2" xfId="23560"/>
    <cellStyle name="Standaard 2 6 6 7" xfId="23561"/>
    <cellStyle name="Standaard 2 6 7" xfId="1999"/>
    <cellStyle name="Standaard 2 6 7 2" xfId="2543"/>
    <cellStyle name="Standaard 2 6 7 2 2" xfId="3560"/>
    <cellStyle name="Standaard 2 6 7 2 2 2" xfId="5594"/>
    <cellStyle name="Standaard 2 6 7 2 2 2 2" xfId="14383"/>
    <cellStyle name="Standaard 2 6 7 2 2 2 2 2" xfId="23562"/>
    <cellStyle name="Standaard 2 6 7 2 2 2 3" xfId="23563"/>
    <cellStyle name="Standaard 2 6 7 2 2 3" xfId="14382"/>
    <cellStyle name="Standaard 2 6 7 2 2 3 2" xfId="23564"/>
    <cellStyle name="Standaard 2 6 7 2 2 4" xfId="23565"/>
    <cellStyle name="Standaard 2 6 7 2 3" xfId="4577"/>
    <cellStyle name="Standaard 2 6 7 2 3 2" xfId="14384"/>
    <cellStyle name="Standaard 2 6 7 2 3 2 2" xfId="23566"/>
    <cellStyle name="Standaard 2 6 7 2 3 3" xfId="23567"/>
    <cellStyle name="Standaard 2 6 7 2 4" xfId="9505"/>
    <cellStyle name="Standaard 2 6 7 2 4 2" xfId="23568"/>
    <cellStyle name="Standaard 2 6 7 2 5" xfId="23569"/>
    <cellStyle name="Standaard 2 6 7 3" xfId="3047"/>
    <cellStyle name="Standaard 2 6 7 3 2" xfId="5081"/>
    <cellStyle name="Standaard 2 6 7 3 2 2" xfId="14386"/>
    <cellStyle name="Standaard 2 6 7 3 2 2 2" xfId="23570"/>
    <cellStyle name="Standaard 2 6 7 3 2 3" xfId="23571"/>
    <cellStyle name="Standaard 2 6 7 3 3" xfId="14385"/>
    <cellStyle name="Standaard 2 6 7 3 3 2" xfId="23572"/>
    <cellStyle name="Standaard 2 6 7 3 4" xfId="23573"/>
    <cellStyle name="Standaard 2 6 7 4" xfId="4064"/>
    <cellStyle name="Standaard 2 6 7 4 2" xfId="14387"/>
    <cellStyle name="Standaard 2 6 7 4 2 2" xfId="23574"/>
    <cellStyle name="Standaard 2 6 7 4 3" xfId="23575"/>
    <cellStyle name="Standaard 2 6 7 5" xfId="9504"/>
    <cellStyle name="Standaard 2 6 7 5 2" xfId="23576"/>
    <cellStyle name="Standaard 2 6 7 6" xfId="23577"/>
    <cellStyle name="Standaard 2 6 8" xfId="2291"/>
    <cellStyle name="Standaard 2 6 8 2" xfId="3308"/>
    <cellStyle name="Standaard 2 6 8 2 2" xfId="5342"/>
    <cellStyle name="Standaard 2 6 8 2 2 2" xfId="14389"/>
    <cellStyle name="Standaard 2 6 8 2 2 2 2" xfId="23578"/>
    <cellStyle name="Standaard 2 6 8 2 2 3" xfId="23579"/>
    <cellStyle name="Standaard 2 6 8 2 3" xfId="14388"/>
    <cellStyle name="Standaard 2 6 8 2 3 2" xfId="23580"/>
    <cellStyle name="Standaard 2 6 8 2 4" xfId="23581"/>
    <cellStyle name="Standaard 2 6 8 3" xfId="4325"/>
    <cellStyle name="Standaard 2 6 8 3 2" xfId="14390"/>
    <cellStyle name="Standaard 2 6 8 3 2 2" xfId="23582"/>
    <cellStyle name="Standaard 2 6 8 3 3" xfId="23583"/>
    <cellStyle name="Standaard 2 6 8 4" xfId="9506"/>
    <cellStyle name="Standaard 2 6 8 4 2" xfId="23584"/>
    <cellStyle name="Standaard 2 6 8 5" xfId="23585"/>
    <cellStyle name="Standaard 2 6 9" xfId="2795"/>
    <cellStyle name="Standaard 2 6 9 2" xfId="4829"/>
    <cellStyle name="Standaard 2 6 9 2 2" xfId="14392"/>
    <cellStyle name="Standaard 2 6 9 2 2 2" xfId="23586"/>
    <cellStyle name="Standaard 2 6 9 2 3" xfId="23587"/>
    <cellStyle name="Standaard 2 6 9 3" xfId="14391"/>
    <cellStyle name="Standaard 2 6 9 3 2" xfId="23588"/>
    <cellStyle name="Standaard 2 6 9 4" xfId="23589"/>
    <cellStyle name="Standaard 2 7" xfId="1753"/>
    <cellStyle name="Standaard 2 7 10" xfId="23590"/>
    <cellStyle name="Standaard 2 7 2" xfId="1797"/>
    <cellStyle name="Standaard 2 7 2 2" xfId="1923"/>
    <cellStyle name="Standaard 2 7 2 2 2" xfId="2175"/>
    <cellStyle name="Standaard 2 7 2 2 2 2" xfId="2719"/>
    <cellStyle name="Standaard 2 7 2 2 2 2 2" xfId="3736"/>
    <cellStyle name="Standaard 2 7 2 2 2 2 2 2" xfId="5770"/>
    <cellStyle name="Standaard 2 7 2 2 2 2 2 2 2" xfId="14394"/>
    <cellStyle name="Standaard 2 7 2 2 2 2 2 2 2 2" xfId="23591"/>
    <cellStyle name="Standaard 2 7 2 2 2 2 2 2 3" xfId="23592"/>
    <cellStyle name="Standaard 2 7 2 2 2 2 2 3" xfId="14393"/>
    <cellStyle name="Standaard 2 7 2 2 2 2 2 3 2" xfId="23593"/>
    <cellStyle name="Standaard 2 7 2 2 2 2 2 4" xfId="23594"/>
    <cellStyle name="Standaard 2 7 2 2 2 2 3" xfId="4753"/>
    <cellStyle name="Standaard 2 7 2 2 2 2 3 2" xfId="14395"/>
    <cellStyle name="Standaard 2 7 2 2 2 2 3 2 2" xfId="23595"/>
    <cellStyle name="Standaard 2 7 2 2 2 2 3 3" xfId="23596"/>
    <cellStyle name="Standaard 2 7 2 2 2 2 4" xfId="9511"/>
    <cellStyle name="Standaard 2 7 2 2 2 2 4 2" xfId="23597"/>
    <cellStyle name="Standaard 2 7 2 2 2 2 5" xfId="23598"/>
    <cellStyle name="Standaard 2 7 2 2 2 3" xfId="3223"/>
    <cellStyle name="Standaard 2 7 2 2 2 3 2" xfId="5257"/>
    <cellStyle name="Standaard 2 7 2 2 2 3 2 2" xfId="14397"/>
    <cellStyle name="Standaard 2 7 2 2 2 3 2 2 2" xfId="23599"/>
    <cellStyle name="Standaard 2 7 2 2 2 3 2 3" xfId="23600"/>
    <cellStyle name="Standaard 2 7 2 2 2 3 3" xfId="14396"/>
    <cellStyle name="Standaard 2 7 2 2 2 3 3 2" xfId="23601"/>
    <cellStyle name="Standaard 2 7 2 2 2 3 4" xfId="23602"/>
    <cellStyle name="Standaard 2 7 2 2 2 4" xfId="4240"/>
    <cellStyle name="Standaard 2 7 2 2 2 4 2" xfId="14398"/>
    <cellStyle name="Standaard 2 7 2 2 2 4 2 2" xfId="23603"/>
    <cellStyle name="Standaard 2 7 2 2 2 4 3" xfId="23604"/>
    <cellStyle name="Standaard 2 7 2 2 2 5" xfId="9510"/>
    <cellStyle name="Standaard 2 7 2 2 2 5 2" xfId="23605"/>
    <cellStyle name="Standaard 2 7 2 2 2 6" xfId="23606"/>
    <cellStyle name="Standaard 2 7 2 2 3" xfId="2467"/>
    <cellStyle name="Standaard 2 7 2 2 3 2" xfId="3484"/>
    <cellStyle name="Standaard 2 7 2 2 3 2 2" xfId="5518"/>
    <cellStyle name="Standaard 2 7 2 2 3 2 2 2" xfId="14400"/>
    <cellStyle name="Standaard 2 7 2 2 3 2 2 2 2" xfId="23607"/>
    <cellStyle name="Standaard 2 7 2 2 3 2 2 3" xfId="23608"/>
    <cellStyle name="Standaard 2 7 2 2 3 2 3" xfId="14399"/>
    <cellStyle name="Standaard 2 7 2 2 3 2 3 2" xfId="23609"/>
    <cellStyle name="Standaard 2 7 2 2 3 2 4" xfId="23610"/>
    <cellStyle name="Standaard 2 7 2 2 3 3" xfId="4501"/>
    <cellStyle name="Standaard 2 7 2 2 3 3 2" xfId="14401"/>
    <cellStyle name="Standaard 2 7 2 2 3 3 2 2" xfId="23611"/>
    <cellStyle name="Standaard 2 7 2 2 3 3 3" xfId="23612"/>
    <cellStyle name="Standaard 2 7 2 2 3 4" xfId="9512"/>
    <cellStyle name="Standaard 2 7 2 2 3 4 2" xfId="23613"/>
    <cellStyle name="Standaard 2 7 2 2 3 5" xfId="23614"/>
    <cellStyle name="Standaard 2 7 2 2 4" xfId="2971"/>
    <cellStyle name="Standaard 2 7 2 2 4 2" xfId="5005"/>
    <cellStyle name="Standaard 2 7 2 2 4 2 2" xfId="14403"/>
    <cellStyle name="Standaard 2 7 2 2 4 2 2 2" xfId="23615"/>
    <cellStyle name="Standaard 2 7 2 2 4 2 3" xfId="23616"/>
    <cellStyle name="Standaard 2 7 2 2 4 3" xfId="14402"/>
    <cellStyle name="Standaard 2 7 2 2 4 3 2" xfId="23617"/>
    <cellStyle name="Standaard 2 7 2 2 4 4" xfId="23618"/>
    <cellStyle name="Standaard 2 7 2 2 5" xfId="3988"/>
    <cellStyle name="Standaard 2 7 2 2 5 2" xfId="14404"/>
    <cellStyle name="Standaard 2 7 2 2 5 2 2" xfId="23619"/>
    <cellStyle name="Standaard 2 7 2 2 5 3" xfId="23620"/>
    <cellStyle name="Standaard 2 7 2 2 6" xfId="9509"/>
    <cellStyle name="Standaard 2 7 2 2 6 2" xfId="23621"/>
    <cellStyle name="Standaard 2 7 2 2 7" xfId="23622"/>
    <cellStyle name="Standaard 2 7 2 3" xfId="2049"/>
    <cellStyle name="Standaard 2 7 2 3 2" xfId="2593"/>
    <cellStyle name="Standaard 2 7 2 3 2 2" xfId="3610"/>
    <cellStyle name="Standaard 2 7 2 3 2 2 2" xfId="5644"/>
    <cellStyle name="Standaard 2 7 2 3 2 2 2 2" xfId="14406"/>
    <cellStyle name="Standaard 2 7 2 3 2 2 2 2 2" xfId="23623"/>
    <cellStyle name="Standaard 2 7 2 3 2 2 2 3" xfId="23624"/>
    <cellStyle name="Standaard 2 7 2 3 2 2 3" xfId="14405"/>
    <cellStyle name="Standaard 2 7 2 3 2 2 3 2" xfId="23625"/>
    <cellStyle name="Standaard 2 7 2 3 2 2 4" xfId="23626"/>
    <cellStyle name="Standaard 2 7 2 3 2 3" xfId="4627"/>
    <cellStyle name="Standaard 2 7 2 3 2 3 2" xfId="14407"/>
    <cellStyle name="Standaard 2 7 2 3 2 3 2 2" xfId="23627"/>
    <cellStyle name="Standaard 2 7 2 3 2 3 3" xfId="23628"/>
    <cellStyle name="Standaard 2 7 2 3 2 4" xfId="9514"/>
    <cellStyle name="Standaard 2 7 2 3 2 4 2" xfId="23629"/>
    <cellStyle name="Standaard 2 7 2 3 2 5" xfId="23630"/>
    <cellStyle name="Standaard 2 7 2 3 3" xfId="3097"/>
    <cellStyle name="Standaard 2 7 2 3 3 2" xfId="5131"/>
    <cellStyle name="Standaard 2 7 2 3 3 2 2" xfId="14409"/>
    <cellStyle name="Standaard 2 7 2 3 3 2 2 2" xfId="23631"/>
    <cellStyle name="Standaard 2 7 2 3 3 2 3" xfId="23632"/>
    <cellStyle name="Standaard 2 7 2 3 3 3" xfId="14408"/>
    <cellStyle name="Standaard 2 7 2 3 3 3 2" xfId="23633"/>
    <cellStyle name="Standaard 2 7 2 3 3 4" xfId="23634"/>
    <cellStyle name="Standaard 2 7 2 3 4" xfId="4114"/>
    <cellStyle name="Standaard 2 7 2 3 4 2" xfId="14410"/>
    <cellStyle name="Standaard 2 7 2 3 4 2 2" xfId="23635"/>
    <cellStyle name="Standaard 2 7 2 3 4 3" xfId="23636"/>
    <cellStyle name="Standaard 2 7 2 3 5" xfId="9513"/>
    <cellStyle name="Standaard 2 7 2 3 5 2" xfId="23637"/>
    <cellStyle name="Standaard 2 7 2 3 6" xfId="23638"/>
    <cellStyle name="Standaard 2 7 2 4" xfId="2341"/>
    <cellStyle name="Standaard 2 7 2 4 2" xfId="3358"/>
    <cellStyle name="Standaard 2 7 2 4 2 2" xfId="5392"/>
    <cellStyle name="Standaard 2 7 2 4 2 2 2" xfId="14412"/>
    <cellStyle name="Standaard 2 7 2 4 2 2 2 2" xfId="23639"/>
    <cellStyle name="Standaard 2 7 2 4 2 2 3" xfId="23640"/>
    <cellStyle name="Standaard 2 7 2 4 2 3" xfId="14411"/>
    <cellStyle name="Standaard 2 7 2 4 2 3 2" xfId="23641"/>
    <cellStyle name="Standaard 2 7 2 4 2 4" xfId="23642"/>
    <cellStyle name="Standaard 2 7 2 4 3" xfId="4375"/>
    <cellStyle name="Standaard 2 7 2 4 3 2" xfId="14413"/>
    <cellStyle name="Standaard 2 7 2 4 3 2 2" xfId="23643"/>
    <cellStyle name="Standaard 2 7 2 4 3 3" xfId="23644"/>
    <cellStyle name="Standaard 2 7 2 4 4" xfId="9515"/>
    <cellStyle name="Standaard 2 7 2 4 4 2" xfId="23645"/>
    <cellStyle name="Standaard 2 7 2 4 5" xfId="23646"/>
    <cellStyle name="Standaard 2 7 2 5" xfId="2845"/>
    <cellStyle name="Standaard 2 7 2 5 2" xfId="4879"/>
    <cellStyle name="Standaard 2 7 2 5 2 2" xfId="14415"/>
    <cellStyle name="Standaard 2 7 2 5 2 2 2" xfId="23647"/>
    <cellStyle name="Standaard 2 7 2 5 2 3" xfId="23648"/>
    <cellStyle name="Standaard 2 7 2 5 3" xfId="14414"/>
    <cellStyle name="Standaard 2 7 2 5 3 2" xfId="23649"/>
    <cellStyle name="Standaard 2 7 2 5 4" xfId="23650"/>
    <cellStyle name="Standaard 2 7 2 6" xfId="3862"/>
    <cellStyle name="Standaard 2 7 2 6 2" xfId="14416"/>
    <cellStyle name="Standaard 2 7 2 6 2 2" xfId="23651"/>
    <cellStyle name="Standaard 2 7 2 6 3" xfId="23652"/>
    <cellStyle name="Standaard 2 7 2 7" xfId="9508"/>
    <cellStyle name="Standaard 2 7 2 7 2" xfId="23653"/>
    <cellStyle name="Standaard 2 7 2 8" xfId="23654"/>
    <cellStyle name="Standaard 2 7 3" xfId="1839"/>
    <cellStyle name="Standaard 2 7 3 2" xfId="1965"/>
    <cellStyle name="Standaard 2 7 3 2 2" xfId="2217"/>
    <cellStyle name="Standaard 2 7 3 2 2 2" xfId="2761"/>
    <cellStyle name="Standaard 2 7 3 2 2 2 2" xfId="3778"/>
    <cellStyle name="Standaard 2 7 3 2 2 2 2 2" xfId="5812"/>
    <cellStyle name="Standaard 2 7 3 2 2 2 2 2 2" xfId="14418"/>
    <cellStyle name="Standaard 2 7 3 2 2 2 2 2 2 2" xfId="23655"/>
    <cellStyle name="Standaard 2 7 3 2 2 2 2 2 3" xfId="23656"/>
    <cellStyle name="Standaard 2 7 3 2 2 2 2 3" xfId="14417"/>
    <cellStyle name="Standaard 2 7 3 2 2 2 2 3 2" xfId="23657"/>
    <cellStyle name="Standaard 2 7 3 2 2 2 2 4" xfId="23658"/>
    <cellStyle name="Standaard 2 7 3 2 2 2 3" xfId="4795"/>
    <cellStyle name="Standaard 2 7 3 2 2 2 3 2" xfId="14419"/>
    <cellStyle name="Standaard 2 7 3 2 2 2 3 2 2" xfId="23659"/>
    <cellStyle name="Standaard 2 7 3 2 2 2 3 3" xfId="23660"/>
    <cellStyle name="Standaard 2 7 3 2 2 2 4" xfId="9519"/>
    <cellStyle name="Standaard 2 7 3 2 2 2 4 2" xfId="23661"/>
    <cellStyle name="Standaard 2 7 3 2 2 2 5" xfId="23662"/>
    <cellStyle name="Standaard 2 7 3 2 2 3" xfId="3265"/>
    <cellStyle name="Standaard 2 7 3 2 2 3 2" xfId="5299"/>
    <cellStyle name="Standaard 2 7 3 2 2 3 2 2" xfId="14421"/>
    <cellStyle name="Standaard 2 7 3 2 2 3 2 2 2" xfId="23663"/>
    <cellStyle name="Standaard 2 7 3 2 2 3 2 3" xfId="23664"/>
    <cellStyle name="Standaard 2 7 3 2 2 3 3" xfId="14420"/>
    <cellStyle name="Standaard 2 7 3 2 2 3 3 2" xfId="23665"/>
    <cellStyle name="Standaard 2 7 3 2 2 3 4" xfId="23666"/>
    <cellStyle name="Standaard 2 7 3 2 2 4" xfId="4282"/>
    <cellStyle name="Standaard 2 7 3 2 2 4 2" xfId="14422"/>
    <cellStyle name="Standaard 2 7 3 2 2 4 2 2" xfId="23667"/>
    <cellStyle name="Standaard 2 7 3 2 2 4 3" xfId="23668"/>
    <cellStyle name="Standaard 2 7 3 2 2 5" xfId="9518"/>
    <cellStyle name="Standaard 2 7 3 2 2 5 2" xfId="23669"/>
    <cellStyle name="Standaard 2 7 3 2 2 6" xfId="23670"/>
    <cellStyle name="Standaard 2 7 3 2 3" xfId="2509"/>
    <cellStyle name="Standaard 2 7 3 2 3 2" xfId="3526"/>
    <cellStyle name="Standaard 2 7 3 2 3 2 2" xfId="5560"/>
    <cellStyle name="Standaard 2 7 3 2 3 2 2 2" xfId="14424"/>
    <cellStyle name="Standaard 2 7 3 2 3 2 2 2 2" xfId="23671"/>
    <cellStyle name="Standaard 2 7 3 2 3 2 2 3" xfId="23672"/>
    <cellStyle name="Standaard 2 7 3 2 3 2 3" xfId="14423"/>
    <cellStyle name="Standaard 2 7 3 2 3 2 3 2" xfId="23673"/>
    <cellStyle name="Standaard 2 7 3 2 3 2 4" xfId="23674"/>
    <cellStyle name="Standaard 2 7 3 2 3 3" xfId="4543"/>
    <cellStyle name="Standaard 2 7 3 2 3 3 2" xfId="14425"/>
    <cellStyle name="Standaard 2 7 3 2 3 3 2 2" xfId="23675"/>
    <cellStyle name="Standaard 2 7 3 2 3 3 3" xfId="23676"/>
    <cellStyle name="Standaard 2 7 3 2 3 4" xfId="9520"/>
    <cellStyle name="Standaard 2 7 3 2 3 4 2" xfId="23677"/>
    <cellStyle name="Standaard 2 7 3 2 3 5" xfId="23678"/>
    <cellStyle name="Standaard 2 7 3 2 4" xfId="3013"/>
    <cellStyle name="Standaard 2 7 3 2 4 2" xfId="5047"/>
    <cellStyle name="Standaard 2 7 3 2 4 2 2" xfId="14427"/>
    <cellStyle name="Standaard 2 7 3 2 4 2 2 2" xfId="23679"/>
    <cellStyle name="Standaard 2 7 3 2 4 2 3" xfId="23680"/>
    <cellStyle name="Standaard 2 7 3 2 4 3" xfId="14426"/>
    <cellStyle name="Standaard 2 7 3 2 4 3 2" xfId="23681"/>
    <cellStyle name="Standaard 2 7 3 2 4 4" xfId="23682"/>
    <cellStyle name="Standaard 2 7 3 2 5" xfId="4030"/>
    <cellStyle name="Standaard 2 7 3 2 5 2" xfId="14428"/>
    <cellStyle name="Standaard 2 7 3 2 5 2 2" xfId="23683"/>
    <cellStyle name="Standaard 2 7 3 2 5 3" xfId="23684"/>
    <cellStyle name="Standaard 2 7 3 2 6" xfId="9517"/>
    <cellStyle name="Standaard 2 7 3 2 6 2" xfId="23685"/>
    <cellStyle name="Standaard 2 7 3 2 7" xfId="23686"/>
    <cellStyle name="Standaard 2 7 3 3" xfId="2091"/>
    <cellStyle name="Standaard 2 7 3 3 2" xfId="2635"/>
    <cellStyle name="Standaard 2 7 3 3 2 2" xfId="3652"/>
    <cellStyle name="Standaard 2 7 3 3 2 2 2" xfId="5686"/>
    <cellStyle name="Standaard 2 7 3 3 2 2 2 2" xfId="14430"/>
    <cellStyle name="Standaard 2 7 3 3 2 2 2 2 2" xfId="23687"/>
    <cellStyle name="Standaard 2 7 3 3 2 2 2 3" xfId="23688"/>
    <cellStyle name="Standaard 2 7 3 3 2 2 3" xfId="14429"/>
    <cellStyle name="Standaard 2 7 3 3 2 2 3 2" xfId="23689"/>
    <cellStyle name="Standaard 2 7 3 3 2 2 4" xfId="23690"/>
    <cellStyle name="Standaard 2 7 3 3 2 3" xfId="4669"/>
    <cellStyle name="Standaard 2 7 3 3 2 3 2" xfId="14431"/>
    <cellStyle name="Standaard 2 7 3 3 2 3 2 2" xfId="23691"/>
    <cellStyle name="Standaard 2 7 3 3 2 3 3" xfId="23692"/>
    <cellStyle name="Standaard 2 7 3 3 2 4" xfId="9522"/>
    <cellStyle name="Standaard 2 7 3 3 2 4 2" xfId="23693"/>
    <cellStyle name="Standaard 2 7 3 3 2 5" xfId="23694"/>
    <cellStyle name="Standaard 2 7 3 3 3" xfId="3139"/>
    <cellStyle name="Standaard 2 7 3 3 3 2" xfId="5173"/>
    <cellStyle name="Standaard 2 7 3 3 3 2 2" xfId="14433"/>
    <cellStyle name="Standaard 2 7 3 3 3 2 2 2" xfId="23695"/>
    <cellStyle name="Standaard 2 7 3 3 3 2 3" xfId="23696"/>
    <cellStyle name="Standaard 2 7 3 3 3 3" xfId="14432"/>
    <cellStyle name="Standaard 2 7 3 3 3 3 2" xfId="23697"/>
    <cellStyle name="Standaard 2 7 3 3 3 4" xfId="23698"/>
    <cellStyle name="Standaard 2 7 3 3 4" xfId="4156"/>
    <cellStyle name="Standaard 2 7 3 3 4 2" xfId="14434"/>
    <cellStyle name="Standaard 2 7 3 3 4 2 2" xfId="23699"/>
    <cellStyle name="Standaard 2 7 3 3 4 3" xfId="23700"/>
    <cellStyle name="Standaard 2 7 3 3 5" xfId="9521"/>
    <cellStyle name="Standaard 2 7 3 3 5 2" xfId="23701"/>
    <cellStyle name="Standaard 2 7 3 3 6" xfId="23702"/>
    <cellStyle name="Standaard 2 7 3 4" xfId="2383"/>
    <cellStyle name="Standaard 2 7 3 4 2" xfId="3400"/>
    <cellStyle name="Standaard 2 7 3 4 2 2" xfId="5434"/>
    <cellStyle name="Standaard 2 7 3 4 2 2 2" xfId="14436"/>
    <cellStyle name="Standaard 2 7 3 4 2 2 2 2" xfId="23703"/>
    <cellStyle name="Standaard 2 7 3 4 2 2 3" xfId="23704"/>
    <cellStyle name="Standaard 2 7 3 4 2 3" xfId="14435"/>
    <cellStyle name="Standaard 2 7 3 4 2 3 2" xfId="23705"/>
    <cellStyle name="Standaard 2 7 3 4 2 4" xfId="23706"/>
    <cellStyle name="Standaard 2 7 3 4 3" xfId="4417"/>
    <cellStyle name="Standaard 2 7 3 4 3 2" xfId="14437"/>
    <cellStyle name="Standaard 2 7 3 4 3 2 2" xfId="23707"/>
    <cellStyle name="Standaard 2 7 3 4 3 3" xfId="23708"/>
    <cellStyle name="Standaard 2 7 3 4 4" xfId="9523"/>
    <cellStyle name="Standaard 2 7 3 4 4 2" xfId="23709"/>
    <cellStyle name="Standaard 2 7 3 4 5" xfId="23710"/>
    <cellStyle name="Standaard 2 7 3 5" xfId="2887"/>
    <cellStyle name="Standaard 2 7 3 5 2" xfId="4921"/>
    <cellStyle name="Standaard 2 7 3 5 2 2" xfId="14439"/>
    <cellStyle name="Standaard 2 7 3 5 2 2 2" xfId="23711"/>
    <cellStyle name="Standaard 2 7 3 5 2 3" xfId="23712"/>
    <cellStyle name="Standaard 2 7 3 5 3" xfId="14438"/>
    <cellStyle name="Standaard 2 7 3 5 3 2" xfId="23713"/>
    <cellStyle name="Standaard 2 7 3 5 4" xfId="23714"/>
    <cellStyle name="Standaard 2 7 3 6" xfId="3904"/>
    <cellStyle name="Standaard 2 7 3 6 2" xfId="14440"/>
    <cellStyle name="Standaard 2 7 3 6 2 2" xfId="23715"/>
    <cellStyle name="Standaard 2 7 3 6 3" xfId="23716"/>
    <cellStyle name="Standaard 2 7 3 7" xfId="9516"/>
    <cellStyle name="Standaard 2 7 3 7 2" xfId="23717"/>
    <cellStyle name="Standaard 2 7 3 8" xfId="23718"/>
    <cellStyle name="Standaard 2 7 4" xfId="1881"/>
    <cellStyle name="Standaard 2 7 4 2" xfId="2133"/>
    <cellStyle name="Standaard 2 7 4 2 2" xfId="2677"/>
    <cellStyle name="Standaard 2 7 4 2 2 2" xfId="3694"/>
    <cellStyle name="Standaard 2 7 4 2 2 2 2" xfId="5728"/>
    <cellStyle name="Standaard 2 7 4 2 2 2 2 2" xfId="14442"/>
    <cellStyle name="Standaard 2 7 4 2 2 2 2 2 2" xfId="23719"/>
    <cellStyle name="Standaard 2 7 4 2 2 2 2 3" xfId="23720"/>
    <cellStyle name="Standaard 2 7 4 2 2 2 3" xfId="14441"/>
    <cellStyle name="Standaard 2 7 4 2 2 2 3 2" xfId="23721"/>
    <cellStyle name="Standaard 2 7 4 2 2 2 4" xfId="23722"/>
    <cellStyle name="Standaard 2 7 4 2 2 3" xfId="4711"/>
    <cellStyle name="Standaard 2 7 4 2 2 3 2" xfId="14443"/>
    <cellStyle name="Standaard 2 7 4 2 2 3 2 2" xfId="23723"/>
    <cellStyle name="Standaard 2 7 4 2 2 3 3" xfId="23724"/>
    <cellStyle name="Standaard 2 7 4 2 2 4" xfId="9526"/>
    <cellStyle name="Standaard 2 7 4 2 2 4 2" xfId="23725"/>
    <cellStyle name="Standaard 2 7 4 2 2 5" xfId="23726"/>
    <cellStyle name="Standaard 2 7 4 2 3" xfId="3181"/>
    <cellStyle name="Standaard 2 7 4 2 3 2" xfId="5215"/>
    <cellStyle name="Standaard 2 7 4 2 3 2 2" xfId="14445"/>
    <cellStyle name="Standaard 2 7 4 2 3 2 2 2" xfId="23727"/>
    <cellStyle name="Standaard 2 7 4 2 3 2 3" xfId="23728"/>
    <cellStyle name="Standaard 2 7 4 2 3 3" xfId="14444"/>
    <cellStyle name="Standaard 2 7 4 2 3 3 2" xfId="23729"/>
    <cellStyle name="Standaard 2 7 4 2 3 4" xfId="23730"/>
    <cellStyle name="Standaard 2 7 4 2 4" xfId="4198"/>
    <cellStyle name="Standaard 2 7 4 2 4 2" xfId="14446"/>
    <cellStyle name="Standaard 2 7 4 2 4 2 2" xfId="23731"/>
    <cellStyle name="Standaard 2 7 4 2 4 3" xfId="23732"/>
    <cellStyle name="Standaard 2 7 4 2 5" xfId="9525"/>
    <cellStyle name="Standaard 2 7 4 2 5 2" xfId="23733"/>
    <cellStyle name="Standaard 2 7 4 2 6" xfId="23734"/>
    <cellStyle name="Standaard 2 7 4 3" xfId="2425"/>
    <cellStyle name="Standaard 2 7 4 3 2" xfId="3442"/>
    <cellStyle name="Standaard 2 7 4 3 2 2" xfId="5476"/>
    <cellStyle name="Standaard 2 7 4 3 2 2 2" xfId="14448"/>
    <cellStyle name="Standaard 2 7 4 3 2 2 2 2" xfId="23735"/>
    <cellStyle name="Standaard 2 7 4 3 2 2 3" xfId="23736"/>
    <cellStyle name="Standaard 2 7 4 3 2 3" xfId="14447"/>
    <cellStyle name="Standaard 2 7 4 3 2 3 2" xfId="23737"/>
    <cellStyle name="Standaard 2 7 4 3 2 4" xfId="23738"/>
    <cellStyle name="Standaard 2 7 4 3 3" xfId="4459"/>
    <cellStyle name="Standaard 2 7 4 3 3 2" xfId="14449"/>
    <cellStyle name="Standaard 2 7 4 3 3 2 2" xfId="23739"/>
    <cellStyle name="Standaard 2 7 4 3 3 3" xfId="23740"/>
    <cellStyle name="Standaard 2 7 4 3 4" xfId="9527"/>
    <cellStyle name="Standaard 2 7 4 3 4 2" xfId="23741"/>
    <cellStyle name="Standaard 2 7 4 3 5" xfId="23742"/>
    <cellStyle name="Standaard 2 7 4 4" xfId="2929"/>
    <cellStyle name="Standaard 2 7 4 4 2" xfId="4963"/>
    <cellStyle name="Standaard 2 7 4 4 2 2" xfId="14451"/>
    <cellStyle name="Standaard 2 7 4 4 2 2 2" xfId="23743"/>
    <cellStyle name="Standaard 2 7 4 4 2 3" xfId="23744"/>
    <cellStyle name="Standaard 2 7 4 4 3" xfId="14450"/>
    <cellStyle name="Standaard 2 7 4 4 3 2" xfId="23745"/>
    <cellStyle name="Standaard 2 7 4 4 4" xfId="23746"/>
    <cellStyle name="Standaard 2 7 4 5" xfId="3946"/>
    <cellStyle name="Standaard 2 7 4 5 2" xfId="14452"/>
    <cellStyle name="Standaard 2 7 4 5 2 2" xfId="23747"/>
    <cellStyle name="Standaard 2 7 4 5 3" xfId="23748"/>
    <cellStyle name="Standaard 2 7 4 6" xfId="9524"/>
    <cellStyle name="Standaard 2 7 4 6 2" xfId="23749"/>
    <cellStyle name="Standaard 2 7 4 7" xfId="23750"/>
    <cellStyle name="Standaard 2 7 5" xfId="2007"/>
    <cellStyle name="Standaard 2 7 5 2" xfId="2551"/>
    <cellStyle name="Standaard 2 7 5 2 2" xfId="3568"/>
    <cellStyle name="Standaard 2 7 5 2 2 2" xfId="5602"/>
    <cellStyle name="Standaard 2 7 5 2 2 2 2" xfId="14454"/>
    <cellStyle name="Standaard 2 7 5 2 2 2 2 2" xfId="23751"/>
    <cellStyle name="Standaard 2 7 5 2 2 2 3" xfId="23752"/>
    <cellStyle name="Standaard 2 7 5 2 2 3" xfId="14453"/>
    <cellStyle name="Standaard 2 7 5 2 2 3 2" xfId="23753"/>
    <cellStyle name="Standaard 2 7 5 2 2 4" xfId="23754"/>
    <cellStyle name="Standaard 2 7 5 2 3" xfId="4585"/>
    <cellStyle name="Standaard 2 7 5 2 3 2" xfId="14455"/>
    <cellStyle name="Standaard 2 7 5 2 3 2 2" xfId="23755"/>
    <cellStyle name="Standaard 2 7 5 2 3 3" xfId="23756"/>
    <cellStyle name="Standaard 2 7 5 2 4" xfId="9529"/>
    <cellStyle name="Standaard 2 7 5 2 4 2" xfId="23757"/>
    <cellStyle name="Standaard 2 7 5 2 5" xfId="23758"/>
    <cellStyle name="Standaard 2 7 5 3" xfId="3055"/>
    <cellStyle name="Standaard 2 7 5 3 2" xfId="5089"/>
    <cellStyle name="Standaard 2 7 5 3 2 2" xfId="14457"/>
    <cellStyle name="Standaard 2 7 5 3 2 2 2" xfId="23759"/>
    <cellStyle name="Standaard 2 7 5 3 2 3" xfId="23760"/>
    <cellStyle name="Standaard 2 7 5 3 3" xfId="14456"/>
    <cellStyle name="Standaard 2 7 5 3 3 2" xfId="23761"/>
    <cellStyle name="Standaard 2 7 5 3 4" xfId="23762"/>
    <cellStyle name="Standaard 2 7 5 4" xfId="4072"/>
    <cellStyle name="Standaard 2 7 5 4 2" xfId="14458"/>
    <cellStyle name="Standaard 2 7 5 4 2 2" xfId="23763"/>
    <cellStyle name="Standaard 2 7 5 4 3" xfId="23764"/>
    <cellStyle name="Standaard 2 7 5 5" xfId="9528"/>
    <cellStyle name="Standaard 2 7 5 5 2" xfId="23765"/>
    <cellStyle name="Standaard 2 7 5 6" xfId="23766"/>
    <cellStyle name="Standaard 2 7 6" xfId="2299"/>
    <cellStyle name="Standaard 2 7 6 2" xfId="3316"/>
    <cellStyle name="Standaard 2 7 6 2 2" xfId="5350"/>
    <cellStyle name="Standaard 2 7 6 2 2 2" xfId="14460"/>
    <cellStyle name="Standaard 2 7 6 2 2 2 2" xfId="23767"/>
    <cellStyle name="Standaard 2 7 6 2 2 3" xfId="23768"/>
    <cellStyle name="Standaard 2 7 6 2 3" xfId="14459"/>
    <cellStyle name="Standaard 2 7 6 2 3 2" xfId="23769"/>
    <cellStyle name="Standaard 2 7 6 2 4" xfId="23770"/>
    <cellStyle name="Standaard 2 7 6 3" xfId="4333"/>
    <cellStyle name="Standaard 2 7 6 3 2" xfId="14461"/>
    <cellStyle name="Standaard 2 7 6 3 2 2" xfId="23771"/>
    <cellStyle name="Standaard 2 7 6 3 3" xfId="23772"/>
    <cellStyle name="Standaard 2 7 6 4" xfId="9530"/>
    <cellStyle name="Standaard 2 7 6 4 2" xfId="23773"/>
    <cellStyle name="Standaard 2 7 6 5" xfId="23774"/>
    <cellStyle name="Standaard 2 7 7" xfId="2803"/>
    <cellStyle name="Standaard 2 7 7 2" xfId="4837"/>
    <cellStyle name="Standaard 2 7 7 2 2" xfId="14463"/>
    <cellStyle name="Standaard 2 7 7 2 2 2" xfId="23775"/>
    <cellStyle name="Standaard 2 7 7 2 3" xfId="23776"/>
    <cellStyle name="Standaard 2 7 7 3" xfId="14462"/>
    <cellStyle name="Standaard 2 7 7 3 2" xfId="23777"/>
    <cellStyle name="Standaard 2 7 7 4" xfId="23778"/>
    <cellStyle name="Standaard 2 7 8" xfId="3820"/>
    <cellStyle name="Standaard 2 7 8 2" xfId="14464"/>
    <cellStyle name="Standaard 2 7 8 2 2" xfId="23779"/>
    <cellStyle name="Standaard 2 7 8 3" xfId="23780"/>
    <cellStyle name="Standaard 2 7 9" xfId="9507"/>
    <cellStyle name="Standaard 2 7 9 2" xfId="23781"/>
    <cellStyle name="Standaard 2 8" xfId="1769"/>
    <cellStyle name="Standaard 2 8 10" xfId="23782"/>
    <cellStyle name="Standaard 2 8 2" xfId="1811"/>
    <cellStyle name="Standaard 2 8 2 2" xfId="1937"/>
    <cellStyle name="Standaard 2 8 2 2 2" xfId="2189"/>
    <cellStyle name="Standaard 2 8 2 2 2 2" xfId="2733"/>
    <cellStyle name="Standaard 2 8 2 2 2 2 2" xfId="3750"/>
    <cellStyle name="Standaard 2 8 2 2 2 2 2 2" xfId="5784"/>
    <cellStyle name="Standaard 2 8 2 2 2 2 2 2 2" xfId="14466"/>
    <cellStyle name="Standaard 2 8 2 2 2 2 2 2 2 2" xfId="23783"/>
    <cellStyle name="Standaard 2 8 2 2 2 2 2 2 3" xfId="23784"/>
    <cellStyle name="Standaard 2 8 2 2 2 2 2 3" xfId="14465"/>
    <cellStyle name="Standaard 2 8 2 2 2 2 2 3 2" xfId="23785"/>
    <cellStyle name="Standaard 2 8 2 2 2 2 2 4" xfId="23786"/>
    <cellStyle name="Standaard 2 8 2 2 2 2 3" xfId="4767"/>
    <cellStyle name="Standaard 2 8 2 2 2 2 3 2" xfId="14467"/>
    <cellStyle name="Standaard 2 8 2 2 2 2 3 2 2" xfId="23787"/>
    <cellStyle name="Standaard 2 8 2 2 2 2 3 3" xfId="23788"/>
    <cellStyle name="Standaard 2 8 2 2 2 2 4" xfId="9535"/>
    <cellStyle name="Standaard 2 8 2 2 2 2 4 2" xfId="23789"/>
    <cellStyle name="Standaard 2 8 2 2 2 2 5" xfId="23790"/>
    <cellStyle name="Standaard 2 8 2 2 2 3" xfId="3237"/>
    <cellStyle name="Standaard 2 8 2 2 2 3 2" xfId="5271"/>
    <cellStyle name="Standaard 2 8 2 2 2 3 2 2" xfId="14469"/>
    <cellStyle name="Standaard 2 8 2 2 2 3 2 2 2" xfId="23791"/>
    <cellStyle name="Standaard 2 8 2 2 2 3 2 3" xfId="23792"/>
    <cellStyle name="Standaard 2 8 2 2 2 3 3" xfId="14468"/>
    <cellStyle name="Standaard 2 8 2 2 2 3 3 2" xfId="23793"/>
    <cellStyle name="Standaard 2 8 2 2 2 3 4" xfId="23794"/>
    <cellStyle name="Standaard 2 8 2 2 2 4" xfId="4254"/>
    <cellStyle name="Standaard 2 8 2 2 2 4 2" xfId="14470"/>
    <cellStyle name="Standaard 2 8 2 2 2 4 2 2" xfId="23795"/>
    <cellStyle name="Standaard 2 8 2 2 2 4 3" xfId="23796"/>
    <cellStyle name="Standaard 2 8 2 2 2 5" xfId="9534"/>
    <cellStyle name="Standaard 2 8 2 2 2 5 2" xfId="23797"/>
    <cellStyle name="Standaard 2 8 2 2 2 6" xfId="23798"/>
    <cellStyle name="Standaard 2 8 2 2 3" xfId="2481"/>
    <cellStyle name="Standaard 2 8 2 2 3 2" xfId="3498"/>
    <cellStyle name="Standaard 2 8 2 2 3 2 2" xfId="5532"/>
    <cellStyle name="Standaard 2 8 2 2 3 2 2 2" xfId="14472"/>
    <cellStyle name="Standaard 2 8 2 2 3 2 2 2 2" xfId="23799"/>
    <cellStyle name="Standaard 2 8 2 2 3 2 2 3" xfId="23800"/>
    <cellStyle name="Standaard 2 8 2 2 3 2 3" xfId="14471"/>
    <cellStyle name="Standaard 2 8 2 2 3 2 3 2" xfId="23801"/>
    <cellStyle name="Standaard 2 8 2 2 3 2 4" xfId="23802"/>
    <cellStyle name="Standaard 2 8 2 2 3 3" xfId="4515"/>
    <cellStyle name="Standaard 2 8 2 2 3 3 2" xfId="14473"/>
    <cellStyle name="Standaard 2 8 2 2 3 3 2 2" xfId="23803"/>
    <cellStyle name="Standaard 2 8 2 2 3 3 3" xfId="23804"/>
    <cellStyle name="Standaard 2 8 2 2 3 4" xfId="9536"/>
    <cellStyle name="Standaard 2 8 2 2 3 4 2" xfId="23805"/>
    <cellStyle name="Standaard 2 8 2 2 3 5" xfId="23806"/>
    <cellStyle name="Standaard 2 8 2 2 4" xfId="2985"/>
    <cellStyle name="Standaard 2 8 2 2 4 2" xfId="5019"/>
    <cellStyle name="Standaard 2 8 2 2 4 2 2" xfId="14475"/>
    <cellStyle name="Standaard 2 8 2 2 4 2 2 2" xfId="23807"/>
    <cellStyle name="Standaard 2 8 2 2 4 2 3" xfId="23808"/>
    <cellStyle name="Standaard 2 8 2 2 4 3" xfId="14474"/>
    <cellStyle name="Standaard 2 8 2 2 4 3 2" xfId="23809"/>
    <cellStyle name="Standaard 2 8 2 2 4 4" xfId="23810"/>
    <cellStyle name="Standaard 2 8 2 2 5" xfId="4002"/>
    <cellStyle name="Standaard 2 8 2 2 5 2" xfId="14476"/>
    <cellStyle name="Standaard 2 8 2 2 5 2 2" xfId="23811"/>
    <cellStyle name="Standaard 2 8 2 2 5 3" xfId="23812"/>
    <cellStyle name="Standaard 2 8 2 2 6" xfId="9533"/>
    <cellStyle name="Standaard 2 8 2 2 6 2" xfId="23813"/>
    <cellStyle name="Standaard 2 8 2 2 7" xfId="23814"/>
    <cellStyle name="Standaard 2 8 2 3" xfId="2063"/>
    <cellStyle name="Standaard 2 8 2 3 2" xfId="2607"/>
    <cellStyle name="Standaard 2 8 2 3 2 2" xfId="3624"/>
    <cellStyle name="Standaard 2 8 2 3 2 2 2" xfId="5658"/>
    <cellStyle name="Standaard 2 8 2 3 2 2 2 2" xfId="14478"/>
    <cellStyle name="Standaard 2 8 2 3 2 2 2 2 2" xfId="23815"/>
    <cellStyle name="Standaard 2 8 2 3 2 2 2 3" xfId="23816"/>
    <cellStyle name="Standaard 2 8 2 3 2 2 3" xfId="14477"/>
    <cellStyle name="Standaard 2 8 2 3 2 2 3 2" xfId="23817"/>
    <cellStyle name="Standaard 2 8 2 3 2 2 4" xfId="23818"/>
    <cellStyle name="Standaard 2 8 2 3 2 3" xfId="4641"/>
    <cellStyle name="Standaard 2 8 2 3 2 3 2" xfId="14479"/>
    <cellStyle name="Standaard 2 8 2 3 2 3 2 2" xfId="23819"/>
    <cellStyle name="Standaard 2 8 2 3 2 3 3" xfId="23820"/>
    <cellStyle name="Standaard 2 8 2 3 2 4" xfId="9538"/>
    <cellStyle name="Standaard 2 8 2 3 2 4 2" xfId="23821"/>
    <cellStyle name="Standaard 2 8 2 3 2 5" xfId="23822"/>
    <cellStyle name="Standaard 2 8 2 3 3" xfId="3111"/>
    <cellStyle name="Standaard 2 8 2 3 3 2" xfId="5145"/>
    <cellStyle name="Standaard 2 8 2 3 3 2 2" xfId="14481"/>
    <cellStyle name="Standaard 2 8 2 3 3 2 2 2" xfId="23823"/>
    <cellStyle name="Standaard 2 8 2 3 3 2 3" xfId="23824"/>
    <cellStyle name="Standaard 2 8 2 3 3 3" xfId="14480"/>
    <cellStyle name="Standaard 2 8 2 3 3 3 2" xfId="23825"/>
    <cellStyle name="Standaard 2 8 2 3 3 4" xfId="23826"/>
    <cellStyle name="Standaard 2 8 2 3 4" xfId="4128"/>
    <cellStyle name="Standaard 2 8 2 3 4 2" xfId="14482"/>
    <cellStyle name="Standaard 2 8 2 3 4 2 2" xfId="23827"/>
    <cellStyle name="Standaard 2 8 2 3 4 3" xfId="23828"/>
    <cellStyle name="Standaard 2 8 2 3 5" xfId="9537"/>
    <cellStyle name="Standaard 2 8 2 3 5 2" xfId="23829"/>
    <cellStyle name="Standaard 2 8 2 3 6" xfId="23830"/>
    <cellStyle name="Standaard 2 8 2 4" xfId="2355"/>
    <cellStyle name="Standaard 2 8 2 4 2" xfId="3372"/>
    <cellStyle name="Standaard 2 8 2 4 2 2" xfId="5406"/>
    <cellStyle name="Standaard 2 8 2 4 2 2 2" xfId="14484"/>
    <cellStyle name="Standaard 2 8 2 4 2 2 2 2" xfId="23831"/>
    <cellStyle name="Standaard 2 8 2 4 2 2 3" xfId="23832"/>
    <cellStyle name="Standaard 2 8 2 4 2 3" xfId="14483"/>
    <cellStyle name="Standaard 2 8 2 4 2 3 2" xfId="23833"/>
    <cellStyle name="Standaard 2 8 2 4 2 4" xfId="23834"/>
    <cellStyle name="Standaard 2 8 2 4 3" xfId="4389"/>
    <cellStyle name="Standaard 2 8 2 4 3 2" xfId="14485"/>
    <cellStyle name="Standaard 2 8 2 4 3 2 2" xfId="23835"/>
    <cellStyle name="Standaard 2 8 2 4 3 3" xfId="23836"/>
    <cellStyle name="Standaard 2 8 2 4 4" xfId="9539"/>
    <cellStyle name="Standaard 2 8 2 4 4 2" xfId="23837"/>
    <cellStyle name="Standaard 2 8 2 4 5" xfId="23838"/>
    <cellStyle name="Standaard 2 8 2 5" xfId="2859"/>
    <cellStyle name="Standaard 2 8 2 5 2" xfId="4893"/>
    <cellStyle name="Standaard 2 8 2 5 2 2" xfId="14487"/>
    <cellStyle name="Standaard 2 8 2 5 2 2 2" xfId="23839"/>
    <cellStyle name="Standaard 2 8 2 5 2 3" xfId="23840"/>
    <cellStyle name="Standaard 2 8 2 5 3" xfId="14486"/>
    <cellStyle name="Standaard 2 8 2 5 3 2" xfId="23841"/>
    <cellStyle name="Standaard 2 8 2 5 4" xfId="23842"/>
    <cellStyle name="Standaard 2 8 2 6" xfId="3876"/>
    <cellStyle name="Standaard 2 8 2 6 2" xfId="14488"/>
    <cellStyle name="Standaard 2 8 2 6 2 2" xfId="23843"/>
    <cellStyle name="Standaard 2 8 2 6 3" xfId="23844"/>
    <cellStyle name="Standaard 2 8 2 7" xfId="9532"/>
    <cellStyle name="Standaard 2 8 2 7 2" xfId="23845"/>
    <cellStyle name="Standaard 2 8 2 8" xfId="23846"/>
    <cellStyle name="Standaard 2 8 3" xfId="1853"/>
    <cellStyle name="Standaard 2 8 3 2" xfId="1979"/>
    <cellStyle name="Standaard 2 8 3 2 2" xfId="2231"/>
    <cellStyle name="Standaard 2 8 3 2 2 2" xfId="2775"/>
    <cellStyle name="Standaard 2 8 3 2 2 2 2" xfId="3792"/>
    <cellStyle name="Standaard 2 8 3 2 2 2 2 2" xfId="5826"/>
    <cellStyle name="Standaard 2 8 3 2 2 2 2 2 2" xfId="14490"/>
    <cellStyle name="Standaard 2 8 3 2 2 2 2 2 2 2" xfId="23847"/>
    <cellStyle name="Standaard 2 8 3 2 2 2 2 2 3" xfId="23848"/>
    <cellStyle name="Standaard 2 8 3 2 2 2 2 3" xfId="14489"/>
    <cellStyle name="Standaard 2 8 3 2 2 2 2 3 2" xfId="23849"/>
    <cellStyle name="Standaard 2 8 3 2 2 2 2 4" xfId="23850"/>
    <cellStyle name="Standaard 2 8 3 2 2 2 3" xfId="4809"/>
    <cellStyle name="Standaard 2 8 3 2 2 2 3 2" xfId="14491"/>
    <cellStyle name="Standaard 2 8 3 2 2 2 3 2 2" xfId="23851"/>
    <cellStyle name="Standaard 2 8 3 2 2 2 3 3" xfId="23852"/>
    <cellStyle name="Standaard 2 8 3 2 2 2 4" xfId="9543"/>
    <cellStyle name="Standaard 2 8 3 2 2 2 4 2" xfId="23853"/>
    <cellStyle name="Standaard 2 8 3 2 2 2 5" xfId="23854"/>
    <cellStyle name="Standaard 2 8 3 2 2 3" xfId="3279"/>
    <cellStyle name="Standaard 2 8 3 2 2 3 2" xfId="5313"/>
    <cellStyle name="Standaard 2 8 3 2 2 3 2 2" xfId="14493"/>
    <cellStyle name="Standaard 2 8 3 2 2 3 2 2 2" xfId="23855"/>
    <cellStyle name="Standaard 2 8 3 2 2 3 2 3" xfId="23856"/>
    <cellStyle name="Standaard 2 8 3 2 2 3 3" xfId="14492"/>
    <cellStyle name="Standaard 2 8 3 2 2 3 3 2" xfId="23857"/>
    <cellStyle name="Standaard 2 8 3 2 2 3 4" xfId="23858"/>
    <cellStyle name="Standaard 2 8 3 2 2 4" xfId="4296"/>
    <cellStyle name="Standaard 2 8 3 2 2 4 2" xfId="14494"/>
    <cellStyle name="Standaard 2 8 3 2 2 4 2 2" xfId="23859"/>
    <cellStyle name="Standaard 2 8 3 2 2 4 3" xfId="23860"/>
    <cellStyle name="Standaard 2 8 3 2 2 5" xfId="9542"/>
    <cellStyle name="Standaard 2 8 3 2 2 5 2" xfId="23861"/>
    <cellStyle name="Standaard 2 8 3 2 2 6" xfId="23862"/>
    <cellStyle name="Standaard 2 8 3 2 3" xfId="2523"/>
    <cellStyle name="Standaard 2 8 3 2 3 2" xfId="3540"/>
    <cellStyle name="Standaard 2 8 3 2 3 2 2" xfId="5574"/>
    <cellStyle name="Standaard 2 8 3 2 3 2 2 2" xfId="14496"/>
    <cellStyle name="Standaard 2 8 3 2 3 2 2 2 2" xfId="23863"/>
    <cellStyle name="Standaard 2 8 3 2 3 2 2 3" xfId="23864"/>
    <cellStyle name="Standaard 2 8 3 2 3 2 3" xfId="14495"/>
    <cellStyle name="Standaard 2 8 3 2 3 2 3 2" xfId="23865"/>
    <cellStyle name="Standaard 2 8 3 2 3 2 4" xfId="23866"/>
    <cellStyle name="Standaard 2 8 3 2 3 3" xfId="4557"/>
    <cellStyle name="Standaard 2 8 3 2 3 3 2" xfId="14497"/>
    <cellStyle name="Standaard 2 8 3 2 3 3 2 2" xfId="23867"/>
    <cellStyle name="Standaard 2 8 3 2 3 3 3" xfId="23868"/>
    <cellStyle name="Standaard 2 8 3 2 3 4" xfId="9544"/>
    <cellStyle name="Standaard 2 8 3 2 3 4 2" xfId="23869"/>
    <cellStyle name="Standaard 2 8 3 2 3 5" xfId="23870"/>
    <cellStyle name="Standaard 2 8 3 2 4" xfId="3027"/>
    <cellStyle name="Standaard 2 8 3 2 4 2" xfId="5061"/>
    <cellStyle name="Standaard 2 8 3 2 4 2 2" xfId="14499"/>
    <cellStyle name="Standaard 2 8 3 2 4 2 2 2" xfId="23871"/>
    <cellStyle name="Standaard 2 8 3 2 4 2 3" xfId="23872"/>
    <cellStyle name="Standaard 2 8 3 2 4 3" xfId="14498"/>
    <cellStyle name="Standaard 2 8 3 2 4 3 2" xfId="23873"/>
    <cellStyle name="Standaard 2 8 3 2 4 4" xfId="23874"/>
    <cellStyle name="Standaard 2 8 3 2 5" xfId="4044"/>
    <cellStyle name="Standaard 2 8 3 2 5 2" xfId="14500"/>
    <cellStyle name="Standaard 2 8 3 2 5 2 2" xfId="23875"/>
    <cellStyle name="Standaard 2 8 3 2 5 3" xfId="23876"/>
    <cellStyle name="Standaard 2 8 3 2 6" xfId="9541"/>
    <cellStyle name="Standaard 2 8 3 2 6 2" xfId="23877"/>
    <cellStyle name="Standaard 2 8 3 2 7" xfId="23878"/>
    <cellStyle name="Standaard 2 8 3 3" xfId="2105"/>
    <cellStyle name="Standaard 2 8 3 3 2" xfId="2649"/>
    <cellStyle name="Standaard 2 8 3 3 2 2" xfId="3666"/>
    <cellStyle name="Standaard 2 8 3 3 2 2 2" xfId="5700"/>
    <cellStyle name="Standaard 2 8 3 3 2 2 2 2" xfId="14502"/>
    <cellStyle name="Standaard 2 8 3 3 2 2 2 2 2" xfId="23879"/>
    <cellStyle name="Standaard 2 8 3 3 2 2 2 3" xfId="23880"/>
    <cellStyle name="Standaard 2 8 3 3 2 2 3" xfId="14501"/>
    <cellStyle name="Standaard 2 8 3 3 2 2 3 2" xfId="23881"/>
    <cellStyle name="Standaard 2 8 3 3 2 2 4" xfId="23882"/>
    <cellStyle name="Standaard 2 8 3 3 2 3" xfId="4683"/>
    <cellStyle name="Standaard 2 8 3 3 2 3 2" xfId="14503"/>
    <cellStyle name="Standaard 2 8 3 3 2 3 2 2" xfId="23883"/>
    <cellStyle name="Standaard 2 8 3 3 2 3 3" xfId="23884"/>
    <cellStyle name="Standaard 2 8 3 3 2 4" xfId="9546"/>
    <cellStyle name="Standaard 2 8 3 3 2 4 2" xfId="23885"/>
    <cellStyle name="Standaard 2 8 3 3 2 5" xfId="23886"/>
    <cellStyle name="Standaard 2 8 3 3 3" xfId="3153"/>
    <cellStyle name="Standaard 2 8 3 3 3 2" xfId="5187"/>
    <cellStyle name="Standaard 2 8 3 3 3 2 2" xfId="14505"/>
    <cellStyle name="Standaard 2 8 3 3 3 2 2 2" xfId="23887"/>
    <cellStyle name="Standaard 2 8 3 3 3 2 3" xfId="23888"/>
    <cellStyle name="Standaard 2 8 3 3 3 3" xfId="14504"/>
    <cellStyle name="Standaard 2 8 3 3 3 3 2" xfId="23889"/>
    <cellStyle name="Standaard 2 8 3 3 3 4" xfId="23890"/>
    <cellStyle name="Standaard 2 8 3 3 4" xfId="4170"/>
    <cellStyle name="Standaard 2 8 3 3 4 2" xfId="14506"/>
    <cellStyle name="Standaard 2 8 3 3 4 2 2" xfId="23891"/>
    <cellStyle name="Standaard 2 8 3 3 4 3" xfId="23892"/>
    <cellStyle name="Standaard 2 8 3 3 5" xfId="9545"/>
    <cellStyle name="Standaard 2 8 3 3 5 2" xfId="23893"/>
    <cellStyle name="Standaard 2 8 3 3 6" xfId="23894"/>
    <cellStyle name="Standaard 2 8 3 4" xfId="2397"/>
    <cellStyle name="Standaard 2 8 3 4 2" xfId="3414"/>
    <cellStyle name="Standaard 2 8 3 4 2 2" xfId="5448"/>
    <cellStyle name="Standaard 2 8 3 4 2 2 2" xfId="14508"/>
    <cellStyle name="Standaard 2 8 3 4 2 2 2 2" xfId="23895"/>
    <cellStyle name="Standaard 2 8 3 4 2 2 3" xfId="23896"/>
    <cellStyle name="Standaard 2 8 3 4 2 3" xfId="14507"/>
    <cellStyle name="Standaard 2 8 3 4 2 3 2" xfId="23897"/>
    <cellStyle name="Standaard 2 8 3 4 2 4" xfId="23898"/>
    <cellStyle name="Standaard 2 8 3 4 3" xfId="4431"/>
    <cellStyle name="Standaard 2 8 3 4 3 2" xfId="14509"/>
    <cellStyle name="Standaard 2 8 3 4 3 2 2" xfId="23899"/>
    <cellStyle name="Standaard 2 8 3 4 3 3" xfId="23900"/>
    <cellStyle name="Standaard 2 8 3 4 4" xfId="9547"/>
    <cellStyle name="Standaard 2 8 3 4 4 2" xfId="23901"/>
    <cellStyle name="Standaard 2 8 3 4 5" xfId="23902"/>
    <cellStyle name="Standaard 2 8 3 5" xfId="2901"/>
    <cellStyle name="Standaard 2 8 3 5 2" xfId="4935"/>
    <cellStyle name="Standaard 2 8 3 5 2 2" xfId="14511"/>
    <cellStyle name="Standaard 2 8 3 5 2 2 2" xfId="23903"/>
    <cellStyle name="Standaard 2 8 3 5 2 3" xfId="23904"/>
    <cellStyle name="Standaard 2 8 3 5 3" xfId="14510"/>
    <cellStyle name="Standaard 2 8 3 5 3 2" xfId="23905"/>
    <cellStyle name="Standaard 2 8 3 5 4" xfId="23906"/>
    <cellStyle name="Standaard 2 8 3 6" xfId="3918"/>
    <cellStyle name="Standaard 2 8 3 6 2" xfId="14512"/>
    <cellStyle name="Standaard 2 8 3 6 2 2" xfId="23907"/>
    <cellStyle name="Standaard 2 8 3 6 3" xfId="23908"/>
    <cellStyle name="Standaard 2 8 3 7" xfId="9540"/>
    <cellStyle name="Standaard 2 8 3 7 2" xfId="23909"/>
    <cellStyle name="Standaard 2 8 3 8" xfId="23910"/>
    <cellStyle name="Standaard 2 8 4" xfId="1895"/>
    <cellStyle name="Standaard 2 8 4 2" xfId="2147"/>
    <cellStyle name="Standaard 2 8 4 2 2" xfId="2691"/>
    <cellStyle name="Standaard 2 8 4 2 2 2" xfId="3708"/>
    <cellStyle name="Standaard 2 8 4 2 2 2 2" xfId="5742"/>
    <cellStyle name="Standaard 2 8 4 2 2 2 2 2" xfId="14514"/>
    <cellStyle name="Standaard 2 8 4 2 2 2 2 2 2" xfId="23911"/>
    <cellStyle name="Standaard 2 8 4 2 2 2 2 3" xfId="23912"/>
    <cellStyle name="Standaard 2 8 4 2 2 2 3" xfId="14513"/>
    <cellStyle name="Standaard 2 8 4 2 2 2 3 2" xfId="23913"/>
    <cellStyle name="Standaard 2 8 4 2 2 2 4" xfId="23914"/>
    <cellStyle name="Standaard 2 8 4 2 2 3" xfId="4725"/>
    <cellStyle name="Standaard 2 8 4 2 2 3 2" xfId="14515"/>
    <cellStyle name="Standaard 2 8 4 2 2 3 2 2" xfId="23915"/>
    <cellStyle name="Standaard 2 8 4 2 2 3 3" xfId="23916"/>
    <cellStyle name="Standaard 2 8 4 2 2 4" xfId="9550"/>
    <cellStyle name="Standaard 2 8 4 2 2 4 2" xfId="23917"/>
    <cellStyle name="Standaard 2 8 4 2 2 5" xfId="23918"/>
    <cellStyle name="Standaard 2 8 4 2 3" xfId="3195"/>
    <cellStyle name="Standaard 2 8 4 2 3 2" xfId="5229"/>
    <cellStyle name="Standaard 2 8 4 2 3 2 2" xfId="14517"/>
    <cellStyle name="Standaard 2 8 4 2 3 2 2 2" xfId="23919"/>
    <cellStyle name="Standaard 2 8 4 2 3 2 3" xfId="23920"/>
    <cellStyle name="Standaard 2 8 4 2 3 3" xfId="14516"/>
    <cellStyle name="Standaard 2 8 4 2 3 3 2" xfId="23921"/>
    <cellStyle name="Standaard 2 8 4 2 3 4" xfId="23922"/>
    <cellStyle name="Standaard 2 8 4 2 4" xfId="4212"/>
    <cellStyle name="Standaard 2 8 4 2 4 2" xfId="14518"/>
    <cellStyle name="Standaard 2 8 4 2 4 2 2" xfId="23923"/>
    <cellStyle name="Standaard 2 8 4 2 4 3" xfId="23924"/>
    <cellStyle name="Standaard 2 8 4 2 5" xfId="9549"/>
    <cellStyle name="Standaard 2 8 4 2 5 2" xfId="23925"/>
    <cellStyle name="Standaard 2 8 4 2 6" xfId="23926"/>
    <cellStyle name="Standaard 2 8 4 3" xfId="2439"/>
    <cellStyle name="Standaard 2 8 4 3 2" xfId="3456"/>
    <cellStyle name="Standaard 2 8 4 3 2 2" xfId="5490"/>
    <cellStyle name="Standaard 2 8 4 3 2 2 2" xfId="14520"/>
    <cellStyle name="Standaard 2 8 4 3 2 2 2 2" xfId="23927"/>
    <cellStyle name="Standaard 2 8 4 3 2 2 3" xfId="23928"/>
    <cellStyle name="Standaard 2 8 4 3 2 3" xfId="14519"/>
    <cellStyle name="Standaard 2 8 4 3 2 3 2" xfId="23929"/>
    <cellStyle name="Standaard 2 8 4 3 2 4" xfId="23930"/>
    <cellStyle name="Standaard 2 8 4 3 3" xfId="4473"/>
    <cellStyle name="Standaard 2 8 4 3 3 2" xfId="14521"/>
    <cellStyle name="Standaard 2 8 4 3 3 2 2" xfId="23931"/>
    <cellStyle name="Standaard 2 8 4 3 3 3" xfId="23932"/>
    <cellStyle name="Standaard 2 8 4 3 4" xfId="9551"/>
    <cellStyle name="Standaard 2 8 4 3 4 2" xfId="23933"/>
    <cellStyle name="Standaard 2 8 4 3 5" xfId="23934"/>
    <cellStyle name="Standaard 2 8 4 4" xfId="2943"/>
    <cellStyle name="Standaard 2 8 4 4 2" xfId="4977"/>
    <cellStyle name="Standaard 2 8 4 4 2 2" xfId="14523"/>
    <cellStyle name="Standaard 2 8 4 4 2 2 2" xfId="23935"/>
    <cellStyle name="Standaard 2 8 4 4 2 3" xfId="23936"/>
    <cellStyle name="Standaard 2 8 4 4 3" xfId="14522"/>
    <cellStyle name="Standaard 2 8 4 4 3 2" xfId="23937"/>
    <cellStyle name="Standaard 2 8 4 4 4" xfId="23938"/>
    <cellStyle name="Standaard 2 8 4 5" xfId="3960"/>
    <cellStyle name="Standaard 2 8 4 5 2" xfId="14524"/>
    <cellStyle name="Standaard 2 8 4 5 2 2" xfId="23939"/>
    <cellStyle name="Standaard 2 8 4 5 3" xfId="23940"/>
    <cellStyle name="Standaard 2 8 4 6" xfId="9548"/>
    <cellStyle name="Standaard 2 8 4 6 2" xfId="23941"/>
    <cellStyle name="Standaard 2 8 4 7" xfId="23942"/>
    <cellStyle name="Standaard 2 8 5" xfId="2021"/>
    <cellStyle name="Standaard 2 8 5 2" xfId="2565"/>
    <cellStyle name="Standaard 2 8 5 2 2" xfId="3582"/>
    <cellStyle name="Standaard 2 8 5 2 2 2" xfId="5616"/>
    <cellStyle name="Standaard 2 8 5 2 2 2 2" xfId="14526"/>
    <cellStyle name="Standaard 2 8 5 2 2 2 2 2" xfId="23943"/>
    <cellStyle name="Standaard 2 8 5 2 2 2 3" xfId="23944"/>
    <cellStyle name="Standaard 2 8 5 2 2 3" xfId="14525"/>
    <cellStyle name="Standaard 2 8 5 2 2 3 2" xfId="23945"/>
    <cellStyle name="Standaard 2 8 5 2 2 4" xfId="23946"/>
    <cellStyle name="Standaard 2 8 5 2 3" xfId="4599"/>
    <cellStyle name="Standaard 2 8 5 2 3 2" xfId="14527"/>
    <cellStyle name="Standaard 2 8 5 2 3 2 2" xfId="23947"/>
    <cellStyle name="Standaard 2 8 5 2 3 3" xfId="23948"/>
    <cellStyle name="Standaard 2 8 5 2 4" xfId="9553"/>
    <cellStyle name="Standaard 2 8 5 2 4 2" xfId="23949"/>
    <cellStyle name="Standaard 2 8 5 2 5" xfId="23950"/>
    <cellStyle name="Standaard 2 8 5 3" xfId="3069"/>
    <cellStyle name="Standaard 2 8 5 3 2" xfId="5103"/>
    <cellStyle name="Standaard 2 8 5 3 2 2" xfId="14529"/>
    <cellStyle name="Standaard 2 8 5 3 2 2 2" xfId="23951"/>
    <cellStyle name="Standaard 2 8 5 3 2 3" xfId="23952"/>
    <cellStyle name="Standaard 2 8 5 3 3" xfId="14528"/>
    <cellStyle name="Standaard 2 8 5 3 3 2" xfId="23953"/>
    <cellStyle name="Standaard 2 8 5 3 4" xfId="23954"/>
    <cellStyle name="Standaard 2 8 5 4" xfId="4086"/>
    <cellStyle name="Standaard 2 8 5 4 2" xfId="14530"/>
    <cellStyle name="Standaard 2 8 5 4 2 2" xfId="23955"/>
    <cellStyle name="Standaard 2 8 5 4 3" xfId="23956"/>
    <cellStyle name="Standaard 2 8 5 5" xfId="9552"/>
    <cellStyle name="Standaard 2 8 5 5 2" xfId="23957"/>
    <cellStyle name="Standaard 2 8 5 6" xfId="23958"/>
    <cellStyle name="Standaard 2 8 6" xfId="2313"/>
    <cellStyle name="Standaard 2 8 6 2" xfId="3330"/>
    <cellStyle name="Standaard 2 8 6 2 2" xfId="5364"/>
    <cellStyle name="Standaard 2 8 6 2 2 2" xfId="14532"/>
    <cellStyle name="Standaard 2 8 6 2 2 2 2" xfId="23959"/>
    <cellStyle name="Standaard 2 8 6 2 2 3" xfId="23960"/>
    <cellStyle name="Standaard 2 8 6 2 3" xfId="14531"/>
    <cellStyle name="Standaard 2 8 6 2 3 2" xfId="23961"/>
    <cellStyle name="Standaard 2 8 6 2 4" xfId="23962"/>
    <cellStyle name="Standaard 2 8 6 3" xfId="4347"/>
    <cellStyle name="Standaard 2 8 6 3 2" xfId="14533"/>
    <cellStyle name="Standaard 2 8 6 3 2 2" xfId="23963"/>
    <cellStyle name="Standaard 2 8 6 3 3" xfId="23964"/>
    <cellStyle name="Standaard 2 8 6 4" xfId="9554"/>
    <cellStyle name="Standaard 2 8 6 4 2" xfId="23965"/>
    <cellStyle name="Standaard 2 8 6 5" xfId="23966"/>
    <cellStyle name="Standaard 2 8 7" xfId="2817"/>
    <cellStyle name="Standaard 2 8 7 2" xfId="4851"/>
    <cellStyle name="Standaard 2 8 7 2 2" xfId="14535"/>
    <cellStyle name="Standaard 2 8 7 2 2 2" xfId="23967"/>
    <cellStyle name="Standaard 2 8 7 2 3" xfId="23968"/>
    <cellStyle name="Standaard 2 8 7 3" xfId="14534"/>
    <cellStyle name="Standaard 2 8 7 3 2" xfId="23969"/>
    <cellStyle name="Standaard 2 8 7 4" xfId="23970"/>
    <cellStyle name="Standaard 2 8 8" xfId="3834"/>
    <cellStyle name="Standaard 2 8 8 2" xfId="14536"/>
    <cellStyle name="Standaard 2 8 8 2 2" xfId="23971"/>
    <cellStyle name="Standaard 2 8 8 3" xfId="23972"/>
    <cellStyle name="Standaard 2 8 9" xfId="9531"/>
    <cellStyle name="Standaard 2 8 9 2" xfId="23973"/>
    <cellStyle name="Standaard 2 9" xfId="1783"/>
    <cellStyle name="Standaard 2 9 2" xfId="1909"/>
    <cellStyle name="Standaard 2 9 2 2" xfId="2161"/>
    <cellStyle name="Standaard 2 9 2 2 2" xfId="2705"/>
    <cellStyle name="Standaard 2 9 2 2 2 2" xfId="3722"/>
    <cellStyle name="Standaard 2 9 2 2 2 2 2" xfId="5756"/>
    <cellStyle name="Standaard 2 9 2 2 2 2 2 2" xfId="14538"/>
    <cellStyle name="Standaard 2 9 2 2 2 2 2 2 2" xfId="23974"/>
    <cellStyle name="Standaard 2 9 2 2 2 2 2 3" xfId="23975"/>
    <cellStyle name="Standaard 2 9 2 2 2 2 3" xfId="14537"/>
    <cellStyle name="Standaard 2 9 2 2 2 2 3 2" xfId="23976"/>
    <cellStyle name="Standaard 2 9 2 2 2 2 4" xfId="23977"/>
    <cellStyle name="Standaard 2 9 2 2 2 3" xfId="4739"/>
    <cellStyle name="Standaard 2 9 2 2 2 3 2" xfId="14539"/>
    <cellStyle name="Standaard 2 9 2 2 2 3 2 2" xfId="23978"/>
    <cellStyle name="Standaard 2 9 2 2 2 3 3" xfId="23979"/>
    <cellStyle name="Standaard 2 9 2 2 2 4" xfId="9558"/>
    <cellStyle name="Standaard 2 9 2 2 2 4 2" xfId="23980"/>
    <cellStyle name="Standaard 2 9 2 2 2 5" xfId="23981"/>
    <cellStyle name="Standaard 2 9 2 2 3" xfId="3209"/>
    <cellStyle name="Standaard 2 9 2 2 3 2" xfId="5243"/>
    <cellStyle name="Standaard 2 9 2 2 3 2 2" xfId="14541"/>
    <cellStyle name="Standaard 2 9 2 2 3 2 2 2" xfId="23982"/>
    <cellStyle name="Standaard 2 9 2 2 3 2 3" xfId="23983"/>
    <cellStyle name="Standaard 2 9 2 2 3 3" xfId="14540"/>
    <cellStyle name="Standaard 2 9 2 2 3 3 2" xfId="23984"/>
    <cellStyle name="Standaard 2 9 2 2 3 4" xfId="23985"/>
    <cellStyle name="Standaard 2 9 2 2 4" xfId="4226"/>
    <cellStyle name="Standaard 2 9 2 2 4 2" xfId="14542"/>
    <cellStyle name="Standaard 2 9 2 2 4 2 2" xfId="23986"/>
    <cellStyle name="Standaard 2 9 2 2 4 3" xfId="23987"/>
    <cellStyle name="Standaard 2 9 2 2 5" xfId="9557"/>
    <cellStyle name="Standaard 2 9 2 2 5 2" xfId="23988"/>
    <cellStyle name="Standaard 2 9 2 2 6" xfId="23989"/>
    <cellStyle name="Standaard 2 9 2 3" xfId="2453"/>
    <cellStyle name="Standaard 2 9 2 3 2" xfId="3470"/>
    <cellStyle name="Standaard 2 9 2 3 2 2" xfId="5504"/>
    <cellStyle name="Standaard 2 9 2 3 2 2 2" xfId="14544"/>
    <cellStyle name="Standaard 2 9 2 3 2 2 2 2" xfId="23990"/>
    <cellStyle name="Standaard 2 9 2 3 2 2 3" xfId="23991"/>
    <cellStyle name="Standaard 2 9 2 3 2 3" xfId="14543"/>
    <cellStyle name="Standaard 2 9 2 3 2 3 2" xfId="23992"/>
    <cellStyle name="Standaard 2 9 2 3 2 4" xfId="23993"/>
    <cellStyle name="Standaard 2 9 2 3 3" xfId="4487"/>
    <cellStyle name="Standaard 2 9 2 3 3 2" xfId="14545"/>
    <cellStyle name="Standaard 2 9 2 3 3 2 2" xfId="23994"/>
    <cellStyle name="Standaard 2 9 2 3 3 3" xfId="23995"/>
    <cellStyle name="Standaard 2 9 2 3 4" xfId="9559"/>
    <cellStyle name="Standaard 2 9 2 3 4 2" xfId="23996"/>
    <cellStyle name="Standaard 2 9 2 3 5" xfId="23997"/>
    <cellStyle name="Standaard 2 9 2 4" xfId="2957"/>
    <cellStyle name="Standaard 2 9 2 4 2" xfId="4991"/>
    <cellStyle name="Standaard 2 9 2 4 2 2" xfId="14547"/>
    <cellStyle name="Standaard 2 9 2 4 2 2 2" xfId="23998"/>
    <cellStyle name="Standaard 2 9 2 4 2 3" xfId="23999"/>
    <cellStyle name="Standaard 2 9 2 4 3" xfId="14546"/>
    <cellStyle name="Standaard 2 9 2 4 3 2" xfId="24000"/>
    <cellStyle name="Standaard 2 9 2 4 4" xfId="24001"/>
    <cellStyle name="Standaard 2 9 2 5" xfId="3974"/>
    <cellStyle name="Standaard 2 9 2 5 2" xfId="14548"/>
    <cellStyle name="Standaard 2 9 2 5 2 2" xfId="24002"/>
    <cellStyle name="Standaard 2 9 2 5 3" xfId="24003"/>
    <cellStyle name="Standaard 2 9 2 6" xfId="9556"/>
    <cellStyle name="Standaard 2 9 2 6 2" xfId="24004"/>
    <cellStyle name="Standaard 2 9 2 7" xfId="24005"/>
    <cellStyle name="Standaard 2 9 3" xfId="2035"/>
    <cellStyle name="Standaard 2 9 3 2" xfId="2579"/>
    <cellStyle name="Standaard 2 9 3 2 2" xfId="3596"/>
    <cellStyle name="Standaard 2 9 3 2 2 2" xfId="5630"/>
    <cellStyle name="Standaard 2 9 3 2 2 2 2" xfId="14550"/>
    <cellStyle name="Standaard 2 9 3 2 2 2 2 2" xfId="24006"/>
    <cellStyle name="Standaard 2 9 3 2 2 2 3" xfId="24007"/>
    <cellStyle name="Standaard 2 9 3 2 2 3" xfId="14549"/>
    <cellStyle name="Standaard 2 9 3 2 2 3 2" xfId="24008"/>
    <cellStyle name="Standaard 2 9 3 2 2 4" xfId="24009"/>
    <cellStyle name="Standaard 2 9 3 2 3" xfId="4613"/>
    <cellStyle name="Standaard 2 9 3 2 3 2" xfId="14551"/>
    <cellStyle name="Standaard 2 9 3 2 3 2 2" xfId="24010"/>
    <cellStyle name="Standaard 2 9 3 2 3 3" xfId="24011"/>
    <cellStyle name="Standaard 2 9 3 2 4" xfId="9561"/>
    <cellStyle name="Standaard 2 9 3 2 4 2" xfId="24012"/>
    <cellStyle name="Standaard 2 9 3 2 5" xfId="24013"/>
    <cellStyle name="Standaard 2 9 3 3" xfId="3083"/>
    <cellStyle name="Standaard 2 9 3 3 2" xfId="5117"/>
    <cellStyle name="Standaard 2 9 3 3 2 2" xfId="14553"/>
    <cellStyle name="Standaard 2 9 3 3 2 2 2" xfId="24014"/>
    <cellStyle name="Standaard 2 9 3 3 2 3" xfId="24015"/>
    <cellStyle name="Standaard 2 9 3 3 3" xfId="14552"/>
    <cellStyle name="Standaard 2 9 3 3 3 2" xfId="24016"/>
    <cellStyle name="Standaard 2 9 3 3 4" xfId="24017"/>
    <cellStyle name="Standaard 2 9 3 4" xfId="4100"/>
    <cellStyle name="Standaard 2 9 3 4 2" xfId="14554"/>
    <cellStyle name="Standaard 2 9 3 4 2 2" xfId="24018"/>
    <cellStyle name="Standaard 2 9 3 4 3" xfId="24019"/>
    <cellStyle name="Standaard 2 9 3 5" xfId="9560"/>
    <cellStyle name="Standaard 2 9 3 5 2" xfId="24020"/>
    <cellStyle name="Standaard 2 9 3 6" xfId="24021"/>
    <cellStyle name="Standaard 2 9 4" xfId="2327"/>
    <cellStyle name="Standaard 2 9 4 2" xfId="3344"/>
    <cellStyle name="Standaard 2 9 4 2 2" xfId="5378"/>
    <cellStyle name="Standaard 2 9 4 2 2 2" xfId="14556"/>
    <cellStyle name="Standaard 2 9 4 2 2 2 2" xfId="24022"/>
    <cellStyle name="Standaard 2 9 4 2 2 3" xfId="24023"/>
    <cellStyle name="Standaard 2 9 4 2 3" xfId="14555"/>
    <cellStyle name="Standaard 2 9 4 2 3 2" xfId="24024"/>
    <cellStyle name="Standaard 2 9 4 2 4" xfId="24025"/>
    <cellStyle name="Standaard 2 9 4 3" xfId="4361"/>
    <cellStyle name="Standaard 2 9 4 3 2" xfId="14557"/>
    <cellStyle name="Standaard 2 9 4 3 2 2" xfId="24026"/>
    <cellStyle name="Standaard 2 9 4 3 3" xfId="24027"/>
    <cellStyle name="Standaard 2 9 4 4" xfId="9562"/>
    <cellStyle name="Standaard 2 9 4 4 2" xfId="24028"/>
    <cellStyle name="Standaard 2 9 4 5" xfId="24029"/>
    <cellStyle name="Standaard 2 9 5" xfId="2831"/>
    <cellStyle name="Standaard 2 9 5 2" xfId="4865"/>
    <cellStyle name="Standaard 2 9 5 2 2" xfId="14559"/>
    <cellStyle name="Standaard 2 9 5 2 2 2" xfId="24030"/>
    <cellStyle name="Standaard 2 9 5 2 3" xfId="24031"/>
    <cellStyle name="Standaard 2 9 5 3" xfId="14558"/>
    <cellStyle name="Standaard 2 9 5 3 2" xfId="24032"/>
    <cellStyle name="Standaard 2 9 5 4" xfId="24033"/>
    <cellStyle name="Standaard 2 9 6" xfId="3848"/>
    <cellStyle name="Standaard 2 9 6 2" xfId="14560"/>
    <cellStyle name="Standaard 2 9 6 2 2" xfId="24034"/>
    <cellStyle name="Standaard 2 9 6 3" xfId="24035"/>
    <cellStyle name="Standaard 2 9 7" xfId="9555"/>
    <cellStyle name="Standaard 2 9 7 2" xfId="24036"/>
    <cellStyle name="Standaard 2 9 8" xfId="24037"/>
    <cellStyle name="Standaard 20" xfId="40010"/>
    <cellStyle name="Standaard 21" xfId="40012"/>
    <cellStyle name="Standaard 22" xfId="40018"/>
    <cellStyle name="Standaard 3" xfId="1170"/>
    <cellStyle name="Standaard 3 2" xfId="1171"/>
    <cellStyle name="Standaard 3 3" xfId="2259"/>
    <cellStyle name="Standaard 4" xfId="1172"/>
    <cellStyle name="Standaard 4 10" xfId="2796"/>
    <cellStyle name="Standaard 4 10 2" xfId="4830"/>
    <cellStyle name="Standaard 4 10 2 2" xfId="14562"/>
    <cellStyle name="Standaard 4 10 2 2 2" xfId="24038"/>
    <cellStyle name="Standaard 4 10 2 3" xfId="24039"/>
    <cellStyle name="Standaard 4 10 3" xfId="14561"/>
    <cellStyle name="Standaard 4 10 3 2" xfId="24040"/>
    <cellStyle name="Standaard 4 10 4" xfId="24041"/>
    <cellStyle name="Standaard 4 11" xfId="3813"/>
    <cellStyle name="Standaard 4 11 2" xfId="14563"/>
    <cellStyle name="Standaard 4 11 2 2" xfId="24042"/>
    <cellStyle name="Standaard 4 11 3" xfId="24043"/>
    <cellStyle name="Standaard 4 12" xfId="9563"/>
    <cellStyle name="Standaard 4 12 2" xfId="24044"/>
    <cellStyle name="Standaard 4 13" xfId="24045"/>
    <cellStyle name="Standaard 4 2" xfId="1760"/>
    <cellStyle name="Standaard 4 2 10" xfId="9564"/>
    <cellStyle name="Standaard 4 2 10 2" xfId="24046"/>
    <cellStyle name="Standaard 4 2 11" xfId="24047"/>
    <cellStyle name="Standaard 4 2 2" xfId="1804"/>
    <cellStyle name="Standaard 4 2 2 2" xfId="1930"/>
    <cellStyle name="Standaard 4 2 2 2 2" xfId="2182"/>
    <cellStyle name="Standaard 4 2 2 2 2 2" xfId="2726"/>
    <cellStyle name="Standaard 4 2 2 2 2 2 2" xfId="3743"/>
    <cellStyle name="Standaard 4 2 2 2 2 2 2 2" xfId="5777"/>
    <cellStyle name="Standaard 4 2 2 2 2 2 2 2 2" xfId="14565"/>
    <cellStyle name="Standaard 4 2 2 2 2 2 2 2 2 2" xfId="24048"/>
    <cellStyle name="Standaard 4 2 2 2 2 2 2 2 3" xfId="24049"/>
    <cellStyle name="Standaard 4 2 2 2 2 2 2 3" xfId="14564"/>
    <cellStyle name="Standaard 4 2 2 2 2 2 2 3 2" xfId="24050"/>
    <cellStyle name="Standaard 4 2 2 2 2 2 2 4" xfId="24051"/>
    <cellStyle name="Standaard 4 2 2 2 2 2 3" xfId="4760"/>
    <cellStyle name="Standaard 4 2 2 2 2 2 3 2" xfId="14566"/>
    <cellStyle name="Standaard 4 2 2 2 2 2 3 2 2" xfId="24052"/>
    <cellStyle name="Standaard 4 2 2 2 2 2 3 3" xfId="24053"/>
    <cellStyle name="Standaard 4 2 2 2 2 2 4" xfId="9568"/>
    <cellStyle name="Standaard 4 2 2 2 2 2 4 2" xfId="24054"/>
    <cellStyle name="Standaard 4 2 2 2 2 2 5" xfId="24055"/>
    <cellStyle name="Standaard 4 2 2 2 2 3" xfId="3230"/>
    <cellStyle name="Standaard 4 2 2 2 2 3 2" xfId="5264"/>
    <cellStyle name="Standaard 4 2 2 2 2 3 2 2" xfId="14568"/>
    <cellStyle name="Standaard 4 2 2 2 2 3 2 2 2" xfId="24056"/>
    <cellStyle name="Standaard 4 2 2 2 2 3 2 3" xfId="24057"/>
    <cellStyle name="Standaard 4 2 2 2 2 3 3" xfId="14567"/>
    <cellStyle name="Standaard 4 2 2 2 2 3 3 2" xfId="24058"/>
    <cellStyle name="Standaard 4 2 2 2 2 3 4" xfId="24059"/>
    <cellStyle name="Standaard 4 2 2 2 2 4" xfId="4247"/>
    <cellStyle name="Standaard 4 2 2 2 2 4 2" xfId="14569"/>
    <cellStyle name="Standaard 4 2 2 2 2 4 2 2" xfId="24060"/>
    <cellStyle name="Standaard 4 2 2 2 2 4 3" xfId="24061"/>
    <cellStyle name="Standaard 4 2 2 2 2 5" xfId="9567"/>
    <cellStyle name="Standaard 4 2 2 2 2 5 2" xfId="24062"/>
    <cellStyle name="Standaard 4 2 2 2 2 6" xfId="24063"/>
    <cellStyle name="Standaard 4 2 2 2 3" xfId="2474"/>
    <cellStyle name="Standaard 4 2 2 2 3 2" xfId="3491"/>
    <cellStyle name="Standaard 4 2 2 2 3 2 2" xfId="5525"/>
    <cellStyle name="Standaard 4 2 2 2 3 2 2 2" xfId="14571"/>
    <cellStyle name="Standaard 4 2 2 2 3 2 2 2 2" xfId="24064"/>
    <cellStyle name="Standaard 4 2 2 2 3 2 2 3" xfId="24065"/>
    <cellStyle name="Standaard 4 2 2 2 3 2 3" xfId="14570"/>
    <cellStyle name="Standaard 4 2 2 2 3 2 3 2" xfId="24066"/>
    <cellStyle name="Standaard 4 2 2 2 3 2 4" xfId="24067"/>
    <cellStyle name="Standaard 4 2 2 2 3 3" xfId="4508"/>
    <cellStyle name="Standaard 4 2 2 2 3 3 2" xfId="14572"/>
    <cellStyle name="Standaard 4 2 2 2 3 3 2 2" xfId="24068"/>
    <cellStyle name="Standaard 4 2 2 2 3 3 3" xfId="24069"/>
    <cellStyle name="Standaard 4 2 2 2 3 4" xfId="9569"/>
    <cellStyle name="Standaard 4 2 2 2 3 4 2" xfId="24070"/>
    <cellStyle name="Standaard 4 2 2 2 3 5" xfId="24071"/>
    <cellStyle name="Standaard 4 2 2 2 4" xfId="2978"/>
    <cellStyle name="Standaard 4 2 2 2 4 2" xfId="5012"/>
    <cellStyle name="Standaard 4 2 2 2 4 2 2" xfId="14574"/>
    <cellStyle name="Standaard 4 2 2 2 4 2 2 2" xfId="24072"/>
    <cellStyle name="Standaard 4 2 2 2 4 2 3" xfId="24073"/>
    <cellStyle name="Standaard 4 2 2 2 4 3" xfId="14573"/>
    <cellStyle name="Standaard 4 2 2 2 4 3 2" xfId="24074"/>
    <cellStyle name="Standaard 4 2 2 2 4 4" xfId="24075"/>
    <cellStyle name="Standaard 4 2 2 2 5" xfId="3995"/>
    <cellStyle name="Standaard 4 2 2 2 5 2" xfId="14575"/>
    <cellStyle name="Standaard 4 2 2 2 5 2 2" xfId="24076"/>
    <cellStyle name="Standaard 4 2 2 2 5 3" xfId="24077"/>
    <cellStyle name="Standaard 4 2 2 2 6" xfId="9566"/>
    <cellStyle name="Standaard 4 2 2 2 6 2" xfId="24078"/>
    <cellStyle name="Standaard 4 2 2 2 7" xfId="24079"/>
    <cellStyle name="Standaard 4 2 2 3" xfId="2056"/>
    <cellStyle name="Standaard 4 2 2 3 2" xfId="2600"/>
    <cellStyle name="Standaard 4 2 2 3 2 2" xfId="3617"/>
    <cellStyle name="Standaard 4 2 2 3 2 2 2" xfId="5651"/>
    <cellStyle name="Standaard 4 2 2 3 2 2 2 2" xfId="14577"/>
    <cellStyle name="Standaard 4 2 2 3 2 2 2 2 2" xfId="24080"/>
    <cellStyle name="Standaard 4 2 2 3 2 2 2 3" xfId="24081"/>
    <cellStyle name="Standaard 4 2 2 3 2 2 3" xfId="14576"/>
    <cellStyle name="Standaard 4 2 2 3 2 2 3 2" xfId="24082"/>
    <cellStyle name="Standaard 4 2 2 3 2 2 4" xfId="24083"/>
    <cellStyle name="Standaard 4 2 2 3 2 3" xfId="4634"/>
    <cellStyle name="Standaard 4 2 2 3 2 3 2" xfId="14578"/>
    <cellStyle name="Standaard 4 2 2 3 2 3 2 2" xfId="24084"/>
    <cellStyle name="Standaard 4 2 2 3 2 3 3" xfId="24085"/>
    <cellStyle name="Standaard 4 2 2 3 2 4" xfId="9571"/>
    <cellStyle name="Standaard 4 2 2 3 2 4 2" xfId="24086"/>
    <cellStyle name="Standaard 4 2 2 3 2 5" xfId="24087"/>
    <cellStyle name="Standaard 4 2 2 3 3" xfId="3104"/>
    <cellStyle name="Standaard 4 2 2 3 3 2" xfId="5138"/>
    <cellStyle name="Standaard 4 2 2 3 3 2 2" xfId="14580"/>
    <cellStyle name="Standaard 4 2 2 3 3 2 2 2" xfId="24088"/>
    <cellStyle name="Standaard 4 2 2 3 3 2 3" xfId="24089"/>
    <cellStyle name="Standaard 4 2 2 3 3 3" xfId="14579"/>
    <cellStyle name="Standaard 4 2 2 3 3 3 2" xfId="24090"/>
    <cellStyle name="Standaard 4 2 2 3 3 4" xfId="24091"/>
    <cellStyle name="Standaard 4 2 2 3 4" xfId="4121"/>
    <cellStyle name="Standaard 4 2 2 3 4 2" xfId="14581"/>
    <cellStyle name="Standaard 4 2 2 3 4 2 2" xfId="24092"/>
    <cellStyle name="Standaard 4 2 2 3 4 3" xfId="24093"/>
    <cellStyle name="Standaard 4 2 2 3 5" xfId="9570"/>
    <cellStyle name="Standaard 4 2 2 3 5 2" xfId="24094"/>
    <cellStyle name="Standaard 4 2 2 3 6" xfId="24095"/>
    <cellStyle name="Standaard 4 2 2 4" xfId="2348"/>
    <cellStyle name="Standaard 4 2 2 4 2" xfId="3365"/>
    <cellStyle name="Standaard 4 2 2 4 2 2" xfId="5399"/>
    <cellStyle name="Standaard 4 2 2 4 2 2 2" xfId="14583"/>
    <cellStyle name="Standaard 4 2 2 4 2 2 2 2" xfId="24096"/>
    <cellStyle name="Standaard 4 2 2 4 2 2 3" xfId="24097"/>
    <cellStyle name="Standaard 4 2 2 4 2 3" xfId="14582"/>
    <cellStyle name="Standaard 4 2 2 4 2 3 2" xfId="24098"/>
    <cellStyle name="Standaard 4 2 2 4 2 4" xfId="24099"/>
    <cellStyle name="Standaard 4 2 2 4 3" xfId="4382"/>
    <cellStyle name="Standaard 4 2 2 4 3 2" xfId="14584"/>
    <cellStyle name="Standaard 4 2 2 4 3 2 2" xfId="24100"/>
    <cellStyle name="Standaard 4 2 2 4 3 3" xfId="24101"/>
    <cellStyle name="Standaard 4 2 2 4 4" xfId="9572"/>
    <cellStyle name="Standaard 4 2 2 4 4 2" xfId="24102"/>
    <cellStyle name="Standaard 4 2 2 4 5" xfId="24103"/>
    <cellStyle name="Standaard 4 2 2 5" xfId="2852"/>
    <cellStyle name="Standaard 4 2 2 5 2" xfId="4886"/>
    <cellStyle name="Standaard 4 2 2 5 2 2" xfId="14586"/>
    <cellStyle name="Standaard 4 2 2 5 2 2 2" xfId="24104"/>
    <cellStyle name="Standaard 4 2 2 5 2 3" xfId="24105"/>
    <cellStyle name="Standaard 4 2 2 5 3" xfId="14585"/>
    <cellStyle name="Standaard 4 2 2 5 3 2" xfId="24106"/>
    <cellStyle name="Standaard 4 2 2 5 4" xfId="24107"/>
    <cellStyle name="Standaard 4 2 2 6" xfId="3869"/>
    <cellStyle name="Standaard 4 2 2 6 2" xfId="14587"/>
    <cellStyle name="Standaard 4 2 2 6 2 2" xfId="24108"/>
    <cellStyle name="Standaard 4 2 2 6 3" xfId="24109"/>
    <cellStyle name="Standaard 4 2 2 7" xfId="9565"/>
    <cellStyle name="Standaard 4 2 2 7 2" xfId="24110"/>
    <cellStyle name="Standaard 4 2 2 8" xfId="24111"/>
    <cellStyle name="Standaard 4 2 3" xfId="1846"/>
    <cellStyle name="Standaard 4 2 3 2" xfId="1972"/>
    <cellStyle name="Standaard 4 2 3 2 2" xfId="2224"/>
    <cellStyle name="Standaard 4 2 3 2 2 2" xfId="2768"/>
    <cellStyle name="Standaard 4 2 3 2 2 2 2" xfId="3785"/>
    <cellStyle name="Standaard 4 2 3 2 2 2 2 2" xfId="5819"/>
    <cellStyle name="Standaard 4 2 3 2 2 2 2 2 2" xfId="14589"/>
    <cellStyle name="Standaard 4 2 3 2 2 2 2 2 2 2" xfId="24112"/>
    <cellStyle name="Standaard 4 2 3 2 2 2 2 2 3" xfId="24113"/>
    <cellStyle name="Standaard 4 2 3 2 2 2 2 3" xfId="14588"/>
    <cellStyle name="Standaard 4 2 3 2 2 2 2 3 2" xfId="24114"/>
    <cellStyle name="Standaard 4 2 3 2 2 2 2 4" xfId="24115"/>
    <cellStyle name="Standaard 4 2 3 2 2 2 3" xfId="4802"/>
    <cellStyle name="Standaard 4 2 3 2 2 2 3 2" xfId="14590"/>
    <cellStyle name="Standaard 4 2 3 2 2 2 3 2 2" xfId="24116"/>
    <cellStyle name="Standaard 4 2 3 2 2 2 3 3" xfId="24117"/>
    <cellStyle name="Standaard 4 2 3 2 2 2 4" xfId="9576"/>
    <cellStyle name="Standaard 4 2 3 2 2 2 4 2" xfId="24118"/>
    <cellStyle name="Standaard 4 2 3 2 2 2 5" xfId="24119"/>
    <cellStyle name="Standaard 4 2 3 2 2 3" xfId="3272"/>
    <cellStyle name="Standaard 4 2 3 2 2 3 2" xfId="5306"/>
    <cellStyle name="Standaard 4 2 3 2 2 3 2 2" xfId="14592"/>
    <cellStyle name="Standaard 4 2 3 2 2 3 2 2 2" xfId="24120"/>
    <cellStyle name="Standaard 4 2 3 2 2 3 2 3" xfId="24121"/>
    <cellStyle name="Standaard 4 2 3 2 2 3 3" xfId="14591"/>
    <cellStyle name="Standaard 4 2 3 2 2 3 3 2" xfId="24122"/>
    <cellStyle name="Standaard 4 2 3 2 2 3 4" xfId="24123"/>
    <cellStyle name="Standaard 4 2 3 2 2 4" xfId="4289"/>
    <cellStyle name="Standaard 4 2 3 2 2 4 2" xfId="14593"/>
    <cellStyle name="Standaard 4 2 3 2 2 4 2 2" xfId="24124"/>
    <cellStyle name="Standaard 4 2 3 2 2 4 3" xfId="24125"/>
    <cellStyle name="Standaard 4 2 3 2 2 5" xfId="9575"/>
    <cellStyle name="Standaard 4 2 3 2 2 5 2" xfId="24126"/>
    <cellStyle name="Standaard 4 2 3 2 2 6" xfId="24127"/>
    <cellStyle name="Standaard 4 2 3 2 3" xfId="2516"/>
    <cellStyle name="Standaard 4 2 3 2 3 2" xfId="3533"/>
    <cellStyle name="Standaard 4 2 3 2 3 2 2" xfId="5567"/>
    <cellStyle name="Standaard 4 2 3 2 3 2 2 2" xfId="14595"/>
    <cellStyle name="Standaard 4 2 3 2 3 2 2 2 2" xfId="24128"/>
    <cellStyle name="Standaard 4 2 3 2 3 2 2 3" xfId="24129"/>
    <cellStyle name="Standaard 4 2 3 2 3 2 3" xfId="14594"/>
    <cellStyle name="Standaard 4 2 3 2 3 2 3 2" xfId="24130"/>
    <cellStyle name="Standaard 4 2 3 2 3 2 4" xfId="24131"/>
    <cellStyle name="Standaard 4 2 3 2 3 3" xfId="4550"/>
    <cellStyle name="Standaard 4 2 3 2 3 3 2" xfId="14596"/>
    <cellStyle name="Standaard 4 2 3 2 3 3 2 2" xfId="24132"/>
    <cellStyle name="Standaard 4 2 3 2 3 3 3" xfId="24133"/>
    <cellStyle name="Standaard 4 2 3 2 3 4" xfId="9577"/>
    <cellStyle name="Standaard 4 2 3 2 3 4 2" xfId="24134"/>
    <cellStyle name="Standaard 4 2 3 2 3 5" xfId="24135"/>
    <cellStyle name="Standaard 4 2 3 2 4" xfId="3020"/>
    <cellStyle name="Standaard 4 2 3 2 4 2" xfId="5054"/>
    <cellStyle name="Standaard 4 2 3 2 4 2 2" xfId="14598"/>
    <cellStyle name="Standaard 4 2 3 2 4 2 2 2" xfId="24136"/>
    <cellStyle name="Standaard 4 2 3 2 4 2 3" xfId="24137"/>
    <cellStyle name="Standaard 4 2 3 2 4 3" xfId="14597"/>
    <cellStyle name="Standaard 4 2 3 2 4 3 2" xfId="24138"/>
    <cellStyle name="Standaard 4 2 3 2 4 4" xfId="24139"/>
    <cellStyle name="Standaard 4 2 3 2 5" xfId="4037"/>
    <cellStyle name="Standaard 4 2 3 2 5 2" xfId="14599"/>
    <cellStyle name="Standaard 4 2 3 2 5 2 2" xfId="24140"/>
    <cellStyle name="Standaard 4 2 3 2 5 3" xfId="24141"/>
    <cellStyle name="Standaard 4 2 3 2 6" xfId="9574"/>
    <cellStyle name="Standaard 4 2 3 2 6 2" xfId="24142"/>
    <cellStyle name="Standaard 4 2 3 2 7" xfId="24143"/>
    <cellStyle name="Standaard 4 2 3 3" xfId="2098"/>
    <cellStyle name="Standaard 4 2 3 3 2" xfId="2642"/>
    <cellStyle name="Standaard 4 2 3 3 2 2" xfId="3659"/>
    <cellStyle name="Standaard 4 2 3 3 2 2 2" xfId="5693"/>
    <cellStyle name="Standaard 4 2 3 3 2 2 2 2" xfId="14601"/>
    <cellStyle name="Standaard 4 2 3 3 2 2 2 2 2" xfId="24144"/>
    <cellStyle name="Standaard 4 2 3 3 2 2 2 3" xfId="24145"/>
    <cellStyle name="Standaard 4 2 3 3 2 2 3" xfId="14600"/>
    <cellStyle name="Standaard 4 2 3 3 2 2 3 2" xfId="24146"/>
    <cellStyle name="Standaard 4 2 3 3 2 2 4" xfId="24147"/>
    <cellStyle name="Standaard 4 2 3 3 2 3" xfId="4676"/>
    <cellStyle name="Standaard 4 2 3 3 2 3 2" xfId="14602"/>
    <cellStyle name="Standaard 4 2 3 3 2 3 2 2" xfId="24148"/>
    <cellStyle name="Standaard 4 2 3 3 2 3 3" xfId="24149"/>
    <cellStyle name="Standaard 4 2 3 3 2 4" xfId="9579"/>
    <cellStyle name="Standaard 4 2 3 3 2 4 2" xfId="24150"/>
    <cellStyle name="Standaard 4 2 3 3 2 5" xfId="24151"/>
    <cellStyle name="Standaard 4 2 3 3 3" xfId="3146"/>
    <cellStyle name="Standaard 4 2 3 3 3 2" xfId="5180"/>
    <cellStyle name="Standaard 4 2 3 3 3 2 2" xfId="14604"/>
    <cellStyle name="Standaard 4 2 3 3 3 2 2 2" xfId="24152"/>
    <cellStyle name="Standaard 4 2 3 3 3 2 3" xfId="24153"/>
    <cellStyle name="Standaard 4 2 3 3 3 3" xfId="14603"/>
    <cellStyle name="Standaard 4 2 3 3 3 3 2" xfId="24154"/>
    <cellStyle name="Standaard 4 2 3 3 3 4" xfId="24155"/>
    <cellStyle name="Standaard 4 2 3 3 4" xfId="4163"/>
    <cellStyle name="Standaard 4 2 3 3 4 2" xfId="14605"/>
    <cellStyle name="Standaard 4 2 3 3 4 2 2" xfId="24156"/>
    <cellStyle name="Standaard 4 2 3 3 4 3" xfId="24157"/>
    <cellStyle name="Standaard 4 2 3 3 5" xfId="9578"/>
    <cellStyle name="Standaard 4 2 3 3 5 2" xfId="24158"/>
    <cellStyle name="Standaard 4 2 3 3 6" xfId="24159"/>
    <cellStyle name="Standaard 4 2 3 4" xfId="2390"/>
    <cellStyle name="Standaard 4 2 3 4 2" xfId="3407"/>
    <cellStyle name="Standaard 4 2 3 4 2 2" xfId="5441"/>
    <cellStyle name="Standaard 4 2 3 4 2 2 2" xfId="14607"/>
    <cellStyle name="Standaard 4 2 3 4 2 2 2 2" xfId="24160"/>
    <cellStyle name="Standaard 4 2 3 4 2 2 3" xfId="24161"/>
    <cellStyle name="Standaard 4 2 3 4 2 3" xfId="14606"/>
    <cellStyle name="Standaard 4 2 3 4 2 3 2" xfId="24162"/>
    <cellStyle name="Standaard 4 2 3 4 2 4" xfId="24163"/>
    <cellStyle name="Standaard 4 2 3 4 3" xfId="4424"/>
    <cellStyle name="Standaard 4 2 3 4 3 2" xfId="14608"/>
    <cellStyle name="Standaard 4 2 3 4 3 2 2" xfId="24164"/>
    <cellStyle name="Standaard 4 2 3 4 3 3" xfId="24165"/>
    <cellStyle name="Standaard 4 2 3 4 4" xfId="9580"/>
    <cellStyle name="Standaard 4 2 3 4 4 2" xfId="24166"/>
    <cellStyle name="Standaard 4 2 3 4 5" xfId="24167"/>
    <cellStyle name="Standaard 4 2 3 5" xfId="2894"/>
    <cellStyle name="Standaard 4 2 3 5 2" xfId="4928"/>
    <cellStyle name="Standaard 4 2 3 5 2 2" xfId="14610"/>
    <cellStyle name="Standaard 4 2 3 5 2 2 2" xfId="24168"/>
    <cellStyle name="Standaard 4 2 3 5 2 3" xfId="24169"/>
    <cellStyle name="Standaard 4 2 3 5 3" xfId="14609"/>
    <cellStyle name="Standaard 4 2 3 5 3 2" xfId="24170"/>
    <cellStyle name="Standaard 4 2 3 5 4" xfId="24171"/>
    <cellStyle name="Standaard 4 2 3 6" xfId="3911"/>
    <cellStyle name="Standaard 4 2 3 6 2" xfId="14611"/>
    <cellStyle name="Standaard 4 2 3 6 2 2" xfId="24172"/>
    <cellStyle name="Standaard 4 2 3 6 3" xfId="24173"/>
    <cellStyle name="Standaard 4 2 3 7" xfId="9573"/>
    <cellStyle name="Standaard 4 2 3 7 2" xfId="24174"/>
    <cellStyle name="Standaard 4 2 3 8" xfId="24175"/>
    <cellStyle name="Standaard 4 2 4" xfId="1888"/>
    <cellStyle name="Standaard 4 2 4 2" xfId="2140"/>
    <cellStyle name="Standaard 4 2 4 2 2" xfId="2684"/>
    <cellStyle name="Standaard 4 2 4 2 2 2" xfId="3701"/>
    <cellStyle name="Standaard 4 2 4 2 2 2 2" xfId="5735"/>
    <cellStyle name="Standaard 4 2 4 2 2 2 2 2" xfId="14613"/>
    <cellStyle name="Standaard 4 2 4 2 2 2 2 2 2" xfId="24176"/>
    <cellStyle name="Standaard 4 2 4 2 2 2 2 3" xfId="24177"/>
    <cellStyle name="Standaard 4 2 4 2 2 2 3" xfId="14612"/>
    <cellStyle name="Standaard 4 2 4 2 2 2 3 2" xfId="24178"/>
    <cellStyle name="Standaard 4 2 4 2 2 2 4" xfId="24179"/>
    <cellStyle name="Standaard 4 2 4 2 2 3" xfId="4718"/>
    <cellStyle name="Standaard 4 2 4 2 2 3 2" xfId="14614"/>
    <cellStyle name="Standaard 4 2 4 2 2 3 2 2" xfId="24180"/>
    <cellStyle name="Standaard 4 2 4 2 2 3 3" xfId="24181"/>
    <cellStyle name="Standaard 4 2 4 2 2 4" xfId="9583"/>
    <cellStyle name="Standaard 4 2 4 2 2 4 2" xfId="24182"/>
    <cellStyle name="Standaard 4 2 4 2 2 5" xfId="24183"/>
    <cellStyle name="Standaard 4 2 4 2 3" xfId="3188"/>
    <cellStyle name="Standaard 4 2 4 2 3 2" xfId="5222"/>
    <cellStyle name="Standaard 4 2 4 2 3 2 2" xfId="14616"/>
    <cellStyle name="Standaard 4 2 4 2 3 2 2 2" xfId="24184"/>
    <cellStyle name="Standaard 4 2 4 2 3 2 3" xfId="24185"/>
    <cellStyle name="Standaard 4 2 4 2 3 3" xfId="14615"/>
    <cellStyle name="Standaard 4 2 4 2 3 3 2" xfId="24186"/>
    <cellStyle name="Standaard 4 2 4 2 3 4" xfId="24187"/>
    <cellStyle name="Standaard 4 2 4 2 4" xfId="4205"/>
    <cellStyle name="Standaard 4 2 4 2 4 2" xfId="14617"/>
    <cellStyle name="Standaard 4 2 4 2 4 2 2" xfId="24188"/>
    <cellStyle name="Standaard 4 2 4 2 4 3" xfId="24189"/>
    <cellStyle name="Standaard 4 2 4 2 5" xfId="9582"/>
    <cellStyle name="Standaard 4 2 4 2 5 2" xfId="24190"/>
    <cellStyle name="Standaard 4 2 4 2 6" xfId="24191"/>
    <cellStyle name="Standaard 4 2 4 3" xfId="2432"/>
    <cellStyle name="Standaard 4 2 4 3 2" xfId="3449"/>
    <cellStyle name="Standaard 4 2 4 3 2 2" xfId="5483"/>
    <cellStyle name="Standaard 4 2 4 3 2 2 2" xfId="14619"/>
    <cellStyle name="Standaard 4 2 4 3 2 2 2 2" xfId="24192"/>
    <cellStyle name="Standaard 4 2 4 3 2 2 3" xfId="24193"/>
    <cellStyle name="Standaard 4 2 4 3 2 3" xfId="14618"/>
    <cellStyle name="Standaard 4 2 4 3 2 3 2" xfId="24194"/>
    <cellStyle name="Standaard 4 2 4 3 2 4" xfId="24195"/>
    <cellStyle name="Standaard 4 2 4 3 3" xfId="4466"/>
    <cellStyle name="Standaard 4 2 4 3 3 2" xfId="14620"/>
    <cellStyle name="Standaard 4 2 4 3 3 2 2" xfId="24196"/>
    <cellStyle name="Standaard 4 2 4 3 3 3" xfId="24197"/>
    <cellStyle name="Standaard 4 2 4 3 4" xfId="9584"/>
    <cellStyle name="Standaard 4 2 4 3 4 2" xfId="24198"/>
    <cellStyle name="Standaard 4 2 4 3 5" xfId="24199"/>
    <cellStyle name="Standaard 4 2 4 4" xfId="2936"/>
    <cellStyle name="Standaard 4 2 4 4 2" xfId="4970"/>
    <cellStyle name="Standaard 4 2 4 4 2 2" xfId="14622"/>
    <cellStyle name="Standaard 4 2 4 4 2 2 2" xfId="24200"/>
    <cellStyle name="Standaard 4 2 4 4 2 3" xfId="24201"/>
    <cellStyle name="Standaard 4 2 4 4 3" xfId="14621"/>
    <cellStyle name="Standaard 4 2 4 4 3 2" xfId="24202"/>
    <cellStyle name="Standaard 4 2 4 4 4" xfId="24203"/>
    <cellStyle name="Standaard 4 2 4 5" xfId="3953"/>
    <cellStyle name="Standaard 4 2 4 5 2" xfId="14623"/>
    <cellStyle name="Standaard 4 2 4 5 2 2" xfId="24204"/>
    <cellStyle name="Standaard 4 2 4 5 3" xfId="24205"/>
    <cellStyle name="Standaard 4 2 4 6" xfId="9581"/>
    <cellStyle name="Standaard 4 2 4 6 2" xfId="24206"/>
    <cellStyle name="Standaard 4 2 4 7" xfId="24207"/>
    <cellStyle name="Standaard 4 2 5" xfId="2014"/>
    <cellStyle name="Standaard 4 2 5 2" xfId="2558"/>
    <cellStyle name="Standaard 4 2 5 2 2" xfId="3575"/>
    <cellStyle name="Standaard 4 2 5 2 2 2" xfId="5609"/>
    <cellStyle name="Standaard 4 2 5 2 2 2 2" xfId="14625"/>
    <cellStyle name="Standaard 4 2 5 2 2 2 2 2" xfId="24208"/>
    <cellStyle name="Standaard 4 2 5 2 2 2 3" xfId="24209"/>
    <cellStyle name="Standaard 4 2 5 2 2 3" xfId="14624"/>
    <cellStyle name="Standaard 4 2 5 2 2 3 2" xfId="24210"/>
    <cellStyle name="Standaard 4 2 5 2 2 4" xfId="24211"/>
    <cellStyle name="Standaard 4 2 5 2 3" xfId="4592"/>
    <cellStyle name="Standaard 4 2 5 2 3 2" xfId="14626"/>
    <cellStyle name="Standaard 4 2 5 2 3 2 2" xfId="24212"/>
    <cellStyle name="Standaard 4 2 5 2 3 3" xfId="24213"/>
    <cellStyle name="Standaard 4 2 5 2 4" xfId="9586"/>
    <cellStyle name="Standaard 4 2 5 2 4 2" xfId="24214"/>
    <cellStyle name="Standaard 4 2 5 2 5" xfId="24215"/>
    <cellStyle name="Standaard 4 2 5 3" xfId="3062"/>
    <cellStyle name="Standaard 4 2 5 3 2" xfId="5096"/>
    <cellStyle name="Standaard 4 2 5 3 2 2" xfId="14628"/>
    <cellStyle name="Standaard 4 2 5 3 2 2 2" xfId="24216"/>
    <cellStyle name="Standaard 4 2 5 3 2 3" xfId="24217"/>
    <cellStyle name="Standaard 4 2 5 3 3" xfId="14627"/>
    <cellStyle name="Standaard 4 2 5 3 3 2" xfId="24218"/>
    <cellStyle name="Standaard 4 2 5 3 4" xfId="24219"/>
    <cellStyle name="Standaard 4 2 5 4" xfId="4079"/>
    <cellStyle name="Standaard 4 2 5 4 2" xfId="14629"/>
    <cellStyle name="Standaard 4 2 5 4 2 2" xfId="24220"/>
    <cellStyle name="Standaard 4 2 5 4 3" xfId="24221"/>
    <cellStyle name="Standaard 4 2 5 5" xfId="9585"/>
    <cellStyle name="Standaard 4 2 5 5 2" xfId="24222"/>
    <cellStyle name="Standaard 4 2 5 6" xfId="24223"/>
    <cellStyle name="Standaard 4 2 6" xfId="2269"/>
    <cellStyle name="Standaard 4 2 7" xfId="2306"/>
    <cellStyle name="Standaard 4 2 7 2" xfId="3323"/>
    <cellStyle name="Standaard 4 2 7 2 2" xfId="5357"/>
    <cellStyle name="Standaard 4 2 7 2 2 2" xfId="14631"/>
    <cellStyle name="Standaard 4 2 7 2 2 2 2" xfId="24224"/>
    <cellStyle name="Standaard 4 2 7 2 2 3" xfId="24225"/>
    <cellStyle name="Standaard 4 2 7 2 3" xfId="14630"/>
    <cellStyle name="Standaard 4 2 7 2 3 2" xfId="24226"/>
    <cellStyle name="Standaard 4 2 7 2 4" xfId="24227"/>
    <cellStyle name="Standaard 4 2 7 3" xfId="4340"/>
    <cellStyle name="Standaard 4 2 7 3 2" xfId="14632"/>
    <cellStyle name="Standaard 4 2 7 3 2 2" xfId="24228"/>
    <cellStyle name="Standaard 4 2 7 3 3" xfId="24229"/>
    <cellStyle name="Standaard 4 2 7 4" xfId="9587"/>
    <cellStyle name="Standaard 4 2 7 4 2" xfId="24230"/>
    <cellStyle name="Standaard 4 2 7 5" xfId="24231"/>
    <cellStyle name="Standaard 4 2 8" xfId="2810"/>
    <cellStyle name="Standaard 4 2 8 2" xfId="4844"/>
    <cellStyle name="Standaard 4 2 8 2 2" xfId="14634"/>
    <cellStyle name="Standaard 4 2 8 2 2 2" xfId="24232"/>
    <cellStyle name="Standaard 4 2 8 2 3" xfId="24233"/>
    <cellStyle name="Standaard 4 2 8 3" xfId="14633"/>
    <cellStyle name="Standaard 4 2 8 3 2" xfId="24234"/>
    <cellStyle name="Standaard 4 2 8 4" xfId="24235"/>
    <cellStyle name="Standaard 4 2 9" xfId="3827"/>
    <cellStyle name="Standaard 4 2 9 2" xfId="14635"/>
    <cellStyle name="Standaard 4 2 9 2 2" xfId="24236"/>
    <cellStyle name="Standaard 4 2 9 3" xfId="24237"/>
    <cellStyle name="Standaard 4 3" xfId="1776"/>
    <cellStyle name="Standaard 4 3 10" xfId="9588"/>
    <cellStyle name="Standaard 4 3 10 2" xfId="24238"/>
    <cellStyle name="Standaard 4 3 11" xfId="24239"/>
    <cellStyle name="Standaard 4 3 2" xfId="1818"/>
    <cellStyle name="Standaard 4 3 2 2" xfId="1944"/>
    <cellStyle name="Standaard 4 3 2 2 2" xfId="2196"/>
    <cellStyle name="Standaard 4 3 2 2 2 2" xfId="2740"/>
    <cellStyle name="Standaard 4 3 2 2 2 2 2" xfId="3757"/>
    <cellStyle name="Standaard 4 3 2 2 2 2 2 2" xfId="5791"/>
    <cellStyle name="Standaard 4 3 2 2 2 2 2 2 2" xfId="14637"/>
    <cellStyle name="Standaard 4 3 2 2 2 2 2 2 2 2" xfId="24240"/>
    <cellStyle name="Standaard 4 3 2 2 2 2 2 2 3" xfId="24241"/>
    <cellStyle name="Standaard 4 3 2 2 2 2 2 3" xfId="14636"/>
    <cellStyle name="Standaard 4 3 2 2 2 2 2 3 2" xfId="24242"/>
    <cellStyle name="Standaard 4 3 2 2 2 2 2 4" xfId="24243"/>
    <cellStyle name="Standaard 4 3 2 2 2 2 3" xfId="4774"/>
    <cellStyle name="Standaard 4 3 2 2 2 2 3 2" xfId="14638"/>
    <cellStyle name="Standaard 4 3 2 2 2 2 3 2 2" xfId="24244"/>
    <cellStyle name="Standaard 4 3 2 2 2 2 3 3" xfId="24245"/>
    <cellStyle name="Standaard 4 3 2 2 2 2 4" xfId="9592"/>
    <cellStyle name="Standaard 4 3 2 2 2 2 4 2" xfId="24246"/>
    <cellStyle name="Standaard 4 3 2 2 2 2 5" xfId="24247"/>
    <cellStyle name="Standaard 4 3 2 2 2 3" xfId="3244"/>
    <cellStyle name="Standaard 4 3 2 2 2 3 2" xfId="5278"/>
    <cellStyle name="Standaard 4 3 2 2 2 3 2 2" xfId="14640"/>
    <cellStyle name="Standaard 4 3 2 2 2 3 2 2 2" xfId="24248"/>
    <cellStyle name="Standaard 4 3 2 2 2 3 2 3" xfId="24249"/>
    <cellStyle name="Standaard 4 3 2 2 2 3 3" xfId="14639"/>
    <cellStyle name="Standaard 4 3 2 2 2 3 3 2" xfId="24250"/>
    <cellStyle name="Standaard 4 3 2 2 2 3 4" xfId="24251"/>
    <cellStyle name="Standaard 4 3 2 2 2 4" xfId="4261"/>
    <cellStyle name="Standaard 4 3 2 2 2 4 2" xfId="14641"/>
    <cellStyle name="Standaard 4 3 2 2 2 4 2 2" xfId="24252"/>
    <cellStyle name="Standaard 4 3 2 2 2 4 3" xfId="24253"/>
    <cellStyle name="Standaard 4 3 2 2 2 5" xfId="9591"/>
    <cellStyle name="Standaard 4 3 2 2 2 5 2" xfId="24254"/>
    <cellStyle name="Standaard 4 3 2 2 2 6" xfId="24255"/>
    <cellStyle name="Standaard 4 3 2 2 3" xfId="2488"/>
    <cellStyle name="Standaard 4 3 2 2 3 2" xfId="3505"/>
    <cellStyle name="Standaard 4 3 2 2 3 2 2" xfId="5539"/>
    <cellStyle name="Standaard 4 3 2 2 3 2 2 2" xfId="14643"/>
    <cellStyle name="Standaard 4 3 2 2 3 2 2 2 2" xfId="24256"/>
    <cellStyle name="Standaard 4 3 2 2 3 2 2 3" xfId="24257"/>
    <cellStyle name="Standaard 4 3 2 2 3 2 3" xfId="14642"/>
    <cellStyle name="Standaard 4 3 2 2 3 2 3 2" xfId="24258"/>
    <cellStyle name="Standaard 4 3 2 2 3 2 4" xfId="24259"/>
    <cellStyle name="Standaard 4 3 2 2 3 3" xfId="4522"/>
    <cellStyle name="Standaard 4 3 2 2 3 3 2" xfId="14644"/>
    <cellStyle name="Standaard 4 3 2 2 3 3 2 2" xfId="24260"/>
    <cellStyle name="Standaard 4 3 2 2 3 3 3" xfId="24261"/>
    <cellStyle name="Standaard 4 3 2 2 3 4" xfId="9593"/>
    <cellStyle name="Standaard 4 3 2 2 3 4 2" xfId="24262"/>
    <cellStyle name="Standaard 4 3 2 2 3 5" xfId="24263"/>
    <cellStyle name="Standaard 4 3 2 2 4" xfId="2992"/>
    <cellStyle name="Standaard 4 3 2 2 4 2" xfId="5026"/>
    <cellStyle name="Standaard 4 3 2 2 4 2 2" xfId="14646"/>
    <cellStyle name="Standaard 4 3 2 2 4 2 2 2" xfId="24264"/>
    <cellStyle name="Standaard 4 3 2 2 4 2 3" xfId="24265"/>
    <cellStyle name="Standaard 4 3 2 2 4 3" xfId="14645"/>
    <cellStyle name="Standaard 4 3 2 2 4 3 2" xfId="24266"/>
    <cellStyle name="Standaard 4 3 2 2 4 4" xfId="24267"/>
    <cellStyle name="Standaard 4 3 2 2 5" xfId="4009"/>
    <cellStyle name="Standaard 4 3 2 2 5 2" xfId="14647"/>
    <cellStyle name="Standaard 4 3 2 2 5 2 2" xfId="24268"/>
    <cellStyle name="Standaard 4 3 2 2 5 3" xfId="24269"/>
    <cellStyle name="Standaard 4 3 2 2 6" xfId="9590"/>
    <cellStyle name="Standaard 4 3 2 2 6 2" xfId="24270"/>
    <cellStyle name="Standaard 4 3 2 2 7" xfId="24271"/>
    <cellStyle name="Standaard 4 3 2 3" xfId="2070"/>
    <cellStyle name="Standaard 4 3 2 3 2" xfId="2614"/>
    <cellStyle name="Standaard 4 3 2 3 2 2" xfId="3631"/>
    <cellStyle name="Standaard 4 3 2 3 2 2 2" xfId="5665"/>
    <cellStyle name="Standaard 4 3 2 3 2 2 2 2" xfId="14649"/>
    <cellStyle name="Standaard 4 3 2 3 2 2 2 2 2" xfId="24272"/>
    <cellStyle name="Standaard 4 3 2 3 2 2 2 3" xfId="24273"/>
    <cellStyle name="Standaard 4 3 2 3 2 2 3" xfId="14648"/>
    <cellStyle name="Standaard 4 3 2 3 2 2 3 2" xfId="24274"/>
    <cellStyle name="Standaard 4 3 2 3 2 2 4" xfId="24275"/>
    <cellStyle name="Standaard 4 3 2 3 2 3" xfId="4648"/>
    <cellStyle name="Standaard 4 3 2 3 2 3 2" xfId="14650"/>
    <cellStyle name="Standaard 4 3 2 3 2 3 2 2" xfId="24276"/>
    <cellStyle name="Standaard 4 3 2 3 2 3 3" xfId="24277"/>
    <cellStyle name="Standaard 4 3 2 3 2 4" xfId="9595"/>
    <cellStyle name="Standaard 4 3 2 3 2 4 2" xfId="24278"/>
    <cellStyle name="Standaard 4 3 2 3 2 5" xfId="24279"/>
    <cellStyle name="Standaard 4 3 2 3 3" xfId="3118"/>
    <cellStyle name="Standaard 4 3 2 3 3 2" xfId="5152"/>
    <cellStyle name="Standaard 4 3 2 3 3 2 2" xfId="14652"/>
    <cellStyle name="Standaard 4 3 2 3 3 2 2 2" xfId="24280"/>
    <cellStyle name="Standaard 4 3 2 3 3 2 3" xfId="24281"/>
    <cellStyle name="Standaard 4 3 2 3 3 3" xfId="14651"/>
    <cellStyle name="Standaard 4 3 2 3 3 3 2" xfId="24282"/>
    <cellStyle name="Standaard 4 3 2 3 3 4" xfId="24283"/>
    <cellStyle name="Standaard 4 3 2 3 4" xfId="4135"/>
    <cellStyle name="Standaard 4 3 2 3 4 2" xfId="14653"/>
    <cellStyle name="Standaard 4 3 2 3 4 2 2" xfId="24284"/>
    <cellStyle name="Standaard 4 3 2 3 4 3" xfId="24285"/>
    <cellStyle name="Standaard 4 3 2 3 5" xfId="9594"/>
    <cellStyle name="Standaard 4 3 2 3 5 2" xfId="24286"/>
    <cellStyle name="Standaard 4 3 2 3 6" xfId="24287"/>
    <cellStyle name="Standaard 4 3 2 4" xfId="2273"/>
    <cellStyle name="Standaard 4 3 2 5" xfId="2362"/>
    <cellStyle name="Standaard 4 3 2 5 2" xfId="3379"/>
    <cellStyle name="Standaard 4 3 2 5 2 2" xfId="5413"/>
    <cellStyle name="Standaard 4 3 2 5 2 2 2" xfId="14655"/>
    <cellStyle name="Standaard 4 3 2 5 2 2 2 2" xfId="24288"/>
    <cellStyle name="Standaard 4 3 2 5 2 2 3" xfId="24289"/>
    <cellStyle name="Standaard 4 3 2 5 2 3" xfId="14654"/>
    <cellStyle name="Standaard 4 3 2 5 2 3 2" xfId="24290"/>
    <cellStyle name="Standaard 4 3 2 5 2 4" xfId="24291"/>
    <cellStyle name="Standaard 4 3 2 5 3" xfId="4396"/>
    <cellStyle name="Standaard 4 3 2 5 3 2" xfId="14656"/>
    <cellStyle name="Standaard 4 3 2 5 3 2 2" xfId="24292"/>
    <cellStyle name="Standaard 4 3 2 5 3 3" xfId="24293"/>
    <cellStyle name="Standaard 4 3 2 5 4" xfId="9596"/>
    <cellStyle name="Standaard 4 3 2 5 4 2" xfId="24294"/>
    <cellStyle name="Standaard 4 3 2 5 5" xfId="24295"/>
    <cellStyle name="Standaard 4 3 2 6" xfId="2866"/>
    <cellStyle name="Standaard 4 3 2 6 2" xfId="4900"/>
    <cellStyle name="Standaard 4 3 2 6 2 2" xfId="14658"/>
    <cellStyle name="Standaard 4 3 2 6 2 2 2" xfId="24296"/>
    <cellStyle name="Standaard 4 3 2 6 2 3" xfId="24297"/>
    <cellStyle name="Standaard 4 3 2 6 3" xfId="14657"/>
    <cellStyle name="Standaard 4 3 2 6 3 2" xfId="24298"/>
    <cellStyle name="Standaard 4 3 2 6 4" xfId="24299"/>
    <cellStyle name="Standaard 4 3 2 7" xfId="3883"/>
    <cellStyle name="Standaard 4 3 2 7 2" xfId="14659"/>
    <cellStyle name="Standaard 4 3 2 7 2 2" xfId="24300"/>
    <cellStyle name="Standaard 4 3 2 7 3" xfId="24301"/>
    <cellStyle name="Standaard 4 3 2 8" xfId="9589"/>
    <cellStyle name="Standaard 4 3 2 8 2" xfId="24302"/>
    <cellStyle name="Standaard 4 3 2 9" xfId="24303"/>
    <cellStyle name="Standaard 4 3 3" xfId="1860"/>
    <cellStyle name="Standaard 4 3 3 2" xfId="1986"/>
    <cellStyle name="Standaard 4 3 3 2 2" xfId="2238"/>
    <cellStyle name="Standaard 4 3 3 2 2 2" xfId="2782"/>
    <cellStyle name="Standaard 4 3 3 2 2 2 2" xfId="3799"/>
    <cellStyle name="Standaard 4 3 3 2 2 2 2 2" xfId="5833"/>
    <cellStyle name="Standaard 4 3 3 2 2 2 2 2 2" xfId="14661"/>
    <cellStyle name="Standaard 4 3 3 2 2 2 2 2 2 2" xfId="24304"/>
    <cellStyle name="Standaard 4 3 3 2 2 2 2 2 3" xfId="24305"/>
    <cellStyle name="Standaard 4 3 3 2 2 2 2 3" xfId="14660"/>
    <cellStyle name="Standaard 4 3 3 2 2 2 2 3 2" xfId="24306"/>
    <cellStyle name="Standaard 4 3 3 2 2 2 2 4" xfId="24307"/>
    <cellStyle name="Standaard 4 3 3 2 2 2 3" xfId="4816"/>
    <cellStyle name="Standaard 4 3 3 2 2 2 3 2" xfId="14662"/>
    <cellStyle name="Standaard 4 3 3 2 2 2 3 2 2" xfId="24308"/>
    <cellStyle name="Standaard 4 3 3 2 2 2 3 3" xfId="24309"/>
    <cellStyle name="Standaard 4 3 3 2 2 2 4" xfId="9600"/>
    <cellStyle name="Standaard 4 3 3 2 2 2 4 2" xfId="24310"/>
    <cellStyle name="Standaard 4 3 3 2 2 2 5" xfId="24311"/>
    <cellStyle name="Standaard 4 3 3 2 2 3" xfId="3286"/>
    <cellStyle name="Standaard 4 3 3 2 2 3 2" xfId="5320"/>
    <cellStyle name="Standaard 4 3 3 2 2 3 2 2" xfId="14664"/>
    <cellStyle name="Standaard 4 3 3 2 2 3 2 2 2" xfId="24312"/>
    <cellStyle name="Standaard 4 3 3 2 2 3 2 3" xfId="24313"/>
    <cellStyle name="Standaard 4 3 3 2 2 3 3" xfId="14663"/>
    <cellStyle name="Standaard 4 3 3 2 2 3 3 2" xfId="24314"/>
    <cellStyle name="Standaard 4 3 3 2 2 3 4" xfId="24315"/>
    <cellStyle name="Standaard 4 3 3 2 2 4" xfId="4303"/>
    <cellStyle name="Standaard 4 3 3 2 2 4 2" xfId="14665"/>
    <cellStyle name="Standaard 4 3 3 2 2 4 2 2" xfId="24316"/>
    <cellStyle name="Standaard 4 3 3 2 2 4 3" xfId="24317"/>
    <cellStyle name="Standaard 4 3 3 2 2 5" xfId="9599"/>
    <cellStyle name="Standaard 4 3 3 2 2 5 2" xfId="24318"/>
    <cellStyle name="Standaard 4 3 3 2 2 6" xfId="24319"/>
    <cellStyle name="Standaard 4 3 3 2 3" xfId="2530"/>
    <cellStyle name="Standaard 4 3 3 2 3 2" xfId="3547"/>
    <cellStyle name="Standaard 4 3 3 2 3 2 2" xfId="5581"/>
    <cellStyle name="Standaard 4 3 3 2 3 2 2 2" xfId="14667"/>
    <cellStyle name="Standaard 4 3 3 2 3 2 2 2 2" xfId="24320"/>
    <cellStyle name="Standaard 4 3 3 2 3 2 2 3" xfId="24321"/>
    <cellStyle name="Standaard 4 3 3 2 3 2 3" xfId="14666"/>
    <cellStyle name="Standaard 4 3 3 2 3 2 3 2" xfId="24322"/>
    <cellStyle name="Standaard 4 3 3 2 3 2 4" xfId="24323"/>
    <cellStyle name="Standaard 4 3 3 2 3 3" xfId="4564"/>
    <cellStyle name="Standaard 4 3 3 2 3 3 2" xfId="14668"/>
    <cellStyle name="Standaard 4 3 3 2 3 3 2 2" xfId="24324"/>
    <cellStyle name="Standaard 4 3 3 2 3 3 3" xfId="24325"/>
    <cellStyle name="Standaard 4 3 3 2 3 4" xfId="9601"/>
    <cellStyle name="Standaard 4 3 3 2 3 4 2" xfId="24326"/>
    <cellStyle name="Standaard 4 3 3 2 3 5" xfId="24327"/>
    <cellStyle name="Standaard 4 3 3 2 4" xfId="3034"/>
    <cellStyle name="Standaard 4 3 3 2 4 2" xfId="5068"/>
    <cellStyle name="Standaard 4 3 3 2 4 2 2" xfId="14670"/>
    <cellStyle name="Standaard 4 3 3 2 4 2 2 2" xfId="24328"/>
    <cellStyle name="Standaard 4 3 3 2 4 2 3" xfId="24329"/>
    <cellStyle name="Standaard 4 3 3 2 4 3" xfId="14669"/>
    <cellStyle name="Standaard 4 3 3 2 4 3 2" xfId="24330"/>
    <cellStyle name="Standaard 4 3 3 2 4 4" xfId="24331"/>
    <cellStyle name="Standaard 4 3 3 2 5" xfId="4051"/>
    <cellStyle name="Standaard 4 3 3 2 5 2" xfId="14671"/>
    <cellStyle name="Standaard 4 3 3 2 5 2 2" xfId="24332"/>
    <cellStyle name="Standaard 4 3 3 2 5 3" xfId="24333"/>
    <cellStyle name="Standaard 4 3 3 2 6" xfId="9598"/>
    <cellStyle name="Standaard 4 3 3 2 6 2" xfId="24334"/>
    <cellStyle name="Standaard 4 3 3 2 7" xfId="24335"/>
    <cellStyle name="Standaard 4 3 3 3" xfId="2112"/>
    <cellStyle name="Standaard 4 3 3 3 2" xfId="2656"/>
    <cellStyle name="Standaard 4 3 3 3 2 2" xfId="3673"/>
    <cellStyle name="Standaard 4 3 3 3 2 2 2" xfId="5707"/>
    <cellStyle name="Standaard 4 3 3 3 2 2 2 2" xfId="14673"/>
    <cellStyle name="Standaard 4 3 3 3 2 2 2 2 2" xfId="24336"/>
    <cellStyle name="Standaard 4 3 3 3 2 2 2 3" xfId="24337"/>
    <cellStyle name="Standaard 4 3 3 3 2 2 3" xfId="14672"/>
    <cellStyle name="Standaard 4 3 3 3 2 2 3 2" xfId="24338"/>
    <cellStyle name="Standaard 4 3 3 3 2 2 4" xfId="24339"/>
    <cellStyle name="Standaard 4 3 3 3 2 3" xfId="4690"/>
    <cellStyle name="Standaard 4 3 3 3 2 3 2" xfId="14674"/>
    <cellStyle name="Standaard 4 3 3 3 2 3 2 2" xfId="24340"/>
    <cellStyle name="Standaard 4 3 3 3 2 3 3" xfId="24341"/>
    <cellStyle name="Standaard 4 3 3 3 2 4" xfId="9603"/>
    <cellStyle name="Standaard 4 3 3 3 2 4 2" xfId="24342"/>
    <cellStyle name="Standaard 4 3 3 3 2 5" xfId="24343"/>
    <cellStyle name="Standaard 4 3 3 3 3" xfId="3160"/>
    <cellStyle name="Standaard 4 3 3 3 3 2" xfId="5194"/>
    <cellStyle name="Standaard 4 3 3 3 3 2 2" xfId="14676"/>
    <cellStyle name="Standaard 4 3 3 3 3 2 2 2" xfId="24344"/>
    <cellStyle name="Standaard 4 3 3 3 3 2 3" xfId="24345"/>
    <cellStyle name="Standaard 4 3 3 3 3 3" xfId="14675"/>
    <cellStyle name="Standaard 4 3 3 3 3 3 2" xfId="24346"/>
    <cellStyle name="Standaard 4 3 3 3 3 4" xfId="24347"/>
    <cellStyle name="Standaard 4 3 3 3 4" xfId="4177"/>
    <cellStyle name="Standaard 4 3 3 3 4 2" xfId="14677"/>
    <cellStyle name="Standaard 4 3 3 3 4 2 2" xfId="24348"/>
    <cellStyle name="Standaard 4 3 3 3 4 3" xfId="24349"/>
    <cellStyle name="Standaard 4 3 3 3 5" xfId="9602"/>
    <cellStyle name="Standaard 4 3 3 3 5 2" xfId="24350"/>
    <cellStyle name="Standaard 4 3 3 3 6" xfId="24351"/>
    <cellStyle name="Standaard 4 3 3 4" xfId="2404"/>
    <cellStyle name="Standaard 4 3 3 4 2" xfId="3421"/>
    <cellStyle name="Standaard 4 3 3 4 2 2" xfId="5455"/>
    <cellStyle name="Standaard 4 3 3 4 2 2 2" xfId="14679"/>
    <cellStyle name="Standaard 4 3 3 4 2 2 2 2" xfId="24352"/>
    <cellStyle name="Standaard 4 3 3 4 2 2 3" xfId="24353"/>
    <cellStyle name="Standaard 4 3 3 4 2 3" xfId="14678"/>
    <cellStyle name="Standaard 4 3 3 4 2 3 2" xfId="24354"/>
    <cellStyle name="Standaard 4 3 3 4 2 4" xfId="24355"/>
    <cellStyle name="Standaard 4 3 3 4 3" xfId="4438"/>
    <cellStyle name="Standaard 4 3 3 4 3 2" xfId="14680"/>
    <cellStyle name="Standaard 4 3 3 4 3 2 2" xfId="24356"/>
    <cellStyle name="Standaard 4 3 3 4 3 3" xfId="24357"/>
    <cellStyle name="Standaard 4 3 3 4 4" xfId="9604"/>
    <cellStyle name="Standaard 4 3 3 4 4 2" xfId="24358"/>
    <cellStyle name="Standaard 4 3 3 4 5" xfId="24359"/>
    <cellStyle name="Standaard 4 3 3 5" xfId="2908"/>
    <cellStyle name="Standaard 4 3 3 5 2" xfId="4942"/>
    <cellStyle name="Standaard 4 3 3 5 2 2" xfId="14682"/>
    <cellStyle name="Standaard 4 3 3 5 2 2 2" xfId="24360"/>
    <cellStyle name="Standaard 4 3 3 5 2 3" xfId="24361"/>
    <cellStyle name="Standaard 4 3 3 5 3" xfId="14681"/>
    <cellStyle name="Standaard 4 3 3 5 3 2" xfId="24362"/>
    <cellStyle name="Standaard 4 3 3 5 4" xfId="24363"/>
    <cellStyle name="Standaard 4 3 3 6" xfId="3925"/>
    <cellStyle name="Standaard 4 3 3 6 2" xfId="14683"/>
    <cellStyle name="Standaard 4 3 3 6 2 2" xfId="24364"/>
    <cellStyle name="Standaard 4 3 3 6 3" xfId="24365"/>
    <cellStyle name="Standaard 4 3 3 7" xfId="9597"/>
    <cellStyle name="Standaard 4 3 3 7 2" xfId="24366"/>
    <cellStyle name="Standaard 4 3 3 8" xfId="24367"/>
    <cellStyle name="Standaard 4 3 4" xfId="1902"/>
    <cellStyle name="Standaard 4 3 4 2" xfId="2154"/>
    <cellStyle name="Standaard 4 3 4 2 2" xfId="2698"/>
    <cellStyle name="Standaard 4 3 4 2 2 2" xfId="3715"/>
    <cellStyle name="Standaard 4 3 4 2 2 2 2" xfId="5749"/>
    <cellStyle name="Standaard 4 3 4 2 2 2 2 2" xfId="14685"/>
    <cellStyle name="Standaard 4 3 4 2 2 2 2 2 2" xfId="24368"/>
    <cellStyle name="Standaard 4 3 4 2 2 2 2 3" xfId="24369"/>
    <cellStyle name="Standaard 4 3 4 2 2 2 3" xfId="14684"/>
    <cellStyle name="Standaard 4 3 4 2 2 2 3 2" xfId="24370"/>
    <cellStyle name="Standaard 4 3 4 2 2 2 4" xfId="24371"/>
    <cellStyle name="Standaard 4 3 4 2 2 3" xfId="4732"/>
    <cellStyle name="Standaard 4 3 4 2 2 3 2" xfId="14686"/>
    <cellStyle name="Standaard 4 3 4 2 2 3 2 2" xfId="24372"/>
    <cellStyle name="Standaard 4 3 4 2 2 3 3" xfId="24373"/>
    <cellStyle name="Standaard 4 3 4 2 2 4" xfId="9607"/>
    <cellStyle name="Standaard 4 3 4 2 2 4 2" xfId="24374"/>
    <cellStyle name="Standaard 4 3 4 2 2 5" xfId="24375"/>
    <cellStyle name="Standaard 4 3 4 2 3" xfId="3202"/>
    <cellStyle name="Standaard 4 3 4 2 3 2" xfId="5236"/>
    <cellStyle name="Standaard 4 3 4 2 3 2 2" xfId="14688"/>
    <cellStyle name="Standaard 4 3 4 2 3 2 2 2" xfId="24376"/>
    <cellStyle name="Standaard 4 3 4 2 3 2 3" xfId="24377"/>
    <cellStyle name="Standaard 4 3 4 2 3 3" xfId="14687"/>
    <cellStyle name="Standaard 4 3 4 2 3 3 2" xfId="24378"/>
    <cellStyle name="Standaard 4 3 4 2 3 4" xfId="24379"/>
    <cellStyle name="Standaard 4 3 4 2 4" xfId="4219"/>
    <cellStyle name="Standaard 4 3 4 2 4 2" xfId="14689"/>
    <cellStyle name="Standaard 4 3 4 2 4 2 2" xfId="24380"/>
    <cellStyle name="Standaard 4 3 4 2 4 3" xfId="24381"/>
    <cellStyle name="Standaard 4 3 4 2 5" xfId="9606"/>
    <cellStyle name="Standaard 4 3 4 2 5 2" xfId="24382"/>
    <cellStyle name="Standaard 4 3 4 2 6" xfId="24383"/>
    <cellStyle name="Standaard 4 3 4 3" xfId="2446"/>
    <cellStyle name="Standaard 4 3 4 3 2" xfId="3463"/>
    <cellStyle name="Standaard 4 3 4 3 2 2" xfId="5497"/>
    <cellStyle name="Standaard 4 3 4 3 2 2 2" xfId="14691"/>
    <cellStyle name="Standaard 4 3 4 3 2 2 2 2" xfId="24384"/>
    <cellStyle name="Standaard 4 3 4 3 2 2 3" xfId="24385"/>
    <cellStyle name="Standaard 4 3 4 3 2 3" xfId="14690"/>
    <cellStyle name="Standaard 4 3 4 3 2 3 2" xfId="24386"/>
    <cellStyle name="Standaard 4 3 4 3 2 4" xfId="24387"/>
    <cellStyle name="Standaard 4 3 4 3 3" xfId="4480"/>
    <cellStyle name="Standaard 4 3 4 3 3 2" xfId="14692"/>
    <cellStyle name="Standaard 4 3 4 3 3 2 2" xfId="24388"/>
    <cellStyle name="Standaard 4 3 4 3 3 3" xfId="24389"/>
    <cellStyle name="Standaard 4 3 4 3 4" xfId="9608"/>
    <cellStyle name="Standaard 4 3 4 3 4 2" xfId="24390"/>
    <cellStyle name="Standaard 4 3 4 3 5" xfId="24391"/>
    <cellStyle name="Standaard 4 3 4 4" xfId="2950"/>
    <cellStyle name="Standaard 4 3 4 4 2" xfId="4984"/>
    <cellStyle name="Standaard 4 3 4 4 2 2" xfId="14694"/>
    <cellStyle name="Standaard 4 3 4 4 2 2 2" xfId="24392"/>
    <cellStyle name="Standaard 4 3 4 4 2 3" xfId="24393"/>
    <cellStyle name="Standaard 4 3 4 4 3" xfId="14693"/>
    <cellStyle name="Standaard 4 3 4 4 3 2" xfId="24394"/>
    <cellStyle name="Standaard 4 3 4 4 4" xfId="24395"/>
    <cellStyle name="Standaard 4 3 4 5" xfId="3967"/>
    <cellStyle name="Standaard 4 3 4 5 2" xfId="14695"/>
    <cellStyle name="Standaard 4 3 4 5 2 2" xfId="24396"/>
    <cellStyle name="Standaard 4 3 4 5 3" xfId="24397"/>
    <cellStyle name="Standaard 4 3 4 6" xfId="9605"/>
    <cellStyle name="Standaard 4 3 4 6 2" xfId="24398"/>
    <cellStyle name="Standaard 4 3 4 7" xfId="24399"/>
    <cellStyle name="Standaard 4 3 5" xfId="2028"/>
    <cellStyle name="Standaard 4 3 5 2" xfId="2572"/>
    <cellStyle name="Standaard 4 3 5 2 2" xfId="3589"/>
    <cellStyle name="Standaard 4 3 5 2 2 2" xfId="5623"/>
    <cellStyle name="Standaard 4 3 5 2 2 2 2" xfId="14697"/>
    <cellStyle name="Standaard 4 3 5 2 2 2 2 2" xfId="24400"/>
    <cellStyle name="Standaard 4 3 5 2 2 2 3" xfId="24401"/>
    <cellStyle name="Standaard 4 3 5 2 2 3" xfId="14696"/>
    <cellStyle name="Standaard 4 3 5 2 2 3 2" xfId="24402"/>
    <cellStyle name="Standaard 4 3 5 2 2 4" xfId="24403"/>
    <cellStyle name="Standaard 4 3 5 2 3" xfId="4606"/>
    <cellStyle name="Standaard 4 3 5 2 3 2" xfId="14698"/>
    <cellStyle name="Standaard 4 3 5 2 3 2 2" xfId="24404"/>
    <cellStyle name="Standaard 4 3 5 2 3 3" xfId="24405"/>
    <cellStyle name="Standaard 4 3 5 2 4" xfId="9610"/>
    <cellStyle name="Standaard 4 3 5 2 4 2" xfId="24406"/>
    <cellStyle name="Standaard 4 3 5 2 5" xfId="24407"/>
    <cellStyle name="Standaard 4 3 5 3" xfId="3076"/>
    <cellStyle name="Standaard 4 3 5 3 2" xfId="5110"/>
    <cellStyle name="Standaard 4 3 5 3 2 2" xfId="14700"/>
    <cellStyle name="Standaard 4 3 5 3 2 2 2" xfId="24408"/>
    <cellStyle name="Standaard 4 3 5 3 2 3" xfId="24409"/>
    <cellStyle name="Standaard 4 3 5 3 3" xfId="14699"/>
    <cellStyle name="Standaard 4 3 5 3 3 2" xfId="24410"/>
    <cellStyle name="Standaard 4 3 5 3 4" xfId="24411"/>
    <cellStyle name="Standaard 4 3 5 4" xfId="4093"/>
    <cellStyle name="Standaard 4 3 5 4 2" xfId="14701"/>
    <cellStyle name="Standaard 4 3 5 4 2 2" xfId="24412"/>
    <cellStyle name="Standaard 4 3 5 4 3" xfId="24413"/>
    <cellStyle name="Standaard 4 3 5 5" xfId="9609"/>
    <cellStyle name="Standaard 4 3 5 5 2" xfId="24414"/>
    <cellStyle name="Standaard 4 3 5 6" xfId="24415"/>
    <cellStyle name="Standaard 4 3 6" xfId="2271"/>
    <cellStyle name="Standaard 4 3 7" xfId="2320"/>
    <cellStyle name="Standaard 4 3 7 2" xfId="3337"/>
    <cellStyle name="Standaard 4 3 7 2 2" xfId="5371"/>
    <cellStyle name="Standaard 4 3 7 2 2 2" xfId="14703"/>
    <cellStyle name="Standaard 4 3 7 2 2 2 2" xfId="24416"/>
    <cellStyle name="Standaard 4 3 7 2 2 3" xfId="24417"/>
    <cellStyle name="Standaard 4 3 7 2 3" xfId="14702"/>
    <cellStyle name="Standaard 4 3 7 2 3 2" xfId="24418"/>
    <cellStyle name="Standaard 4 3 7 2 4" xfId="24419"/>
    <cellStyle name="Standaard 4 3 7 3" xfId="4354"/>
    <cellStyle name="Standaard 4 3 7 3 2" xfId="14704"/>
    <cellStyle name="Standaard 4 3 7 3 2 2" xfId="24420"/>
    <cellStyle name="Standaard 4 3 7 3 3" xfId="24421"/>
    <cellStyle name="Standaard 4 3 7 4" xfId="9611"/>
    <cellStyle name="Standaard 4 3 7 4 2" xfId="24422"/>
    <cellStyle name="Standaard 4 3 7 5" xfId="24423"/>
    <cellStyle name="Standaard 4 3 8" xfId="2824"/>
    <cellStyle name="Standaard 4 3 8 2" xfId="4858"/>
    <cellStyle name="Standaard 4 3 8 2 2" xfId="14706"/>
    <cellStyle name="Standaard 4 3 8 2 2 2" xfId="24424"/>
    <cellStyle name="Standaard 4 3 8 2 3" xfId="24425"/>
    <cellStyle name="Standaard 4 3 8 3" xfId="14705"/>
    <cellStyle name="Standaard 4 3 8 3 2" xfId="24426"/>
    <cellStyle name="Standaard 4 3 8 4" xfId="24427"/>
    <cellStyle name="Standaard 4 3 9" xfId="3841"/>
    <cellStyle name="Standaard 4 3 9 2" xfId="14707"/>
    <cellStyle name="Standaard 4 3 9 2 2" xfId="24428"/>
    <cellStyle name="Standaard 4 3 9 3" xfId="24429"/>
    <cellStyle name="Standaard 4 4" xfId="1790"/>
    <cellStyle name="Standaard 4 4 2" xfId="1916"/>
    <cellStyle name="Standaard 4 4 2 2" xfId="2168"/>
    <cellStyle name="Standaard 4 4 2 2 2" xfId="2712"/>
    <cellStyle name="Standaard 4 4 2 2 2 2" xfId="3729"/>
    <cellStyle name="Standaard 4 4 2 2 2 2 2" xfId="5763"/>
    <cellStyle name="Standaard 4 4 2 2 2 2 2 2" xfId="14709"/>
    <cellStyle name="Standaard 4 4 2 2 2 2 2 2 2" xfId="24430"/>
    <cellStyle name="Standaard 4 4 2 2 2 2 2 3" xfId="24431"/>
    <cellStyle name="Standaard 4 4 2 2 2 2 3" xfId="14708"/>
    <cellStyle name="Standaard 4 4 2 2 2 2 3 2" xfId="24432"/>
    <cellStyle name="Standaard 4 4 2 2 2 2 4" xfId="24433"/>
    <cellStyle name="Standaard 4 4 2 2 2 3" xfId="4746"/>
    <cellStyle name="Standaard 4 4 2 2 2 3 2" xfId="14710"/>
    <cellStyle name="Standaard 4 4 2 2 2 3 2 2" xfId="24434"/>
    <cellStyle name="Standaard 4 4 2 2 2 3 3" xfId="24435"/>
    <cellStyle name="Standaard 4 4 2 2 2 4" xfId="9615"/>
    <cellStyle name="Standaard 4 4 2 2 2 4 2" xfId="24436"/>
    <cellStyle name="Standaard 4 4 2 2 2 5" xfId="24437"/>
    <cellStyle name="Standaard 4 4 2 2 3" xfId="3216"/>
    <cellStyle name="Standaard 4 4 2 2 3 2" xfId="5250"/>
    <cellStyle name="Standaard 4 4 2 2 3 2 2" xfId="14712"/>
    <cellStyle name="Standaard 4 4 2 2 3 2 2 2" xfId="24438"/>
    <cellStyle name="Standaard 4 4 2 2 3 2 3" xfId="24439"/>
    <cellStyle name="Standaard 4 4 2 2 3 3" xfId="14711"/>
    <cellStyle name="Standaard 4 4 2 2 3 3 2" xfId="24440"/>
    <cellStyle name="Standaard 4 4 2 2 3 4" xfId="24441"/>
    <cellStyle name="Standaard 4 4 2 2 4" xfId="4233"/>
    <cellStyle name="Standaard 4 4 2 2 4 2" xfId="14713"/>
    <cellStyle name="Standaard 4 4 2 2 4 2 2" xfId="24442"/>
    <cellStyle name="Standaard 4 4 2 2 4 3" xfId="24443"/>
    <cellStyle name="Standaard 4 4 2 2 5" xfId="9614"/>
    <cellStyle name="Standaard 4 4 2 2 5 2" xfId="24444"/>
    <cellStyle name="Standaard 4 4 2 2 6" xfId="24445"/>
    <cellStyle name="Standaard 4 4 2 3" xfId="2460"/>
    <cellStyle name="Standaard 4 4 2 3 2" xfId="3477"/>
    <cellStyle name="Standaard 4 4 2 3 2 2" xfId="5511"/>
    <cellStyle name="Standaard 4 4 2 3 2 2 2" xfId="14715"/>
    <cellStyle name="Standaard 4 4 2 3 2 2 2 2" xfId="24446"/>
    <cellStyle name="Standaard 4 4 2 3 2 2 3" xfId="24447"/>
    <cellStyle name="Standaard 4 4 2 3 2 3" xfId="14714"/>
    <cellStyle name="Standaard 4 4 2 3 2 3 2" xfId="24448"/>
    <cellStyle name="Standaard 4 4 2 3 2 4" xfId="24449"/>
    <cellStyle name="Standaard 4 4 2 3 3" xfId="4494"/>
    <cellStyle name="Standaard 4 4 2 3 3 2" xfId="14716"/>
    <cellStyle name="Standaard 4 4 2 3 3 2 2" xfId="24450"/>
    <cellStyle name="Standaard 4 4 2 3 3 3" xfId="24451"/>
    <cellStyle name="Standaard 4 4 2 3 4" xfId="9616"/>
    <cellStyle name="Standaard 4 4 2 3 4 2" xfId="24452"/>
    <cellStyle name="Standaard 4 4 2 3 5" xfId="24453"/>
    <cellStyle name="Standaard 4 4 2 4" xfId="2964"/>
    <cellStyle name="Standaard 4 4 2 4 2" xfId="4998"/>
    <cellStyle name="Standaard 4 4 2 4 2 2" xfId="14718"/>
    <cellStyle name="Standaard 4 4 2 4 2 2 2" xfId="24454"/>
    <cellStyle name="Standaard 4 4 2 4 2 3" xfId="24455"/>
    <cellStyle name="Standaard 4 4 2 4 3" xfId="14717"/>
    <cellStyle name="Standaard 4 4 2 4 3 2" xfId="24456"/>
    <cellStyle name="Standaard 4 4 2 4 4" xfId="24457"/>
    <cellStyle name="Standaard 4 4 2 5" xfId="3981"/>
    <cellStyle name="Standaard 4 4 2 5 2" xfId="14719"/>
    <cellStyle name="Standaard 4 4 2 5 2 2" xfId="24458"/>
    <cellStyle name="Standaard 4 4 2 5 3" xfId="24459"/>
    <cellStyle name="Standaard 4 4 2 6" xfId="9613"/>
    <cellStyle name="Standaard 4 4 2 6 2" xfId="24460"/>
    <cellStyle name="Standaard 4 4 2 7" xfId="24461"/>
    <cellStyle name="Standaard 4 4 3" xfId="2042"/>
    <cellStyle name="Standaard 4 4 3 2" xfId="2586"/>
    <cellStyle name="Standaard 4 4 3 2 2" xfId="3603"/>
    <cellStyle name="Standaard 4 4 3 2 2 2" xfId="5637"/>
    <cellStyle name="Standaard 4 4 3 2 2 2 2" xfId="14721"/>
    <cellStyle name="Standaard 4 4 3 2 2 2 2 2" xfId="24462"/>
    <cellStyle name="Standaard 4 4 3 2 2 2 3" xfId="24463"/>
    <cellStyle name="Standaard 4 4 3 2 2 3" xfId="14720"/>
    <cellStyle name="Standaard 4 4 3 2 2 3 2" xfId="24464"/>
    <cellStyle name="Standaard 4 4 3 2 2 4" xfId="24465"/>
    <cellStyle name="Standaard 4 4 3 2 3" xfId="4620"/>
    <cellStyle name="Standaard 4 4 3 2 3 2" xfId="14722"/>
    <cellStyle name="Standaard 4 4 3 2 3 2 2" xfId="24466"/>
    <cellStyle name="Standaard 4 4 3 2 3 3" xfId="24467"/>
    <cellStyle name="Standaard 4 4 3 2 4" xfId="9618"/>
    <cellStyle name="Standaard 4 4 3 2 4 2" xfId="24468"/>
    <cellStyle name="Standaard 4 4 3 2 5" xfId="24469"/>
    <cellStyle name="Standaard 4 4 3 3" xfId="3090"/>
    <cellStyle name="Standaard 4 4 3 3 2" xfId="5124"/>
    <cellStyle name="Standaard 4 4 3 3 2 2" xfId="14724"/>
    <cellStyle name="Standaard 4 4 3 3 2 2 2" xfId="24470"/>
    <cellStyle name="Standaard 4 4 3 3 2 3" xfId="24471"/>
    <cellStyle name="Standaard 4 4 3 3 3" xfId="14723"/>
    <cellStyle name="Standaard 4 4 3 3 3 2" xfId="24472"/>
    <cellStyle name="Standaard 4 4 3 3 4" xfId="24473"/>
    <cellStyle name="Standaard 4 4 3 4" xfId="4107"/>
    <cellStyle name="Standaard 4 4 3 4 2" xfId="14725"/>
    <cellStyle name="Standaard 4 4 3 4 2 2" xfId="24474"/>
    <cellStyle name="Standaard 4 4 3 4 3" xfId="24475"/>
    <cellStyle name="Standaard 4 4 3 5" xfId="9617"/>
    <cellStyle name="Standaard 4 4 3 5 2" xfId="24476"/>
    <cellStyle name="Standaard 4 4 3 6" xfId="24477"/>
    <cellStyle name="Standaard 4 4 4" xfId="2334"/>
    <cellStyle name="Standaard 4 4 4 2" xfId="3351"/>
    <cellStyle name="Standaard 4 4 4 2 2" xfId="5385"/>
    <cellStyle name="Standaard 4 4 4 2 2 2" xfId="14727"/>
    <cellStyle name="Standaard 4 4 4 2 2 2 2" xfId="24478"/>
    <cellStyle name="Standaard 4 4 4 2 2 3" xfId="24479"/>
    <cellStyle name="Standaard 4 4 4 2 3" xfId="14726"/>
    <cellStyle name="Standaard 4 4 4 2 3 2" xfId="24480"/>
    <cellStyle name="Standaard 4 4 4 2 4" xfId="24481"/>
    <cellStyle name="Standaard 4 4 4 3" xfId="4368"/>
    <cellStyle name="Standaard 4 4 4 3 2" xfId="14728"/>
    <cellStyle name="Standaard 4 4 4 3 2 2" xfId="24482"/>
    <cellStyle name="Standaard 4 4 4 3 3" xfId="24483"/>
    <cellStyle name="Standaard 4 4 4 4" xfId="9619"/>
    <cellStyle name="Standaard 4 4 4 4 2" xfId="24484"/>
    <cellStyle name="Standaard 4 4 4 5" xfId="24485"/>
    <cellStyle name="Standaard 4 4 5" xfId="2838"/>
    <cellStyle name="Standaard 4 4 5 2" xfId="4872"/>
    <cellStyle name="Standaard 4 4 5 2 2" xfId="14730"/>
    <cellStyle name="Standaard 4 4 5 2 2 2" xfId="24486"/>
    <cellStyle name="Standaard 4 4 5 2 3" xfId="24487"/>
    <cellStyle name="Standaard 4 4 5 3" xfId="14729"/>
    <cellStyle name="Standaard 4 4 5 3 2" xfId="24488"/>
    <cellStyle name="Standaard 4 4 5 4" xfId="24489"/>
    <cellStyle name="Standaard 4 4 6" xfId="3855"/>
    <cellStyle name="Standaard 4 4 6 2" xfId="14731"/>
    <cellStyle name="Standaard 4 4 6 2 2" xfId="24490"/>
    <cellStyle name="Standaard 4 4 6 3" xfId="24491"/>
    <cellStyle name="Standaard 4 4 7" xfId="9612"/>
    <cellStyle name="Standaard 4 4 7 2" xfId="24492"/>
    <cellStyle name="Standaard 4 4 8" xfId="24493"/>
    <cellStyle name="Standaard 4 5" xfId="1832"/>
    <cellStyle name="Standaard 4 5 2" xfId="1958"/>
    <cellStyle name="Standaard 4 5 2 2" xfId="2210"/>
    <cellStyle name="Standaard 4 5 2 2 2" xfId="2754"/>
    <cellStyle name="Standaard 4 5 2 2 2 2" xfId="3771"/>
    <cellStyle name="Standaard 4 5 2 2 2 2 2" xfId="5805"/>
    <cellStyle name="Standaard 4 5 2 2 2 2 2 2" xfId="14733"/>
    <cellStyle name="Standaard 4 5 2 2 2 2 2 2 2" xfId="24494"/>
    <cellStyle name="Standaard 4 5 2 2 2 2 2 3" xfId="24495"/>
    <cellStyle name="Standaard 4 5 2 2 2 2 3" xfId="14732"/>
    <cellStyle name="Standaard 4 5 2 2 2 2 3 2" xfId="24496"/>
    <cellStyle name="Standaard 4 5 2 2 2 2 4" xfId="24497"/>
    <cellStyle name="Standaard 4 5 2 2 2 3" xfId="4788"/>
    <cellStyle name="Standaard 4 5 2 2 2 3 2" xfId="14734"/>
    <cellStyle name="Standaard 4 5 2 2 2 3 2 2" xfId="24498"/>
    <cellStyle name="Standaard 4 5 2 2 2 3 3" xfId="24499"/>
    <cellStyle name="Standaard 4 5 2 2 2 4" xfId="9623"/>
    <cellStyle name="Standaard 4 5 2 2 2 4 2" xfId="24500"/>
    <cellStyle name="Standaard 4 5 2 2 2 5" xfId="24501"/>
    <cellStyle name="Standaard 4 5 2 2 3" xfId="3258"/>
    <cellStyle name="Standaard 4 5 2 2 3 2" xfId="5292"/>
    <cellStyle name="Standaard 4 5 2 2 3 2 2" xfId="14736"/>
    <cellStyle name="Standaard 4 5 2 2 3 2 2 2" xfId="24502"/>
    <cellStyle name="Standaard 4 5 2 2 3 2 3" xfId="24503"/>
    <cellStyle name="Standaard 4 5 2 2 3 3" xfId="14735"/>
    <cellStyle name="Standaard 4 5 2 2 3 3 2" xfId="24504"/>
    <cellStyle name="Standaard 4 5 2 2 3 4" xfId="24505"/>
    <cellStyle name="Standaard 4 5 2 2 4" xfId="4275"/>
    <cellStyle name="Standaard 4 5 2 2 4 2" xfId="14737"/>
    <cellStyle name="Standaard 4 5 2 2 4 2 2" xfId="24506"/>
    <cellStyle name="Standaard 4 5 2 2 4 3" xfId="24507"/>
    <cellStyle name="Standaard 4 5 2 2 5" xfId="9622"/>
    <cellStyle name="Standaard 4 5 2 2 5 2" xfId="24508"/>
    <cellStyle name="Standaard 4 5 2 2 6" xfId="24509"/>
    <cellStyle name="Standaard 4 5 2 3" xfId="2502"/>
    <cellStyle name="Standaard 4 5 2 3 2" xfId="3519"/>
    <cellStyle name="Standaard 4 5 2 3 2 2" xfId="5553"/>
    <cellStyle name="Standaard 4 5 2 3 2 2 2" xfId="14739"/>
    <cellStyle name="Standaard 4 5 2 3 2 2 2 2" xfId="24510"/>
    <cellStyle name="Standaard 4 5 2 3 2 2 3" xfId="24511"/>
    <cellStyle name="Standaard 4 5 2 3 2 3" xfId="14738"/>
    <cellStyle name="Standaard 4 5 2 3 2 3 2" xfId="24512"/>
    <cellStyle name="Standaard 4 5 2 3 2 4" xfId="24513"/>
    <cellStyle name="Standaard 4 5 2 3 3" xfId="4536"/>
    <cellStyle name="Standaard 4 5 2 3 3 2" xfId="14740"/>
    <cellStyle name="Standaard 4 5 2 3 3 2 2" xfId="24514"/>
    <cellStyle name="Standaard 4 5 2 3 3 3" xfId="24515"/>
    <cellStyle name="Standaard 4 5 2 3 4" xfId="9624"/>
    <cellStyle name="Standaard 4 5 2 3 4 2" xfId="24516"/>
    <cellStyle name="Standaard 4 5 2 3 5" xfId="24517"/>
    <cellStyle name="Standaard 4 5 2 4" xfId="3006"/>
    <cellStyle name="Standaard 4 5 2 4 2" xfId="5040"/>
    <cellStyle name="Standaard 4 5 2 4 2 2" xfId="14742"/>
    <cellStyle name="Standaard 4 5 2 4 2 2 2" xfId="24518"/>
    <cellStyle name="Standaard 4 5 2 4 2 3" xfId="24519"/>
    <cellStyle name="Standaard 4 5 2 4 3" xfId="14741"/>
    <cellStyle name="Standaard 4 5 2 4 3 2" xfId="24520"/>
    <cellStyle name="Standaard 4 5 2 4 4" xfId="24521"/>
    <cellStyle name="Standaard 4 5 2 5" xfId="4023"/>
    <cellStyle name="Standaard 4 5 2 5 2" xfId="14743"/>
    <cellStyle name="Standaard 4 5 2 5 2 2" xfId="24522"/>
    <cellStyle name="Standaard 4 5 2 5 3" xfId="24523"/>
    <cellStyle name="Standaard 4 5 2 6" xfId="9621"/>
    <cellStyle name="Standaard 4 5 2 6 2" xfId="24524"/>
    <cellStyle name="Standaard 4 5 2 7" xfId="24525"/>
    <cellStyle name="Standaard 4 5 3" xfId="2084"/>
    <cellStyle name="Standaard 4 5 3 2" xfId="2628"/>
    <cellStyle name="Standaard 4 5 3 2 2" xfId="3645"/>
    <cellStyle name="Standaard 4 5 3 2 2 2" xfId="5679"/>
    <cellStyle name="Standaard 4 5 3 2 2 2 2" xfId="14745"/>
    <cellStyle name="Standaard 4 5 3 2 2 2 2 2" xfId="24526"/>
    <cellStyle name="Standaard 4 5 3 2 2 2 3" xfId="24527"/>
    <cellStyle name="Standaard 4 5 3 2 2 3" xfId="14744"/>
    <cellStyle name="Standaard 4 5 3 2 2 3 2" xfId="24528"/>
    <cellStyle name="Standaard 4 5 3 2 2 4" xfId="24529"/>
    <cellStyle name="Standaard 4 5 3 2 3" xfId="4662"/>
    <cellStyle name="Standaard 4 5 3 2 3 2" xfId="14746"/>
    <cellStyle name="Standaard 4 5 3 2 3 2 2" xfId="24530"/>
    <cellStyle name="Standaard 4 5 3 2 3 3" xfId="24531"/>
    <cellStyle name="Standaard 4 5 3 2 4" xfId="9626"/>
    <cellStyle name="Standaard 4 5 3 2 4 2" xfId="24532"/>
    <cellStyle name="Standaard 4 5 3 2 5" xfId="24533"/>
    <cellStyle name="Standaard 4 5 3 3" xfId="3132"/>
    <cellStyle name="Standaard 4 5 3 3 2" xfId="5166"/>
    <cellStyle name="Standaard 4 5 3 3 2 2" xfId="14748"/>
    <cellStyle name="Standaard 4 5 3 3 2 2 2" xfId="24534"/>
    <cellStyle name="Standaard 4 5 3 3 2 3" xfId="24535"/>
    <cellStyle name="Standaard 4 5 3 3 3" xfId="14747"/>
    <cellStyle name="Standaard 4 5 3 3 3 2" xfId="24536"/>
    <cellStyle name="Standaard 4 5 3 3 4" xfId="24537"/>
    <cellStyle name="Standaard 4 5 3 4" xfId="4149"/>
    <cellStyle name="Standaard 4 5 3 4 2" xfId="14749"/>
    <cellStyle name="Standaard 4 5 3 4 2 2" xfId="24538"/>
    <cellStyle name="Standaard 4 5 3 4 3" xfId="24539"/>
    <cellStyle name="Standaard 4 5 3 5" xfId="9625"/>
    <cellStyle name="Standaard 4 5 3 5 2" xfId="24540"/>
    <cellStyle name="Standaard 4 5 3 6" xfId="24541"/>
    <cellStyle name="Standaard 4 5 4" xfId="2376"/>
    <cellStyle name="Standaard 4 5 4 2" xfId="3393"/>
    <cellStyle name="Standaard 4 5 4 2 2" xfId="5427"/>
    <cellStyle name="Standaard 4 5 4 2 2 2" xfId="14751"/>
    <cellStyle name="Standaard 4 5 4 2 2 2 2" xfId="24542"/>
    <cellStyle name="Standaard 4 5 4 2 2 3" xfId="24543"/>
    <cellStyle name="Standaard 4 5 4 2 3" xfId="14750"/>
    <cellStyle name="Standaard 4 5 4 2 3 2" xfId="24544"/>
    <cellStyle name="Standaard 4 5 4 2 4" xfId="24545"/>
    <cellStyle name="Standaard 4 5 4 3" xfId="4410"/>
    <cellStyle name="Standaard 4 5 4 3 2" xfId="14752"/>
    <cellStyle name="Standaard 4 5 4 3 2 2" xfId="24546"/>
    <cellStyle name="Standaard 4 5 4 3 3" xfId="24547"/>
    <cellStyle name="Standaard 4 5 4 4" xfId="9627"/>
    <cellStyle name="Standaard 4 5 4 4 2" xfId="24548"/>
    <cellStyle name="Standaard 4 5 4 5" xfId="24549"/>
    <cellStyle name="Standaard 4 5 5" xfId="2880"/>
    <cellStyle name="Standaard 4 5 5 2" xfId="4914"/>
    <cellStyle name="Standaard 4 5 5 2 2" xfId="14754"/>
    <cellStyle name="Standaard 4 5 5 2 2 2" xfId="24550"/>
    <cellStyle name="Standaard 4 5 5 2 3" xfId="24551"/>
    <cellStyle name="Standaard 4 5 5 3" xfId="14753"/>
    <cellStyle name="Standaard 4 5 5 3 2" xfId="24552"/>
    <cellStyle name="Standaard 4 5 5 4" xfId="24553"/>
    <cellStyle name="Standaard 4 5 6" xfId="3897"/>
    <cellStyle name="Standaard 4 5 6 2" xfId="14755"/>
    <cellStyle name="Standaard 4 5 6 2 2" xfId="24554"/>
    <cellStyle name="Standaard 4 5 6 3" xfId="24555"/>
    <cellStyle name="Standaard 4 5 7" xfId="9620"/>
    <cellStyle name="Standaard 4 5 7 2" xfId="24556"/>
    <cellStyle name="Standaard 4 5 8" xfId="24557"/>
    <cellStyle name="Standaard 4 6" xfId="1874"/>
    <cellStyle name="Standaard 4 6 2" xfId="2126"/>
    <cellStyle name="Standaard 4 6 2 2" xfId="2670"/>
    <cellStyle name="Standaard 4 6 2 2 2" xfId="3687"/>
    <cellStyle name="Standaard 4 6 2 2 2 2" xfId="5721"/>
    <cellStyle name="Standaard 4 6 2 2 2 2 2" xfId="14757"/>
    <cellStyle name="Standaard 4 6 2 2 2 2 2 2" xfId="24558"/>
    <cellStyle name="Standaard 4 6 2 2 2 2 3" xfId="24559"/>
    <cellStyle name="Standaard 4 6 2 2 2 3" xfId="14756"/>
    <cellStyle name="Standaard 4 6 2 2 2 3 2" xfId="24560"/>
    <cellStyle name="Standaard 4 6 2 2 2 4" xfId="24561"/>
    <cellStyle name="Standaard 4 6 2 2 3" xfId="4704"/>
    <cellStyle name="Standaard 4 6 2 2 3 2" xfId="14758"/>
    <cellStyle name="Standaard 4 6 2 2 3 2 2" xfId="24562"/>
    <cellStyle name="Standaard 4 6 2 2 3 3" xfId="24563"/>
    <cellStyle name="Standaard 4 6 2 2 4" xfId="9630"/>
    <cellStyle name="Standaard 4 6 2 2 4 2" xfId="24564"/>
    <cellStyle name="Standaard 4 6 2 2 5" xfId="24565"/>
    <cellStyle name="Standaard 4 6 2 3" xfId="3174"/>
    <cellStyle name="Standaard 4 6 2 3 2" xfId="5208"/>
    <cellStyle name="Standaard 4 6 2 3 2 2" xfId="14760"/>
    <cellStyle name="Standaard 4 6 2 3 2 2 2" xfId="24566"/>
    <cellStyle name="Standaard 4 6 2 3 2 3" xfId="24567"/>
    <cellStyle name="Standaard 4 6 2 3 3" xfId="14759"/>
    <cellStyle name="Standaard 4 6 2 3 3 2" xfId="24568"/>
    <cellStyle name="Standaard 4 6 2 3 4" xfId="24569"/>
    <cellStyle name="Standaard 4 6 2 4" xfId="4191"/>
    <cellStyle name="Standaard 4 6 2 4 2" xfId="14761"/>
    <cellStyle name="Standaard 4 6 2 4 2 2" xfId="24570"/>
    <cellStyle name="Standaard 4 6 2 4 3" xfId="24571"/>
    <cellStyle name="Standaard 4 6 2 5" xfId="9629"/>
    <cellStyle name="Standaard 4 6 2 5 2" xfId="24572"/>
    <cellStyle name="Standaard 4 6 2 6" xfId="24573"/>
    <cellStyle name="Standaard 4 6 3" xfId="2418"/>
    <cellStyle name="Standaard 4 6 3 2" xfId="3435"/>
    <cellStyle name="Standaard 4 6 3 2 2" xfId="5469"/>
    <cellStyle name="Standaard 4 6 3 2 2 2" xfId="14763"/>
    <cellStyle name="Standaard 4 6 3 2 2 2 2" xfId="24574"/>
    <cellStyle name="Standaard 4 6 3 2 2 3" xfId="24575"/>
    <cellStyle name="Standaard 4 6 3 2 3" xfId="14762"/>
    <cellStyle name="Standaard 4 6 3 2 3 2" xfId="24576"/>
    <cellStyle name="Standaard 4 6 3 2 4" xfId="24577"/>
    <cellStyle name="Standaard 4 6 3 3" xfId="4452"/>
    <cellStyle name="Standaard 4 6 3 3 2" xfId="14764"/>
    <cellStyle name="Standaard 4 6 3 3 2 2" xfId="24578"/>
    <cellStyle name="Standaard 4 6 3 3 3" xfId="24579"/>
    <cellStyle name="Standaard 4 6 3 4" xfId="9631"/>
    <cellStyle name="Standaard 4 6 3 4 2" xfId="24580"/>
    <cellStyle name="Standaard 4 6 3 5" xfId="24581"/>
    <cellStyle name="Standaard 4 6 4" xfId="2922"/>
    <cellStyle name="Standaard 4 6 4 2" xfId="4956"/>
    <cellStyle name="Standaard 4 6 4 2 2" xfId="14766"/>
    <cellStyle name="Standaard 4 6 4 2 2 2" xfId="24582"/>
    <cellStyle name="Standaard 4 6 4 2 3" xfId="24583"/>
    <cellStyle name="Standaard 4 6 4 3" xfId="14765"/>
    <cellStyle name="Standaard 4 6 4 3 2" xfId="24584"/>
    <cellStyle name="Standaard 4 6 4 4" xfId="24585"/>
    <cellStyle name="Standaard 4 6 5" xfId="3939"/>
    <cellStyle name="Standaard 4 6 5 2" xfId="14767"/>
    <cellStyle name="Standaard 4 6 5 2 2" xfId="24586"/>
    <cellStyle name="Standaard 4 6 5 3" xfId="24587"/>
    <cellStyle name="Standaard 4 6 6" xfId="9628"/>
    <cellStyle name="Standaard 4 6 6 2" xfId="24588"/>
    <cellStyle name="Standaard 4 6 7" xfId="24589"/>
    <cellStyle name="Standaard 4 7" xfId="2000"/>
    <cellStyle name="Standaard 4 7 2" xfId="2544"/>
    <cellStyle name="Standaard 4 7 2 2" xfId="3561"/>
    <cellStyle name="Standaard 4 7 2 2 2" xfId="5595"/>
    <cellStyle name="Standaard 4 7 2 2 2 2" xfId="14769"/>
    <cellStyle name="Standaard 4 7 2 2 2 2 2" xfId="24590"/>
    <cellStyle name="Standaard 4 7 2 2 2 3" xfId="24591"/>
    <cellStyle name="Standaard 4 7 2 2 3" xfId="14768"/>
    <cellStyle name="Standaard 4 7 2 2 3 2" xfId="24592"/>
    <cellStyle name="Standaard 4 7 2 2 4" xfId="24593"/>
    <cellStyle name="Standaard 4 7 2 3" xfId="4578"/>
    <cellStyle name="Standaard 4 7 2 3 2" xfId="14770"/>
    <cellStyle name="Standaard 4 7 2 3 2 2" xfId="24594"/>
    <cellStyle name="Standaard 4 7 2 3 3" xfId="24595"/>
    <cellStyle name="Standaard 4 7 2 4" xfId="9633"/>
    <cellStyle name="Standaard 4 7 2 4 2" xfId="24596"/>
    <cellStyle name="Standaard 4 7 2 5" xfId="24597"/>
    <cellStyle name="Standaard 4 7 3" xfId="3048"/>
    <cellStyle name="Standaard 4 7 3 2" xfId="5082"/>
    <cellStyle name="Standaard 4 7 3 2 2" xfId="14772"/>
    <cellStyle name="Standaard 4 7 3 2 2 2" xfId="24598"/>
    <cellStyle name="Standaard 4 7 3 2 3" xfId="24599"/>
    <cellStyle name="Standaard 4 7 3 3" xfId="14771"/>
    <cellStyle name="Standaard 4 7 3 3 2" xfId="24600"/>
    <cellStyle name="Standaard 4 7 3 4" xfId="24601"/>
    <cellStyle name="Standaard 4 7 4" xfId="4065"/>
    <cellStyle name="Standaard 4 7 4 2" xfId="14773"/>
    <cellStyle name="Standaard 4 7 4 2 2" xfId="24602"/>
    <cellStyle name="Standaard 4 7 4 3" xfId="24603"/>
    <cellStyle name="Standaard 4 7 5" xfId="9632"/>
    <cellStyle name="Standaard 4 7 5 2" xfId="24604"/>
    <cellStyle name="Standaard 4 7 6" xfId="24605"/>
    <cellStyle name="Standaard 4 8" xfId="2268"/>
    <cellStyle name="Standaard 4 9" xfId="2292"/>
    <cellStyle name="Standaard 4 9 2" xfId="3309"/>
    <cellStyle name="Standaard 4 9 2 2" xfId="5343"/>
    <cellStyle name="Standaard 4 9 2 2 2" xfId="14775"/>
    <cellStyle name="Standaard 4 9 2 2 2 2" xfId="24606"/>
    <cellStyle name="Standaard 4 9 2 2 3" xfId="24607"/>
    <cellStyle name="Standaard 4 9 2 3" xfId="14774"/>
    <cellStyle name="Standaard 4 9 2 3 2" xfId="24608"/>
    <cellStyle name="Standaard 4 9 2 4" xfId="24609"/>
    <cellStyle name="Standaard 4 9 3" xfId="4326"/>
    <cellStyle name="Standaard 4 9 3 2" xfId="14776"/>
    <cellStyle name="Standaard 4 9 3 2 2" xfId="24610"/>
    <cellStyle name="Standaard 4 9 3 3" xfId="24611"/>
    <cellStyle name="Standaard 4 9 4" xfId="9634"/>
    <cellStyle name="Standaard 4 9 4 2" xfId="24612"/>
    <cellStyle name="Standaard 4 9 5" xfId="24613"/>
    <cellStyle name="Standaard 5" xfId="1173"/>
    <cellStyle name="Standaard 5 2" xfId="2260"/>
    <cellStyle name="Standaard 6" xfId="1174"/>
    <cellStyle name="Standaard 6 10" xfId="2797"/>
    <cellStyle name="Standaard 6 10 2" xfId="4831"/>
    <cellStyle name="Standaard 6 10 2 2" xfId="14778"/>
    <cellStyle name="Standaard 6 10 2 2 2" xfId="24614"/>
    <cellStyle name="Standaard 6 10 2 3" xfId="24615"/>
    <cellStyle name="Standaard 6 10 3" xfId="14777"/>
    <cellStyle name="Standaard 6 10 3 2" xfId="24616"/>
    <cellStyle name="Standaard 6 10 4" xfId="24617"/>
    <cellStyle name="Standaard 6 11" xfId="3814"/>
    <cellStyle name="Standaard 6 11 2" xfId="14779"/>
    <cellStyle name="Standaard 6 11 2 2" xfId="24618"/>
    <cellStyle name="Standaard 6 11 3" xfId="24619"/>
    <cellStyle name="Standaard 6 12" xfId="9635"/>
    <cellStyle name="Standaard 6 12 2" xfId="24620"/>
    <cellStyle name="Standaard 6 13" xfId="24621"/>
    <cellStyle name="Standaard 6 2" xfId="1761"/>
    <cellStyle name="Standaard 6 2 10" xfId="9636"/>
    <cellStyle name="Standaard 6 2 10 2" xfId="24622"/>
    <cellStyle name="Standaard 6 2 11" xfId="24623"/>
    <cellStyle name="Standaard 6 2 2" xfId="1805"/>
    <cellStyle name="Standaard 6 2 2 2" xfId="1931"/>
    <cellStyle name="Standaard 6 2 2 2 2" xfId="2183"/>
    <cellStyle name="Standaard 6 2 2 2 2 2" xfId="2727"/>
    <cellStyle name="Standaard 6 2 2 2 2 2 2" xfId="3744"/>
    <cellStyle name="Standaard 6 2 2 2 2 2 2 2" xfId="5778"/>
    <cellStyle name="Standaard 6 2 2 2 2 2 2 2 2" xfId="14781"/>
    <cellStyle name="Standaard 6 2 2 2 2 2 2 2 2 2" xfId="24624"/>
    <cellStyle name="Standaard 6 2 2 2 2 2 2 2 3" xfId="24625"/>
    <cellStyle name="Standaard 6 2 2 2 2 2 2 3" xfId="14780"/>
    <cellStyle name="Standaard 6 2 2 2 2 2 2 3 2" xfId="24626"/>
    <cellStyle name="Standaard 6 2 2 2 2 2 2 4" xfId="24627"/>
    <cellStyle name="Standaard 6 2 2 2 2 2 3" xfId="4761"/>
    <cellStyle name="Standaard 6 2 2 2 2 2 3 2" xfId="14782"/>
    <cellStyle name="Standaard 6 2 2 2 2 2 3 2 2" xfId="24628"/>
    <cellStyle name="Standaard 6 2 2 2 2 2 3 3" xfId="24629"/>
    <cellStyle name="Standaard 6 2 2 2 2 2 4" xfId="9640"/>
    <cellStyle name="Standaard 6 2 2 2 2 2 4 2" xfId="24630"/>
    <cellStyle name="Standaard 6 2 2 2 2 2 5" xfId="24631"/>
    <cellStyle name="Standaard 6 2 2 2 2 3" xfId="3231"/>
    <cellStyle name="Standaard 6 2 2 2 2 3 2" xfId="5265"/>
    <cellStyle name="Standaard 6 2 2 2 2 3 2 2" xfId="14784"/>
    <cellStyle name="Standaard 6 2 2 2 2 3 2 2 2" xfId="24632"/>
    <cellStyle name="Standaard 6 2 2 2 2 3 2 3" xfId="24633"/>
    <cellStyle name="Standaard 6 2 2 2 2 3 3" xfId="14783"/>
    <cellStyle name="Standaard 6 2 2 2 2 3 3 2" xfId="24634"/>
    <cellStyle name="Standaard 6 2 2 2 2 3 4" xfId="24635"/>
    <cellStyle name="Standaard 6 2 2 2 2 4" xfId="4248"/>
    <cellStyle name="Standaard 6 2 2 2 2 4 2" xfId="14785"/>
    <cellStyle name="Standaard 6 2 2 2 2 4 2 2" xfId="24636"/>
    <cellStyle name="Standaard 6 2 2 2 2 4 3" xfId="24637"/>
    <cellStyle name="Standaard 6 2 2 2 2 5" xfId="9639"/>
    <cellStyle name="Standaard 6 2 2 2 2 5 2" xfId="24638"/>
    <cellStyle name="Standaard 6 2 2 2 2 6" xfId="24639"/>
    <cellStyle name="Standaard 6 2 2 2 3" xfId="2475"/>
    <cellStyle name="Standaard 6 2 2 2 3 2" xfId="3492"/>
    <cellStyle name="Standaard 6 2 2 2 3 2 2" xfId="5526"/>
    <cellStyle name="Standaard 6 2 2 2 3 2 2 2" xfId="14787"/>
    <cellStyle name="Standaard 6 2 2 2 3 2 2 2 2" xfId="24640"/>
    <cellStyle name="Standaard 6 2 2 2 3 2 2 3" xfId="24641"/>
    <cellStyle name="Standaard 6 2 2 2 3 2 3" xfId="14786"/>
    <cellStyle name="Standaard 6 2 2 2 3 2 3 2" xfId="24642"/>
    <cellStyle name="Standaard 6 2 2 2 3 2 4" xfId="24643"/>
    <cellStyle name="Standaard 6 2 2 2 3 3" xfId="4509"/>
    <cellStyle name="Standaard 6 2 2 2 3 3 2" xfId="14788"/>
    <cellStyle name="Standaard 6 2 2 2 3 3 2 2" xfId="24644"/>
    <cellStyle name="Standaard 6 2 2 2 3 3 3" xfId="24645"/>
    <cellStyle name="Standaard 6 2 2 2 3 4" xfId="9641"/>
    <cellStyle name="Standaard 6 2 2 2 3 4 2" xfId="24646"/>
    <cellStyle name="Standaard 6 2 2 2 3 5" xfId="24647"/>
    <cellStyle name="Standaard 6 2 2 2 4" xfId="2979"/>
    <cellStyle name="Standaard 6 2 2 2 4 2" xfId="5013"/>
    <cellStyle name="Standaard 6 2 2 2 4 2 2" xfId="14790"/>
    <cellStyle name="Standaard 6 2 2 2 4 2 2 2" xfId="24648"/>
    <cellStyle name="Standaard 6 2 2 2 4 2 3" xfId="24649"/>
    <cellStyle name="Standaard 6 2 2 2 4 3" xfId="14789"/>
    <cellStyle name="Standaard 6 2 2 2 4 3 2" xfId="24650"/>
    <cellStyle name="Standaard 6 2 2 2 4 4" xfId="24651"/>
    <cellStyle name="Standaard 6 2 2 2 5" xfId="3996"/>
    <cellStyle name="Standaard 6 2 2 2 5 2" xfId="14791"/>
    <cellStyle name="Standaard 6 2 2 2 5 2 2" xfId="24652"/>
    <cellStyle name="Standaard 6 2 2 2 5 3" xfId="24653"/>
    <cellStyle name="Standaard 6 2 2 2 6" xfId="9638"/>
    <cellStyle name="Standaard 6 2 2 2 6 2" xfId="24654"/>
    <cellStyle name="Standaard 6 2 2 2 7" xfId="24655"/>
    <cellStyle name="Standaard 6 2 2 3" xfId="2057"/>
    <cellStyle name="Standaard 6 2 2 3 2" xfId="2601"/>
    <cellStyle name="Standaard 6 2 2 3 2 2" xfId="3618"/>
    <cellStyle name="Standaard 6 2 2 3 2 2 2" xfId="5652"/>
    <cellStyle name="Standaard 6 2 2 3 2 2 2 2" xfId="14793"/>
    <cellStyle name="Standaard 6 2 2 3 2 2 2 2 2" xfId="24656"/>
    <cellStyle name="Standaard 6 2 2 3 2 2 2 3" xfId="24657"/>
    <cellStyle name="Standaard 6 2 2 3 2 2 3" xfId="14792"/>
    <cellStyle name="Standaard 6 2 2 3 2 2 3 2" xfId="24658"/>
    <cellStyle name="Standaard 6 2 2 3 2 2 4" xfId="24659"/>
    <cellStyle name="Standaard 6 2 2 3 2 3" xfId="4635"/>
    <cellStyle name="Standaard 6 2 2 3 2 3 2" xfId="14794"/>
    <cellStyle name="Standaard 6 2 2 3 2 3 2 2" xfId="24660"/>
    <cellStyle name="Standaard 6 2 2 3 2 3 3" xfId="24661"/>
    <cellStyle name="Standaard 6 2 2 3 2 4" xfId="9643"/>
    <cellStyle name="Standaard 6 2 2 3 2 4 2" xfId="24662"/>
    <cellStyle name="Standaard 6 2 2 3 2 5" xfId="24663"/>
    <cellStyle name="Standaard 6 2 2 3 3" xfId="3105"/>
    <cellStyle name="Standaard 6 2 2 3 3 2" xfId="5139"/>
    <cellStyle name="Standaard 6 2 2 3 3 2 2" xfId="14796"/>
    <cellStyle name="Standaard 6 2 2 3 3 2 2 2" xfId="24664"/>
    <cellStyle name="Standaard 6 2 2 3 3 2 3" xfId="24665"/>
    <cellStyle name="Standaard 6 2 2 3 3 3" xfId="14795"/>
    <cellStyle name="Standaard 6 2 2 3 3 3 2" xfId="24666"/>
    <cellStyle name="Standaard 6 2 2 3 3 4" xfId="24667"/>
    <cellStyle name="Standaard 6 2 2 3 4" xfId="4122"/>
    <cellStyle name="Standaard 6 2 2 3 4 2" xfId="14797"/>
    <cellStyle name="Standaard 6 2 2 3 4 2 2" xfId="24668"/>
    <cellStyle name="Standaard 6 2 2 3 4 3" xfId="24669"/>
    <cellStyle name="Standaard 6 2 2 3 5" xfId="9642"/>
    <cellStyle name="Standaard 6 2 2 3 5 2" xfId="24670"/>
    <cellStyle name="Standaard 6 2 2 3 6" xfId="24671"/>
    <cellStyle name="Standaard 6 2 2 4" xfId="2349"/>
    <cellStyle name="Standaard 6 2 2 4 2" xfId="3366"/>
    <cellStyle name="Standaard 6 2 2 4 2 2" xfId="5400"/>
    <cellStyle name="Standaard 6 2 2 4 2 2 2" xfId="14799"/>
    <cellStyle name="Standaard 6 2 2 4 2 2 2 2" xfId="24672"/>
    <cellStyle name="Standaard 6 2 2 4 2 2 3" xfId="24673"/>
    <cellStyle name="Standaard 6 2 2 4 2 3" xfId="14798"/>
    <cellStyle name="Standaard 6 2 2 4 2 3 2" xfId="24674"/>
    <cellStyle name="Standaard 6 2 2 4 2 4" xfId="24675"/>
    <cellStyle name="Standaard 6 2 2 4 3" xfId="4383"/>
    <cellStyle name="Standaard 6 2 2 4 3 2" xfId="14800"/>
    <cellStyle name="Standaard 6 2 2 4 3 2 2" xfId="24676"/>
    <cellStyle name="Standaard 6 2 2 4 3 3" xfId="24677"/>
    <cellStyle name="Standaard 6 2 2 4 4" xfId="9644"/>
    <cellStyle name="Standaard 6 2 2 4 4 2" xfId="24678"/>
    <cellStyle name="Standaard 6 2 2 4 5" xfId="24679"/>
    <cellStyle name="Standaard 6 2 2 5" xfId="2853"/>
    <cellStyle name="Standaard 6 2 2 5 2" xfId="4887"/>
    <cellStyle name="Standaard 6 2 2 5 2 2" xfId="14802"/>
    <cellStyle name="Standaard 6 2 2 5 2 2 2" xfId="24680"/>
    <cellStyle name="Standaard 6 2 2 5 2 3" xfId="24681"/>
    <cellStyle name="Standaard 6 2 2 5 3" xfId="14801"/>
    <cellStyle name="Standaard 6 2 2 5 3 2" xfId="24682"/>
    <cellStyle name="Standaard 6 2 2 5 4" xfId="24683"/>
    <cellStyle name="Standaard 6 2 2 6" xfId="3870"/>
    <cellStyle name="Standaard 6 2 2 6 2" xfId="14803"/>
    <cellStyle name="Standaard 6 2 2 6 2 2" xfId="24684"/>
    <cellStyle name="Standaard 6 2 2 6 3" xfId="24685"/>
    <cellStyle name="Standaard 6 2 2 7" xfId="9637"/>
    <cellStyle name="Standaard 6 2 2 7 2" xfId="24686"/>
    <cellStyle name="Standaard 6 2 2 8" xfId="24687"/>
    <cellStyle name="Standaard 6 2 3" xfId="1847"/>
    <cellStyle name="Standaard 6 2 3 2" xfId="1973"/>
    <cellStyle name="Standaard 6 2 3 2 2" xfId="2225"/>
    <cellStyle name="Standaard 6 2 3 2 2 2" xfId="2769"/>
    <cellStyle name="Standaard 6 2 3 2 2 2 2" xfId="3786"/>
    <cellStyle name="Standaard 6 2 3 2 2 2 2 2" xfId="5820"/>
    <cellStyle name="Standaard 6 2 3 2 2 2 2 2 2" xfId="14805"/>
    <cellStyle name="Standaard 6 2 3 2 2 2 2 2 2 2" xfId="24688"/>
    <cellStyle name="Standaard 6 2 3 2 2 2 2 2 3" xfId="24689"/>
    <cellStyle name="Standaard 6 2 3 2 2 2 2 3" xfId="14804"/>
    <cellStyle name="Standaard 6 2 3 2 2 2 2 3 2" xfId="24690"/>
    <cellStyle name="Standaard 6 2 3 2 2 2 2 4" xfId="24691"/>
    <cellStyle name="Standaard 6 2 3 2 2 2 3" xfId="4803"/>
    <cellStyle name="Standaard 6 2 3 2 2 2 3 2" xfId="14806"/>
    <cellStyle name="Standaard 6 2 3 2 2 2 3 2 2" xfId="24692"/>
    <cellStyle name="Standaard 6 2 3 2 2 2 3 3" xfId="24693"/>
    <cellStyle name="Standaard 6 2 3 2 2 2 4" xfId="9648"/>
    <cellStyle name="Standaard 6 2 3 2 2 2 4 2" xfId="24694"/>
    <cellStyle name="Standaard 6 2 3 2 2 2 5" xfId="24695"/>
    <cellStyle name="Standaard 6 2 3 2 2 3" xfId="3273"/>
    <cellStyle name="Standaard 6 2 3 2 2 3 2" xfId="5307"/>
    <cellStyle name="Standaard 6 2 3 2 2 3 2 2" xfId="14808"/>
    <cellStyle name="Standaard 6 2 3 2 2 3 2 2 2" xfId="24696"/>
    <cellStyle name="Standaard 6 2 3 2 2 3 2 3" xfId="24697"/>
    <cellStyle name="Standaard 6 2 3 2 2 3 3" xfId="14807"/>
    <cellStyle name="Standaard 6 2 3 2 2 3 3 2" xfId="24698"/>
    <cellStyle name="Standaard 6 2 3 2 2 3 4" xfId="24699"/>
    <cellStyle name="Standaard 6 2 3 2 2 4" xfId="4290"/>
    <cellStyle name="Standaard 6 2 3 2 2 4 2" xfId="14809"/>
    <cellStyle name="Standaard 6 2 3 2 2 4 2 2" xfId="24700"/>
    <cellStyle name="Standaard 6 2 3 2 2 4 3" xfId="24701"/>
    <cellStyle name="Standaard 6 2 3 2 2 5" xfId="9647"/>
    <cellStyle name="Standaard 6 2 3 2 2 5 2" xfId="24702"/>
    <cellStyle name="Standaard 6 2 3 2 2 6" xfId="24703"/>
    <cellStyle name="Standaard 6 2 3 2 3" xfId="2517"/>
    <cellStyle name="Standaard 6 2 3 2 3 2" xfId="3534"/>
    <cellStyle name="Standaard 6 2 3 2 3 2 2" xfId="5568"/>
    <cellStyle name="Standaard 6 2 3 2 3 2 2 2" xfId="14811"/>
    <cellStyle name="Standaard 6 2 3 2 3 2 2 2 2" xfId="24704"/>
    <cellStyle name="Standaard 6 2 3 2 3 2 2 3" xfId="24705"/>
    <cellStyle name="Standaard 6 2 3 2 3 2 3" xfId="14810"/>
    <cellStyle name="Standaard 6 2 3 2 3 2 3 2" xfId="24706"/>
    <cellStyle name="Standaard 6 2 3 2 3 2 4" xfId="24707"/>
    <cellStyle name="Standaard 6 2 3 2 3 3" xfId="4551"/>
    <cellStyle name="Standaard 6 2 3 2 3 3 2" xfId="14812"/>
    <cellStyle name="Standaard 6 2 3 2 3 3 2 2" xfId="24708"/>
    <cellStyle name="Standaard 6 2 3 2 3 3 3" xfId="24709"/>
    <cellStyle name="Standaard 6 2 3 2 3 4" xfId="9649"/>
    <cellStyle name="Standaard 6 2 3 2 3 4 2" xfId="24710"/>
    <cellStyle name="Standaard 6 2 3 2 3 5" xfId="24711"/>
    <cellStyle name="Standaard 6 2 3 2 4" xfId="3021"/>
    <cellStyle name="Standaard 6 2 3 2 4 2" xfId="5055"/>
    <cellStyle name="Standaard 6 2 3 2 4 2 2" xfId="14814"/>
    <cellStyle name="Standaard 6 2 3 2 4 2 2 2" xfId="24712"/>
    <cellStyle name="Standaard 6 2 3 2 4 2 3" xfId="24713"/>
    <cellStyle name="Standaard 6 2 3 2 4 3" xfId="14813"/>
    <cellStyle name="Standaard 6 2 3 2 4 3 2" xfId="24714"/>
    <cellStyle name="Standaard 6 2 3 2 4 4" xfId="24715"/>
    <cellStyle name="Standaard 6 2 3 2 5" xfId="4038"/>
    <cellStyle name="Standaard 6 2 3 2 5 2" xfId="14815"/>
    <cellStyle name="Standaard 6 2 3 2 5 2 2" xfId="24716"/>
    <cellStyle name="Standaard 6 2 3 2 5 3" xfId="24717"/>
    <cellStyle name="Standaard 6 2 3 2 6" xfId="9646"/>
    <cellStyle name="Standaard 6 2 3 2 6 2" xfId="24718"/>
    <cellStyle name="Standaard 6 2 3 2 7" xfId="24719"/>
    <cellStyle name="Standaard 6 2 3 3" xfId="2099"/>
    <cellStyle name="Standaard 6 2 3 3 2" xfId="2643"/>
    <cellStyle name="Standaard 6 2 3 3 2 2" xfId="3660"/>
    <cellStyle name="Standaard 6 2 3 3 2 2 2" xfId="5694"/>
    <cellStyle name="Standaard 6 2 3 3 2 2 2 2" xfId="14817"/>
    <cellStyle name="Standaard 6 2 3 3 2 2 2 2 2" xfId="24720"/>
    <cellStyle name="Standaard 6 2 3 3 2 2 2 3" xfId="24721"/>
    <cellStyle name="Standaard 6 2 3 3 2 2 3" xfId="14816"/>
    <cellStyle name="Standaard 6 2 3 3 2 2 3 2" xfId="24722"/>
    <cellStyle name="Standaard 6 2 3 3 2 2 4" xfId="24723"/>
    <cellStyle name="Standaard 6 2 3 3 2 3" xfId="4677"/>
    <cellStyle name="Standaard 6 2 3 3 2 3 2" xfId="14818"/>
    <cellStyle name="Standaard 6 2 3 3 2 3 2 2" xfId="24724"/>
    <cellStyle name="Standaard 6 2 3 3 2 3 3" xfId="24725"/>
    <cellStyle name="Standaard 6 2 3 3 2 4" xfId="9651"/>
    <cellStyle name="Standaard 6 2 3 3 2 4 2" xfId="24726"/>
    <cellStyle name="Standaard 6 2 3 3 2 5" xfId="24727"/>
    <cellStyle name="Standaard 6 2 3 3 3" xfId="3147"/>
    <cellStyle name="Standaard 6 2 3 3 3 2" xfId="5181"/>
    <cellStyle name="Standaard 6 2 3 3 3 2 2" xfId="14820"/>
    <cellStyle name="Standaard 6 2 3 3 3 2 2 2" xfId="24728"/>
    <cellStyle name="Standaard 6 2 3 3 3 2 3" xfId="24729"/>
    <cellStyle name="Standaard 6 2 3 3 3 3" xfId="14819"/>
    <cellStyle name="Standaard 6 2 3 3 3 3 2" xfId="24730"/>
    <cellStyle name="Standaard 6 2 3 3 3 4" xfId="24731"/>
    <cellStyle name="Standaard 6 2 3 3 4" xfId="4164"/>
    <cellStyle name="Standaard 6 2 3 3 4 2" xfId="14821"/>
    <cellStyle name="Standaard 6 2 3 3 4 2 2" xfId="24732"/>
    <cellStyle name="Standaard 6 2 3 3 4 3" xfId="24733"/>
    <cellStyle name="Standaard 6 2 3 3 5" xfId="9650"/>
    <cellStyle name="Standaard 6 2 3 3 5 2" xfId="24734"/>
    <cellStyle name="Standaard 6 2 3 3 6" xfId="24735"/>
    <cellStyle name="Standaard 6 2 3 4" xfId="2391"/>
    <cellStyle name="Standaard 6 2 3 4 2" xfId="3408"/>
    <cellStyle name="Standaard 6 2 3 4 2 2" xfId="5442"/>
    <cellStyle name="Standaard 6 2 3 4 2 2 2" xfId="14823"/>
    <cellStyle name="Standaard 6 2 3 4 2 2 2 2" xfId="24736"/>
    <cellStyle name="Standaard 6 2 3 4 2 2 3" xfId="24737"/>
    <cellStyle name="Standaard 6 2 3 4 2 3" xfId="14822"/>
    <cellStyle name="Standaard 6 2 3 4 2 3 2" xfId="24738"/>
    <cellStyle name="Standaard 6 2 3 4 2 4" xfId="24739"/>
    <cellStyle name="Standaard 6 2 3 4 3" xfId="4425"/>
    <cellStyle name="Standaard 6 2 3 4 3 2" xfId="14824"/>
    <cellStyle name="Standaard 6 2 3 4 3 2 2" xfId="24740"/>
    <cellStyle name="Standaard 6 2 3 4 3 3" xfId="24741"/>
    <cellStyle name="Standaard 6 2 3 4 4" xfId="9652"/>
    <cellStyle name="Standaard 6 2 3 4 4 2" xfId="24742"/>
    <cellStyle name="Standaard 6 2 3 4 5" xfId="24743"/>
    <cellStyle name="Standaard 6 2 3 5" xfId="2895"/>
    <cellStyle name="Standaard 6 2 3 5 2" xfId="4929"/>
    <cellStyle name="Standaard 6 2 3 5 2 2" xfId="14826"/>
    <cellStyle name="Standaard 6 2 3 5 2 2 2" xfId="24744"/>
    <cellStyle name="Standaard 6 2 3 5 2 3" xfId="24745"/>
    <cellStyle name="Standaard 6 2 3 5 3" xfId="14825"/>
    <cellStyle name="Standaard 6 2 3 5 3 2" xfId="24746"/>
    <cellStyle name="Standaard 6 2 3 5 4" xfId="24747"/>
    <cellStyle name="Standaard 6 2 3 6" xfId="3912"/>
    <cellStyle name="Standaard 6 2 3 6 2" xfId="14827"/>
    <cellStyle name="Standaard 6 2 3 6 2 2" xfId="24748"/>
    <cellStyle name="Standaard 6 2 3 6 3" xfId="24749"/>
    <cellStyle name="Standaard 6 2 3 7" xfId="9645"/>
    <cellStyle name="Standaard 6 2 3 7 2" xfId="24750"/>
    <cellStyle name="Standaard 6 2 3 8" xfId="24751"/>
    <cellStyle name="Standaard 6 2 4" xfId="1889"/>
    <cellStyle name="Standaard 6 2 4 2" xfId="2141"/>
    <cellStyle name="Standaard 6 2 4 2 2" xfId="2685"/>
    <cellStyle name="Standaard 6 2 4 2 2 2" xfId="3702"/>
    <cellStyle name="Standaard 6 2 4 2 2 2 2" xfId="5736"/>
    <cellStyle name="Standaard 6 2 4 2 2 2 2 2" xfId="14829"/>
    <cellStyle name="Standaard 6 2 4 2 2 2 2 2 2" xfId="24752"/>
    <cellStyle name="Standaard 6 2 4 2 2 2 2 3" xfId="24753"/>
    <cellStyle name="Standaard 6 2 4 2 2 2 3" xfId="14828"/>
    <cellStyle name="Standaard 6 2 4 2 2 2 3 2" xfId="24754"/>
    <cellStyle name="Standaard 6 2 4 2 2 2 4" xfId="24755"/>
    <cellStyle name="Standaard 6 2 4 2 2 3" xfId="4719"/>
    <cellStyle name="Standaard 6 2 4 2 2 3 2" xfId="14830"/>
    <cellStyle name="Standaard 6 2 4 2 2 3 2 2" xfId="24756"/>
    <cellStyle name="Standaard 6 2 4 2 2 3 3" xfId="24757"/>
    <cellStyle name="Standaard 6 2 4 2 2 4" xfId="9655"/>
    <cellStyle name="Standaard 6 2 4 2 2 4 2" xfId="24758"/>
    <cellStyle name="Standaard 6 2 4 2 2 5" xfId="24759"/>
    <cellStyle name="Standaard 6 2 4 2 3" xfId="3189"/>
    <cellStyle name="Standaard 6 2 4 2 3 2" xfId="5223"/>
    <cellStyle name="Standaard 6 2 4 2 3 2 2" xfId="14832"/>
    <cellStyle name="Standaard 6 2 4 2 3 2 2 2" xfId="24760"/>
    <cellStyle name="Standaard 6 2 4 2 3 2 3" xfId="24761"/>
    <cellStyle name="Standaard 6 2 4 2 3 3" xfId="14831"/>
    <cellStyle name="Standaard 6 2 4 2 3 3 2" xfId="24762"/>
    <cellStyle name="Standaard 6 2 4 2 3 4" xfId="24763"/>
    <cellStyle name="Standaard 6 2 4 2 4" xfId="4206"/>
    <cellStyle name="Standaard 6 2 4 2 4 2" xfId="14833"/>
    <cellStyle name="Standaard 6 2 4 2 4 2 2" xfId="24764"/>
    <cellStyle name="Standaard 6 2 4 2 4 3" xfId="24765"/>
    <cellStyle name="Standaard 6 2 4 2 5" xfId="9654"/>
    <cellStyle name="Standaard 6 2 4 2 5 2" xfId="24766"/>
    <cellStyle name="Standaard 6 2 4 2 6" xfId="24767"/>
    <cellStyle name="Standaard 6 2 4 3" xfId="2433"/>
    <cellStyle name="Standaard 6 2 4 3 2" xfId="3450"/>
    <cellStyle name="Standaard 6 2 4 3 2 2" xfId="5484"/>
    <cellStyle name="Standaard 6 2 4 3 2 2 2" xfId="14835"/>
    <cellStyle name="Standaard 6 2 4 3 2 2 2 2" xfId="24768"/>
    <cellStyle name="Standaard 6 2 4 3 2 2 3" xfId="24769"/>
    <cellStyle name="Standaard 6 2 4 3 2 3" xfId="14834"/>
    <cellStyle name="Standaard 6 2 4 3 2 3 2" xfId="24770"/>
    <cellStyle name="Standaard 6 2 4 3 2 4" xfId="24771"/>
    <cellStyle name="Standaard 6 2 4 3 3" xfId="4467"/>
    <cellStyle name="Standaard 6 2 4 3 3 2" xfId="14836"/>
    <cellStyle name="Standaard 6 2 4 3 3 2 2" xfId="24772"/>
    <cellStyle name="Standaard 6 2 4 3 3 3" xfId="24773"/>
    <cellStyle name="Standaard 6 2 4 3 4" xfId="9656"/>
    <cellStyle name="Standaard 6 2 4 3 4 2" xfId="24774"/>
    <cellStyle name="Standaard 6 2 4 3 5" xfId="24775"/>
    <cellStyle name="Standaard 6 2 4 4" xfId="2937"/>
    <cellStyle name="Standaard 6 2 4 4 2" xfId="4971"/>
    <cellStyle name="Standaard 6 2 4 4 2 2" xfId="14838"/>
    <cellStyle name="Standaard 6 2 4 4 2 2 2" xfId="24776"/>
    <cellStyle name="Standaard 6 2 4 4 2 3" xfId="24777"/>
    <cellStyle name="Standaard 6 2 4 4 3" xfId="14837"/>
    <cellStyle name="Standaard 6 2 4 4 3 2" xfId="24778"/>
    <cellStyle name="Standaard 6 2 4 4 4" xfId="24779"/>
    <cellStyle name="Standaard 6 2 4 5" xfId="3954"/>
    <cellStyle name="Standaard 6 2 4 5 2" xfId="14839"/>
    <cellStyle name="Standaard 6 2 4 5 2 2" xfId="24780"/>
    <cellStyle name="Standaard 6 2 4 5 3" xfId="24781"/>
    <cellStyle name="Standaard 6 2 4 6" xfId="9653"/>
    <cellStyle name="Standaard 6 2 4 6 2" xfId="24782"/>
    <cellStyle name="Standaard 6 2 4 7" xfId="24783"/>
    <cellStyle name="Standaard 6 2 5" xfId="2015"/>
    <cellStyle name="Standaard 6 2 5 2" xfId="2559"/>
    <cellStyle name="Standaard 6 2 5 2 2" xfId="3576"/>
    <cellStyle name="Standaard 6 2 5 2 2 2" xfId="5610"/>
    <cellStyle name="Standaard 6 2 5 2 2 2 2" xfId="14841"/>
    <cellStyle name="Standaard 6 2 5 2 2 2 2 2" xfId="24784"/>
    <cellStyle name="Standaard 6 2 5 2 2 2 3" xfId="24785"/>
    <cellStyle name="Standaard 6 2 5 2 2 3" xfId="14840"/>
    <cellStyle name="Standaard 6 2 5 2 2 3 2" xfId="24786"/>
    <cellStyle name="Standaard 6 2 5 2 2 4" xfId="24787"/>
    <cellStyle name="Standaard 6 2 5 2 3" xfId="4593"/>
    <cellStyle name="Standaard 6 2 5 2 3 2" xfId="14842"/>
    <cellStyle name="Standaard 6 2 5 2 3 2 2" xfId="24788"/>
    <cellStyle name="Standaard 6 2 5 2 3 3" xfId="24789"/>
    <cellStyle name="Standaard 6 2 5 2 4" xfId="9658"/>
    <cellStyle name="Standaard 6 2 5 2 4 2" xfId="24790"/>
    <cellStyle name="Standaard 6 2 5 2 5" xfId="24791"/>
    <cellStyle name="Standaard 6 2 5 3" xfId="3063"/>
    <cellStyle name="Standaard 6 2 5 3 2" xfId="5097"/>
    <cellStyle name="Standaard 6 2 5 3 2 2" xfId="14844"/>
    <cellStyle name="Standaard 6 2 5 3 2 2 2" xfId="24792"/>
    <cellStyle name="Standaard 6 2 5 3 2 3" xfId="24793"/>
    <cellStyle name="Standaard 6 2 5 3 3" xfId="14843"/>
    <cellStyle name="Standaard 6 2 5 3 3 2" xfId="24794"/>
    <cellStyle name="Standaard 6 2 5 3 4" xfId="24795"/>
    <cellStyle name="Standaard 6 2 5 4" xfId="4080"/>
    <cellStyle name="Standaard 6 2 5 4 2" xfId="14845"/>
    <cellStyle name="Standaard 6 2 5 4 2 2" xfId="24796"/>
    <cellStyle name="Standaard 6 2 5 4 3" xfId="24797"/>
    <cellStyle name="Standaard 6 2 5 5" xfId="9657"/>
    <cellStyle name="Standaard 6 2 5 5 2" xfId="24798"/>
    <cellStyle name="Standaard 6 2 5 6" xfId="24799"/>
    <cellStyle name="Standaard 6 2 6" xfId="2275"/>
    <cellStyle name="Standaard 6 2 7" xfId="2307"/>
    <cellStyle name="Standaard 6 2 7 2" xfId="3324"/>
    <cellStyle name="Standaard 6 2 7 2 2" xfId="5358"/>
    <cellStyle name="Standaard 6 2 7 2 2 2" xfId="14847"/>
    <cellStyle name="Standaard 6 2 7 2 2 2 2" xfId="24800"/>
    <cellStyle name="Standaard 6 2 7 2 2 3" xfId="24801"/>
    <cellStyle name="Standaard 6 2 7 2 3" xfId="14846"/>
    <cellStyle name="Standaard 6 2 7 2 3 2" xfId="24802"/>
    <cellStyle name="Standaard 6 2 7 2 4" xfId="24803"/>
    <cellStyle name="Standaard 6 2 7 3" xfId="4341"/>
    <cellStyle name="Standaard 6 2 7 3 2" xfId="14848"/>
    <cellStyle name="Standaard 6 2 7 3 2 2" xfId="24804"/>
    <cellStyle name="Standaard 6 2 7 3 3" xfId="24805"/>
    <cellStyle name="Standaard 6 2 7 4" xfId="9659"/>
    <cellStyle name="Standaard 6 2 7 4 2" xfId="24806"/>
    <cellStyle name="Standaard 6 2 7 5" xfId="24807"/>
    <cellStyle name="Standaard 6 2 8" xfId="2811"/>
    <cellStyle name="Standaard 6 2 8 2" xfId="4845"/>
    <cellStyle name="Standaard 6 2 8 2 2" xfId="14850"/>
    <cellStyle name="Standaard 6 2 8 2 2 2" xfId="24808"/>
    <cellStyle name="Standaard 6 2 8 2 3" xfId="24809"/>
    <cellStyle name="Standaard 6 2 8 3" xfId="14849"/>
    <cellStyle name="Standaard 6 2 8 3 2" xfId="24810"/>
    <cellStyle name="Standaard 6 2 8 4" xfId="24811"/>
    <cellStyle name="Standaard 6 2 9" xfId="3828"/>
    <cellStyle name="Standaard 6 2 9 2" xfId="14851"/>
    <cellStyle name="Standaard 6 2 9 2 2" xfId="24812"/>
    <cellStyle name="Standaard 6 2 9 3" xfId="24813"/>
    <cellStyle name="Standaard 6 3" xfId="1777"/>
    <cellStyle name="Standaard 6 3 10" xfId="24814"/>
    <cellStyle name="Standaard 6 3 2" xfId="1819"/>
    <cellStyle name="Standaard 6 3 2 2" xfId="1945"/>
    <cellStyle name="Standaard 6 3 2 2 2" xfId="2197"/>
    <cellStyle name="Standaard 6 3 2 2 2 2" xfId="2741"/>
    <cellStyle name="Standaard 6 3 2 2 2 2 2" xfId="3758"/>
    <cellStyle name="Standaard 6 3 2 2 2 2 2 2" xfId="5792"/>
    <cellStyle name="Standaard 6 3 2 2 2 2 2 2 2" xfId="14853"/>
    <cellStyle name="Standaard 6 3 2 2 2 2 2 2 2 2" xfId="24815"/>
    <cellStyle name="Standaard 6 3 2 2 2 2 2 2 3" xfId="24816"/>
    <cellStyle name="Standaard 6 3 2 2 2 2 2 3" xfId="14852"/>
    <cellStyle name="Standaard 6 3 2 2 2 2 2 3 2" xfId="24817"/>
    <cellStyle name="Standaard 6 3 2 2 2 2 2 4" xfId="24818"/>
    <cellStyle name="Standaard 6 3 2 2 2 2 3" xfId="4775"/>
    <cellStyle name="Standaard 6 3 2 2 2 2 3 2" xfId="14854"/>
    <cellStyle name="Standaard 6 3 2 2 2 2 3 2 2" xfId="24819"/>
    <cellStyle name="Standaard 6 3 2 2 2 2 3 3" xfId="24820"/>
    <cellStyle name="Standaard 6 3 2 2 2 2 4" xfId="9664"/>
    <cellStyle name="Standaard 6 3 2 2 2 2 4 2" xfId="24821"/>
    <cellStyle name="Standaard 6 3 2 2 2 2 5" xfId="24822"/>
    <cellStyle name="Standaard 6 3 2 2 2 3" xfId="3245"/>
    <cellStyle name="Standaard 6 3 2 2 2 3 2" xfId="5279"/>
    <cellStyle name="Standaard 6 3 2 2 2 3 2 2" xfId="14856"/>
    <cellStyle name="Standaard 6 3 2 2 2 3 2 2 2" xfId="24823"/>
    <cellStyle name="Standaard 6 3 2 2 2 3 2 3" xfId="24824"/>
    <cellStyle name="Standaard 6 3 2 2 2 3 3" xfId="14855"/>
    <cellStyle name="Standaard 6 3 2 2 2 3 3 2" xfId="24825"/>
    <cellStyle name="Standaard 6 3 2 2 2 3 4" xfId="24826"/>
    <cellStyle name="Standaard 6 3 2 2 2 4" xfId="4262"/>
    <cellStyle name="Standaard 6 3 2 2 2 4 2" xfId="14857"/>
    <cellStyle name="Standaard 6 3 2 2 2 4 2 2" xfId="24827"/>
    <cellStyle name="Standaard 6 3 2 2 2 4 3" xfId="24828"/>
    <cellStyle name="Standaard 6 3 2 2 2 5" xfId="9663"/>
    <cellStyle name="Standaard 6 3 2 2 2 5 2" xfId="24829"/>
    <cellStyle name="Standaard 6 3 2 2 2 6" xfId="24830"/>
    <cellStyle name="Standaard 6 3 2 2 3" xfId="2489"/>
    <cellStyle name="Standaard 6 3 2 2 3 2" xfId="3506"/>
    <cellStyle name="Standaard 6 3 2 2 3 2 2" xfId="5540"/>
    <cellStyle name="Standaard 6 3 2 2 3 2 2 2" xfId="14859"/>
    <cellStyle name="Standaard 6 3 2 2 3 2 2 2 2" xfId="24831"/>
    <cellStyle name="Standaard 6 3 2 2 3 2 2 3" xfId="24832"/>
    <cellStyle name="Standaard 6 3 2 2 3 2 3" xfId="14858"/>
    <cellStyle name="Standaard 6 3 2 2 3 2 3 2" xfId="24833"/>
    <cellStyle name="Standaard 6 3 2 2 3 2 4" xfId="24834"/>
    <cellStyle name="Standaard 6 3 2 2 3 3" xfId="4523"/>
    <cellStyle name="Standaard 6 3 2 2 3 3 2" xfId="14860"/>
    <cellStyle name="Standaard 6 3 2 2 3 3 2 2" xfId="24835"/>
    <cellStyle name="Standaard 6 3 2 2 3 3 3" xfId="24836"/>
    <cellStyle name="Standaard 6 3 2 2 3 4" xfId="9665"/>
    <cellStyle name="Standaard 6 3 2 2 3 4 2" xfId="24837"/>
    <cellStyle name="Standaard 6 3 2 2 3 5" xfId="24838"/>
    <cellStyle name="Standaard 6 3 2 2 4" xfId="2993"/>
    <cellStyle name="Standaard 6 3 2 2 4 2" xfId="5027"/>
    <cellStyle name="Standaard 6 3 2 2 4 2 2" xfId="14862"/>
    <cellStyle name="Standaard 6 3 2 2 4 2 2 2" xfId="24839"/>
    <cellStyle name="Standaard 6 3 2 2 4 2 3" xfId="24840"/>
    <cellStyle name="Standaard 6 3 2 2 4 3" xfId="14861"/>
    <cellStyle name="Standaard 6 3 2 2 4 3 2" xfId="24841"/>
    <cellStyle name="Standaard 6 3 2 2 4 4" xfId="24842"/>
    <cellStyle name="Standaard 6 3 2 2 5" xfId="4010"/>
    <cellStyle name="Standaard 6 3 2 2 5 2" xfId="14863"/>
    <cellStyle name="Standaard 6 3 2 2 5 2 2" xfId="24843"/>
    <cellStyle name="Standaard 6 3 2 2 5 3" xfId="24844"/>
    <cellStyle name="Standaard 6 3 2 2 6" xfId="9662"/>
    <cellStyle name="Standaard 6 3 2 2 6 2" xfId="24845"/>
    <cellStyle name="Standaard 6 3 2 2 7" xfId="24846"/>
    <cellStyle name="Standaard 6 3 2 3" xfId="2071"/>
    <cellStyle name="Standaard 6 3 2 3 2" xfId="2615"/>
    <cellStyle name="Standaard 6 3 2 3 2 2" xfId="3632"/>
    <cellStyle name="Standaard 6 3 2 3 2 2 2" xfId="5666"/>
    <cellStyle name="Standaard 6 3 2 3 2 2 2 2" xfId="14865"/>
    <cellStyle name="Standaard 6 3 2 3 2 2 2 2 2" xfId="24847"/>
    <cellStyle name="Standaard 6 3 2 3 2 2 2 3" xfId="24848"/>
    <cellStyle name="Standaard 6 3 2 3 2 2 3" xfId="14864"/>
    <cellStyle name="Standaard 6 3 2 3 2 2 3 2" xfId="24849"/>
    <cellStyle name="Standaard 6 3 2 3 2 2 4" xfId="24850"/>
    <cellStyle name="Standaard 6 3 2 3 2 3" xfId="4649"/>
    <cellStyle name="Standaard 6 3 2 3 2 3 2" xfId="14866"/>
    <cellStyle name="Standaard 6 3 2 3 2 3 2 2" xfId="24851"/>
    <cellStyle name="Standaard 6 3 2 3 2 3 3" xfId="24852"/>
    <cellStyle name="Standaard 6 3 2 3 2 4" xfId="9667"/>
    <cellStyle name="Standaard 6 3 2 3 2 4 2" xfId="24853"/>
    <cellStyle name="Standaard 6 3 2 3 2 5" xfId="24854"/>
    <cellStyle name="Standaard 6 3 2 3 3" xfId="3119"/>
    <cellStyle name="Standaard 6 3 2 3 3 2" xfId="5153"/>
    <cellStyle name="Standaard 6 3 2 3 3 2 2" xfId="14868"/>
    <cellStyle name="Standaard 6 3 2 3 3 2 2 2" xfId="24855"/>
    <cellStyle name="Standaard 6 3 2 3 3 2 3" xfId="24856"/>
    <cellStyle name="Standaard 6 3 2 3 3 3" xfId="14867"/>
    <cellStyle name="Standaard 6 3 2 3 3 3 2" xfId="24857"/>
    <cellStyle name="Standaard 6 3 2 3 3 4" xfId="24858"/>
    <cellStyle name="Standaard 6 3 2 3 4" xfId="4136"/>
    <cellStyle name="Standaard 6 3 2 3 4 2" xfId="14869"/>
    <cellStyle name="Standaard 6 3 2 3 4 2 2" xfId="24859"/>
    <cellStyle name="Standaard 6 3 2 3 4 3" xfId="24860"/>
    <cellStyle name="Standaard 6 3 2 3 5" xfId="9666"/>
    <cellStyle name="Standaard 6 3 2 3 5 2" xfId="24861"/>
    <cellStyle name="Standaard 6 3 2 3 6" xfId="24862"/>
    <cellStyle name="Standaard 6 3 2 4" xfId="2363"/>
    <cellStyle name="Standaard 6 3 2 4 2" xfId="3380"/>
    <cellStyle name="Standaard 6 3 2 4 2 2" xfId="5414"/>
    <cellStyle name="Standaard 6 3 2 4 2 2 2" xfId="14871"/>
    <cellStyle name="Standaard 6 3 2 4 2 2 2 2" xfId="24863"/>
    <cellStyle name="Standaard 6 3 2 4 2 2 3" xfId="24864"/>
    <cellStyle name="Standaard 6 3 2 4 2 3" xfId="14870"/>
    <cellStyle name="Standaard 6 3 2 4 2 3 2" xfId="24865"/>
    <cellStyle name="Standaard 6 3 2 4 2 4" xfId="24866"/>
    <cellStyle name="Standaard 6 3 2 4 3" xfId="4397"/>
    <cellStyle name="Standaard 6 3 2 4 3 2" xfId="14872"/>
    <cellStyle name="Standaard 6 3 2 4 3 2 2" xfId="24867"/>
    <cellStyle name="Standaard 6 3 2 4 3 3" xfId="24868"/>
    <cellStyle name="Standaard 6 3 2 4 4" xfId="9668"/>
    <cellStyle name="Standaard 6 3 2 4 4 2" xfId="24869"/>
    <cellStyle name="Standaard 6 3 2 4 5" xfId="24870"/>
    <cellStyle name="Standaard 6 3 2 5" xfId="2867"/>
    <cellStyle name="Standaard 6 3 2 5 2" xfId="4901"/>
    <cellStyle name="Standaard 6 3 2 5 2 2" xfId="14874"/>
    <cellStyle name="Standaard 6 3 2 5 2 2 2" xfId="24871"/>
    <cellStyle name="Standaard 6 3 2 5 2 3" xfId="24872"/>
    <cellStyle name="Standaard 6 3 2 5 3" xfId="14873"/>
    <cellStyle name="Standaard 6 3 2 5 3 2" xfId="24873"/>
    <cellStyle name="Standaard 6 3 2 5 4" xfId="24874"/>
    <cellStyle name="Standaard 6 3 2 6" xfId="3884"/>
    <cellStyle name="Standaard 6 3 2 6 2" xfId="14875"/>
    <cellStyle name="Standaard 6 3 2 6 2 2" xfId="24875"/>
    <cellStyle name="Standaard 6 3 2 6 3" xfId="24876"/>
    <cellStyle name="Standaard 6 3 2 7" xfId="9661"/>
    <cellStyle name="Standaard 6 3 2 7 2" xfId="24877"/>
    <cellStyle name="Standaard 6 3 2 8" xfId="24878"/>
    <cellStyle name="Standaard 6 3 3" xfId="1861"/>
    <cellStyle name="Standaard 6 3 3 2" xfId="1987"/>
    <cellStyle name="Standaard 6 3 3 2 2" xfId="2239"/>
    <cellStyle name="Standaard 6 3 3 2 2 2" xfId="2783"/>
    <cellStyle name="Standaard 6 3 3 2 2 2 2" xfId="3800"/>
    <cellStyle name="Standaard 6 3 3 2 2 2 2 2" xfId="5834"/>
    <cellStyle name="Standaard 6 3 3 2 2 2 2 2 2" xfId="14877"/>
    <cellStyle name="Standaard 6 3 3 2 2 2 2 2 2 2" xfId="24879"/>
    <cellStyle name="Standaard 6 3 3 2 2 2 2 2 3" xfId="24880"/>
    <cellStyle name="Standaard 6 3 3 2 2 2 2 3" xfId="14876"/>
    <cellStyle name="Standaard 6 3 3 2 2 2 2 3 2" xfId="24881"/>
    <cellStyle name="Standaard 6 3 3 2 2 2 2 4" xfId="24882"/>
    <cellStyle name="Standaard 6 3 3 2 2 2 3" xfId="4817"/>
    <cellStyle name="Standaard 6 3 3 2 2 2 3 2" xfId="14878"/>
    <cellStyle name="Standaard 6 3 3 2 2 2 3 2 2" xfId="24883"/>
    <cellStyle name="Standaard 6 3 3 2 2 2 3 3" xfId="24884"/>
    <cellStyle name="Standaard 6 3 3 2 2 2 4" xfId="9672"/>
    <cellStyle name="Standaard 6 3 3 2 2 2 4 2" xfId="24885"/>
    <cellStyle name="Standaard 6 3 3 2 2 2 5" xfId="24886"/>
    <cellStyle name="Standaard 6 3 3 2 2 3" xfId="3287"/>
    <cellStyle name="Standaard 6 3 3 2 2 3 2" xfId="5321"/>
    <cellStyle name="Standaard 6 3 3 2 2 3 2 2" xfId="14880"/>
    <cellStyle name="Standaard 6 3 3 2 2 3 2 2 2" xfId="24887"/>
    <cellStyle name="Standaard 6 3 3 2 2 3 2 3" xfId="24888"/>
    <cellStyle name="Standaard 6 3 3 2 2 3 3" xfId="14879"/>
    <cellStyle name="Standaard 6 3 3 2 2 3 3 2" xfId="24889"/>
    <cellStyle name="Standaard 6 3 3 2 2 3 4" xfId="24890"/>
    <cellStyle name="Standaard 6 3 3 2 2 4" xfId="4304"/>
    <cellStyle name="Standaard 6 3 3 2 2 4 2" xfId="14881"/>
    <cellStyle name="Standaard 6 3 3 2 2 4 2 2" xfId="24891"/>
    <cellStyle name="Standaard 6 3 3 2 2 4 3" xfId="24892"/>
    <cellStyle name="Standaard 6 3 3 2 2 5" xfId="9671"/>
    <cellStyle name="Standaard 6 3 3 2 2 5 2" xfId="24893"/>
    <cellStyle name="Standaard 6 3 3 2 2 6" xfId="24894"/>
    <cellStyle name="Standaard 6 3 3 2 3" xfId="2531"/>
    <cellStyle name="Standaard 6 3 3 2 3 2" xfId="3548"/>
    <cellStyle name="Standaard 6 3 3 2 3 2 2" xfId="5582"/>
    <cellStyle name="Standaard 6 3 3 2 3 2 2 2" xfId="14883"/>
    <cellStyle name="Standaard 6 3 3 2 3 2 2 2 2" xfId="24895"/>
    <cellStyle name="Standaard 6 3 3 2 3 2 2 3" xfId="24896"/>
    <cellStyle name="Standaard 6 3 3 2 3 2 3" xfId="14882"/>
    <cellStyle name="Standaard 6 3 3 2 3 2 3 2" xfId="24897"/>
    <cellStyle name="Standaard 6 3 3 2 3 2 4" xfId="24898"/>
    <cellStyle name="Standaard 6 3 3 2 3 3" xfId="4565"/>
    <cellStyle name="Standaard 6 3 3 2 3 3 2" xfId="14884"/>
    <cellStyle name="Standaard 6 3 3 2 3 3 2 2" xfId="24899"/>
    <cellStyle name="Standaard 6 3 3 2 3 3 3" xfId="24900"/>
    <cellStyle name="Standaard 6 3 3 2 3 4" xfId="9673"/>
    <cellStyle name="Standaard 6 3 3 2 3 4 2" xfId="24901"/>
    <cellStyle name="Standaard 6 3 3 2 3 5" xfId="24902"/>
    <cellStyle name="Standaard 6 3 3 2 4" xfId="3035"/>
    <cellStyle name="Standaard 6 3 3 2 4 2" xfId="5069"/>
    <cellStyle name="Standaard 6 3 3 2 4 2 2" xfId="14886"/>
    <cellStyle name="Standaard 6 3 3 2 4 2 2 2" xfId="24903"/>
    <cellStyle name="Standaard 6 3 3 2 4 2 3" xfId="24904"/>
    <cellStyle name="Standaard 6 3 3 2 4 3" xfId="14885"/>
    <cellStyle name="Standaard 6 3 3 2 4 3 2" xfId="24905"/>
    <cellStyle name="Standaard 6 3 3 2 4 4" xfId="24906"/>
    <cellStyle name="Standaard 6 3 3 2 5" xfId="4052"/>
    <cellStyle name="Standaard 6 3 3 2 5 2" xfId="14887"/>
    <cellStyle name="Standaard 6 3 3 2 5 2 2" xfId="24907"/>
    <cellStyle name="Standaard 6 3 3 2 5 3" xfId="24908"/>
    <cellStyle name="Standaard 6 3 3 2 6" xfId="9670"/>
    <cellStyle name="Standaard 6 3 3 2 6 2" xfId="24909"/>
    <cellStyle name="Standaard 6 3 3 2 7" xfId="24910"/>
    <cellStyle name="Standaard 6 3 3 3" xfId="2113"/>
    <cellStyle name="Standaard 6 3 3 3 2" xfId="2657"/>
    <cellStyle name="Standaard 6 3 3 3 2 2" xfId="3674"/>
    <cellStyle name="Standaard 6 3 3 3 2 2 2" xfId="5708"/>
    <cellStyle name="Standaard 6 3 3 3 2 2 2 2" xfId="14889"/>
    <cellStyle name="Standaard 6 3 3 3 2 2 2 2 2" xfId="24911"/>
    <cellStyle name="Standaard 6 3 3 3 2 2 2 3" xfId="24912"/>
    <cellStyle name="Standaard 6 3 3 3 2 2 3" xfId="14888"/>
    <cellStyle name="Standaard 6 3 3 3 2 2 3 2" xfId="24913"/>
    <cellStyle name="Standaard 6 3 3 3 2 2 4" xfId="24914"/>
    <cellStyle name="Standaard 6 3 3 3 2 3" xfId="4691"/>
    <cellStyle name="Standaard 6 3 3 3 2 3 2" xfId="14890"/>
    <cellStyle name="Standaard 6 3 3 3 2 3 2 2" xfId="24915"/>
    <cellStyle name="Standaard 6 3 3 3 2 3 3" xfId="24916"/>
    <cellStyle name="Standaard 6 3 3 3 2 4" xfId="9675"/>
    <cellStyle name="Standaard 6 3 3 3 2 4 2" xfId="24917"/>
    <cellStyle name="Standaard 6 3 3 3 2 5" xfId="24918"/>
    <cellStyle name="Standaard 6 3 3 3 3" xfId="3161"/>
    <cellStyle name="Standaard 6 3 3 3 3 2" xfId="5195"/>
    <cellStyle name="Standaard 6 3 3 3 3 2 2" xfId="14892"/>
    <cellStyle name="Standaard 6 3 3 3 3 2 2 2" xfId="24919"/>
    <cellStyle name="Standaard 6 3 3 3 3 2 3" xfId="24920"/>
    <cellStyle name="Standaard 6 3 3 3 3 3" xfId="14891"/>
    <cellStyle name="Standaard 6 3 3 3 3 3 2" xfId="24921"/>
    <cellStyle name="Standaard 6 3 3 3 3 4" xfId="24922"/>
    <cellStyle name="Standaard 6 3 3 3 4" xfId="4178"/>
    <cellStyle name="Standaard 6 3 3 3 4 2" xfId="14893"/>
    <cellStyle name="Standaard 6 3 3 3 4 2 2" xfId="24923"/>
    <cellStyle name="Standaard 6 3 3 3 4 3" xfId="24924"/>
    <cellStyle name="Standaard 6 3 3 3 5" xfId="9674"/>
    <cellStyle name="Standaard 6 3 3 3 5 2" xfId="24925"/>
    <cellStyle name="Standaard 6 3 3 3 6" xfId="24926"/>
    <cellStyle name="Standaard 6 3 3 4" xfId="2405"/>
    <cellStyle name="Standaard 6 3 3 4 2" xfId="3422"/>
    <cellStyle name="Standaard 6 3 3 4 2 2" xfId="5456"/>
    <cellStyle name="Standaard 6 3 3 4 2 2 2" xfId="14895"/>
    <cellStyle name="Standaard 6 3 3 4 2 2 2 2" xfId="24927"/>
    <cellStyle name="Standaard 6 3 3 4 2 2 3" xfId="24928"/>
    <cellStyle name="Standaard 6 3 3 4 2 3" xfId="14894"/>
    <cellStyle name="Standaard 6 3 3 4 2 3 2" xfId="24929"/>
    <cellStyle name="Standaard 6 3 3 4 2 4" xfId="24930"/>
    <cellStyle name="Standaard 6 3 3 4 3" xfId="4439"/>
    <cellStyle name="Standaard 6 3 3 4 3 2" xfId="14896"/>
    <cellStyle name="Standaard 6 3 3 4 3 2 2" xfId="24931"/>
    <cellStyle name="Standaard 6 3 3 4 3 3" xfId="24932"/>
    <cellStyle name="Standaard 6 3 3 4 4" xfId="9676"/>
    <cellStyle name="Standaard 6 3 3 4 4 2" xfId="24933"/>
    <cellStyle name="Standaard 6 3 3 4 5" xfId="24934"/>
    <cellStyle name="Standaard 6 3 3 5" xfId="2909"/>
    <cellStyle name="Standaard 6 3 3 5 2" xfId="4943"/>
    <cellStyle name="Standaard 6 3 3 5 2 2" xfId="14898"/>
    <cellStyle name="Standaard 6 3 3 5 2 2 2" xfId="24935"/>
    <cellStyle name="Standaard 6 3 3 5 2 3" xfId="24936"/>
    <cellStyle name="Standaard 6 3 3 5 3" xfId="14897"/>
    <cellStyle name="Standaard 6 3 3 5 3 2" xfId="24937"/>
    <cellStyle name="Standaard 6 3 3 5 4" xfId="24938"/>
    <cellStyle name="Standaard 6 3 3 6" xfId="3926"/>
    <cellStyle name="Standaard 6 3 3 6 2" xfId="14899"/>
    <cellStyle name="Standaard 6 3 3 6 2 2" xfId="24939"/>
    <cellStyle name="Standaard 6 3 3 6 3" xfId="24940"/>
    <cellStyle name="Standaard 6 3 3 7" xfId="9669"/>
    <cellStyle name="Standaard 6 3 3 7 2" xfId="24941"/>
    <cellStyle name="Standaard 6 3 3 8" xfId="24942"/>
    <cellStyle name="Standaard 6 3 4" xfId="1903"/>
    <cellStyle name="Standaard 6 3 4 2" xfId="2155"/>
    <cellStyle name="Standaard 6 3 4 2 2" xfId="2699"/>
    <cellStyle name="Standaard 6 3 4 2 2 2" xfId="3716"/>
    <cellStyle name="Standaard 6 3 4 2 2 2 2" xfId="5750"/>
    <cellStyle name="Standaard 6 3 4 2 2 2 2 2" xfId="14901"/>
    <cellStyle name="Standaard 6 3 4 2 2 2 2 2 2" xfId="24943"/>
    <cellStyle name="Standaard 6 3 4 2 2 2 2 3" xfId="24944"/>
    <cellStyle name="Standaard 6 3 4 2 2 2 3" xfId="14900"/>
    <cellStyle name="Standaard 6 3 4 2 2 2 3 2" xfId="24945"/>
    <cellStyle name="Standaard 6 3 4 2 2 2 4" xfId="24946"/>
    <cellStyle name="Standaard 6 3 4 2 2 3" xfId="4733"/>
    <cellStyle name="Standaard 6 3 4 2 2 3 2" xfId="14902"/>
    <cellStyle name="Standaard 6 3 4 2 2 3 2 2" xfId="24947"/>
    <cellStyle name="Standaard 6 3 4 2 2 3 3" xfId="24948"/>
    <cellStyle name="Standaard 6 3 4 2 2 4" xfId="9679"/>
    <cellStyle name="Standaard 6 3 4 2 2 4 2" xfId="24949"/>
    <cellStyle name="Standaard 6 3 4 2 2 5" xfId="24950"/>
    <cellStyle name="Standaard 6 3 4 2 3" xfId="3203"/>
    <cellStyle name="Standaard 6 3 4 2 3 2" xfId="5237"/>
    <cellStyle name="Standaard 6 3 4 2 3 2 2" xfId="14904"/>
    <cellStyle name="Standaard 6 3 4 2 3 2 2 2" xfId="24951"/>
    <cellStyle name="Standaard 6 3 4 2 3 2 3" xfId="24952"/>
    <cellStyle name="Standaard 6 3 4 2 3 3" xfId="14903"/>
    <cellStyle name="Standaard 6 3 4 2 3 3 2" xfId="24953"/>
    <cellStyle name="Standaard 6 3 4 2 3 4" xfId="24954"/>
    <cellStyle name="Standaard 6 3 4 2 4" xfId="4220"/>
    <cellStyle name="Standaard 6 3 4 2 4 2" xfId="14905"/>
    <cellStyle name="Standaard 6 3 4 2 4 2 2" xfId="24955"/>
    <cellStyle name="Standaard 6 3 4 2 4 3" xfId="24956"/>
    <cellStyle name="Standaard 6 3 4 2 5" xfId="9678"/>
    <cellStyle name="Standaard 6 3 4 2 5 2" xfId="24957"/>
    <cellStyle name="Standaard 6 3 4 2 6" xfId="24958"/>
    <cellStyle name="Standaard 6 3 4 3" xfId="2447"/>
    <cellStyle name="Standaard 6 3 4 3 2" xfId="3464"/>
    <cellStyle name="Standaard 6 3 4 3 2 2" xfId="5498"/>
    <cellStyle name="Standaard 6 3 4 3 2 2 2" xfId="14907"/>
    <cellStyle name="Standaard 6 3 4 3 2 2 2 2" xfId="24959"/>
    <cellStyle name="Standaard 6 3 4 3 2 2 3" xfId="24960"/>
    <cellStyle name="Standaard 6 3 4 3 2 3" xfId="14906"/>
    <cellStyle name="Standaard 6 3 4 3 2 3 2" xfId="24961"/>
    <cellStyle name="Standaard 6 3 4 3 2 4" xfId="24962"/>
    <cellStyle name="Standaard 6 3 4 3 3" xfId="4481"/>
    <cellStyle name="Standaard 6 3 4 3 3 2" xfId="14908"/>
    <cellStyle name="Standaard 6 3 4 3 3 2 2" xfId="24963"/>
    <cellStyle name="Standaard 6 3 4 3 3 3" xfId="24964"/>
    <cellStyle name="Standaard 6 3 4 3 4" xfId="9680"/>
    <cellStyle name="Standaard 6 3 4 3 4 2" xfId="24965"/>
    <cellStyle name="Standaard 6 3 4 3 5" xfId="24966"/>
    <cellStyle name="Standaard 6 3 4 4" xfId="2951"/>
    <cellStyle name="Standaard 6 3 4 4 2" xfId="4985"/>
    <cellStyle name="Standaard 6 3 4 4 2 2" xfId="14910"/>
    <cellStyle name="Standaard 6 3 4 4 2 2 2" xfId="24967"/>
    <cellStyle name="Standaard 6 3 4 4 2 3" xfId="24968"/>
    <cellStyle name="Standaard 6 3 4 4 3" xfId="14909"/>
    <cellStyle name="Standaard 6 3 4 4 3 2" xfId="24969"/>
    <cellStyle name="Standaard 6 3 4 4 4" xfId="24970"/>
    <cellStyle name="Standaard 6 3 4 5" xfId="3968"/>
    <cellStyle name="Standaard 6 3 4 5 2" xfId="14911"/>
    <cellStyle name="Standaard 6 3 4 5 2 2" xfId="24971"/>
    <cellStyle name="Standaard 6 3 4 5 3" xfId="24972"/>
    <cellStyle name="Standaard 6 3 4 6" xfId="9677"/>
    <cellStyle name="Standaard 6 3 4 6 2" xfId="24973"/>
    <cellStyle name="Standaard 6 3 4 7" xfId="24974"/>
    <cellStyle name="Standaard 6 3 5" xfId="2029"/>
    <cellStyle name="Standaard 6 3 5 2" xfId="2573"/>
    <cellStyle name="Standaard 6 3 5 2 2" xfId="3590"/>
    <cellStyle name="Standaard 6 3 5 2 2 2" xfId="5624"/>
    <cellStyle name="Standaard 6 3 5 2 2 2 2" xfId="14913"/>
    <cellStyle name="Standaard 6 3 5 2 2 2 2 2" xfId="24975"/>
    <cellStyle name="Standaard 6 3 5 2 2 2 3" xfId="24976"/>
    <cellStyle name="Standaard 6 3 5 2 2 3" xfId="14912"/>
    <cellStyle name="Standaard 6 3 5 2 2 3 2" xfId="24977"/>
    <cellStyle name="Standaard 6 3 5 2 2 4" xfId="24978"/>
    <cellStyle name="Standaard 6 3 5 2 3" xfId="4607"/>
    <cellStyle name="Standaard 6 3 5 2 3 2" xfId="14914"/>
    <cellStyle name="Standaard 6 3 5 2 3 2 2" xfId="24979"/>
    <cellStyle name="Standaard 6 3 5 2 3 3" xfId="24980"/>
    <cellStyle name="Standaard 6 3 5 2 4" xfId="9682"/>
    <cellStyle name="Standaard 6 3 5 2 4 2" xfId="24981"/>
    <cellStyle name="Standaard 6 3 5 2 5" xfId="24982"/>
    <cellStyle name="Standaard 6 3 5 3" xfId="3077"/>
    <cellStyle name="Standaard 6 3 5 3 2" xfId="5111"/>
    <cellStyle name="Standaard 6 3 5 3 2 2" xfId="14916"/>
    <cellStyle name="Standaard 6 3 5 3 2 2 2" xfId="24983"/>
    <cellStyle name="Standaard 6 3 5 3 2 3" xfId="24984"/>
    <cellStyle name="Standaard 6 3 5 3 3" xfId="14915"/>
    <cellStyle name="Standaard 6 3 5 3 3 2" xfId="24985"/>
    <cellStyle name="Standaard 6 3 5 3 4" xfId="24986"/>
    <cellStyle name="Standaard 6 3 5 4" xfId="4094"/>
    <cellStyle name="Standaard 6 3 5 4 2" xfId="14917"/>
    <cellStyle name="Standaard 6 3 5 4 2 2" xfId="24987"/>
    <cellStyle name="Standaard 6 3 5 4 3" xfId="24988"/>
    <cellStyle name="Standaard 6 3 5 5" xfId="9681"/>
    <cellStyle name="Standaard 6 3 5 5 2" xfId="24989"/>
    <cellStyle name="Standaard 6 3 5 6" xfId="24990"/>
    <cellStyle name="Standaard 6 3 6" xfId="2321"/>
    <cellStyle name="Standaard 6 3 6 2" xfId="3338"/>
    <cellStyle name="Standaard 6 3 6 2 2" xfId="5372"/>
    <cellStyle name="Standaard 6 3 6 2 2 2" xfId="14919"/>
    <cellStyle name="Standaard 6 3 6 2 2 2 2" xfId="24991"/>
    <cellStyle name="Standaard 6 3 6 2 2 3" xfId="24992"/>
    <cellStyle name="Standaard 6 3 6 2 3" xfId="14918"/>
    <cellStyle name="Standaard 6 3 6 2 3 2" xfId="24993"/>
    <cellStyle name="Standaard 6 3 6 2 4" xfId="24994"/>
    <cellStyle name="Standaard 6 3 6 3" xfId="4355"/>
    <cellStyle name="Standaard 6 3 6 3 2" xfId="14920"/>
    <cellStyle name="Standaard 6 3 6 3 2 2" xfId="24995"/>
    <cellStyle name="Standaard 6 3 6 3 3" xfId="24996"/>
    <cellStyle name="Standaard 6 3 6 4" xfId="9683"/>
    <cellStyle name="Standaard 6 3 6 4 2" xfId="24997"/>
    <cellStyle name="Standaard 6 3 6 5" xfId="24998"/>
    <cellStyle name="Standaard 6 3 7" xfId="2825"/>
    <cellStyle name="Standaard 6 3 7 2" xfId="4859"/>
    <cellStyle name="Standaard 6 3 7 2 2" xfId="14922"/>
    <cellStyle name="Standaard 6 3 7 2 2 2" xfId="24999"/>
    <cellStyle name="Standaard 6 3 7 2 3" xfId="25000"/>
    <cellStyle name="Standaard 6 3 7 3" xfId="14921"/>
    <cellStyle name="Standaard 6 3 7 3 2" xfId="25001"/>
    <cellStyle name="Standaard 6 3 7 4" xfId="25002"/>
    <cellStyle name="Standaard 6 3 8" xfId="3842"/>
    <cellStyle name="Standaard 6 3 8 2" xfId="14923"/>
    <cellStyle name="Standaard 6 3 8 2 2" xfId="25003"/>
    <cellStyle name="Standaard 6 3 8 3" xfId="25004"/>
    <cellStyle name="Standaard 6 3 9" xfId="9660"/>
    <cellStyle name="Standaard 6 3 9 2" xfId="25005"/>
    <cellStyle name="Standaard 6 4" xfId="1791"/>
    <cellStyle name="Standaard 6 4 2" xfId="1917"/>
    <cellStyle name="Standaard 6 4 2 2" xfId="2169"/>
    <cellStyle name="Standaard 6 4 2 2 2" xfId="2713"/>
    <cellStyle name="Standaard 6 4 2 2 2 2" xfId="3730"/>
    <cellStyle name="Standaard 6 4 2 2 2 2 2" xfId="5764"/>
    <cellStyle name="Standaard 6 4 2 2 2 2 2 2" xfId="14925"/>
    <cellStyle name="Standaard 6 4 2 2 2 2 2 2 2" xfId="25006"/>
    <cellStyle name="Standaard 6 4 2 2 2 2 2 3" xfId="25007"/>
    <cellStyle name="Standaard 6 4 2 2 2 2 3" xfId="14924"/>
    <cellStyle name="Standaard 6 4 2 2 2 2 3 2" xfId="25008"/>
    <cellStyle name="Standaard 6 4 2 2 2 2 4" xfId="25009"/>
    <cellStyle name="Standaard 6 4 2 2 2 3" xfId="4747"/>
    <cellStyle name="Standaard 6 4 2 2 2 3 2" xfId="14926"/>
    <cellStyle name="Standaard 6 4 2 2 2 3 2 2" xfId="25010"/>
    <cellStyle name="Standaard 6 4 2 2 2 3 3" xfId="25011"/>
    <cellStyle name="Standaard 6 4 2 2 2 4" xfId="9687"/>
    <cellStyle name="Standaard 6 4 2 2 2 4 2" xfId="25012"/>
    <cellStyle name="Standaard 6 4 2 2 2 5" xfId="25013"/>
    <cellStyle name="Standaard 6 4 2 2 3" xfId="3217"/>
    <cellStyle name="Standaard 6 4 2 2 3 2" xfId="5251"/>
    <cellStyle name="Standaard 6 4 2 2 3 2 2" xfId="14928"/>
    <cellStyle name="Standaard 6 4 2 2 3 2 2 2" xfId="25014"/>
    <cellStyle name="Standaard 6 4 2 2 3 2 3" xfId="25015"/>
    <cellStyle name="Standaard 6 4 2 2 3 3" xfId="14927"/>
    <cellStyle name="Standaard 6 4 2 2 3 3 2" xfId="25016"/>
    <cellStyle name="Standaard 6 4 2 2 3 4" xfId="25017"/>
    <cellStyle name="Standaard 6 4 2 2 4" xfId="4234"/>
    <cellStyle name="Standaard 6 4 2 2 4 2" xfId="14929"/>
    <cellStyle name="Standaard 6 4 2 2 4 2 2" xfId="25018"/>
    <cellStyle name="Standaard 6 4 2 2 4 3" xfId="25019"/>
    <cellStyle name="Standaard 6 4 2 2 5" xfId="9686"/>
    <cellStyle name="Standaard 6 4 2 2 5 2" xfId="25020"/>
    <cellStyle name="Standaard 6 4 2 2 6" xfId="25021"/>
    <cellStyle name="Standaard 6 4 2 3" xfId="2461"/>
    <cellStyle name="Standaard 6 4 2 3 2" xfId="3478"/>
    <cellStyle name="Standaard 6 4 2 3 2 2" xfId="5512"/>
    <cellStyle name="Standaard 6 4 2 3 2 2 2" xfId="14931"/>
    <cellStyle name="Standaard 6 4 2 3 2 2 2 2" xfId="25022"/>
    <cellStyle name="Standaard 6 4 2 3 2 2 3" xfId="25023"/>
    <cellStyle name="Standaard 6 4 2 3 2 3" xfId="14930"/>
    <cellStyle name="Standaard 6 4 2 3 2 3 2" xfId="25024"/>
    <cellStyle name="Standaard 6 4 2 3 2 4" xfId="25025"/>
    <cellStyle name="Standaard 6 4 2 3 3" xfId="4495"/>
    <cellStyle name="Standaard 6 4 2 3 3 2" xfId="14932"/>
    <cellStyle name="Standaard 6 4 2 3 3 2 2" xfId="25026"/>
    <cellStyle name="Standaard 6 4 2 3 3 3" xfId="25027"/>
    <cellStyle name="Standaard 6 4 2 3 4" xfId="9688"/>
    <cellStyle name="Standaard 6 4 2 3 4 2" xfId="25028"/>
    <cellStyle name="Standaard 6 4 2 3 5" xfId="25029"/>
    <cellStyle name="Standaard 6 4 2 4" xfId="2965"/>
    <cellStyle name="Standaard 6 4 2 4 2" xfId="4999"/>
    <cellStyle name="Standaard 6 4 2 4 2 2" xfId="14934"/>
    <cellStyle name="Standaard 6 4 2 4 2 2 2" xfId="25030"/>
    <cellStyle name="Standaard 6 4 2 4 2 3" xfId="25031"/>
    <cellStyle name="Standaard 6 4 2 4 3" xfId="14933"/>
    <cellStyle name="Standaard 6 4 2 4 3 2" xfId="25032"/>
    <cellStyle name="Standaard 6 4 2 4 4" xfId="25033"/>
    <cellStyle name="Standaard 6 4 2 5" xfId="3982"/>
    <cellStyle name="Standaard 6 4 2 5 2" xfId="14935"/>
    <cellStyle name="Standaard 6 4 2 5 2 2" xfId="25034"/>
    <cellStyle name="Standaard 6 4 2 5 3" xfId="25035"/>
    <cellStyle name="Standaard 6 4 2 6" xfId="9685"/>
    <cellStyle name="Standaard 6 4 2 6 2" xfId="25036"/>
    <cellStyle name="Standaard 6 4 2 7" xfId="25037"/>
    <cellStyle name="Standaard 6 4 3" xfId="2043"/>
    <cellStyle name="Standaard 6 4 3 2" xfId="2587"/>
    <cellStyle name="Standaard 6 4 3 2 2" xfId="3604"/>
    <cellStyle name="Standaard 6 4 3 2 2 2" xfId="5638"/>
    <cellStyle name="Standaard 6 4 3 2 2 2 2" xfId="14937"/>
    <cellStyle name="Standaard 6 4 3 2 2 2 2 2" xfId="25038"/>
    <cellStyle name="Standaard 6 4 3 2 2 2 3" xfId="25039"/>
    <cellStyle name="Standaard 6 4 3 2 2 3" xfId="14936"/>
    <cellStyle name="Standaard 6 4 3 2 2 3 2" xfId="25040"/>
    <cellStyle name="Standaard 6 4 3 2 2 4" xfId="25041"/>
    <cellStyle name="Standaard 6 4 3 2 3" xfId="4621"/>
    <cellStyle name="Standaard 6 4 3 2 3 2" xfId="14938"/>
    <cellStyle name="Standaard 6 4 3 2 3 2 2" xfId="25042"/>
    <cellStyle name="Standaard 6 4 3 2 3 3" xfId="25043"/>
    <cellStyle name="Standaard 6 4 3 2 4" xfId="9690"/>
    <cellStyle name="Standaard 6 4 3 2 4 2" xfId="25044"/>
    <cellStyle name="Standaard 6 4 3 2 5" xfId="25045"/>
    <cellStyle name="Standaard 6 4 3 3" xfId="3091"/>
    <cellStyle name="Standaard 6 4 3 3 2" xfId="5125"/>
    <cellStyle name="Standaard 6 4 3 3 2 2" xfId="14940"/>
    <cellStyle name="Standaard 6 4 3 3 2 2 2" xfId="25046"/>
    <cellStyle name="Standaard 6 4 3 3 2 3" xfId="25047"/>
    <cellStyle name="Standaard 6 4 3 3 3" xfId="14939"/>
    <cellStyle name="Standaard 6 4 3 3 3 2" xfId="25048"/>
    <cellStyle name="Standaard 6 4 3 3 4" xfId="25049"/>
    <cellStyle name="Standaard 6 4 3 4" xfId="4108"/>
    <cellStyle name="Standaard 6 4 3 4 2" xfId="14941"/>
    <cellStyle name="Standaard 6 4 3 4 2 2" xfId="25050"/>
    <cellStyle name="Standaard 6 4 3 4 3" xfId="25051"/>
    <cellStyle name="Standaard 6 4 3 5" xfId="9689"/>
    <cellStyle name="Standaard 6 4 3 5 2" xfId="25052"/>
    <cellStyle name="Standaard 6 4 3 6" xfId="25053"/>
    <cellStyle name="Standaard 6 4 4" xfId="2335"/>
    <cellStyle name="Standaard 6 4 4 2" xfId="3352"/>
    <cellStyle name="Standaard 6 4 4 2 2" xfId="5386"/>
    <cellStyle name="Standaard 6 4 4 2 2 2" xfId="14943"/>
    <cellStyle name="Standaard 6 4 4 2 2 2 2" xfId="25054"/>
    <cellStyle name="Standaard 6 4 4 2 2 3" xfId="25055"/>
    <cellStyle name="Standaard 6 4 4 2 3" xfId="14942"/>
    <cellStyle name="Standaard 6 4 4 2 3 2" xfId="25056"/>
    <cellStyle name="Standaard 6 4 4 2 4" xfId="25057"/>
    <cellStyle name="Standaard 6 4 4 3" xfId="4369"/>
    <cellStyle name="Standaard 6 4 4 3 2" xfId="14944"/>
    <cellStyle name="Standaard 6 4 4 3 2 2" xfId="25058"/>
    <cellStyle name="Standaard 6 4 4 3 3" xfId="25059"/>
    <cellStyle name="Standaard 6 4 4 4" xfId="9691"/>
    <cellStyle name="Standaard 6 4 4 4 2" xfId="25060"/>
    <cellStyle name="Standaard 6 4 4 5" xfId="25061"/>
    <cellStyle name="Standaard 6 4 5" xfId="2839"/>
    <cellStyle name="Standaard 6 4 5 2" xfId="4873"/>
    <cellStyle name="Standaard 6 4 5 2 2" xfId="14946"/>
    <cellStyle name="Standaard 6 4 5 2 2 2" xfId="25062"/>
    <cellStyle name="Standaard 6 4 5 2 3" xfId="25063"/>
    <cellStyle name="Standaard 6 4 5 3" xfId="14945"/>
    <cellStyle name="Standaard 6 4 5 3 2" xfId="25064"/>
    <cellStyle name="Standaard 6 4 5 4" xfId="25065"/>
    <cellStyle name="Standaard 6 4 6" xfId="3856"/>
    <cellStyle name="Standaard 6 4 6 2" xfId="14947"/>
    <cellStyle name="Standaard 6 4 6 2 2" xfId="25066"/>
    <cellStyle name="Standaard 6 4 6 3" xfId="25067"/>
    <cellStyle name="Standaard 6 4 7" xfId="9684"/>
    <cellStyle name="Standaard 6 4 7 2" xfId="25068"/>
    <cellStyle name="Standaard 6 4 8" xfId="25069"/>
    <cellStyle name="Standaard 6 5" xfId="1833"/>
    <cellStyle name="Standaard 6 5 2" xfId="1959"/>
    <cellStyle name="Standaard 6 5 2 2" xfId="2211"/>
    <cellStyle name="Standaard 6 5 2 2 2" xfId="2755"/>
    <cellStyle name="Standaard 6 5 2 2 2 2" xfId="3772"/>
    <cellStyle name="Standaard 6 5 2 2 2 2 2" xfId="5806"/>
    <cellStyle name="Standaard 6 5 2 2 2 2 2 2" xfId="14949"/>
    <cellStyle name="Standaard 6 5 2 2 2 2 2 2 2" xfId="25070"/>
    <cellStyle name="Standaard 6 5 2 2 2 2 2 3" xfId="25071"/>
    <cellStyle name="Standaard 6 5 2 2 2 2 3" xfId="14948"/>
    <cellStyle name="Standaard 6 5 2 2 2 2 3 2" xfId="25072"/>
    <cellStyle name="Standaard 6 5 2 2 2 2 4" xfId="25073"/>
    <cellStyle name="Standaard 6 5 2 2 2 3" xfId="4789"/>
    <cellStyle name="Standaard 6 5 2 2 2 3 2" xfId="14950"/>
    <cellStyle name="Standaard 6 5 2 2 2 3 2 2" xfId="25074"/>
    <cellStyle name="Standaard 6 5 2 2 2 3 3" xfId="25075"/>
    <cellStyle name="Standaard 6 5 2 2 2 4" xfId="9695"/>
    <cellStyle name="Standaard 6 5 2 2 2 4 2" xfId="25076"/>
    <cellStyle name="Standaard 6 5 2 2 2 5" xfId="25077"/>
    <cellStyle name="Standaard 6 5 2 2 3" xfId="3259"/>
    <cellStyle name="Standaard 6 5 2 2 3 2" xfId="5293"/>
    <cellStyle name="Standaard 6 5 2 2 3 2 2" xfId="14952"/>
    <cellStyle name="Standaard 6 5 2 2 3 2 2 2" xfId="25078"/>
    <cellStyle name="Standaard 6 5 2 2 3 2 3" xfId="25079"/>
    <cellStyle name="Standaard 6 5 2 2 3 3" xfId="14951"/>
    <cellStyle name="Standaard 6 5 2 2 3 3 2" xfId="25080"/>
    <cellStyle name="Standaard 6 5 2 2 3 4" xfId="25081"/>
    <cellStyle name="Standaard 6 5 2 2 4" xfId="4276"/>
    <cellStyle name="Standaard 6 5 2 2 4 2" xfId="14953"/>
    <cellStyle name="Standaard 6 5 2 2 4 2 2" xfId="25082"/>
    <cellStyle name="Standaard 6 5 2 2 4 3" xfId="25083"/>
    <cellStyle name="Standaard 6 5 2 2 5" xfId="9694"/>
    <cellStyle name="Standaard 6 5 2 2 5 2" xfId="25084"/>
    <cellStyle name="Standaard 6 5 2 2 6" xfId="25085"/>
    <cellStyle name="Standaard 6 5 2 3" xfId="2503"/>
    <cellStyle name="Standaard 6 5 2 3 2" xfId="3520"/>
    <cellStyle name="Standaard 6 5 2 3 2 2" xfId="5554"/>
    <cellStyle name="Standaard 6 5 2 3 2 2 2" xfId="14955"/>
    <cellStyle name="Standaard 6 5 2 3 2 2 2 2" xfId="25086"/>
    <cellStyle name="Standaard 6 5 2 3 2 2 3" xfId="25087"/>
    <cellStyle name="Standaard 6 5 2 3 2 3" xfId="14954"/>
    <cellStyle name="Standaard 6 5 2 3 2 3 2" xfId="25088"/>
    <cellStyle name="Standaard 6 5 2 3 2 4" xfId="25089"/>
    <cellStyle name="Standaard 6 5 2 3 3" xfId="4537"/>
    <cellStyle name="Standaard 6 5 2 3 3 2" xfId="14956"/>
    <cellStyle name="Standaard 6 5 2 3 3 2 2" xfId="25090"/>
    <cellStyle name="Standaard 6 5 2 3 3 3" xfId="25091"/>
    <cellStyle name="Standaard 6 5 2 3 4" xfId="9696"/>
    <cellStyle name="Standaard 6 5 2 3 4 2" xfId="25092"/>
    <cellStyle name="Standaard 6 5 2 3 5" xfId="25093"/>
    <cellStyle name="Standaard 6 5 2 4" xfId="3007"/>
    <cellStyle name="Standaard 6 5 2 4 2" xfId="5041"/>
    <cellStyle name="Standaard 6 5 2 4 2 2" xfId="14958"/>
    <cellStyle name="Standaard 6 5 2 4 2 2 2" xfId="25094"/>
    <cellStyle name="Standaard 6 5 2 4 2 3" xfId="25095"/>
    <cellStyle name="Standaard 6 5 2 4 3" xfId="14957"/>
    <cellStyle name="Standaard 6 5 2 4 3 2" xfId="25096"/>
    <cellStyle name="Standaard 6 5 2 4 4" xfId="25097"/>
    <cellStyle name="Standaard 6 5 2 5" xfId="4024"/>
    <cellStyle name="Standaard 6 5 2 5 2" xfId="14959"/>
    <cellStyle name="Standaard 6 5 2 5 2 2" xfId="25098"/>
    <cellStyle name="Standaard 6 5 2 5 3" xfId="25099"/>
    <cellStyle name="Standaard 6 5 2 6" xfId="9693"/>
    <cellStyle name="Standaard 6 5 2 6 2" xfId="25100"/>
    <cellStyle name="Standaard 6 5 2 7" xfId="25101"/>
    <cellStyle name="Standaard 6 5 3" xfId="2085"/>
    <cellStyle name="Standaard 6 5 3 2" xfId="2629"/>
    <cellStyle name="Standaard 6 5 3 2 2" xfId="3646"/>
    <cellStyle name="Standaard 6 5 3 2 2 2" xfId="5680"/>
    <cellStyle name="Standaard 6 5 3 2 2 2 2" xfId="14961"/>
    <cellStyle name="Standaard 6 5 3 2 2 2 2 2" xfId="25102"/>
    <cellStyle name="Standaard 6 5 3 2 2 2 3" xfId="25103"/>
    <cellStyle name="Standaard 6 5 3 2 2 3" xfId="14960"/>
    <cellStyle name="Standaard 6 5 3 2 2 3 2" xfId="25104"/>
    <cellStyle name="Standaard 6 5 3 2 2 4" xfId="25105"/>
    <cellStyle name="Standaard 6 5 3 2 3" xfId="4663"/>
    <cellStyle name="Standaard 6 5 3 2 3 2" xfId="14962"/>
    <cellStyle name="Standaard 6 5 3 2 3 2 2" xfId="25106"/>
    <cellStyle name="Standaard 6 5 3 2 3 3" xfId="25107"/>
    <cellStyle name="Standaard 6 5 3 2 4" xfId="9698"/>
    <cellStyle name="Standaard 6 5 3 2 4 2" xfId="25108"/>
    <cellStyle name="Standaard 6 5 3 2 5" xfId="25109"/>
    <cellStyle name="Standaard 6 5 3 3" xfId="3133"/>
    <cellStyle name="Standaard 6 5 3 3 2" xfId="5167"/>
    <cellStyle name="Standaard 6 5 3 3 2 2" xfId="14964"/>
    <cellStyle name="Standaard 6 5 3 3 2 2 2" xfId="25110"/>
    <cellStyle name="Standaard 6 5 3 3 2 3" xfId="25111"/>
    <cellStyle name="Standaard 6 5 3 3 3" xfId="14963"/>
    <cellStyle name="Standaard 6 5 3 3 3 2" xfId="25112"/>
    <cellStyle name="Standaard 6 5 3 3 4" xfId="25113"/>
    <cellStyle name="Standaard 6 5 3 4" xfId="4150"/>
    <cellStyle name="Standaard 6 5 3 4 2" xfId="14965"/>
    <cellStyle name="Standaard 6 5 3 4 2 2" xfId="25114"/>
    <cellStyle name="Standaard 6 5 3 4 3" xfId="25115"/>
    <cellStyle name="Standaard 6 5 3 5" xfId="9697"/>
    <cellStyle name="Standaard 6 5 3 5 2" xfId="25116"/>
    <cellStyle name="Standaard 6 5 3 6" xfId="25117"/>
    <cellStyle name="Standaard 6 5 4" xfId="2377"/>
    <cellStyle name="Standaard 6 5 4 2" xfId="3394"/>
    <cellStyle name="Standaard 6 5 4 2 2" xfId="5428"/>
    <cellStyle name="Standaard 6 5 4 2 2 2" xfId="14967"/>
    <cellStyle name="Standaard 6 5 4 2 2 2 2" xfId="25118"/>
    <cellStyle name="Standaard 6 5 4 2 2 3" xfId="25119"/>
    <cellStyle name="Standaard 6 5 4 2 3" xfId="14966"/>
    <cellStyle name="Standaard 6 5 4 2 3 2" xfId="25120"/>
    <cellStyle name="Standaard 6 5 4 2 4" xfId="25121"/>
    <cellStyle name="Standaard 6 5 4 3" xfId="4411"/>
    <cellStyle name="Standaard 6 5 4 3 2" xfId="14968"/>
    <cellStyle name="Standaard 6 5 4 3 2 2" xfId="25122"/>
    <cellStyle name="Standaard 6 5 4 3 3" xfId="25123"/>
    <cellStyle name="Standaard 6 5 4 4" xfId="9699"/>
    <cellStyle name="Standaard 6 5 4 4 2" xfId="25124"/>
    <cellStyle name="Standaard 6 5 4 5" xfId="25125"/>
    <cellStyle name="Standaard 6 5 5" xfId="2881"/>
    <cellStyle name="Standaard 6 5 5 2" xfId="4915"/>
    <cellStyle name="Standaard 6 5 5 2 2" xfId="14970"/>
    <cellStyle name="Standaard 6 5 5 2 2 2" xfId="25126"/>
    <cellStyle name="Standaard 6 5 5 2 3" xfId="25127"/>
    <cellStyle name="Standaard 6 5 5 3" xfId="14969"/>
    <cellStyle name="Standaard 6 5 5 3 2" xfId="25128"/>
    <cellStyle name="Standaard 6 5 5 4" xfId="25129"/>
    <cellStyle name="Standaard 6 5 6" xfId="3898"/>
    <cellStyle name="Standaard 6 5 6 2" xfId="14971"/>
    <cellStyle name="Standaard 6 5 6 2 2" xfId="25130"/>
    <cellStyle name="Standaard 6 5 6 3" xfId="25131"/>
    <cellStyle name="Standaard 6 5 7" xfId="9692"/>
    <cellStyle name="Standaard 6 5 7 2" xfId="25132"/>
    <cellStyle name="Standaard 6 5 8" xfId="25133"/>
    <cellStyle name="Standaard 6 6" xfId="1875"/>
    <cellStyle name="Standaard 6 6 2" xfId="2127"/>
    <cellStyle name="Standaard 6 6 2 2" xfId="2671"/>
    <cellStyle name="Standaard 6 6 2 2 2" xfId="3688"/>
    <cellStyle name="Standaard 6 6 2 2 2 2" xfId="5722"/>
    <cellStyle name="Standaard 6 6 2 2 2 2 2" xfId="14973"/>
    <cellStyle name="Standaard 6 6 2 2 2 2 2 2" xfId="25134"/>
    <cellStyle name="Standaard 6 6 2 2 2 2 3" xfId="25135"/>
    <cellStyle name="Standaard 6 6 2 2 2 3" xfId="14972"/>
    <cellStyle name="Standaard 6 6 2 2 2 3 2" xfId="25136"/>
    <cellStyle name="Standaard 6 6 2 2 2 4" xfId="25137"/>
    <cellStyle name="Standaard 6 6 2 2 3" xfId="4705"/>
    <cellStyle name="Standaard 6 6 2 2 3 2" xfId="14974"/>
    <cellStyle name="Standaard 6 6 2 2 3 2 2" xfId="25138"/>
    <cellStyle name="Standaard 6 6 2 2 3 3" xfId="25139"/>
    <cellStyle name="Standaard 6 6 2 2 4" xfId="9702"/>
    <cellStyle name="Standaard 6 6 2 2 4 2" xfId="25140"/>
    <cellStyle name="Standaard 6 6 2 2 5" xfId="25141"/>
    <cellStyle name="Standaard 6 6 2 3" xfId="3175"/>
    <cellStyle name="Standaard 6 6 2 3 2" xfId="5209"/>
    <cellStyle name="Standaard 6 6 2 3 2 2" xfId="14976"/>
    <cellStyle name="Standaard 6 6 2 3 2 2 2" xfId="25142"/>
    <cellStyle name="Standaard 6 6 2 3 2 3" xfId="25143"/>
    <cellStyle name="Standaard 6 6 2 3 3" xfId="14975"/>
    <cellStyle name="Standaard 6 6 2 3 3 2" xfId="25144"/>
    <cellStyle name="Standaard 6 6 2 3 4" xfId="25145"/>
    <cellStyle name="Standaard 6 6 2 4" xfId="4192"/>
    <cellStyle name="Standaard 6 6 2 4 2" xfId="14977"/>
    <cellStyle name="Standaard 6 6 2 4 2 2" xfId="25146"/>
    <cellStyle name="Standaard 6 6 2 4 3" xfId="25147"/>
    <cellStyle name="Standaard 6 6 2 5" xfId="9701"/>
    <cellStyle name="Standaard 6 6 2 5 2" xfId="25148"/>
    <cellStyle name="Standaard 6 6 2 6" xfId="25149"/>
    <cellStyle name="Standaard 6 6 3" xfId="2419"/>
    <cellStyle name="Standaard 6 6 3 2" xfId="3436"/>
    <cellStyle name="Standaard 6 6 3 2 2" xfId="5470"/>
    <cellStyle name="Standaard 6 6 3 2 2 2" xfId="14979"/>
    <cellStyle name="Standaard 6 6 3 2 2 2 2" xfId="25150"/>
    <cellStyle name="Standaard 6 6 3 2 2 3" xfId="25151"/>
    <cellStyle name="Standaard 6 6 3 2 3" xfId="14978"/>
    <cellStyle name="Standaard 6 6 3 2 3 2" xfId="25152"/>
    <cellStyle name="Standaard 6 6 3 2 4" xfId="25153"/>
    <cellStyle name="Standaard 6 6 3 3" xfId="4453"/>
    <cellStyle name="Standaard 6 6 3 3 2" xfId="14980"/>
    <cellStyle name="Standaard 6 6 3 3 2 2" xfId="25154"/>
    <cellStyle name="Standaard 6 6 3 3 3" xfId="25155"/>
    <cellStyle name="Standaard 6 6 3 4" xfId="9703"/>
    <cellStyle name="Standaard 6 6 3 4 2" xfId="25156"/>
    <cellStyle name="Standaard 6 6 3 5" xfId="25157"/>
    <cellStyle name="Standaard 6 6 4" xfId="2923"/>
    <cellStyle name="Standaard 6 6 4 2" xfId="4957"/>
    <cellStyle name="Standaard 6 6 4 2 2" xfId="14982"/>
    <cellStyle name="Standaard 6 6 4 2 2 2" xfId="25158"/>
    <cellStyle name="Standaard 6 6 4 2 3" xfId="25159"/>
    <cellStyle name="Standaard 6 6 4 3" xfId="14981"/>
    <cellStyle name="Standaard 6 6 4 3 2" xfId="25160"/>
    <cellStyle name="Standaard 6 6 4 4" xfId="25161"/>
    <cellStyle name="Standaard 6 6 5" xfId="3940"/>
    <cellStyle name="Standaard 6 6 5 2" xfId="14983"/>
    <cellStyle name="Standaard 6 6 5 2 2" xfId="25162"/>
    <cellStyle name="Standaard 6 6 5 3" xfId="25163"/>
    <cellStyle name="Standaard 6 6 6" xfId="9700"/>
    <cellStyle name="Standaard 6 6 6 2" xfId="25164"/>
    <cellStyle name="Standaard 6 6 7" xfId="25165"/>
    <cellStyle name="Standaard 6 7" xfId="2001"/>
    <cellStyle name="Standaard 6 7 2" xfId="2545"/>
    <cellStyle name="Standaard 6 7 2 2" xfId="3562"/>
    <cellStyle name="Standaard 6 7 2 2 2" xfId="5596"/>
    <cellStyle name="Standaard 6 7 2 2 2 2" xfId="14985"/>
    <cellStyle name="Standaard 6 7 2 2 2 2 2" xfId="25166"/>
    <cellStyle name="Standaard 6 7 2 2 2 3" xfId="25167"/>
    <cellStyle name="Standaard 6 7 2 2 3" xfId="14984"/>
    <cellStyle name="Standaard 6 7 2 2 3 2" xfId="25168"/>
    <cellStyle name="Standaard 6 7 2 2 4" xfId="25169"/>
    <cellStyle name="Standaard 6 7 2 3" xfId="4579"/>
    <cellStyle name="Standaard 6 7 2 3 2" xfId="14986"/>
    <cellStyle name="Standaard 6 7 2 3 2 2" xfId="25170"/>
    <cellStyle name="Standaard 6 7 2 3 3" xfId="25171"/>
    <cellStyle name="Standaard 6 7 2 4" xfId="9705"/>
    <cellStyle name="Standaard 6 7 2 4 2" xfId="25172"/>
    <cellStyle name="Standaard 6 7 2 5" xfId="25173"/>
    <cellStyle name="Standaard 6 7 3" xfId="3049"/>
    <cellStyle name="Standaard 6 7 3 2" xfId="5083"/>
    <cellStyle name="Standaard 6 7 3 2 2" xfId="14988"/>
    <cellStyle name="Standaard 6 7 3 2 2 2" xfId="25174"/>
    <cellStyle name="Standaard 6 7 3 2 3" xfId="25175"/>
    <cellStyle name="Standaard 6 7 3 3" xfId="14987"/>
    <cellStyle name="Standaard 6 7 3 3 2" xfId="25176"/>
    <cellStyle name="Standaard 6 7 3 4" xfId="25177"/>
    <cellStyle name="Standaard 6 7 4" xfId="4066"/>
    <cellStyle name="Standaard 6 7 4 2" xfId="14989"/>
    <cellStyle name="Standaard 6 7 4 2 2" xfId="25178"/>
    <cellStyle name="Standaard 6 7 4 3" xfId="25179"/>
    <cellStyle name="Standaard 6 7 5" xfId="9704"/>
    <cellStyle name="Standaard 6 7 5 2" xfId="25180"/>
    <cellStyle name="Standaard 6 7 6" xfId="25181"/>
    <cellStyle name="Standaard 6 8" xfId="2274"/>
    <cellStyle name="Standaard 6 9" xfId="2293"/>
    <cellStyle name="Standaard 6 9 2" xfId="3310"/>
    <cellStyle name="Standaard 6 9 2 2" xfId="5344"/>
    <cellStyle name="Standaard 6 9 2 2 2" xfId="14991"/>
    <cellStyle name="Standaard 6 9 2 2 2 2" xfId="25182"/>
    <cellStyle name="Standaard 6 9 2 2 3" xfId="25183"/>
    <cellStyle name="Standaard 6 9 2 3" xfId="14990"/>
    <cellStyle name="Standaard 6 9 2 3 2" xfId="25184"/>
    <cellStyle name="Standaard 6 9 2 4" xfId="25185"/>
    <cellStyle name="Standaard 6 9 3" xfId="4327"/>
    <cellStyle name="Standaard 6 9 3 2" xfId="14992"/>
    <cellStyle name="Standaard 6 9 3 2 2" xfId="25186"/>
    <cellStyle name="Standaard 6 9 3 3" xfId="25187"/>
    <cellStyle name="Standaard 6 9 4" xfId="9706"/>
    <cellStyle name="Standaard 6 9 4 2" xfId="25188"/>
    <cellStyle name="Standaard 6 9 5" xfId="25189"/>
    <cellStyle name="Standaard 7" xfId="1175"/>
    <cellStyle name="Standaard 7 2" xfId="2242"/>
    <cellStyle name="Standaard 7 2 2" xfId="3289"/>
    <cellStyle name="Standaard 7 2 2 2" xfId="5323"/>
    <cellStyle name="Standaard 7 2 2 2 2" xfId="14994"/>
    <cellStyle name="Standaard 7 2 2 2 2 2" xfId="25190"/>
    <cellStyle name="Standaard 7 2 2 2 3" xfId="25191"/>
    <cellStyle name="Standaard 7 2 2 3" xfId="14993"/>
    <cellStyle name="Standaard 7 2 2 3 2" xfId="25192"/>
    <cellStyle name="Standaard 7 2 2 4" xfId="25193"/>
    <cellStyle name="Standaard 7 2 3" xfId="4306"/>
    <cellStyle name="Standaard 7 2 3 2" xfId="14995"/>
    <cellStyle name="Standaard 7 2 3 2 2" xfId="25194"/>
    <cellStyle name="Standaard 7 2 3 3" xfId="25195"/>
    <cellStyle name="Standaard 7 2 4" xfId="9707"/>
    <cellStyle name="Standaard 7 2 4 2" xfId="25196"/>
    <cellStyle name="Standaard 7 2 5" xfId="25197"/>
    <cellStyle name="Standaard 7 3" xfId="39916"/>
    <cellStyle name="Standaard 8" xfId="2241"/>
    <cellStyle name="Standaard 8 2" xfId="2278"/>
    <cellStyle name="Standaard 8 2 2" xfId="3297"/>
    <cellStyle name="Standaard 8 2 2 2" xfId="5331"/>
    <cellStyle name="Standaard 8 2 2 2 2" xfId="14997"/>
    <cellStyle name="Standaard 8 2 2 2 2 2" xfId="25198"/>
    <cellStyle name="Standaard 8 2 2 2 3" xfId="25199"/>
    <cellStyle name="Standaard 8 2 2 3" xfId="14996"/>
    <cellStyle name="Standaard 8 2 2 3 2" xfId="25200"/>
    <cellStyle name="Standaard 8 2 2 4" xfId="25201"/>
    <cellStyle name="Standaard 8 2 3" xfId="4314"/>
    <cellStyle name="Standaard 8 2 3 2" xfId="14998"/>
    <cellStyle name="Standaard 8 2 3 2 2" xfId="25202"/>
    <cellStyle name="Standaard 8 2 3 3" xfId="25203"/>
    <cellStyle name="Standaard 8 2 4" xfId="9708"/>
    <cellStyle name="Standaard 8 2 4 2" xfId="25204"/>
    <cellStyle name="Standaard 8 2 5" xfId="25205"/>
    <cellStyle name="Standaard 8 3" xfId="39925"/>
    <cellStyle name="Standaard 9" xfId="2261"/>
    <cellStyle name="Standaard 9 2" xfId="39927"/>
    <cellStyle name="Titel 2" xfId="1176"/>
    <cellStyle name="Titel 3" xfId="1177"/>
    <cellStyle name="Title" xfId="1178"/>
    <cellStyle name="Totaal 2" xfId="1179"/>
    <cellStyle name="Totaal 2 10" xfId="1180"/>
    <cellStyle name="Totaal 2 10 2" xfId="7069"/>
    <cellStyle name="Totaal 2 10 2 2" xfId="11400"/>
    <cellStyle name="Totaal 2 10 2 3" xfId="25206"/>
    <cellStyle name="Totaal 2 10 2 3 2" xfId="35531"/>
    <cellStyle name="Totaal 2 10 2 4" xfId="35532"/>
    <cellStyle name="Totaal 2 10 2 5" xfId="35533"/>
    <cellStyle name="Totaal 2 10 2 6" xfId="35534"/>
    <cellStyle name="Totaal 2 10 3" xfId="9710"/>
    <cellStyle name="Totaal 2 10 4" xfId="25207"/>
    <cellStyle name="Totaal 2 10 4 2" xfId="35535"/>
    <cellStyle name="Totaal 2 10 5" xfId="35536"/>
    <cellStyle name="Totaal 2 10 6" xfId="35537"/>
    <cellStyle name="Totaal 2 10 7" xfId="35538"/>
    <cellStyle name="Totaal 2 11" xfId="1181"/>
    <cellStyle name="Totaal 2 11 2" xfId="7070"/>
    <cellStyle name="Totaal 2 11 2 2" xfId="11401"/>
    <cellStyle name="Totaal 2 11 2 3" xfId="25208"/>
    <cellStyle name="Totaal 2 11 2 3 2" xfId="35539"/>
    <cellStyle name="Totaal 2 11 2 4" xfId="35540"/>
    <cellStyle name="Totaal 2 11 2 5" xfId="35541"/>
    <cellStyle name="Totaal 2 11 2 6" xfId="35542"/>
    <cellStyle name="Totaal 2 11 3" xfId="9711"/>
    <cellStyle name="Totaal 2 11 4" xfId="25209"/>
    <cellStyle name="Totaal 2 11 4 2" xfId="35543"/>
    <cellStyle name="Totaal 2 11 5" xfId="35544"/>
    <cellStyle name="Totaal 2 11 6" xfId="35545"/>
    <cellStyle name="Totaal 2 11 7" xfId="35546"/>
    <cellStyle name="Totaal 2 12" xfId="1182"/>
    <cellStyle name="Totaal 2 12 2" xfId="7071"/>
    <cellStyle name="Totaal 2 12 2 2" xfId="11402"/>
    <cellStyle name="Totaal 2 12 2 3" xfId="25210"/>
    <cellStyle name="Totaal 2 12 2 3 2" xfId="35547"/>
    <cellStyle name="Totaal 2 12 2 4" xfId="35548"/>
    <cellStyle name="Totaal 2 12 2 5" xfId="35549"/>
    <cellStyle name="Totaal 2 12 2 6" xfId="35550"/>
    <cellStyle name="Totaal 2 12 3" xfId="9712"/>
    <cellStyle name="Totaal 2 12 4" xfId="25211"/>
    <cellStyle name="Totaal 2 12 4 2" xfId="35551"/>
    <cellStyle name="Totaal 2 12 5" xfId="35552"/>
    <cellStyle name="Totaal 2 12 6" xfId="35553"/>
    <cellStyle name="Totaal 2 12 7" xfId="35554"/>
    <cellStyle name="Totaal 2 13" xfId="1183"/>
    <cellStyle name="Totaal 2 13 2" xfId="7072"/>
    <cellStyle name="Totaal 2 13 2 2" xfId="11403"/>
    <cellStyle name="Totaal 2 13 2 3" xfId="25212"/>
    <cellStyle name="Totaal 2 13 2 3 2" xfId="35555"/>
    <cellStyle name="Totaal 2 13 2 4" xfId="35556"/>
    <cellStyle name="Totaal 2 13 2 5" xfId="35557"/>
    <cellStyle name="Totaal 2 13 2 6" xfId="35558"/>
    <cellStyle name="Totaal 2 13 3" xfId="9713"/>
    <cellStyle name="Totaal 2 13 4" xfId="25213"/>
    <cellStyle name="Totaal 2 13 4 2" xfId="35559"/>
    <cellStyle name="Totaal 2 13 5" xfId="35560"/>
    <cellStyle name="Totaal 2 13 6" xfId="35561"/>
    <cellStyle name="Totaal 2 13 7" xfId="35562"/>
    <cellStyle name="Totaal 2 14" xfId="1184"/>
    <cellStyle name="Totaal 2 14 2" xfId="7073"/>
    <cellStyle name="Totaal 2 14 2 2" xfId="11404"/>
    <cellStyle name="Totaal 2 14 2 3" xfId="25214"/>
    <cellStyle name="Totaal 2 14 2 3 2" xfId="35563"/>
    <cellStyle name="Totaal 2 14 2 4" xfId="35564"/>
    <cellStyle name="Totaal 2 14 2 5" xfId="35565"/>
    <cellStyle name="Totaal 2 14 2 6" xfId="35566"/>
    <cellStyle name="Totaal 2 14 3" xfId="9714"/>
    <cellStyle name="Totaal 2 14 4" xfId="25215"/>
    <cellStyle name="Totaal 2 14 4 2" xfId="35567"/>
    <cellStyle name="Totaal 2 14 5" xfId="35568"/>
    <cellStyle name="Totaal 2 14 6" xfId="35569"/>
    <cellStyle name="Totaal 2 14 7" xfId="35570"/>
    <cellStyle name="Totaal 2 15" xfId="1185"/>
    <cellStyle name="Totaal 2 15 2" xfId="7074"/>
    <cellStyle name="Totaal 2 15 2 2" xfId="11405"/>
    <cellStyle name="Totaal 2 15 2 3" xfId="25216"/>
    <cellStyle name="Totaal 2 15 2 3 2" xfId="35571"/>
    <cellStyle name="Totaal 2 15 2 4" xfId="35572"/>
    <cellStyle name="Totaal 2 15 2 5" xfId="35573"/>
    <cellStyle name="Totaal 2 15 2 6" xfId="35574"/>
    <cellStyle name="Totaal 2 15 3" xfId="9715"/>
    <cellStyle name="Totaal 2 15 4" xfId="25217"/>
    <cellStyle name="Totaal 2 15 4 2" xfId="35575"/>
    <cellStyle name="Totaal 2 15 5" xfId="35576"/>
    <cellStyle name="Totaal 2 15 6" xfId="35577"/>
    <cellStyle name="Totaal 2 15 7" xfId="35578"/>
    <cellStyle name="Totaal 2 16" xfId="1186"/>
    <cellStyle name="Totaal 2 16 2" xfId="7075"/>
    <cellStyle name="Totaal 2 16 2 2" xfId="11406"/>
    <cellStyle name="Totaal 2 16 2 3" xfId="25218"/>
    <cellStyle name="Totaal 2 16 2 3 2" xfId="35579"/>
    <cellStyle name="Totaal 2 16 2 4" xfId="35580"/>
    <cellStyle name="Totaal 2 16 2 5" xfId="35581"/>
    <cellStyle name="Totaal 2 16 2 6" xfId="35582"/>
    <cellStyle name="Totaal 2 16 3" xfId="9716"/>
    <cellStyle name="Totaal 2 16 4" xfId="25219"/>
    <cellStyle name="Totaal 2 16 4 2" xfId="35583"/>
    <cellStyle name="Totaal 2 16 5" xfId="35584"/>
    <cellStyle name="Totaal 2 16 6" xfId="35585"/>
    <cellStyle name="Totaal 2 16 7" xfId="35586"/>
    <cellStyle name="Totaal 2 17" xfId="1187"/>
    <cellStyle name="Totaal 2 17 2" xfId="7076"/>
    <cellStyle name="Totaal 2 17 2 2" xfId="11407"/>
    <cellStyle name="Totaal 2 17 2 3" xfId="25220"/>
    <cellStyle name="Totaal 2 17 2 3 2" xfId="35587"/>
    <cellStyle name="Totaal 2 17 2 4" xfId="35588"/>
    <cellStyle name="Totaal 2 17 2 5" xfId="35589"/>
    <cellStyle name="Totaal 2 17 2 6" xfId="35590"/>
    <cellStyle name="Totaal 2 17 3" xfId="9717"/>
    <cellStyle name="Totaal 2 17 4" xfId="25221"/>
    <cellStyle name="Totaal 2 17 4 2" xfId="35591"/>
    <cellStyle name="Totaal 2 17 5" xfId="35592"/>
    <cellStyle name="Totaal 2 17 6" xfId="35593"/>
    <cellStyle name="Totaal 2 17 7" xfId="35594"/>
    <cellStyle name="Totaal 2 18" xfId="1188"/>
    <cellStyle name="Totaal 2 18 2" xfId="7077"/>
    <cellStyle name="Totaal 2 18 2 2" xfId="11408"/>
    <cellStyle name="Totaal 2 18 2 3" xfId="25222"/>
    <cellStyle name="Totaal 2 18 2 3 2" xfId="35595"/>
    <cellStyle name="Totaal 2 18 2 4" xfId="35596"/>
    <cellStyle name="Totaal 2 18 2 5" xfId="35597"/>
    <cellStyle name="Totaal 2 18 2 6" xfId="35598"/>
    <cellStyle name="Totaal 2 18 3" xfId="9718"/>
    <cellStyle name="Totaal 2 18 4" xfId="25223"/>
    <cellStyle name="Totaal 2 18 4 2" xfId="35599"/>
    <cellStyle name="Totaal 2 18 5" xfId="35600"/>
    <cellStyle name="Totaal 2 18 6" xfId="35601"/>
    <cellStyle name="Totaal 2 18 7" xfId="35602"/>
    <cellStyle name="Totaal 2 19" xfId="1189"/>
    <cellStyle name="Totaal 2 19 2" xfId="7078"/>
    <cellStyle name="Totaal 2 19 2 2" xfId="11409"/>
    <cellStyle name="Totaal 2 19 2 3" xfId="25224"/>
    <cellStyle name="Totaal 2 19 2 3 2" xfId="35603"/>
    <cellStyle name="Totaal 2 19 2 4" xfId="35604"/>
    <cellStyle name="Totaal 2 19 2 5" xfId="35605"/>
    <cellStyle name="Totaal 2 19 2 6" xfId="35606"/>
    <cellStyle name="Totaal 2 19 3" xfId="9719"/>
    <cellStyle name="Totaal 2 19 4" xfId="25225"/>
    <cellStyle name="Totaal 2 19 4 2" xfId="35607"/>
    <cellStyle name="Totaal 2 19 5" xfId="35608"/>
    <cellStyle name="Totaal 2 19 6" xfId="35609"/>
    <cellStyle name="Totaal 2 19 7" xfId="35610"/>
    <cellStyle name="Totaal 2 2" xfId="1190"/>
    <cellStyle name="Totaal 2 2 10" xfId="1191"/>
    <cellStyle name="Totaal 2 2 10 2" xfId="7079"/>
    <cellStyle name="Totaal 2 2 10 2 2" xfId="11411"/>
    <cellStyle name="Totaal 2 2 10 2 3" xfId="25226"/>
    <cellStyle name="Totaal 2 2 10 2 3 2" xfId="35611"/>
    <cellStyle name="Totaal 2 2 10 2 4" xfId="35612"/>
    <cellStyle name="Totaal 2 2 10 2 5" xfId="35613"/>
    <cellStyle name="Totaal 2 2 10 2 6" xfId="35614"/>
    <cellStyle name="Totaal 2 2 10 3" xfId="9721"/>
    <cellStyle name="Totaal 2 2 10 4" xfId="25227"/>
    <cellStyle name="Totaal 2 2 10 4 2" xfId="35615"/>
    <cellStyle name="Totaal 2 2 10 5" xfId="35616"/>
    <cellStyle name="Totaal 2 2 10 6" xfId="35617"/>
    <cellStyle name="Totaal 2 2 10 7" xfId="35618"/>
    <cellStyle name="Totaal 2 2 11" xfId="1192"/>
    <cellStyle name="Totaal 2 2 11 2" xfId="7080"/>
    <cellStyle name="Totaal 2 2 11 2 2" xfId="11412"/>
    <cellStyle name="Totaal 2 2 11 2 3" xfId="25228"/>
    <cellStyle name="Totaal 2 2 11 2 3 2" xfId="35619"/>
    <cellStyle name="Totaal 2 2 11 2 4" xfId="35620"/>
    <cellStyle name="Totaal 2 2 11 2 5" xfId="35621"/>
    <cellStyle name="Totaal 2 2 11 2 6" xfId="35622"/>
    <cellStyle name="Totaal 2 2 11 3" xfId="9722"/>
    <cellStyle name="Totaal 2 2 11 4" xfId="25229"/>
    <cellStyle name="Totaal 2 2 11 4 2" xfId="35623"/>
    <cellStyle name="Totaal 2 2 11 5" xfId="35624"/>
    <cellStyle name="Totaal 2 2 11 6" xfId="35625"/>
    <cellStyle name="Totaal 2 2 11 7" xfId="35626"/>
    <cellStyle name="Totaal 2 2 12" xfId="1193"/>
    <cellStyle name="Totaal 2 2 12 2" xfId="7081"/>
    <cellStyle name="Totaal 2 2 12 2 2" xfId="11413"/>
    <cellStyle name="Totaal 2 2 12 2 3" xfId="25230"/>
    <cellStyle name="Totaal 2 2 12 2 3 2" xfId="35627"/>
    <cellStyle name="Totaal 2 2 12 2 4" xfId="35628"/>
    <cellStyle name="Totaal 2 2 12 2 5" xfId="35629"/>
    <cellStyle name="Totaal 2 2 12 2 6" xfId="35630"/>
    <cellStyle name="Totaal 2 2 12 3" xfId="9723"/>
    <cellStyle name="Totaal 2 2 12 4" xfId="25231"/>
    <cellStyle name="Totaal 2 2 12 4 2" xfId="35631"/>
    <cellStyle name="Totaal 2 2 12 5" xfId="35632"/>
    <cellStyle name="Totaal 2 2 12 6" xfId="35633"/>
    <cellStyle name="Totaal 2 2 12 7" xfId="35634"/>
    <cellStyle name="Totaal 2 2 13" xfId="1194"/>
    <cellStyle name="Totaal 2 2 13 2" xfId="7082"/>
    <cellStyle name="Totaal 2 2 13 2 2" xfId="11414"/>
    <cellStyle name="Totaal 2 2 13 2 3" xfId="25232"/>
    <cellStyle name="Totaal 2 2 13 2 3 2" xfId="35635"/>
    <cellStyle name="Totaal 2 2 13 2 4" xfId="35636"/>
    <cellStyle name="Totaal 2 2 13 2 5" xfId="35637"/>
    <cellStyle name="Totaal 2 2 13 2 6" xfId="35638"/>
    <cellStyle name="Totaal 2 2 13 3" xfId="9724"/>
    <cellStyle name="Totaal 2 2 13 4" xfId="25233"/>
    <cellStyle name="Totaal 2 2 13 4 2" xfId="35639"/>
    <cellStyle name="Totaal 2 2 13 5" xfId="35640"/>
    <cellStyle name="Totaal 2 2 13 6" xfId="35641"/>
    <cellStyle name="Totaal 2 2 13 7" xfId="35642"/>
    <cellStyle name="Totaal 2 2 14" xfId="1195"/>
    <cellStyle name="Totaal 2 2 14 2" xfId="7083"/>
    <cellStyle name="Totaal 2 2 14 2 2" xfId="11415"/>
    <cellStyle name="Totaal 2 2 14 2 3" xfId="25234"/>
    <cellStyle name="Totaal 2 2 14 2 3 2" xfId="35643"/>
    <cellStyle name="Totaal 2 2 14 2 4" xfId="35644"/>
    <cellStyle name="Totaal 2 2 14 2 5" xfId="35645"/>
    <cellStyle name="Totaal 2 2 14 2 6" xfId="35646"/>
    <cellStyle name="Totaal 2 2 14 3" xfId="9725"/>
    <cellStyle name="Totaal 2 2 14 4" xfId="25235"/>
    <cellStyle name="Totaal 2 2 14 4 2" xfId="35647"/>
    <cellStyle name="Totaal 2 2 14 5" xfId="35648"/>
    <cellStyle name="Totaal 2 2 14 6" xfId="35649"/>
    <cellStyle name="Totaal 2 2 14 7" xfId="35650"/>
    <cellStyle name="Totaal 2 2 15" xfId="1196"/>
    <cellStyle name="Totaal 2 2 15 2" xfId="7084"/>
    <cellStyle name="Totaal 2 2 15 2 2" xfId="11416"/>
    <cellStyle name="Totaal 2 2 15 2 3" xfId="25236"/>
    <cellStyle name="Totaal 2 2 15 2 3 2" xfId="35651"/>
    <cellStyle name="Totaal 2 2 15 2 4" xfId="35652"/>
    <cellStyle name="Totaal 2 2 15 2 5" xfId="35653"/>
    <cellStyle name="Totaal 2 2 15 2 6" xfId="35654"/>
    <cellStyle name="Totaal 2 2 15 3" xfId="9726"/>
    <cellStyle name="Totaal 2 2 15 4" xfId="25237"/>
    <cellStyle name="Totaal 2 2 15 4 2" xfId="35655"/>
    <cellStyle name="Totaal 2 2 15 5" xfId="35656"/>
    <cellStyle name="Totaal 2 2 15 6" xfId="35657"/>
    <cellStyle name="Totaal 2 2 15 7" xfId="35658"/>
    <cellStyle name="Totaal 2 2 16" xfId="1197"/>
    <cellStyle name="Totaal 2 2 16 2" xfId="7085"/>
    <cellStyle name="Totaal 2 2 16 2 2" xfId="11417"/>
    <cellStyle name="Totaal 2 2 16 2 3" xfId="25238"/>
    <cellStyle name="Totaal 2 2 16 2 3 2" xfId="35659"/>
    <cellStyle name="Totaal 2 2 16 2 4" xfId="35660"/>
    <cellStyle name="Totaal 2 2 16 2 5" xfId="35661"/>
    <cellStyle name="Totaal 2 2 16 2 6" xfId="35662"/>
    <cellStyle name="Totaal 2 2 16 3" xfId="9727"/>
    <cellStyle name="Totaal 2 2 16 4" xfId="25239"/>
    <cellStyle name="Totaal 2 2 16 4 2" xfId="35663"/>
    <cellStyle name="Totaal 2 2 16 5" xfId="35664"/>
    <cellStyle name="Totaal 2 2 16 6" xfId="35665"/>
    <cellStyle name="Totaal 2 2 16 7" xfId="35666"/>
    <cellStyle name="Totaal 2 2 17" xfId="1198"/>
    <cellStyle name="Totaal 2 2 17 2" xfId="7086"/>
    <cellStyle name="Totaal 2 2 17 2 2" xfId="11418"/>
    <cellStyle name="Totaal 2 2 17 2 3" xfId="25240"/>
    <cellStyle name="Totaal 2 2 17 2 3 2" xfId="35667"/>
    <cellStyle name="Totaal 2 2 17 2 4" xfId="35668"/>
    <cellStyle name="Totaal 2 2 17 2 5" xfId="35669"/>
    <cellStyle name="Totaal 2 2 17 2 6" xfId="35670"/>
    <cellStyle name="Totaal 2 2 17 3" xfId="9728"/>
    <cellStyle name="Totaal 2 2 17 4" xfId="25241"/>
    <cellStyle name="Totaal 2 2 17 4 2" xfId="35671"/>
    <cellStyle name="Totaal 2 2 17 5" xfId="35672"/>
    <cellStyle name="Totaal 2 2 17 6" xfId="35673"/>
    <cellStyle name="Totaal 2 2 17 7" xfId="35674"/>
    <cellStyle name="Totaal 2 2 18" xfId="1199"/>
    <cellStyle name="Totaal 2 2 18 2" xfId="7087"/>
    <cellStyle name="Totaal 2 2 18 2 2" xfId="11419"/>
    <cellStyle name="Totaal 2 2 18 2 3" xfId="25242"/>
    <cellStyle name="Totaal 2 2 18 2 3 2" xfId="35675"/>
    <cellStyle name="Totaal 2 2 18 2 4" xfId="35676"/>
    <cellStyle name="Totaal 2 2 18 2 5" xfId="35677"/>
    <cellStyle name="Totaal 2 2 18 2 6" xfId="35678"/>
    <cellStyle name="Totaal 2 2 18 3" xfId="9729"/>
    <cellStyle name="Totaal 2 2 18 4" xfId="25243"/>
    <cellStyle name="Totaal 2 2 18 4 2" xfId="35679"/>
    <cellStyle name="Totaal 2 2 18 5" xfId="35680"/>
    <cellStyle name="Totaal 2 2 18 6" xfId="35681"/>
    <cellStyle name="Totaal 2 2 18 7" xfId="35682"/>
    <cellStyle name="Totaal 2 2 19" xfId="1200"/>
    <cellStyle name="Totaal 2 2 19 2" xfId="7088"/>
    <cellStyle name="Totaal 2 2 19 2 2" xfId="11420"/>
    <cellStyle name="Totaal 2 2 19 2 3" xfId="25244"/>
    <cellStyle name="Totaal 2 2 19 2 3 2" xfId="35683"/>
    <cellStyle name="Totaal 2 2 19 2 4" xfId="35684"/>
    <cellStyle name="Totaal 2 2 19 2 5" xfId="35685"/>
    <cellStyle name="Totaal 2 2 19 2 6" xfId="35686"/>
    <cellStyle name="Totaal 2 2 19 3" xfId="9730"/>
    <cellStyle name="Totaal 2 2 19 4" xfId="25245"/>
    <cellStyle name="Totaal 2 2 19 4 2" xfId="35687"/>
    <cellStyle name="Totaal 2 2 19 5" xfId="35688"/>
    <cellStyle name="Totaal 2 2 19 6" xfId="35689"/>
    <cellStyle name="Totaal 2 2 19 7" xfId="35690"/>
    <cellStyle name="Totaal 2 2 2" xfId="1201"/>
    <cellStyle name="Totaal 2 2 2 2" xfId="7089"/>
    <cellStyle name="Totaal 2 2 2 2 2" xfId="11421"/>
    <cellStyle name="Totaal 2 2 2 2 3" xfId="25246"/>
    <cellStyle name="Totaal 2 2 2 2 3 2" xfId="35691"/>
    <cellStyle name="Totaal 2 2 2 2 4" xfId="35692"/>
    <cellStyle name="Totaal 2 2 2 2 5" xfId="35693"/>
    <cellStyle name="Totaal 2 2 2 2 6" xfId="35694"/>
    <cellStyle name="Totaal 2 2 2 3" xfId="9731"/>
    <cellStyle name="Totaal 2 2 2 4" xfId="25247"/>
    <cellStyle name="Totaal 2 2 2 4 2" xfId="35695"/>
    <cellStyle name="Totaal 2 2 2 5" xfId="35696"/>
    <cellStyle name="Totaal 2 2 2 6" xfId="35697"/>
    <cellStyle name="Totaal 2 2 2 7" xfId="35698"/>
    <cellStyle name="Totaal 2 2 20" xfId="1202"/>
    <cellStyle name="Totaal 2 2 20 2" xfId="7090"/>
    <cellStyle name="Totaal 2 2 20 2 2" xfId="11422"/>
    <cellStyle name="Totaal 2 2 20 2 3" xfId="25248"/>
    <cellStyle name="Totaal 2 2 20 2 3 2" xfId="35699"/>
    <cellStyle name="Totaal 2 2 20 2 4" xfId="35700"/>
    <cellStyle name="Totaal 2 2 20 2 5" xfId="35701"/>
    <cellStyle name="Totaal 2 2 20 2 6" xfId="35702"/>
    <cellStyle name="Totaal 2 2 20 3" xfId="9732"/>
    <cellStyle name="Totaal 2 2 20 4" xfId="25249"/>
    <cellStyle name="Totaal 2 2 20 4 2" xfId="35703"/>
    <cellStyle name="Totaal 2 2 20 5" xfId="35704"/>
    <cellStyle name="Totaal 2 2 20 6" xfId="35705"/>
    <cellStyle name="Totaal 2 2 20 7" xfId="35706"/>
    <cellStyle name="Totaal 2 2 21" xfId="1203"/>
    <cellStyle name="Totaal 2 2 21 2" xfId="7091"/>
    <cellStyle name="Totaal 2 2 21 2 2" xfId="11423"/>
    <cellStyle name="Totaal 2 2 21 2 3" xfId="25250"/>
    <cellStyle name="Totaal 2 2 21 2 3 2" xfId="35707"/>
    <cellStyle name="Totaal 2 2 21 2 4" xfId="35708"/>
    <cellStyle name="Totaal 2 2 21 2 5" xfId="35709"/>
    <cellStyle name="Totaal 2 2 21 2 6" xfId="35710"/>
    <cellStyle name="Totaal 2 2 21 3" xfId="9733"/>
    <cellStyle name="Totaal 2 2 21 4" xfId="25251"/>
    <cellStyle name="Totaal 2 2 21 4 2" xfId="35711"/>
    <cellStyle name="Totaal 2 2 21 5" xfId="35712"/>
    <cellStyle name="Totaal 2 2 21 6" xfId="35713"/>
    <cellStyle name="Totaal 2 2 21 7" xfId="35714"/>
    <cellStyle name="Totaal 2 2 22" xfId="1204"/>
    <cellStyle name="Totaal 2 2 22 2" xfId="7092"/>
    <cellStyle name="Totaal 2 2 22 2 2" xfId="11424"/>
    <cellStyle name="Totaal 2 2 22 2 3" xfId="25252"/>
    <cellStyle name="Totaal 2 2 22 2 3 2" xfId="35715"/>
    <cellStyle name="Totaal 2 2 22 2 4" xfId="35716"/>
    <cellStyle name="Totaal 2 2 22 2 5" xfId="35717"/>
    <cellStyle name="Totaal 2 2 22 2 6" xfId="35718"/>
    <cellStyle name="Totaal 2 2 22 3" xfId="9734"/>
    <cellStyle name="Totaal 2 2 22 4" xfId="25253"/>
    <cellStyle name="Totaal 2 2 22 4 2" xfId="35719"/>
    <cellStyle name="Totaal 2 2 22 5" xfId="35720"/>
    <cellStyle name="Totaal 2 2 22 6" xfId="35721"/>
    <cellStyle name="Totaal 2 2 22 7" xfId="35722"/>
    <cellStyle name="Totaal 2 2 23" xfId="1205"/>
    <cellStyle name="Totaal 2 2 23 2" xfId="7093"/>
    <cellStyle name="Totaal 2 2 23 2 2" xfId="11425"/>
    <cellStyle name="Totaal 2 2 23 2 3" xfId="25254"/>
    <cellStyle name="Totaal 2 2 23 2 3 2" xfId="35723"/>
    <cellStyle name="Totaal 2 2 23 2 4" xfId="35724"/>
    <cellStyle name="Totaal 2 2 23 2 5" xfId="35725"/>
    <cellStyle name="Totaal 2 2 23 2 6" xfId="35726"/>
    <cellStyle name="Totaal 2 2 23 3" xfId="9735"/>
    <cellStyle name="Totaal 2 2 23 4" xfId="25255"/>
    <cellStyle name="Totaal 2 2 23 4 2" xfId="35727"/>
    <cellStyle name="Totaal 2 2 23 5" xfId="35728"/>
    <cellStyle name="Totaal 2 2 23 6" xfId="35729"/>
    <cellStyle name="Totaal 2 2 23 7" xfId="35730"/>
    <cellStyle name="Totaal 2 2 24" xfId="1206"/>
    <cellStyle name="Totaal 2 2 24 2" xfId="7094"/>
    <cellStyle name="Totaal 2 2 24 2 2" xfId="11426"/>
    <cellStyle name="Totaal 2 2 24 2 3" xfId="25256"/>
    <cellStyle name="Totaal 2 2 24 2 3 2" xfId="35731"/>
    <cellStyle name="Totaal 2 2 24 2 4" xfId="35732"/>
    <cellStyle name="Totaal 2 2 24 2 5" xfId="35733"/>
    <cellStyle name="Totaal 2 2 24 2 6" xfId="35734"/>
    <cellStyle name="Totaal 2 2 24 3" xfId="9736"/>
    <cellStyle name="Totaal 2 2 24 4" xfId="25257"/>
    <cellStyle name="Totaal 2 2 24 4 2" xfId="35735"/>
    <cellStyle name="Totaal 2 2 24 5" xfId="35736"/>
    <cellStyle name="Totaal 2 2 24 6" xfId="35737"/>
    <cellStyle name="Totaal 2 2 24 7" xfId="35738"/>
    <cellStyle name="Totaal 2 2 25" xfId="1207"/>
    <cellStyle name="Totaal 2 2 25 2" xfId="7095"/>
    <cellStyle name="Totaal 2 2 25 2 2" xfId="11427"/>
    <cellStyle name="Totaal 2 2 25 2 3" xfId="25258"/>
    <cellStyle name="Totaal 2 2 25 2 3 2" xfId="35739"/>
    <cellStyle name="Totaal 2 2 25 2 4" xfId="35740"/>
    <cellStyle name="Totaal 2 2 25 2 5" xfId="35741"/>
    <cellStyle name="Totaal 2 2 25 2 6" xfId="35742"/>
    <cellStyle name="Totaal 2 2 25 3" xfId="9737"/>
    <cellStyle name="Totaal 2 2 25 4" xfId="25259"/>
    <cellStyle name="Totaal 2 2 25 4 2" xfId="35743"/>
    <cellStyle name="Totaal 2 2 25 5" xfId="35744"/>
    <cellStyle name="Totaal 2 2 25 6" xfId="35745"/>
    <cellStyle name="Totaal 2 2 25 7" xfId="35746"/>
    <cellStyle name="Totaal 2 2 26" xfId="1208"/>
    <cellStyle name="Totaal 2 2 26 2" xfId="7096"/>
    <cellStyle name="Totaal 2 2 26 2 2" xfId="11428"/>
    <cellStyle name="Totaal 2 2 26 2 3" xfId="25260"/>
    <cellStyle name="Totaal 2 2 26 2 3 2" xfId="35747"/>
    <cellStyle name="Totaal 2 2 26 2 4" xfId="35748"/>
    <cellStyle name="Totaal 2 2 26 2 5" xfId="35749"/>
    <cellStyle name="Totaal 2 2 26 2 6" xfId="35750"/>
    <cellStyle name="Totaal 2 2 26 3" xfId="9738"/>
    <cellStyle name="Totaal 2 2 26 4" xfId="25261"/>
    <cellStyle name="Totaal 2 2 26 4 2" xfId="35751"/>
    <cellStyle name="Totaal 2 2 26 5" xfId="35752"/>
    <cellStyle name="Totaal 2 2 26 6" xfId="35753"/>
    <cellStyle name="Totaal 2 2 26 7" xfId="35754"/>
    <cellStyle name="Totaal 2 2 27" xfId="1209"/>
    <cellStyle name="Totaal 2 2 27 2" xfId="7097"/>
    <cellStyle name="Totaal 2 2 27 2 2" xfId="11429"/>
    <cellStyle name="Totaal 2 2 27 2 3" xfId="25262"/>
    <cellStyle name="Totaal 2 2 27 2 3 2" xfId="35755"/>
    <cellStyle name="Totaal 2 2 27 2 4" xfId="35756"/>
    <cellStyle name="Totaal 2 2 27 2 5" xfId="35757"/>
    <cellStyle name="Totaal 2 2 27 2 6" xfId="35758"/>
    <cellStyle name="Totaal 2 2 27 3" xfId="9739"/>
    <cellStyle name="Totaal 2 2 27 4" xfId="25263"/>
    <cellStyle name="Totaal 2 2 27 4 2" xfId="35759"/>
    <cellStyle name="Totaal 2 2 27 5" xfId="35760"/>
    <cellStyle name="Totaal 2 2 27 6" xfId="35761"/>
    <cellStyle name="Totaal 2 2 27 7" xfId="35762"/>
    <cellStyle name="Totaal 2 2 28" xfId="1210"/>
    <cellStyle name="Totaal 2 2 28 2" xfId="7098"/>
    <cellStyle name="Totaal 2 2 28 2 2" xfId="11430"/>
    <cellStyle name="Totaal 2 2 28 2 3" xfId="25264"/>
    <cellStyle name="Totaal 2 2 28 2 3 2" xfId="35763"/>
    <cellStyle name="Totaal 2 2 28 2 4" xfId="35764"/>
    <cellStyle name="Totaal 2 2 28 2 5" xfId="35765"/>
    <cellStyle name="Totaal 2 2 28 2 6" xfId="35766"/>
    <cellStyle name="Totaal 2 2 28 3" xfId="9740"/>
    <cellStyle name="Totaal 2 2 28 4" xfId="25265"/>
    <cellStyle name="Totaal 2 2 28 4 2" xfId="35767"/>
    <cellStyle name="Totaal 2 2 28 5" xfId="35768"/>
    <cellStyle name="Totaal 2 2 28 6" xfId="35769"/>
    <cellStyle name="Totaal 2 2 28 7" xfId="35770"/>
    <cellStyle name="Totaal 2 2 29" xfId="1211"/>
    <cellStyle name="Totaal 2 2 29 2" xfId="7099"/>
    <cellStyle name="Totaal 2 2 29 2 2" xfId="11431"/>
    <cellStyle name="Totaal 2 2 29 2 3" xfId="25266"/>
    <cellStyle name="Totaal 2 2 29 2 3 2" xfId="35771"/>
    <cellStyle name="Totaal 2 2 29 2 4" xfId="35772"/>
    <cellStyle name="Totaal 2 2 29 2 5" xfId="35773"/>
    <cellStyle name="Totaal 2 2 29 2 6" xfId="35774"/>
    <cellStyle name="Totaal 2 2 29 3" xfId="9741"/>
    <cellStyle name="Totaal 2 2 29 4" xfId="25267"/>
    <cellStyle name="Totaal 2 2 29 4 2" xfId="35775"/>
    <cellStyle name="Totaal 2 2 29 5" xfId="35776"/>
    <cellStyle name="Totaal 2 2 29 6" xfId="35777"/>
    <cellStyle name="Totaal 2 2 29 7" xfId="35778"/>
    <cellStyle name="Totaal 2 2 3" xfId="1212"/>
    <cellStyle name="Totaal 2 2 3 2" xfId="7100"/>
    <cellStyle name="Totaal 2 2 3 2 2" xfId="11432"/>
    <cellStyle name="Totaal 2 2 3 2 3" xfId="25268"/>
    <cellStyle name="Totaal 2 2 3 2 3 2" xfId="35779"/>
    <cellStyle name="Totaal 2 2 3 2 4" xfId="35780"/>
    <cellStyle name="Totaal 2 2 3 2 5" xfId="35781"/>
    <cellStyle name="Totaal 2 2 3 2 6" xfId="35782"/>
    <cellStyle name="Totaal 2 2 3 3" xfId="9742"/>
    <cellStyle name="Totaal 2 2 3 4" xfId="25269"/>
    <cellStyle name="Totaal 2 2 3 4 2" xfId="35783"/>
    <cellStyle name="Totaal 2 2 3 5" xfId="35784"/>
    <cellStyle name="Totaal 2 2 3 6" xfId="35785"/>
    <cellStyle name="Totaal 2 2 3 7" xfId="35786"/>
    <cellStyle name="Totaal 2 2 30" xfId="1213"/>
    <cellStyle name="Totaal 2 2 30 2" xfId="7101"/>
    <cellStyle name="Totaal 2 2 30 2 2" xfId="11433"/>
    <cellStyle name="Totaal 2 2 30 2 3" xfId="25270"/>
    <cellStyle name="Totaal 2 2 30 2 3 2" xfId="35787"/>
    <cellStyle name="Totaal 2 2 30 2 4" xfId="35788"/>
    <cellStyle name="Totaal 2 2 30 2 5" xfId="35789"/>
    <cellStyle name="Totaal 2 2 30 2 6" xfId="35790"/>
    <cellStyle name="Totaal 2 2 30 3" xfId="9743"/>
    <cellStyle name="Totaal 2 2 30 4" xfId="25271"/>
    <cellStyle name="Totaal 2 2 30 4 2" xfId="35791"/>
    <cellStyle name="Totaal 2 2 30 5" xfId="35792"/>
    <cellStyle name="Totaal 2 2 30 6" xfId="35793"/>
    <cellStyle name="Totaal 2 2 30 7" xfId="35794"/>
    <cellStyle name="Totaal 2 2 31" xfId="1214"/>
    <cellStyle name="Totaal 2 2 31 2" xfId="7102"/>
    <cellStyle name="Totaal 2 2 31 2 2" xfId="11434"/>
    <cellStyle name="Totaal 2 2 31 2 3" xfId="25272"/>
    <cellStyle name="Totaal 2 2 31 2 3 2" xfId="35795"/>
    <cellStyle name="Totaal 2 2 31 2 4" xfId="35796"/>
    <cellStyle name="Totaal 2 2 31 2 5" xfId="35797"/>
    <cellStyle name="Totaal 2 2 31 2 6" xfId="35798"/>
    <cellStyle name="Totaal 2 2 31 3" xfId="9744"/>
    <cellStyle name="Totaal 2 2 31 4" xfId="25273"/>
    <cellStyle name="Totaal 2 2 31 4 2" xfId="35799"/>
    <cellStyle name="Totaal 2 2 31 5" xfId="35800"/>
    <cellStyle name="Totaal 2 2 31 6" xfId="35801"/>
    <cellStyle name="Totaal 2 2 31 7" xfId="35802"/>
    <cellStyle name="Totaal 2 2 32" xfId="1215"/>
    <cellStyle name="Totaal 2 2 32 2" xfId="7103"/>
    <cellStyle name="Totaal 2 2 32 2 2" xfId="11435"/>
    <cellStyle name="Totaal 2 2 32 2 3" xfId="25274"/>
    <cellStyle name="Totaal 2 2 32 2 3 2" xfId="35803"/>
    <cellStyle name="Totaal 2 2 32 2 4" xfId="35804"/>
    <cellStyle name="Totaal 2 2 32 2 5" xfId="35805"/>
    <cellStyle name="Totaal 2 2 32 2 6" xfId="35806"/>
    <cellStyle name="Totaal 2 2 32 3" xfId="9745"/>
    <cellStyle name="Totaal 2 2 32 4" xfId="25275"/>
    <cellStyle name="Totaal 2 2 32 4 2" xfId="35807"/>
    <cellStyle name="Totaal 2 2 32 5" xfId="35808"/>
    <cellStyle name="Totaal 2 2 32 6" xfId="35809"/>
    <cellStyle name="Totaal 2 2 32 7" xfId="35810"/>
    <cellStyle name="Totaal 2 2 33" xfId="1216"/>
    <cellStyle name="Totaal 2 2 33 2" xfId="7104"/>
    <cellStyle name="Totaal 2 2 33 2 2" xfId="11436"/>
    <cellStyle name="Totaal 2 2 33 2 3" xfId="25276"/>
    <cellStyle name="Totaal 2 2 33 2 3 2" xfId="35811"/>
    <cellStyle name="Totaal 2 2 33 2 4" xfId="35812"/>
    <cellStyle name="Totaal 2 2 33 2 5" xfId="35813"/>
    <cellStyle name="Totaal 2 2 33 2 6" xfId="35814"/>
    <cellStyle name="Totaal 2 2 33 3" xfId="9746"/>
    <cellStyle name="Totaal 2 2 33 4" xfId="25277"/>
    <cellStyle name="Totaal 2 2 33 4 2" xfId="35815"/>
    <cellStyle name="Totaal 2 2 33 5" xfId="35816"/>
    <cellStyle name="Totaal 2 2 33 6" xfId="35817"/>
    <cellStyle name="Totaal 2 2 33 7" xfId="35818"/>
    <cellStyle name="Totaal 2 2 34" xfId="1217"/>
    <cellStyle name="Totaal 2 2 34 2" xfId="7105"/>
    <cellStyle name="Totaal 2 2 34 2 2" xfId="11437"/>
    <cellStyle name="Totaal 2 2 34 2 3" xfId="25278"/>
    <cellStyle name="Totaal 2 2 34 2 3 2" xfId="35819"/>
    <cellStyle name="Totaal 2 2 34 2 4" xfId="35820"/>
    <cellStyle name="Totaal 2 2 34 2 5" xfId="35821"/>
    <cellStyle name="Totaal 2 2 34 2 6" xfId="35822"/>
    <cellStyle name="Totaal 2 2 34 3" xfId="9747"/>
    <cellStyle name="Totaal 2 2 34 4" xfId="25279"/>
    <cellStyle name="Totaal 2 2 34 4 2" xfId="35823"/>
    <cellStyle name="Totaal 2 2 34 5" xfId="35824"/>
    <cellStyle name="Totaal 2 2 34 6" xfId="35825"/>
    <cellStyle name="Totaal 2 2 34 7" xfId="35826"/>
    <cellStyle name="Totaal 2 2 35" xfId="1218"/>
    <cellStyle name="Totaal 2 2 35 2" xfId="7106"/>
    <cellStyle name="Totaal 2 2 35 2 2" xfId="11438"/>
    <cellStyle name="Totaal 2 2 35 2 3" xfId="25280"/>
    <cellStyle name="Totaal 2 2 35 2 3 2" xfId="35827"/>
    <cellStyle name="Totaal 2 2 35 2 4" xfId="35828"/>
    <cellStyle name="Totaal 2 2 35 2 5" xfId="35829"/>
    <cellStyle name="Totaal 2 2 35 2 6" xfId="35830"/>
    <cellStyle name="Totaal 2 2 35 3" xfId="9748"/>
    <cellStyle name="Totaal 2 2 35 4" xfId="25281"/>
    <cellStyle name="Totaal 2 2 35 4 2" xfId="35831"/>
    <cellStyle name="Totaal 2 2 35 5" xfId="35832"/>
    <cellStyle name="Totaal 2 2 35 6" xfId="35833"/>
    <cellStyle name="Totaal 2 2 35 7" xfId="35834"/>
    <cellStyle name="Totaal 2 2 36" xfId="1219"/>
    <cellStyle name="Totaal 2 2 36 2" xfId="7107"/>
    <cellStyle name="Totaal 2 2 36 2 2" xfId="11439"/>
    <cellStyle name="Totaal 2 2 36 2 3" xfId="25282"/>
    <cellStyle name="Totaal 2 2 36 2 3 2" xfId="35835"/>
    <cellStyle name="Totaal 2 2 36 2 4" xfId="35836"/>
    <cellStyle name="Totaal 2 2 36 2 5" xfId="35837"/>
    <cellStyle name="Totaal 2 2 36 2 6" xfId="35838"/>
    <cellStyle name="Totaal 2 2 36 3" xfId="9749"/>
    <cellStyle name="Totaal 2 2 36 4" xfId="25283"/>
    <cellStyle name="Totaal 2 2 36 4 2" xfId="35839"/>
    <cellStyle name="Totaal 2 2 36 5" xfId="35840"/>
    <cellStyle name="Totaal 2 2 36 6" xfId="35841"/>
    <cellStyle name="Totaal 2 2 36 7" xfId="35842"/>
    <cellStyle name="Totaal 2 2 37" xfId="1220"/>
    <cellStyle name="Totaal 2 2 37 2" xfId="7108"/>
    <cellStyle name="Totaal 2 2 37 2 2" xfId="11440"/>
    <cellStyle name="Totaal 2 2 37 2 3" xfId="25284"/>
    <cellStyle name="Totaal 2 2 37 2 3 2" xfId="35843"/>
    <cellStyle name="Totaal 2 2 37 2 4" xfId="35844"/>
    <cellStyle name="Totaal 2 2 37 2 5" xfId="35845"/>
    <cellStyle name="Totaal 2 2 37 2 6" xfId="35846"/>
    <cellStyle name="Totaal 2 2 37 3" xfId="9750"/>
    <cellStyle name="Totaal 2 2 37 4" xfId="25285"/>
    <cellStyle name="Totaal 2 2 37 4 2" xfId="35847"/>
    <cellStyle name="Totaal 2 2 37 5" xfId="35848"/>
    <cellStyle name="Totaal 2 2 37 6" xfId="35849"/>
    <cellStyle name="Totaal 2 2 37 7" xfId="35850"/>
    <cellStyle name="Totaal 2 2 38" xfId="1221"/>
    <cellStyle name="Totaal 2 2 38 2" xfId="7109"/>
    <cellStyle name="Totaal 2 2 38 2 2" xfId="11441"/>
    <cellStyle name="Totaal 2 2 38 2 3" xfId="25286"/>
    <cellStyle name="Totaal 2 2 38 2 3 2" xfId="35851"/>
    <cellStyle name="Totaal 2 2 38 2 4" xfId="35852"/>
    <cellStyle name="Totaal 2 2 38 2 5" xfId="35853"/>
    <cellStyle name="Totaal 2 2 38 2 6" xfId="35854"/>
    <cellStyle name="Totaal 2 2 38 3" xfId="9751"/>
    <cellStyle name="Totaal 2 2 38 4" xfId="25287"/>
    <cellStyle name="Totaal 2 2 38 4 2" xfId="35855"/>
    <cellStyle name="Totaal 2 2 38 5" xfId="35856"/>
    <cellStyle name="Totaal 2 2 38 6" xfId="35857"/>
    <cellStyle name="Totaal 2 2 38 7" xfId="35858"/>
    <cellStyle name="Totaal 2 2 39" xfId="1222"/>
    <cellStyle name="Totaal 2 2 39 2" xfId="7110"/>
    <cellStyle name="Totaal 2 2 39 2 2" xfId="11442"/>
    <cellStyle name="Totaal 2 2 39 2 3" xfId="25288"/>
    <cellStyle name="Totaal 2 2 39 2 3 2" xfId="35859"/>
    <cellStyle name="Totaal 2 2 39 2 4" xfId="35860"/>
    <cellStyle name="Totaal 2 2 39 2 5" xfId="35861"/>
    <cellStyle name="Totaal 2 2 39 2 6" xfId="35862"/>
    <cellStyle name="Totaal 2 2 39 3" xfId="9752"/>
    <cellStyle name="Totaal 2 2 39 4" xfId="25289"/>
    <cellStyle name="Totaal 2 2 39 4 2" xfId="35863"/>
    <cellStyle name="Totaal 2 2 39 5" xfId="35864"/>
    <cellStyle name="Totaal 2 2 39 6" xfId="35865"/>
    <cellStyle name="Totaal 2 2 39 7" xfId="35866"/>
    <cellStyle name="Totaal 2 2 4" xfId="1223"/>
    <cellStyle name="Totaal 2 2 4 2" xfId="7111"/>
    <cellStyle name="Totaal 2 2 4 2 2" xfId="11443"/>
    <cellStyle name="Totaal 2 2 4 2 3" xfId="25290"/>
    <cellStyle name="Totaal 2 2 4 2 3 2" xfId="35867"/>
    <cellStyle name="Totaal 2 2 4 2 4" xfId="35868"/>
    <cellStyle name="Totaal 2 2 4 2 5" xfId="35869"/>
    <cellStyle name="Totaal 2 2 4 2 6" xfId="35870"/>
    <cellStyle name="Totaal 2 2 4 3" xfId="9753"/>
    <cellStyle name="Totaal 2 2 4 4" xfId="25291"/>
    <cellStyle name="Totaal 2 2 4 4 2" xfId="35871"/>
    <cellStyle name="Totaal 2 2 4 5" xfId="35872"/>
    <cellStyle name="Totaal 2 2 4 6" xfId="35873"/>
    <cellStyle name="Totaal 2 2 4 7" xfId="35874"/>
    <cellStyle name="Totaal 2 2 40" xfId="1224"/>
    <cellStyle name="Totaal 2 2 40 2" xfId="7112"/>
    <cellStyle name="Totaal 2 2 40 2 2" xfId="11444"/>
    <cellStyle name="Totaal 2 2 40 2 3" xfId="25292"/>
    <cellStyle name="Totaal 2 2 40 2 3 2" xfId="35875"/>
    <cellStyle name="Totaal 2 2 40 2 4" xfId="35876"/>
    <cellStyle name="Totaal 2 2 40 2 5" xfId="35877"/>
    <cellStyle name="Totaal 2 2 40 2 6" xfId="35878"/>
    <cellStyle name="Totaal 2 2 40 3" xfId="9754"/>
    <cellStyle name="Totaal 2 2 40 4" xfId="25293"/>
    <cellStyle name="Totaal 2 2 40 4 2" xfId="35879"/>
    <cellStyle name="Totaal 2 2 40 5" xfId="35880"/>
    <cellStyle name="Totaal 2 2 40 6" xfId="35881"/>
    <cellStyle name="Totaal 2 2 40 7" xfId="35882"/>
    <cellStyle name="Totaal 2 2 41" xfId="1225"/>
    <cellStyle name="Totaal 2 2 41 2" xfId="7113"/>
    <cellStyle name="Totaal 2 2 41 2 2" xfId="11445"/>
    <cellStyle name="Totaal 2 2 41 2 3" xfId="25294"/>
    <cellStyle name="Totaal 2 2 41 2 3 2" xfId="35883"/>
    <cellStyle name="Totaal 2 2 41 2 4" xfId="35884"/>
    <cellStyle name="Totaal 2 2 41 2 5" xfId="35885"/>
    <cellStyle name="Totaal 2 2 41 2 6" xfId="35886"/>
    <cellStyle name="Totaal 2 2 41 3" xfId="9755"/>
    <cellStyle name="Totaal 2 2 41 4" xfId="25295"/>
    <cellStyle name="Totaal 2 2 41 4 2" xfId="35887"/>
    <cellStyle name="Totaal 2 2 41 5" xfId="35888"/>
    <cellStyle name="Totaal 2 2 41 6" xfId="35889"/>
    <cellStyle name="Totaal 2 2 41 7" xfId="35890"/>
    <cellStyle name="Totaal 2 2 42" xfId="1226"/>
    <cellStyle name="Totaal 2 2 42 2" xfId="7114"/>
    <cellStyle name="Totaal 2 2 42 2 2" xfId="11446"/>
    <cellStyle name="Totaal 2 2 42 2 3" xfId="25296"/>
    <cellStyle name="Totaal 2 2 42 2 3 2" xfId="35891"/>
    <cellStyle name="Totaal 2 2 42 2 4" xfId="35892"/>
    <cellStyle name="Totaal 2 2 42 2 5" xfId="35893"/>
    <cellStyle name="Totaal 2 2 42 2 6" xfId="35894"/>
    <cellStyle name="Totaal 2 2 42 3" xfId="9756"/>
    <cellStyle name="Totaal 2 2 42 4" xfId="25297"/>
    <cellStyle name="Totaal 2 2 42 4 2" xfId="35895"/>
    <cellStyle name="Totaal 2 2 42 5" xfId="35896"/>
    <cellStyle name="Totaal 2 2 42 6" xfId="35897"/>
    <cellStyle name="Totaal 2 2 42 7" xfId="35898"/>
    <cellStyle name="Totaal 2 2 43" xfId="1227"/>
    <cellStyle name="Totaal 2 2 43 2" xfId="7115"/>
    <cellStyle name="Totaal 2 2 43 2 2" xfId="11447"/>
    <cellStyle name="Totaal 2 2 43 2 3" xfId="25298"/>
    <cellStyle name="Totaal 2 2 43 2 3 2" xfId="35899"/>
    <cellStyle name="Totaal 2 2 43 2 4" xfId="35900"/>
    <cellStyle name="Totaal 2 2 43 2 5" xfId="35901"/>
    <cellStyle name="Totaal 2 2 43 2 6" xfId="35902"/>
    <cellStyle name="Totaal 2 2 43 3" xfId="9757"/>
    <cellStyle name="Totaal 2 2 43 4" xfId="25299"/>
    <cellStyle name="Totaal 2 2 43 4 2" xfId="35903"/>
    <cellStyle name="Totaal 2 2 43 5" xfId="35904"/>
    <cellStyle name="Totaal 2 2 43 6" xfId="35905"/>
    <cellStyle name="Totaal 2 2 43 7" xfId="35906"/>
    <cellStyle name="Totaal 2 2 44" xfId="1228"/>
    <cellStyle name="Totaal 2 2 44 2" xfId="7116"/>
    <cellStyle name="Totaal 2 2 44 2 2" xfId="11448"/>
    <cellStyle name="Totaal 2 2 44 2 3" xfId="25300"/>
    <cellStyle name="Totaal 2 2 44 2 3 2" xfId="35907"/>
    <cellStyle name="Totaal 2 2 44 2 4" xfId="35908"/>
    <cellStyle name="Totaal 2 2 44 2 5" xfId="35909"/>
    <cellStyle name="Totaal 2 2 44 2 6" xfId="35910"/>
    <cellStyle name="Totaal 2 2 44 3" xfId="9758"/>
    <cellStyle name="Totaal 2 2 44 4" xfId="25301"/>
    <cellStyle name="Totaal 2 2 44 4 2" xfId="35911"/>
    <cellStyle name="Totaal 2 2 44 5" xfId="35912"/>
    <cellStyle name="Totaal 2 2 44 6" xfId="35913"/>
    <cellStyle name="Totaal 2 2 44 7" xfId="35914"/>
    <cellStyle name="Totaal 2 2 45" xfId="1229"/>
    <cellStyle name="Totaal 2 2 45 2" xfId="7117"/>
    <cellStyle name="Totaal 2 2 45 2 2" xfId="11449"/>
    <cellStyle name="Totaal 2 2 45 2 3" xfId="25302"/>
    <cellStyle name="Totaal 2 2 45 2 3 2" xfId="35915"/>
    <cellStyle name="Totaal 2 2 45 2 4" xfId="35916"/>
    <cellStyle name="Totaal 2 2 45 2 5" xfId="35917"/>
    <cellStyle name="Totaal 2 2 45 2 6" xfId="35918"/>
    <cellStyle name="Totaal 2 2 45 3" xfId="9759"/>
    <cellStyle name="Totaal 2 2 45 4" xfId="25303"/>
    <cellStyle name="Totaal 2 2 45 4 2" xfId="35919"/>
    <cellStyle name="Totaal 2 2 45 5" xfId="35920"/>
    <cellStyle name="Totaal 2 2 45 6" xfId="35921"/>
    <cellStyle name="Totaal 2 2 45 7" xfId="35922"/>
    <cellStyle name="Totaal 2 2 46" xfId="1230"/>
    <cellStyle name="Totaal 2 2 46 2" xfId="7118"/>
    <cellStyle name="Totaal 2 2 46 2 2" xfId="11450"/>
    <cellStyle name="Totaal 2 2 46 2 3" xfId="25304"/>
    <cellStyle name="Totaal 2 2 46 2 3 2" xfId="35923"/>
    <cellStyle name="Totaal 2 2 46 2 4" xfId="35924"/>
    <cellStyle name="Totaal 2 2 46 2 5" xfId="35925"/>
    <cellStyle name="Totaal 2 2 46 2 6" xfId="35926"/>
    <cellStyle name="Totaal 2 2 46 3" xfId="9760"/>
    <cellStyle name="Totaal 2 2 46 4" xfId="25305"/>
    <cellStyle name="Totaal 2 2 46 4 2" xfId="35927"/>
    <cellStyle name="Totaal 2 2 46 5" xfId="35928"/>
    <cellStyle name="Totaal 2 2 46 6" xfId="35929"/>
    <cellStyle name="Totaal 2 2 46 7" xfId="35930"/>
    <cellStyle name="Totaal 2 2 47" xfId="1231"/>
    <cellStyle name="Totaal 2 2 47 2" xfId="7119"/>
    <cellStyle name="Totaal 2 2 47 2 2" xfId="11451"/>
    <cellStyle name="Totaal 2 2 47 2 3" xfId="25306"/>
    <cellStyle name="Totaal 2 2 47 2 3 2" xfId="35931"/>
    <cellStyle name="Totaal 2 2 47 2 4" xfId="35932"/>
    <cellStyle name="Totaal 2 2 47 2 5" xfId="35933"/>
    <cellStyle name="Totaal 2 2 47 2 6" xfId="35934"/>
    <cellStyle name="Totaal 2 2 47 3" xfId="9761"/>
    <cellStyle name="Totaal 2 2 47 4" xfId="25307"/>
    <cellStyle name="Totaal 2 2 47 4 2" xfId="35935"/>
    <cellStyle name="Totaal 2 2 47 5" xfId="35936"/>
    <cellStyle name="Totaal 2 2 47 6" xfId="35937"/>
    <cellStyle name="Totaal 2 2 47 7" xfId="35938"/>
    <cellStyle name="Totaal 2 2 48" xfId="1232"/>
    <cellStyle name="Totaal 2 2 48 2" xfId="7120"/>
    <cellStyle name="Totaal 2 2 48 2 2" xfId="11452"/>
    <cellStyle name="Totaal 2 2 48 2 3" xfId="25308"/>
    <cellStyle name="Totaal 2 2 48 2 3 2" xfId="35939"/>
    <cellStyle name="Totaal 2 2 48 2 4" xfId="35940"/>
    <cellStyle name="Totaal 2 2 48 2 5" xfId="35941"/>
    <cellStyle name="Totaal 2 2 48 2 6" xfId="35942"/>
    <cellStyle name="Totaal 2 2 48 3" xfId="9762"/>
    <cellStyle name="Totaal 2 2 48 4" xfId="25309"/>
    <cellStyle name="Totaal 2 2 48 4 2" xfId="35943"/>
    <cellStyle name="Totaal 2 2 48 5" xfId="35944"/>
    <cellStyle name="Totaal 2 2 48 6" xfId="35945"/>
    <cellStyle name="Totaal 2 2 48 7" xfId="35946"/>
    <cellStyle name="Totaal 2 2 49" xfId="1233"/>
    <cellStyle name="Totaal 2 2 49 2" xfId="7121"/>
    <cellStyle name="Totaal 2 2 49 2 2" xfId="11453"/>
    <cellStyle name="Totaal 2 2 49 2 3" xfId="25310"/>
    <cellStyle name="Totaal 2 2 49 2 3 2" xfId="35947"/>
    <cellStyle name="Totaal 2 2 49 2 4" xfId="35948"/>
    <cellStyle name="Totaal 2 2 49 2 5" xfId="35949"/>
    <cellStyle name="Totaal 2 2 49 2 6" xfId="35950"/>
    <cellStyle name="Totaal 2 2 49 3" xfId="9763"/>
    <cellStyle name="Totaal 2 2 49 4" xfId="25311"/>
    <cellStyle name="Totaal 2 2 49 4 2" xfId="35951"/>
    <cellStyle name="Totaal 2 2 49 5" xfId="35952"/>
    <cellStyle name="Totaal 2 2 49 6" xfId="35953"/>
    <cellStyle name="Totaal 2 2 49 7" xfId="35954"/>
    <cellStyle name="Totaal 2 2 5" xfId="1234"/>
    <cellStyle name="Totaal 2 2 5 2" xfId="7122"/>
    <cellStyle name="Totaal 2 2 5 2 2" xfId="11454"/>
    <cellStyle name="Totaal 2 2 5 2 3" xfId="25312"/>
    <cellStyle name="Totaal 2 2 5 2 3 2" xfId="35955"/>
    <cellStyle name="Totaal 2 2 5 2 4" xfId="35956"/>
    <cellStyle name="Totaal 2 2 5 2 5" xfId="35957"/>
    <cellStyle name="Totaal 2 2 5 2 6" xfId="35958"/>
    <cellStyle name="Totaal 2 2 5 3" xfId="9764"/>
    <cellStyle name="Totaal 2 2 5 4" xfId="25313"/>
    <cellStyle name="Totaal 2 2 5 4 2" xfId="35959"/>
    <cellStyle name="Totaal 2 2 5 5" xfId="35960"/>
    <cellStyle name="Totaal 2 2 5 6" xfId="35961"/>
    <cellStyle name="Totaal 2 2 5 7" xfId="35962"/>
    <cellStyle name="Totaal 2 2 50" xfId="1235"/>
    <cellStyle name="Totaal 2 2 50 2" xfId="7123"/>
    <cellStyle name="Totaal 2 2 50 2 2" xfId="11455"/>
    <cellStyle name="Totaal 2 2 50 2 3" xfId="25314"/>
    <cellStyle name="Totaal 2 2 50 2 3 2" xfId="35963"/>
    <cellStyle name="Totaal 2 2 50 2 4" xfId="35964"/>
    <cellStyle name="Totaal 2 2 50 2 5" xfId="35965"/>
    <cellStyle name="Totaal 2 2 50 2 6" xfId="35966"/>
    <cellStyle name="Totaal 2 2 50 3" xfId="9765"/>
    <cellStyle name="Totaal 2 2 50 4" xfId="25315"/>
    <cellStyle name="Totaal 2 2 50 4 2" xfId="35967"/>
    <cellStyle name="Totaal 2 2 50 5" xfId="35968"/>
    <cellStyle name="Totaal 2 2 50 6" xfId="35969"/>
    <cellStyle name="Totaal 2 2 50 7" xfId="35970"/>
    <cellStyle name="Totaal 2 2 51" xfId="1236"/>
    <cellStyle name="Totaal 2 2 51 2" xfId="7124"/>
    <cellStyle name="Totaal 2 2 51 2 2" xfId="11456"/>
    <cellStyle name="Totaal 2 2 51 2 3" xfId="25316"/>
    <cellStyle name="Totaal 2 2 51 2 3 2" xfId="35971"/>
    <cellStyle name="Totaal 2 2 51 2 4" xfId="35972"/>
    <cellStyle name="Totaal 2 2 51 2 5" xfId="35973"/>
    <cellStyle name="Totaal 2 2 51 2 6" xfId="35974"/>
    <cellStyle name="Totaal 2 2 51 3" xfId="9766"/>
    <cellStyle name="Totaal 2 2 51 4" xfId="25317"/>
    <cellStyle name="Totaal 2 2 51 4 2" xfId="35975"/>
    <cellStyle name="Totaal 2 2 51 5" xfId="35976"/>
    <cellStyle name="Totaal 2 2 51 6" xfId="35977"/>
    <cellStyle name="Totaal 2 2 51 7" xfId="35978"/>
    <cellStyle name="Totaal 2 2 52" xfId="1237"/>
    <cellStyle name="Totaal 2 2 52 2" xfId="7125"/>
    <cellStyle name="Totaal 2 2 52 2 2" xfId="11457"/>
    <cellStyle name="Totaal 2 2 52 2 3" xfId="25318"/>
    <cellStyle name="Totaal 2 2 52 2 3 2" xfId="35979"/>
    <cellStyle name="Totaal 2 2 52 2 4" xfId="35980"/>
    <cellStyle name="Totaal 2 2 52 2 5" xfId="35981"/>
    <cellStyle name="Totaal 2 2 52 2 6" xfId="35982"/>
    <cellStyle name="Totaal 2 2 52 3" xfId="9767"/>
    <cellStyle name="Totaal 2 2 52 4" xfId="25319"/>
    <cellStyle name="Totaal 2 2 52 4 2" xfId="35983"/>
    <cellStyle name="Totaal 2 2 52 5" xfId="35984"/>
    <cellStyle name="Totaal 2 2 52 6" xfId="35985"/>
    <cellStyle name="Totaal 2 2 52 7" xfId="35986"/>
    <cellStyle name="Totaal 2 2 53" xfId="1238"/>
    <cellStyle name="Totaal 2 2 53 2" xfId="7126"/>
    <cellStyle name="Totaal 2 2 53 2 2" xfId="11458"/>
    <cellStyle name="Totaal 2 2 53 2 3" xfId="25320"/>
    <cellStyle name="Totaal 2 2 53 2 3 2" xfId="35987"/>
    <cellStyle name="Totaal 2 2 53 2 4" xfId="35988"/>
    <cellStyle name="Totaal 2 2 53 2 5" xfId="35989"/>
    <cellStyle name="Totaal 2 2 53 2 6" xfId="35990"/>
    <cellStyle name="Totaal 2 2 53 3" xfId="9768"/>
    <cellStyle name="Totaal 2 2 53 4" xfId="25321"/>
    <cellStyle name="Totaal 2 2 53 4 2" xfId="35991"/>
    <cellStyle name="Totaal 2 2 53 5" xfId="35992"/>
    <cellStyle name="Totaal 2 2 53 6" xfId="35993"/>
    <cellStyle name="Totaal 2 2 53 7" xfId="35994"/>
    <cellStyle name="Totaal 2 2 54" xfId="1239"/>
    <cellStyle name="Totaal 2 2 54 2" xfId="7127"/>
    <cellStyle name="Totaal 2 2 54 2 2" xfId="11459"/>
    <cellStyle name="Totaal 2 2 54 2 3" xfId="25322"/>
    <cellStyle name="Totaal 2 2 54 2 3 2" xfId="35995"/>
    <cellStyle name="Totaal 2 2 54 2 4" xfId="35996"/>
    <cellStyle name="Totaal 2 2 54 2 5" xfId="35997"/>
    <cellStyle name="Totaal 2 2 54 2 6" xfId="35998"/>
    <cellStyle name="Totaal 2 2 54 3" xfId="9769"/>
    <cellStyle name="Totaal 2 2 54 4" xfId="25323"/>
    <cellStyle name="Totaal 2 2 54 4 2" xfId="35999"/>
    <cellStyle name="Totaal 2 2 54 5" xfId="36000"/>
    <cellStyle name="Totaal 2 2 54 6" xfId="36001"/>
    <cellStyle name="Totaal 2 2 54 7" xfId="36002"/>
    <cellStyle name="Totaal 2 2 55" xfId="1240"/>
    <cellStyle name="Totaal 2 2 55 2" xfId="7128"/>
    <cellStyle name="Totaal 2 2 55 2 2" xfId="11460"/>
    <cellStyle name="Totaal 2 2 55 2 3" xfId="25324"/>
    <cellStyle name="Totaal 2 2 55 2 3 2" xfId="36003"/>
    <cellStyle name="Totaal 2 2 55 2 4" xfId="36004"/>
    <cellStyle name="Totaal 2 2 55 2 5" xfId="36005"/>
    <cellStyle name="Totaal 2 2 55 2 6" xfId="36006"/>
    <cellStyle name="Totaal 2 2 55 3" xfId="9770"/>
    <cellStyle name="Totaal 2 2 55 4" xfId="25325"/>
    <cellStyle name="Totaal 2 2 55 4 2" xfId="36007"/>
    <cellStyle name="Totaal 2 2 55 5" xfId="36008"/>
    <cellStyle name="Totaal 2 2 55 6" xfId="36009"/>
    <cellStyle name="Totaal 2 2 55 7" xfId="36010"/>
    <cellStyle name="Totaal 2 2 56" xfId="1241"/>
    <cellStyle name="Totaal 2 2 56 2" xfId="7129"/>
    <cellStyle name="Totaal 2 2 56 2 2" xfId="11461"/>
    <cellStyle name="Totaal 2 2 56 2 3" xfId="25326"/>
    <cellStyle name="Totaal 2 2 56 2 3 2" xfId="36011"/>
    <cellStyle name="Totaal 2 2 56 2 4" xfId="36012"/>
    <cellStyle name="Totaal 2 2 56 2 5" xfId="36013"/>
    <cellStyle name="Totaal 2 2 56 2 6" xfId="36014"/>
    <cellStyle name="Totaal 2 2 56 3" xfId="9771"/>
    <cellStyle name="Totaal 2 2 56 4" xfId="25327"/>
    <cellStyle name="Totaal 2 2 56 4 2" xfId="36015"/>
    <cellStyle name="Totaal 2 2 56 5" xfId="36016"/>
    <cellStyle name="Totaal 2 2 56 6" xfId="36017"/>
    <cellStyle name="Totaal 2 2 56 7" xfId="36018"/>
    <cellStyle name="Totaal 2 2 57" xfId="1242"/>
    <cellStyle name="Totaal 2 2 57 2" xfId="7130"/>
    <cellStyle name="Totaal 2 2 57 2 2" xfId="11462"/>
    <cellStyle name="Totaal 2 2 57 2 3" xfId="25328"/>
    <cellStyle name="Totaal 2 2 57 2 3 2" xfId="36019"/>
    <cellStyle name="Totaal 2 2 57 2 4" xfId="36020"/>
    <cellStyle name="Totaal 2 2 57 2 5" xfId="36021"/>
    <cellStyle name="Totaal 2 2 57 2 6" xfId="36022"/>
    <cellStyle name="Totaal 2 2 57 3" xfId="9772"/>
    <cellStyle name="Totaal 2 2 57 4" xfId="25329"/>
    <cellStyle name="Totaal 2 2 57 4 2" xfId="36023"/>
    <cellStyle name="Totaal 2 2 57 5" xfId="36024"/>
    <cellStyle name="Totaal 2 2 57 6" xfId="36025"/>
    <cellStyle name="Totaal 2 2 57 7" xfId="36026"/>
    <cellStyle name="Totaal 2 2 58" xfId="1243"/>
    <cellStyle name="Totaal 2 2 58 2" xfId="7131"/>
    <cellStyle name="Totaal 2 2 58 2 2" xfId="11463"/>
    <cellStyle name="Totaal 2 2 58 2 3" xfId="25330"/>
    <cellStyle name="Totaal 2 2 58 2 3 2" xfId="36027"/>
    <cellStyle name="Totaal 2 2 58 2 4" xfId="36028"/>
    <cellStyle name="Totaal 2 2 58 2 5" xfId="36029"/>
    <cellStyle name="Totaal 2 2 58 2 6" xfId="36030"/>
    <cellStyle name="Totaal 2 2 58 3" xfId="9773"/>
    <cellStyle name="Totaal 2 2 58 4" xfId="25331"/>
    <cellStyle name="Totaal 2 2 58 4 2" xfId="36031"/>
    <cellStyle name="Totaal 2 2 58 5" xfId="36032"/>
    <cellStyle name="Totaal 2 2 58 6" xfId="36033"/>
    <cellStyle name="Totaal 2 2 58 7" xfId="36034"/>
    <cellStyle name="Totaal 2 2 59" xfId="1244"/>
    <cellStyle name="Totaal 2 2 59 2" xfId="7132"/>
    <cellStyle name="Totaal 2 2 59 2 2" xfId="11464"/>
    <cellStyle name="Totaal 2 2 59 2 3" xfId="25332"/>
    <cellStyle name="Totaal 2 2 59 2 3 2" xfId="36035"/>
    <cellStyle name="Totaal 2 2 59 2 4" xfId="36036"/>
    <cellStyle name="Totaal 2 2 59 2 5" xfId="36037"/>
    <cellStyle name="Totaal 2 2 59 2 6" xfId="36038"/>
    <cellStyle name="Totaal 2 2 59 3" xfId="9774"/>
    <cellStyle name="Totaal 2 2 59 4" xfId="25333"/>
    <cellStyle name="Totaal 2 2 59 4 2" xfId="36039"/>
    <cellStyle name="Totaal 2 2 59 5" xfId="36040"/>
    <cellStyle name="Totaal 2 2 59 6" xfId="36041"/>
    <cellStyle name="Totaal 2 2 59 7" xfId="36042"/>
    <cellStyle name="Totaal 2 2 6" xfId="1245"/>
    <cellStyle name="Totaal 2 2 6 2" xfId="7133"/>
    <cellStyle name="Totaal 2 2 6 2 2" xfId="11465"/>
    <cellStyle name="Totaal 2 2 6 2 3" xfId="25334"/>
    <cellStyle name="Totaal 2 2 6 2 3 2" xfId="36043"/>
    <cellStyle name="Totaal 2 2 6 2 4" xfId="36044"/>
    <cellStyle name="Totaal 2 2 6 2 5" xfId="36045"/>
    <cellStyle name="Totaal 2 2 6 2 6" xfId="36046"/>
    <cellStyle name="Totaal 2 2 6 3" xfId="9775"/>
    <cellStyle name="Totaal 2 2 6 4" xfId="25335"/>
    <cellStyle name="Totaal 2 2 6 4 2" xfId="36047"/>
    <cellStyle name="Totaal 2 2 6 5" xfId="36048"/>
    <cellStyle name="Totaal 2 2 6 6" xfId="36049"/>
    <cellStyle name="Totaal 2 2 6 7" xfId="36050"/>
    <cellStyle name="Totaal 2 2 60" xfId="1246"/>
    <cellStyle name="Totaal 2 2 60 2" xfId="7134"/>
    <cellStyle name="Totaal 2 2 60 2 2" xfId="11466"/>
    <cellStyle name="Totaal 2 2 60 2 3" xfId="25336"/>
    <cellStyle name="Totaal 2 2 60 2 3 2" xfId="36051"/>
    <cellStyle name="Totaal 2 2 60 2 4" xfId="36052"/>
    <cellStyle name="Totaal 2 2 60 2 5" xfId="36053"/>
    <cellStyle name="Totaal 2 2 60 2 6" xfId="36054"/>
    <cellStyle name="Totaal 2 2 60 3" xfId="9776"/>
    <cellStyle name="Totaal 2 2 60 4" xfId="25337"/>
    <cellStyle name="Totaal 2 2 60 4 2" xfId="36055"/>
    <cellStyle name="Totaal 2 2 60 5" xfId="36056"/>
    <cellStyle name="Totaal 2 2 60 6" xfId="36057"/>
    <cellStyle name="Totaal 2 2 60 7" xfId="36058"/>
    <cellStyle name="Totaal 2 2 61" xfId="1247"/>
    <cellStyle name="Totaal 2 2 61 2" xfId="7135"/>
    <cellStyle name="Totaal 2 2 61 2 2" xfId="11467"/>
    <cellStyle name="Totaal 2 2 61 2 3" xfId="25338"/>
    <cellStyle name="Totaal 2 2 61 2 3 2" xfId="36059"/>
    <cellStyle name="Totaal 2 2 61 2 4" xfId="36060"/>
    <cellStyle name="Totaal 2 2 61 2 5" xfId="36061"/>
    <cellStyle name="Totaal 2 2 61 2 6" xfId="36062"/>
    <cellStyle name="Totaal 2 2 61 3" xfId="9777"/>
    <cellStyle name="Totaal 2 2 61 4" xfId="25339"/>
    <cellStyle name="Totaal 2 2 61 4 2" xfId="36063"/>
    <cellStyle name="Totaal 2 2 61 5" xfId="36064"/>
    <cellStyle name="Totaal 2 2 61 6" xfId="36065"/>
    <cellStyle name="Totaal 2 2 61 7" xfId="36066"/>
    <cellStyle name="Totaal 2 2 62" xfId="1248"/>
    <cellStyle name="Totaal 2 2 62 2" xfId="7136"/>
    <cellStyle name="Totaal 2 2 62 2 2" xfId="11468"/>
    <cellStyle name="Totaal 2 2 62 2 3" xfId="25340"/>
    <cellStyle name="Totaal 2 2 62 2 3 2" xfId="36067"/>
    <cellStyle name="Totaal 2 2 62 2 4" xfId="36068"/>
    <cellStyle name="Totaal 2 2 62 2 5" xfId="36069"/>
    <cellStyle name="Totaal 2 2 62 2 6" xfId="36070"/>
    <cellStyle name="Totaal 2 2 62 3" xfId="9778"/>
    <cellStyle name="Totaal 2 2 62 4" xfId="25341"/>
    <cellStyle name="Totaal 2 2 62 4 2" xfId="36071"/>
    <cellStyle name="Totaal 2 2 62 5" xfId="36072"/>
    <cellStyle name="Totaal 2 2 62 6" xfId="36073"/>
    <cellStyle name="Totaal 2 2 62 7" xfId="36074"/>
    <cellStyle name="Totaal 2 2 63" xfId="1249"/>
    <cellStyle name="Totaal 2 2 63 2" xfId="7137"/>
    <cellStyle name="Totaal 2 2 63 2 2" xfId="11469"/>
    <cellStyle name="Totaal 2 2 63 2 3" xfId="25342"/>
    <cellStyle name="Totaal 2 2 63 2 3 2" xfId="36075"/>
    <cellStyle name="Totaal 2 2 63 2 4" xfId="36076"/>
    <cellStyle name="Totaal 2 2 63 2 5" xfId="36077"/>
    <cellStyle name="Totaal 2 2 63 2 6" xfId="36078"/>
    <cellStyle name="Totaal 2 2 63 3" xfId="9779"/>
    <cellStyle name="Totaal 2 2 63 4" xfId="25343"/>
    <cellStyle name="Totaal 2 2 63 4 2" xfId="36079"/>
    <cellStyle name="Totaal 2 2 63 5" xfId="36080"/>
    <cellStyle name="Totaal 2 2 63 6" xfId="36081"/>
    <cellStyle name="Totaal 2 2 63 7" xfId="36082"/>
    <cellStyle name="Totaal 2 2 64" xfId="1250"/>
    <cellStyle name="Totaal 2 2 64 2" xfId="7138"/>
    <cellStyle name="Totaal 2 2 64 2 2" xfId="11470"/>
    <cellStyle name="Totaal 2 2 64 2 3" xfId="25344"/>
    <cellStyle name="Totaal 2 2 64 2 3 2" xfId="36083"/>
    <cellStyle name="Totaal 2 2 64 2 4" xfId="36084"/>
    <cellStyle name="Totaal 2 2 64 2 5" xfId="36085"/>
    <cellStyle name="Totaal 2 2 64 2 6" xfId="36086"/>
    <cellStyle name="Totaal 2 2 64 3" xfId="9780"/>
    <cellStyle name="Totaal 2 2 64 4" xfId="25345"/>
    <cellStyle name="Totaal 2 2 64 4 2" xfId="36087"/>
    <cellStyle name="Totaal 2 2 64 5" xfId="36088"/>
    <cellStyle name="Totaal 2 2 64 6" xfId="36089"/>
    <cellStyle name="Totaal 2 2 64 7" xfId="36090"/>
    <cellStyle name="Totaal 2 2 65" xfId="1251"/>
    <cellStyle name="Totaal 2 2 65 2" xfId="7139"/>
    <cellStyle name="Totaal 2 2 65 2 2" xfId="11471"/>
    <cellStyle name="Totaal 2 2 65 2 3" xfId="25346"/>
    <cellStyle name="Totaal 2 2 65 2 3 2" xfId="36091"/>
    <cellStyle name="Totaal 2 2 65 2 4" xfId="36092"/>
    <cellStyle name="Totaal 2 2 65 2 5" xfId="36093"/>
    <cellStyle name="Totaal 2 2 65 2 6" xfId="36094"/>
    <cellStyle name="Totaal 2 2 65 3" xfId="9781"/>
    <cellStyle name="Totaal 2 2 65 4" xfId="25347"/>
    <cellStyle name="Totaal 2 2 65 4 2" xfId="36095"/>
    <cellStyle name="Totaal 2 2 65 5" xfId="36096"/>
    <cellStyle name="Totaal 2 2 65 6" xfId="36097"/>
    <cellStyle name="Totaal 2 2 65 7" xfId="36098"/>
    <cellStyle name="Totaal 2 2 66" xfId="1252"/>
    <cellStyle name="Totaal 2 2 66 2" xfId="7140"/>
    <cellStyle name="Totaal 2 2 66 2 2" xfId="11472"/>
    <cellStyle name="Totaal 2 2 66 2 3" xfId="25348"/>
    <cellStyle name="Totaal 2 2 66 2 3 2" xfId="36099"/>
    <cellStyle name="Totaal 2 2 66 2 4" xfId="36100"/>
    <cellStyle name="Totaal 2 2 66 2 5" xfId="36101"/>
    <cellStyle name="Totaal 2 2 66 2 6" xfId="36102"/>
    <cellStyle name="Totaal 2 2 66 3" xfId="9782"/>
    <cellStyle name="Totaal 2 2 66 4" xfId="25349"/>
    <cellStyle name="Totaal 2 2 66 4 2" xfId="36103"/>
    <cellStyle name="Totaal 2 2 66 5" xfId="36104"/>
    <cellStyle name="Totaal 2 2 66 6" xfId="36105"/>
    <cellStyle name="Totaal 2 2 66 7" xfId="36106"/>
    <cellStyle name="Totaal 2 2 67" xfId="1253"/>
    <cellStyle name="Totaal 2 2 67 2" xfId="7141"/>
    <cellStyle name="Totaal 2 2 67 2 2" xfId="11473"/>
    <cellStyle name="Totaal 2 2 67 2 3" xfId="25350"/>
    <cellStyle name="Totaal 2 2 67 2 3 2" xfId="36107"/>
    <cellStyle name="Totaal 2 2 67 2 4" xfId="36108"/>
    <cellStyle name="Totaal 2 2 67 2 5" xfId="36109"/>
    <cellStyle name="Totaal 2 2 67 2 6" xfId="36110"/>
    <cellStyle name="Totaal 2 2 67 3" xfId="9783"/>
    <cellStyle name="Totaal 2 2 67 4" xfId="25351"/>
    <cellStyle name="Totaal 2 2 67 4 2" xfId="36111"/>
    <cellStyle name="Totaal 2 2 67 5" xfId="36112"/>
    <cellStyle name="Totaal 2 2 67 6" xfId="36113"/>
    <cellStyle name="Totaal 2 2 67 7" xfId="36114"/>
    <cellStyle name="Totaal 2 2 68" xfId="1254"/>
    <cellStyle name="Totaal 2 2 68 2" xfId="7142"/>
    <cellStyle name="Totaal 2 2 68 2 2" xfId="11474"/>
    <cellStyle name="Totaal 2 2 68 2 3" xfId="25352"/>
    <cellStyle name="Totaal 2 2 68 2 3 2" xfId="36115"/>
    <cellStyle name="Totaal 2 2 68 2 4" xfId="36116"/>
    <cellStyle name="Totaal 2 2 68 2 5" xfId="36117"/>
    <cellStyle name="Totaal 2 2 68 2 6" xfId="36118"/>
    <cellStyle name="Totaal 2 2 68 3" xfId="9784"/>
    <cellStyle name="Totaal 2 2 68 4" xfId="25353"/>
    <cellStyle name="Totaal 2 2 68 4 2" xfId="36119"/>
    <cellStyle name="Totaal 2 2 68 5" xfId="36120"/>
    <cellStyle name="Totaal 2 2 68 6" xfId="36121"/>
    <cellStyle name="Totaal 2 2 68 7" xfId="36122"/>
    <cellStyle name="Totaal 2 2 69" xfId="1255"/>
    <cellStyle name="Totaal 2 2 69 2" xfId="7143"/>
    <cellStyle name="Totaal 2 2 69 2 2" xfId="11475"/>
    <cellStyle name="Totaal 2 2 69 2 3" xfId="25354"/>
    <cellStyle name="Totaal 2 2 69 2 3 2" xfId="36123"/>
    <cellStyle name="Totaal 2 2 69 2 4" xfId="36124"/>
    <cellStyle name="Totaal 2 2 69 2 5" xfId="36125"/>
    <cellStyle name="Totaal 2 2 69 2 6" xfId="36126"/>
    <cellStyle name="Totaal 2 2 69 3" xfId="9785"/>
    <cellStyle name="Totaal 2 2 69 4" xfId="25355"/>
    <cellStyle name="Totaal 2 2 69 4 2" xfId="36127"/>
    <cellStyle name="Totaal 2 2 69 5" xfId="36128"/>
    <cellStyle name="Totaal 2 2 69 6" xfId="36129"/>
    <cellStyle name="Totaal 2 2 69 7" xfId="36130"/>
    <cellStyle name="Totaal 2 2 7" xfId="1256"/>
    <cellStyle name="Totaal 2 2 7 2" xfId="7144"/>
    <cellStyle name="Totaal 2 2 7 2 2" xfId="11476"/>
    <cellStyle name="Totaal 2 2 7 2 3" xfId="25356"/>
    <cellStyle name="Totaal 2 2 7 2 3 2" xfId="36131"/>
    <cellStyle name="Totaal 2 2 7 2 4" xfId="36132"/>
    <cellStyle name="Totaal 2 2 7 2 5" xfId="36133"/>
    <cellStyle name="Totaal 2 2 7 2 6" xfId="36134"/>
    <cellStyle name="Totaal 2 2 7 3" xfId="9786"/>
    <cellStyle name="Totaal 2 2 7 4" xfId="25357"/>
    <cellStyle name="Totaal 2 2 7 4 2" xfId="36135"/>
    <cellStyle name="Totaal 2 2 7 5" xfId="36136"/>
    <cellStyle name="Totaal 2 2 7 6" xfId="36137"/>
    <cellStyle name="Totaal 2 2 7 7" xfId="36138"/>
    <cellStyle name="Totaal 2 2 70" xfId="1257"/>
    <cellStyle name="Totaal 2 2 70 2" xfId="7145"/>
    <cellStyle name="Totaal 2 2 70 2 2" xfId="11477"/>
    <cellStyle name="Totaal 2 2 70 2 3" xfId="25358"/>
    <cellStyle name="Totaal 2 2 70 2 3 2" xfId="36139"/>
    <cellStyle name="Totaal 2 2 70 2 4" xfId="36140"/>
    <cellStyle name="Totaal 2 2 70 2 5" xfId="36141"/>
    <cellStyle name="Totaal 2 2 70 2 6" xfId="36142"/>
    <cellStyle name="Totaal 2 2 70 3" xfId="9787"/>
    <cellStyle name="Totaal 2 2 70 4" xfId="25359"/>
    <cellStyle name="Totaal 2 2 70 4 2" xfId="36143"/>
    <cellStyle name="Totaal 2 2 70 5" xfId="36144"/>
    <cellStyle name="Totaal 2 2 70 6" xfId="36145"/>
    <cellStyle name="Totaal 2 2 70 7" xfId="36146"/>
    <cellStyle name="Totaal 2 2 71" xfId="1258"/>
    <cellStyle name="Totaal 2 2 71 2" xfId="7146"/>
    <cellStyle name="Totaal 2 2 71 2 2" xfId="11478"/>
    <cellStyle name="Totaal 2 2 71 2 3" xfId="25360"/>
    <cellStyle name="Totaal 2 2 71 2 3 2" xfId="36147"/>
    <cellStyle name="Totaal 2 2 71 2 4" xfId="36148"/>
    <cellStyle name="Totaal 2 2 71 2 5" xfId="36149"/>
    <cellStyle name="Totaal 2 2 71 2 6" xfId="36150"/>
    <cellStyle name="Totaal 2 2 71 3" xfId="9788"/>
    <cellStyle name="Totaal 2 2 71 4" xfId="25361"/>
    <cellStyle name="Totaal 2 2 71 4 2" xfId="36151"/>
    <cellStyle name="Totaal 2 2 71 5" xfId="36152"/>
    <cellStyle name="Totaal 2 2 71 6" xfId="36153"/>
    <cellStyle name="Totaal 2 2 71 7" xfId="36154"/>
    <cellStyle name="Totaal 2 2 72" xfId="1259"/>
    <cellStyle name="Totaal 2 2 72 2" xfId="7147"/>
    <cellStyle name="Totaal 2 2 72 2 2" xfId="11479"/>
    <cellStyle name="Totaal 2 2 72 2 3" xfId="25362"/>
    <cellStyle name="Totaal 2 2 72 2 3 2" xfId="36155"/>
    <cellStyle name="Totaal 2 2 72 2 4" xfId="36156"/>
    <cellStyle name="Totaal 2 2 72 2 5" xfId="36157"/>
    <cellStyle name="Totaal 2 2 72 2 6" xfId="36158"/>
    <cellStyle name="Totaal 2 2 72 3" xfId="9789"/>
    <cellStyle name="Totaal 2 2 72 4" xfId="25363"/>
    <cellStyle name="Totaal 2 2 72 4 2" xfId="36159"/>
    <cellStyle name="Totaal 2 2 72 5" xfId="36160"/>
    <cellStyle name="Totaal 2 2 72 6" xfId="36161"/>
    <cellStyle name="Totaal 2 2 72 7" xfId="36162"/>
    <cellStyle name="Totaal 2 2 73" xfId="1260"/>
    <cellStyle name="Totaal 2 2 73 2" xfId="7148"/>
    <cellStyle name="Totaal 2 2 73 2 2" xfId="11480"/>
    <cellStyle name="Totaal 2 2 73 2 3" xfId="25364"/>
    <cellStyle name="Totaal 2 2 73 2 3 2" xfId="36163"/>
    <cellStyle name="Totaal 2 2 73 2 4" xfId="36164"/>
    <cellStyle name="Totaal 2 2 73 2 5" xfId="36165"/>
    <cellStyle name="Totaal 2 2 73 2 6" xfId="36166"/>
    <cellStyle name="Totaal 2 2 73 3" xfId="9790"/>
    <cellStyle name="Totaal 2 2 73 4" xfId="25365"/>
    <cellStyle name="Totaal 2 2 73 4 2" xfId="36167"/>
    <cellStyle name="Totaal 2 2 73 5" xfId="36168"/>
    <cellStyle name="Totaal 2 2 73 6" xfId="36169"/>
    <cellStyle name="Totaal 2 2 73 7" xfId="36170"/>
    <cellStyle name="Totaal 2 2 74" xfId="1261"/>
    <cellStyle name="Totaal 2 2 74 2" xfId="7149"/>
    <cellStyle name="Totaal 2 2 74 2 2" xfId="11481"/>
    <cellStyle name="Totaal 2 2 74 2 3" xfId="25366"/>
    <cellStyle name="Totaal 2 2 74 2 3 2" xfId="36171"/>
    <cellStyle name="Totaal 2 2 74 2 4" xfId="36172"/>
    <cellStyle name="Totaal 2 2 74 2 5" xfId="36173"/>
    <cellStyle name="Totaal 2 2 74 2 6" xfId="36174"/>
    <cellStyle name="Totaal 2 2 74 3" xfId="9791"/>
    <cellStyle name="Totaal 2 2 74 4" xfId="25367"/>
    <cellStyle name="Totaal 2 2 74 4 2" xfId="36175"/>
    <cellStyle name="Totaal 2 2 74 5" xfId="36176"/>
    <cellStyle name="Totaal 2 2 74 6" xfId="36177"/>
    <cellStyle name="Totaal 2 2 74 7" xfId="36178"/>
    <cellStyle name="Totaal 2 2 75" xfId="1262"/>
    <cellStyle name="Totaal 2 2 75 2" xfId="7150"/>
    <cellStyle name="Totaal 2 2 75 2 2" xfId="11482"/>
    <cellStyle name="Totaal 2 2 75 2 3" xfId="25368"/>
    <cellStyle name="Totaal 2 2 75 2 3 2" xfId="36179"/>
    <cellStyle name="Totaal 2 2 75 2 4" xfId="36180"/>
    <cellStyle name="Totaal 2 2 75 2 5" xfId="36181"/>
    <cellStyle name="Totaal 2 2 75 2 6" xfId="36182"/>
    <cellStyle name="Totaal 2 2 75 3" xfId="9792"/>
    <cellStyle name="Totaal 2 2 75 4" xfId="25369"/>
    <cellStyle name="Totaal 2 2 75 4 2" xfId="36183"/>
    <cellStyle name="Totaal 2 2 75 5" xfId="36184"/>
    <cellStyle name="Totaal 2 2 75 6" xfId="36185"/>
    <cellStyle name="Totaal 2 2 75 7" xfId="36186"/>
    <cellStyle name="Totaal 2 2 76" xfId="1263"/>
    <cellStyle name="Totaal 2 2 76 2" xfId="7151"/>
    <cellStyle name="Totaal 2 2 76 2 2" xfId="11483"/>
    <cellStyle name="Totaal 2 2 76 2 3" xfId="25370"/>
    <cellStyle name="Totaal 2 2 76 2 3 2" xfId="36187"/>
    <cellStyle name="Totaal 2 2 76 2 4" xfId="36188"/>
    <cellStyle name="Totaal 2 2 76 2 5" xfId="36189"/>
    <cellStyle name="Totaal 2 2 76 2 6" xfId="36190"/>
    <cellStyle name="Totaal 2 2 76 3" xfId="9793"/>
    <cellStyle name="Totaal 2 2 76 4" xfId="25371"/>
    <cellStyle name="Totaal 2 2 76 4 2" xfId="36191"/>
    <cellStyle name="Totaal 2 2 76 5" xfId="36192"/>
    <cellStyle name="Totaal 2 2 76 6" xfId="36193"/>
    <cellStyle name="Totaal 2 2 76 7" xfId="36194"/>
    <cellStyle name="Totaal 2 2 77" xfId="1264"/>
    <cellStyle name="Totaal 2 2 77 2" xfId="7152"/>
    <cellStyle name="Totaal 2 2 77 2 2" xfId="11484"/>
    <cellStyle name="Totaal 2 2 77 2 3" xfId="25372"/>
    <cellStyle name="Totaal 2 2 77 2 3 2" xfId="36195"/>
    <cellStyle name="Totaal 2 2 77 2 4" xfId="36196"/>
    <cellStyle name="Totaal 2 2 77 2 5" xfId="36197"/>
    <cellStyle name="Totaal 2 2 77 2 6" xfId="36198"/>
    <cellStyle name="Totaal 2 2 77 3" xfId="9794"/>
    <cellStyle name="Totaal 2 2 77 4" xfId="25373"/>
    <cellStyle name="Totaal 2 2 77 4 2" xfId="36199"/>
    <cellStyle name="Totaal 2 2 77 5" xfId="36200"/>
    <cellStyle name="Totaal 2 2 77 6" xfId="36201"/>
    <cellStyle name="Totaal 2 2 77 7" xfId="36202"/>
    <cellStyle name="Totaal 2 2 78" xfId="1265"/>
    <cellStyle name="Totaal 2 2 78 2" xfId="7153"/>
    <cellStyle name="Totaal 2 2 78 2 2" xfId="11485"/>
    <cellStyle name="Totaal 2 2 78 2 3" xfId="25374"/>
    <cellStyle name="Totaal 2 2 78 2 3 2" xfId="36203"/>
    <cellStyle name="Totaal 2 2 78 2 4" xfId="36204"/>
    <cellStyle name="Totaal 2 2 78 2 5" xfId="36205"/>
    <cellStyle name="Totaal 2 2 78 2 6" xfId="36206"/>
    <cellStyle name="Totaal 2 2 78 3" xfId="9795"/>
    <cellStyle name="Totaal 2 2 78 4" xfId="25375"/>
    <cellStyle name="Totaal 2 2 78 4 2" xfId="36207"/>
    <cellStyle name="Totaal 2 2 78 5" xfId="36208"/>
    <cellStyle name="Totaal 2 2 78 6" xfId="36209"/>
    <cellStyle name="Totaal 2 2 78 7" xfId="36210"/>
    <cellStyle name="Totaal 2 2 79" xfId="1266"/>
    <cellStyle name="Totaal 2 2 79 2" xfId="7154"/>
    <cellStyle name="Totaal 2 2 79 2 2" xfId="11486"/>
    <cellStyle name="Totaal 2 2 79 2 3" xfId="25376"/>
    <cellStyle name="Totaal 2 2 79 2 3 2" xfId="36211"/>
    <cellStyle name="Totaal 2 2 79 2 4" xfId="36212"/>
    <cellStyle name="Totaal 2 2 79 2 5" xfId="36213"/>
    <cellStyle name="Totaal 2 2 79 2 6" xfId="36214"/>
    <cellStyle name="Totaal 2 2 79 3" xfId="9796"/>
    <cellStyle name="Totaal 2 2 79 4" xfId="25377"/>
    <cellStyle name="Totaal 2 2 79 4 2" xfId="36215"/>
    <cellStyle name="Totaal 2 2 79 5" xfId="36216"/>
    <cellStyle name="Totaal 2 2 79 6" xfId="36217"/>
    <cellStyle name="Totaal 2 2 79 7" xfId="36218"/>
    <cellStyle name="Totaal 2 2 8" xfId="1267"/>
    <cellStyle name="Totaal 2 2 8 2" xfId="7155"/>
    <cellStyle name="Totaal 2 2 8 2 2" xfId="11487"/>
    <cellStyle name="Totaal 2 2 8 2 3" xfId="25378"/>
    <cellStyle name="Totaal 2 2 8 2 3 2" xfId="36219"/>
    <cellStyle name="Totaal 2 2 8 2 4" xfId="36220"/>
    <cellStyle name="Totaal 2 2 8 2 5" xfId="36221"/>
    <cellStyle name="Totaal 2 2 8 2 6" xfId="36222"/>
    <cellStyle name="Totaal 2 2 8 3" xfId="9797"/>
    <cellStyle name="Totaal 2 2 8 4" xfId="25379"/>
    <cellStyle name="Totaal 2 2 8 4 2" xfId="36223"/>
    <cellStyle name="Totaal 2 2 8 5" xfId="36224"/>
    <cellStyle name="Totaal 2 2 8 6" xfId="36225"/>
    <cellStyle name="Totaal 2 2 8 7" xfId="36226"/>
    <cellStyle name="Totaal 2 2 80" xfId="1268"/>
    <cellStyle name="Totaal 2 2 80 2" xfId="7156"/>
    <cellStyle name="Totaal 2 2 80 2 2" xfId="11488"/>
    <cellStyle name="Totaal 2 2 80 2 3" xfId="25380"/>
    <cellStyle name="Totaal 2 2 80 2 3 2" xfId="36227"/>
    <cellStyle name="Totaal 2 2 80 2 4" xfId="36228"/>
    <cellStyle name="Totaal 2 2 80 2 5" xfId="36229"/>
    <cellStyle name="Totaal 2 2 80 2 6" xfId="36230"/>
    <cellStyle name="Totaal 2 2 80 3" xfId="9798"/>
    <cellStyle name="Totaal 2 2 80 4" xfId="25381"/>
    <cellStyle name="Totaal 2 2 80 4 2" xfId="36231"/>
    <cellStyle name="Totaal 2 2 80 5" xfId="36232"/>
    <cellStyle name="Totaal 2 2 80 6" xfId="36233"/>
    <cellStyle name="Totaal 2 2 80 7" xfId="36234"/>
    <cellStyle name="Totaal 2 2 81" xfId="1269"/>
    <cellStyle name="Totaal 2 2 81 2" xfId="7157"/>
    <cellStyle name="Totaal 2 2 81 2 2" xfId="11489"/>
    <cellStyle name="Totaal 2 2 81 2 3" xfId="25382"/>
    <cellStyle name="Totaal 2 2 81 2 3 2" xfId="36235"/>
    <cellStyle name="Totaal 2 2 81 2 4" xfId="36236"/>
    <cellStyle name="Totaal 2 2 81 2 5" xfId="36237"/>
    <cellStyle name="Totaal 2 2 81 2 6" xfId="36238"/>
    <cellStyle name="Totaal 2 2 81 3" xfId="9799"/>
    <cellStyle name="Totaal 2 2 81 4" xfId="25383"/>
    <cellStyle name="Totaal 2 2 81 4 2" xfId="36239"/>
    <cellStyle name="Totaal 2 2 81 5" xfId="36240"/>
    <cellStyle name="Totaal 2 2 81 6" xfId="36241"/>
    <cellStyle name="Totaal 2 2 81 7" xfId="36242"/>
    <cellStyle name="Totaal 2 2 82" xfId="7158"/>
    <cellStyle name="Totaal 2 2 82 2" xfId="11410"/>
    <cellStyle name="Totaal 2 2 82 3" xfId="25384"/>
    <cellStyle name="Totaal 2 2 82 3 2" xfId="36243"/>
    <cellStyle name="Totaal 2 2 82 4" xfId="36244"/>
    <cellStyle name="Totaal 2 2 82 5" xfId="36245"/>
    <cellStyle name="Totaal 2 2 82 6" xfId="36246"/>
    <cellStyle name="Totaal 2 2 83" xfId="9720"/>
    <cellStyle name="Totaal 2 2 84" xfId="25385"/>
    <cellStyle name="Totaal 2 2 84 2" xfId="36247"/>
    <cellStyle name="Totaal 2 2 85" xfId="36248"/>
    <cellStyle name="Totaal 2 2 86" xfId="36249"/>
    <cellStyle name="Totaal 2 2 87" xfId="36250"/>
    <cellStyle name="Totaal 2 2 9" xfId="1270"/>
    <cellStyle name="Totaal 2 2 9 2" xfId="7159"/>
    <cellStyle name="Totaal 2 2 9 2 2" xfId="11490"/>
    <cellStyle name="Totaal 2 2 9 2 3" xfId="25386"/>
    <cellStyle name="Totaal 2 2 9 2 3 2" xfId="36251"/>
    <cellStyle name="Totaal 2 2 9 2 4" xfId="36252"/>
    <cellStyle name="Totaal 2 2 9 2 5" xfId="36253"/>
    <cellStyle name="Totaal 2 2 9 2 6" xfId="36254"/>
    <cellStyle name="Totaal 2 2 9 3" xfId="9800"/>
    <cellStyle name="Totaal 2 2 9 4" xfId="25387"/>
    <cellStyle name="Totaal 2 2 9 4 2" xfId="36255"/>
    <cellStyle name="Totaal 2 2 9 5" xfId="36256"/>
    <cellStyle name="Totaal 2 2 9 6" xfId="36257"/>
    <cellStyle name="Totaal 2 2 9 7" xfId="36258"/>
    <cellStyle name="Totaal 2 20" xfId="1271"/>
    <cellStyle name="Totaal 2 20 2" xfId="7160"/>
    <cellStyle name="Totaal 2 20 2 2" xfId="11491"/>
    <cellStyle name="Totaal 2 20 2 3" xfId="25388"/>
    <cellStyle name="Totaal 2 20 2 3 2" xfId="36259"/>
    <cellStyle name="Totaal 2 20 2 4" xfId="36260"/>
    <cellStyle name="Totaal 2 20 2 5" xfId="36261"/>
    <cellStyle name="Totaal 2 20 2 6" xfId="36262"/>
    <cellStyle name="Totaal 2 20 3" xfId="9801"/>
    <cellStyle name="Totaal 2 20 4" xfId="25389"/>
    <cellStyle name="Totaal 2 20 4 2" xfId="36263"/>
    <cellStyle name="Totaal 2 20 5" xfId="36264"/>
    <cellStyle name="Totaal 2 20 6" xfId="36265"/>
    <cellStyle name="Totaal 2 20 7" xfId="36266"/>
    <cellStyle name="Totaal 2 21" xfId="1272"/>
    <cellStyle name="Totaal 2 21 2" xfId="7161"/>
    <cellStyle name="Totaal 2 21 2 2" xfId="11492"/>
    <cellStyle name="Totaal 2 21 2 3" xfId="25390"/>
    <cellStyle name="Totaal 2 21 2 3 2" xfId="36267"/>
    <cellStyle name="Totaal 2 21 2 4" xfId="36268"/>
    <cellStyle name="Totaal 2 21 2 5" xfId="36269"/>
    <cellStyle name="Totaal 2 21 2 6" xfId="36270"/>
    <cellStyle name="Totaal 2 21 3" xfId="9802"/>
    <cellStyle name="Totaal 2 21 4" xfId="25391"/>
    <cellStyle name="Totaal 2 21 4 2" xfId="36271"/>
    <cellStyle name="Totaal 2 21 5" xfId="36272"/>
    <cellStyle name="Totaal 2 21 6" xfId="36273"/>
    <cellStyle name="Totaal 2 21 7" xfId="36274"/>
    <cellStyle name="Totaal 2 22" xfId="1273"/>
    <cellStyle name="Totaal 2 22 2" xfId="7162"/>
    <cellStyle name="Totaal 2 22 2 2" xfId="11493"/>
    <cellStyle name="Totaal 2 22 2 3" xfId="25392"/>
    <cellStyle name="Totaal 2 22 2 3 2" xfId="36275"/>
    <cellStyle name="Totaal 2 22 2 4" xfId="36276"/>
    <cellStyle name="Totaal 2 22 2 5" xfId="36277"/>
    <cellStyle name="Totaal 2 22 2 6" xfId="36278"/>
    <cellStyle name="Totaal 2 22 3" xfId="9803"/>
    <cellStyle name="Totaal 2 22 4" xfId="25393"/>
    <cellStyle name="Totaal 2 22 4 2" xfId="36279"/>
    <cellStyle name="Totaal 2 22 5" xfId="36280"/>
    <cellStyle name="Totaal 2 22 6" xfId="36281"/>
    <cellStyle name="Totaal 2 22 7" xfId="36282"/>
    <cellStyle name="Totaal 2 23" xfId="1274"/>
    <cellStyle name="Totaal 2 23 2" xfId="7163"/>
    <cellStyle name="Totaal 2 23 2 2" xfId="11494"/>
    <cellStyle name="Totaal 2 23 2 3" xfId="25394"/>
    <cellStyle name="Totaal 2 23 2 3 2" xfId="36283"/>
    <cellStyle name="Totaal 2 23 2 4" xfId="36284"/>
    <cellStyle name="Totaal 2 23 2 5" xfId="36285"/>
    <cellStyle name="Totaal 2 23 2 6" xfId="36286"/>
    <cellStyle name="Totaal 2 23 3" xfId="9804"/>
    <cellStyle name="Totaal 2 23 4" xfId="25395"/>
    <cellStyle name="Totaal 2 23 4 2" xfId="36287"/>
    <cellStyle name="Totaal 2 23 5" xfId="36288"/>
    <cellStyle name="Totaal 2 23 6" xfId="36289"/>
    <cellStyle name="Totaal 2 23 7" xfId="36290"/>
    <cellStyle name="Totaal 2 24" xfId="1275"/>
    <cellStyle name="Totaal 2 24 2" xfId="7164"/>
    <cellStyle name="Totaal 2 24 2 2" xfId="11495"/>
    <cellStyle name="Totaal 2 24 2 3" xfId="25396"/>
    <cellStyle name="Totaal 2 24 2 3 2" xfId="36291"/>
    <cellStyle name="Totaal 2 24 2 4" xfId="36292"/>
    <cellStyle name="Totaal 2 24 2 5" xfId="36293"/>
    <cellStyle name="Totaal 2 24 2 6" xfId="36294"/>
    <cellStyle name="Totaal 2 24 3" xfId="9805"/>
    <cellStyle name="Totaal 2 24 4" xfId="25397"/>
    <cellStyle name="Totaal 2 24 4 2" xfId="36295"/>
    <cellStyle name="Totaal 2 24 5" xfId="36296"/>
    <cellStyle name="Totaal 2 24 6" xfId="36297"/>
    <cellStyle name="Totaal 2 24 7" xfId="36298"/>
    <cellStyle name="Totaal 2 25" xfId="1276"/>
    <cellStyle name="Totaal 2 25 2" xfId="7165"/>
    <cellStyle name="Totaal 2 25 2 2" xfId="11496"/>
    <cellStyle name="Totaal 2 25 2 3" xfId="25398"/>
    <cellStyle name="Totaal 2 25 2 3 2" xfId="36299"/>
    <cellStyle name="Totaal 2 25 2 4" xfId="36300"/>
    <cellStyle name="Totaal 2 25 2 5" xfId="36301"/>
    <cellStyle name="Totaal 2 25 2 6" xfId="36302"/>
    <cellStyle name="Totaal 2 25 3" xfId="9806"/>
    <cellStyle name="Totaal 2 25 4" xfId="25399"/>
    <cellStyle name="Totaal 2 25 4 2" xfId="36303"/>
    <cellStyle name="Totaal 2 25 5" xfId="36304"/>
    <cellStyle name="Totaal 2 25 6" xfId="36305"/>
    <cellStyle name="Totaal 2 25 7" xfId="36306"/>
    <cellStyle name="Totaal 2 26" xfId="1277"/>
    <cellStyle name="Totaal 2 26 2" xfId="7166"/>
    <cellStyle name="Totaal 2 26 2 2" xfId="11497"/>
    <cellStyle name="Totaal 2 26 2 3" xfId="25400"/>
    <cellStyle name="Totaal 2 26 2 3 2" xfId="36307"/>
    <cellStyle name="Totaal 2 26 2 4" xfId="36308"/>
    <cellStyle name="Totaal 2 26 2 5" xfId="36309"/>
    <cellStyle name="Totaal 2 26 2 6" xfId="36310"/>
    <cellStyle name="Totaal 2 26 3" xfId="9807"/>
    <cellStyle name="Totaal 2 26 4" xfId="25401"/>
    <cellStyle name="Totaal 2 26 4 2" xfId="36311"/>
    <cellStyle name="Totaal 2 26 5" xfId="36312"/>
    <cellStyle name="Totaal 2 26 6" xfId="36313"/>
    <cellStyle name="Totaal 2 26 7" xfId="36314"/>
    <cellStyle name="Totaal 2 27" xfId="1278"/>
    <cellStyle name="Totaal 2 27 2" xfId="7167"/>
    <cellStyle name="Totaal 2 27 2 2" xfId="11498"/>
    <cellStyle name="Totaal 2 27 2 3" xfId="25402"/>
    <cellStyle name="Totaal 2 27 2 3 2" xfId="36315"/>
    <cellStyle name="Totaal 2 27 2 4" xfId="36316"/>
    <cellStyle name="Totaal 2 27 2 5" xfId="36317"/>
    <cellStyle name="Totaal 2 27 2 6" xfId="36318"/>
    <cellStyle name="Totaal 2 27 3" xfId="9808"/>
    <cellStyle name="Totaal 2 27 4" xfId="25403"/>
    <cellStyle name="Totaal 2 27 4 2" xfId="36319"/>
    <cellStyle name="Totaal 2 27 5" xfId="36320"/>
    <cellStyle name="Totaal 2 27 6" xfId="36321"/>
    <cellStyle name="Totaal 2 27 7" xfId="36322"/>
    <cellStyle name="Totaal 2 28" xfId="1279"/>
    <cellStyle name="Totaal 2 28 2" xfId="7168"/>
    <cellStyle name="Totaal 2 28 2 2" xfId="11499"/>
    <cellStyle name="Totaal 2 28 2 3" xfId="25404"/>
    <cellStyle name="Totaal 2 28 2 3 2" xfId="36323"/>
    <cellStyle name="Totaal 2 28 2 4" xfId="36324"/>
    <cellStyle name="Totaal 2 28 2 5" xfId="36325"/>
    <cellStyle name="Totaal 2 28 2 6" xfId="36326"/>
    <cellStyle name="Totaal 2 28 3" xfId="9809"/>
    <cellStyle name="Totaal 2 28 4" xfId="25405"/>
    <cellStyle name="Totaal 2 28 4 2" xfId="36327"/>
    <cellStyle name="Totaal 2 28 5" xfId="36328"/>
    <cellStyle name="Totaal 2 28 6" xfId="36329"/>
    <cellStyle name="Totaal 2 28 7" xfId="36330"/>
    <cellStyle name="Totaal 2 29" xfId="1280"/>
    <cellStyle name="Totaal 2 29 2" xfId="7169"/>
    <cellStyle name="Totaal 2 29 2 2" xfId="11500"/>
    <cellStyle name="Totaal 2 29 2 3" xfId="25406"/>
    <cellStyle name="Totaal 2 29 2 3 2" xfId="36331"/>
    <cellStyle name="Totaal 2 29 2 4" xfId="36332"/>
    <cellStyle name="Totaal 2 29 2 5" xfId="36333"/>
    <cellStyle name="Totaal 2 29 2 6" xfId="36334"/>
    <cellStyle name="Totaal 2 29 3" xfId="9810"/>
    <cellStyle name="Totaal 2 29 4" xfId="25407"/>
    <cellStyle name="Totaal 2 29 4 2" xfId="36335"/>
    <cellStyle name="Totaal 2 29 5" xfId="36336"/>
    <cellStyle name="Totaal 2 29 6" xfId="36337"/>
    <cellStyle name="Totaal 2 29 7" xfId="36338"/>
    <cellStyle name="Totaal 2 3" xfId="1281"/>
    <cellStyle name="Totaal 2 3 2" xfId="7170"/>
    <cellStyle name="Totaal 2 3 2 2" xfId="11501"/>
    <cellStyle name="Totaal 2 3 2 3" xfId="25408"/>
    <cellStyle name="Totaal 2 3 2 3 2" xfId="36339"/>
    <cellStyle name="Totaal 2 3 2 4" xfId="36340"/>
    <cellStyle name="Totaal 2 3 2 5" xfId="36341"/>
    <cellStyle name="Totaal 2 3 2 6" xfId="36342"/>
    <cellStyle name="Totaal 2 3 3" xfId="9811"/>
    <cellStyle name="Totaal 2 3 4" xfId="25409"/>
    <cellStyle name="Totaal 2 3 4 2" xfId="36343"/>
    <cellStyle name="Totaal 2 3 5" xfId="36344"/>
    <cellStyle name="Totaal 2 3 6" xfId="36345"/>
    <cellStyle name="Totaal 2 3 7" xfId="36346"/>
    <cellStyle name="Totaal 2 30" xfId="1282"/>
    <cellStyle name="Totaal 2 30 2" xfId="7171"/>
    <cellStyle name="Totaal 2 30 2 2" xfId="11502"/>
    <cellStyle name="Totaal 2 30 2 3" xfId="25410"/>
    <cellStyle name="Totaal 2 30 2 3 2" xfId="36347"/>
    <cellStyle name="Totaal 2 30 2 4" xfId="36348"/>
    <cellStyle name="Totaal 2 30 2 5" xfId="36349"/>
    <cellStyle name="Totaal 2 30 2 6" xfId="36350"/>
    <cellStyle name="Totaal 2 30 3" xfId="9812"/>
    <cellStyle name="Totaal 2 30 4" xfId="25411"/>
    <cellStyle name="Totaal 2 30 4 2" xfId="36351"/>
    <cellStyle name="Totaal 2 30 5" xfId="36352"/>
    <cellStyle name="Totaal 2 30 6" xfId="36353"/>
    <cellStyle name="Totaal 2 30 7" xfId="36354"/>
    <cellStyle name="Totaal 2 31" xfId="7172"/>
    <cellStyle name="Totaal 2 31 2" xfId="11399"/>
    <cellStyle name="Totaal 2 31 3" xfId="25412"/>
    <cellStyle name="Totaal 2 31 3 2" xfId="36355"/>
    <cellStyle name="Totaal 2 31 4" xfId="36356"/>
    <cellStyle name="Totaal 2 31 5" xfId="36357"/>
    <cellStyle name="Totaal 2 31 6" xfId="36358"/>
    <cellStyle name="Totaal 2 32" xfId="9709"/>
    <cellStyle name="Totaal 2 33" xfId="25413"/>
    <cellStyle name="Totaal 2 33 2" xfId="36359"/>
    <cellStyle name="Totaal 2 34" xfId="36360"/>
    <cellStyle name="Totaal 2 35" xfId="36361"/>
    <cellStyle name="Totaal 2 36" xfId="36362"/>
    <cellStyle name="Totaal 2 4" xfId="1283"/>
    <cellStyle name="Totaal 2 4 2" xfId="7173"/>
    <cellStyle name="Totaal 2 4 2 2" xfId="11503"/>
    <cellStyle name="Totaal 2 4 2 3" xfId="25414"/>
    <cellStyle name="Totaal 2 4 2 3 2" xfId="36363"/>
    <cellStyle name="Totaal 2 4 2 4" xfId="36364"/>
    <cellStyle name="Totaal 2 4 2 5" xfId="36365"/>
    <cellStyle name="Totaal 2 4 2 6" xfId="36366"/>
    <cellStyle name="Totaal 2 4 3" xfId="9813"/>
    <cellStyle name="Totaal 2 4 4" xfId="25415"/>
    <cellStyle name="Totaal 2 4 4 2" xfId="36367"/>
    <cellStyle name="Totaal 2 4 5" xfId="36368"/>
    <cellStyle name="Totaal 2 4 6" xfId="36369"/>
    <cellStyle name="Totaal 2 4 7" xfId="36370"/>
    <cellStyle name="Totaal 2 5" xfId="1284"/>
    <cellStyle name="Totaal 2 5 2" xfId="7174"/>
    <cellStyle name="Totaal 2 5 2 2" xfId="11504"/>
    <cellStyle name="Totaal 2 5 2 3" xfId="25416"/>
    <cellStyle name="Totaal 2 5 2 3 2" xfId="36371"/>
    <cellStyle name="Totaal 2 5 2 4" xfId="36372"/>
    <cellStyle name="Totaal 2 5 2 5" xfId="36373"/>
    <cellStyle name="Totaal 2 5 2 6" xfId="36374"/>
    <cellStyle name="Totaal 2 5 3" xfId="9814"/>
    <cellStyle name="Totaal 2 5 4" xfId="25417"/>
    <cellStyle name="Totaal 2 5 4 2" xfId="36375"/>
    <cellStyle name="Totaal 2 5 5" xfId="36376"/>
    <cellStyle name="Totaal 2 5 6" xfId="36377"/>
    <cellStyle name="Totaal 2 5 7" xfId="36378"/>
    <cellStyle name="Totaal 2 6" xfId="1285"/>
    <cellStyle name="Totaal 2 6 2" xfId="7175"/>
    <cellStyle name="Totaal 2 6 2 2" xfId="11505"/>
    <cellStyle name="Totaal 2 6 2 3" xfId="25418"/>
    <cellStyle name="Totaal 2 6 2 3 2" xfId="36379"/>
    <cellStyle name="Totaal 2 6 2 4" xfId="36380"/>
    <cellStyle name="Totaal 2 6 2 5" xfId="36381"/>
    <cellStyle name="Totaal 2 6 2 6" xfId="36382"/>
    <cellStyle name="Totaal 2 6 3" xfId="9815"/>
    <cellStyle name="Totaal 2 6 4" xfId="25419"/>
    <cellStyle name="Totaal 2 6 4 2" xfId="36383"/>
    <cellStyle name="Totaal 2 6 5" xfId="36384"/>
    <cellStyle name="Totaal 2 6 6" xfId="36385"/>
    <cellStyle name="Totaal 2 6 7" xfId="36386"/>
    <cellStyle name="Totaal 2 7" xfId="1286"/>
    <cellStyle name="Totaal 2 7 2" xfId="7176"/>
    <cellStyle name="Totaal 2 7 2 2" xfId="11506"/>
    <cellStyle name="Totaal 2 7 2 3" xfId="25420"/>
    <cellStyle name="Totaal 2 7 2 3 2" xfId="36387"/>
    <cellStyle name="Totaal 2 7 2 4" xfId="36388"/>
    <cellStyle name="Totaal 2 7 2 5" xfId="36389"/>
    <cellStyle name="Totaal 2 7 2 6" xfId="36390"/>
    <cellStyle name="Totaal 2 7 3" xfId="9816"/>
    <cellStyle name="Totaal 2 7 4" xfId="25421"/>
    <cellStyle name="Totaal 2 7 4 2" xfId="36391"/>
    <cellStyle name="Totaal 2 7 5" xfId="36392"/>
    <cellStyle name="Totaal 2 7 6" xfId="36393"/>
    <cellStyle name="Totaal 2 7 7" xfId="36394"/>
    <cellStyle name="Totaal 2 8" xfId="1287"/>
    <cellStyle name="Totaal 2 8 2" xfId="7177"/>
    <cellStyle name="Totaal 2 8 2 2" xfId="11507"/>
    <cellStyle name="Totaal 2 8 2 3" xfId="25422"/>
    <cellStyle name="Totaal 2 8 2 3 2" xfId="36395"/>
    <cellStyle name="Totaal 2 8 2 4" xfId="36396"/>
    <cellStyle name="Totaal 2 8 2 5" xfId="36397"/>
    <cellStyle name="Totaal 2 8 2 6" xfId="36398"/>
    <cellStyle name="Totaal 2 8 3" xfId="9817"/>
    <cellStyle name="Totaal 2 8 4" xfId="25423"/>
    <cellStyle name="Totaal 2 8 4 2" xfId="36399"/>
    <cellStyle name="Totaal 2 8 5" xfId="36400"/>
    <cellStyle name="Totaal 2 8 6" xfId="36401"/>
    <cellStyle name="Totaal 2 8 7" xfId="36402"/>
    <cellStyle name="Totaal 2 9" xfId="1288"/>
    <cellStyle name="Totaal 2 9 2" xfId="7178"/>
    <cellStyle name="Totaal 2 9 2 2" xfId="11508"/>
    <cellStyle name="Totaal 2 9 2 3" xfId="25424"/>
    <cellStyle name="Totaal 2 9 2 3 2" xfId="36403"/>
    <cellStyle name="Totaal 2 9 2 4" xfId="36404"/>
    <cellStyle name="Totaal 2 9 2 5" xfId="36405"/>
    <cellStyle name="Totaal 2 9 2 6" xfId="36406"/>
    <cellStyle name="Totaal 2 9 3" xfId="9818"/>
    <cellStyle name="Totaal 2 9 4" xfId="25425"/>
    <cellStyle name="Totaal 2 9 4 2" xfId="36407"/>
    <cellStyle name="Totaal 2 9 5" xfId="36408"/>
    <cellStyle name="Totaal 2 9 6" xfId="36409"/>
    <cellStyle name="Totaal 2 9 7" xfId="36410"/>
    <cellStyle name="Totaal 3" xfId="1289"/>
    <cellStyle name="Totaal 3 10" xfId="1290"/>
    <cellStyle name="Totaal 3 10 2" xfId="7179"/>
    <cellStyle name="Totaal 3 10 2 2" xfId="11510"/>
    <cellStyle name="Totaal 3 10 2 3" xfId="25426"/>
    <cellStyle name="Totaal 3 10 2 3 2" xfId="36411"/>
    <cellStyle name="Totaal 3 10 2 4" xfId="36412"/>
    <cellStyle name="Totaal 3 10 2 5" xfId="36413"/>
    <cellStyle name="Totaal 3 10 2 6" xfId="36414"/>
    <cellStyle name="Totaal 3 10 3" xfId="9820"/>
    <cellStyle name="Totaal 3 10 4" xfId="25427"/>
    <cellStyle name="Totaal 3 10 4 2" xfId="36415"/>
    <cellStyle name="Totaal 3 10 5" xfId="36416"/>
    <cellStyle name="Totaal 3 10 6" xfId="36417"/>
    <cellStyle name="Totaal 3 10 7" xfId="36418"/>
    <cellStyle name="Totaal 3 11" xfId="1291"/>
    <cellStyle name="Totaal 3 11 2" xfId="7180"/>
    <cellStyle name="Totaal 3 11 2 2" xfId="11511"/>
    <cellStyle name="Totaal 3 11 2 3" xfId="25428"/>
    <cellStyle name="Totaal 3 11 2 3 2" xfId="36419"/>
    <cellStyle name="Totaal 3 11 2 4" xfId="36420"/>
    <cellStyle name="Totaal 3 11 2 5" xfId="36421"/>
    <cellStyle name="Totaal 3 11 2 6" xfId="36422"/>
    <cellStyle name="Totaal 3 11 3" xfId="9821"/>
    <cellStyle name="Totaal 3 11 4" xfId="25429"/>
    <cellStyle name="Totaal 3 11 4 2" xfId="36423"/>
    <cellStyle name="Totaal 3 11 5" xfId="36424"/>
    <cellStyle name="Totaal 3 11 6" xfId="36425"/>
    <cellStyle name="Totaal 3 11 7" xfId="36426"/>
    <cellStyle name="Totaal 3 12" xfId="1292"/>
    <cellStyle name="Totaal 3 12 2" xfId="7181"/>
    <cellStyle name="Totaal 3 12 2 2" xfId="11512"/>
    <cellStyle name="Totaal 3 12 2 3" xfId="25430"/>
    <cellStyle name="Totaal 3 12 2 3 2" xfId="36427"/>
    <cellStyle name="Totaal 3 12 2 4" xfId="36428"/>
    <cellStyle name="Totaal 3 12 2 5" xfId="36429"/>
    <cellStyle name="Totaal 3 12 2 6" xfId="36430"/>
    <cellStyle name="Totaal 3 12 3" xfId="9822"/>
    <cellStyle name="Totaal 3 12 4" xfId="25431"/>
    <cellStyle name="Totaal 3 12 4 2" xfId="36431"/>
    <cellStyle name="Totaal 3 12 5" xfId="36432"/>
    <cellStyle name="Totaal 3 12 6" xfId="36433"/>
    <cellStyle name="Totaal 3 12 7" xfId="36434"/>
    <cellStyle name="Totaal 3 13" xfId="1293"/>
    <cellStyle name="Totaal 3 13 2" xfId="7182"/>
    <cellStyle name="Totaal 3 13 2 2" xfId="11513"/>
    <cellStyle name="Totaal 3 13 2 3" xfId="25432"/>
    <cellStyle name="Totaal 3 13 2 3 2" xfId="36435"/>
    <cellStyle name="Totaal 3 13 2 4" xfId="36436"/>
    <cellStyle name="Totaal 3 13 2 5" xfId="36437"/>
    <cellStyle name="Totaal 3 13 2 6" xfId="36438"/>
    <cellStyle name="Totaal 3 13 3" xfId="9823"/>
    <cellStyle name="Totaal 3 13 4" xfId="25433"/>
    <cellStyle name="Totaal 3 13 4 2" xfId="36439"/>
    <cellStyle name="Totaal 3 13 5" xfId="36440"/>
    <cellStyle name="Totaal 3 13 6" xfId="36441"/>
    <cellStyle name="Totaal 3 13 7" xfId="36442"/>
    <cellStyle name="Totaal 3 14" xfId="1294"/>
    <cellStyle name="Totaal 3 14 2" xfId="7183"/>
    <cellStyle name="Totaal 3 14 2 2" xfId="11514"/>
    <cellStyle name="Totaal 3 14 2 3" xfId="25434"/>
    <cellStyle name="Totaal 3 14 2 3 2" xfId="36443"/>
    <cellStyle name="Totaal 3 14 2 4" xfId="36444"/>
    <cellStyle name="Totaal 3 14 2 5" xfId="36445"/>
    <cellStyle name="Totaal 3 14 2 6" xfId="36446"/>
    <cellStyle name="Totaal 3 14 3" xfId="9824"/>
    <cellStyle name="Totaal 3 14 4" xfId="25435"/>
    <cellStyle name="Totaal 3 14 4 2" xfId="36447"/>
    <cellStyle name="Totaal 3 14 5" xfId="36448"/>
    <cellStyle name="Totaal 3 14 6" xfId="36449"/>
    <cellStyle name="Totaal 3 14 7" xfId="36450"/>
    <cellStyle name="Totaal 3 15" xfId="1295"/>
    <cellStyle name="Totaal 3 15 2" xfId="7184"/>
    <cellStyle name="Totaal 3 15 2 2" xfId="11515"/>
    <cellStyle name="Totaal 3 15 2 3" xfId="25436"/>
    <cellStyle name="Totaal 3 15 2 3 2" xfId="36451"/>
    <cellStyle name="Totaal 3 15 2 4" xfId="36452"/>
    <cellStyle name="Totaal 3 15 2 5" xfId="36453"/>
    <cellStyle name="Totaal 3 15 2 6" xfId="36454"/>
    <cellStyle name="Totaal 3 15 3" xfId="9825"/>
    <cellStyle name="Totaal 3 15 4" xfId="25437"/>
    <cellStyle name="Totaal 3 15 4 2" xfId="36455"/>
    <cellStyle name="Totaal 3 15 5" xfId="36456"/>
    <cellStyle name="Totaal 3 15 6" xfId="36457"/>
    <cellStyle name="Totaal 3 15 7" xfId="36458"/>
    <cellStyle name="Totaal 3 16" xfId="1296"/>
    <cellStyle name="Totaal 3 16 2" xfId="7185"/>
    <cellStyle name="Totaal 3 16 2 2" xfId="11516"/>
    <cellStyle name="Totaal 3 16 2 3" xfId="25438"/>
    <cellStyle name="Totaal 3 16 2 3 2" xfId="36459"/>
    <cellStyle name="Totaal 3 16 2 4" xfId="36460"/>
    <cellStyle name="Totaal 3 16 2 5" xfId="36461"/>
    <cellStyle name="Totaal 3 16 2 6" xfId="36462"/>
    <cellStyle name="Totaal 3 16 3" xfId="9826"/>
    <cellStyle name="Totaal 3 16 4" xfId="25439"/>
    <cellStyle name="Totaal 3 16 4 2" xfId="36463"/>
    <cellStyle name="Totaal 3 16 5" xfId="36464"/>
    <cellStyle name="Totaal 3 16 6" xfId="36465"/>
    <cellStyle name="Totaal 3 16 7" xfId="36466"/>
    <cellStyle name="Totaal 3 17" xfId="1297"/>
    <cellStyle name="Totaal 3 17 2" xfId="7186"/>
    <cellStyle name="Totaal 3 17 2 2" xfId="11517"/>
    <cellStyle name="Totaal 3 17 2 3" xfId="25440"/>
    <cellStyle name="Totaal 3 17 2 3 2" xfId="36467"/>
    <cellStyle name="Totaal 3 17 2 4" xfId="36468"/>
    <cellStyle name="Totaal 3 17 2 5" xfId="36469"/>
    <cellStyle name="Totaal 3 17 2 6" xfId="36470"/>
    <cellStyle name="Totaal 3 17 3" xfId="9827"/>
    <cellStyle name="Totaal 3 17 4" xfId="25441"/>
    <cellStyle name="Totaal 3 17 4 2" xfId="36471"/>
    <cellStyle name="Totaal 3 17 5" xfId="36472"/>
    <cellStyle name="Totaal 3 17 6" xfId="36473"/>
    <cellStyle name="Totaal 3 17 7" xfId="36474"/>
    <cellStyle name="Totaal 3 18" xfId="1298"/>
    <cellStyle name="Totaal 3 18 2" xfId="7187"/>
    <cellStyle name="Totaal 3 18 2 2" xfId="11518"/>
    <cellStyle name="Totaal 3 18 2 3" xfId="25442"/>
    <cellStyle name="Totaal 3 18 2 3 2" xfId="36475"/>
    <cellStyle name="Totaal 3 18 2 4" xfId="36476"/>
    <cellStyle name="Totaal 3 18 2 5" xfId="36477"/>
    <cellStyle name="Totaal 3 18 2 6" xfId="36478"/>
    <cellStyle name="Totaal 3 18 3" xfId="9828"/>
    <cellStyle name="Totaal 3 18 4" xfId="25443"/>
    <cellStyle name="Totaal 3 18 4 2" xfId="36479"/>
    <cellStyle name="Totaal 3 18 5" xfId="36480"/>
    <cellStyle name="Totaal 3 18 6" xfId="36481"/>
    <cellStyle name="Totaal 3 18 7" xfId="36482"/>
    <cellStyle name="Totaal 3 19" xfId="1299"/>
    <cellStyle name="Totaal 3 19 2" xfId="7188"/>
    <cellStyle name="Totaal 3 19 2 2" xfId="11519"/>
    <cellStyle name="Totaal 3 19 2 3" xfId="25444"/>
    <cellStyle name="Totaal 3 19 2 3 2" xfId="36483"/>
    <cellStyle name="Totaal 3 19 2 4" xfId="36484"/>
    <cellStyle name="Totaal 3 19 2 5" xfId="36485"/>
    <cellStyle name="Totaal 3 19 2 6" xfId="36486"/>
    <cellStyle name="Totaal 3 19 3" xfId="9829"/>
    <cellStyle name="Totaal 3 19 4" xfId="25445"/>
    <cellStyle name="Totaal 3 19 4 2" xfId="36487"/>
    <cellStyle name="Totaal 3 19 5" xfId="36488"/>
    <cellStyle name="Totaal 3 19 6" xfId="36489"/>
    <cellStyle name="Totaal 3 19 7" xfId="36490"/>
    <cellStyle name="Totaal 3 2" xfId="1300"/>
    <cellStyle name="Totaal 3 2 10" xfId="1301"/>
    <cellStyle name="Totaal 3 2 10 2" xfId="7189"/>
    <cellStyle name="Totaal 3 2 10 2 2" xfId="11521"/>
    <cellStyle name="Totaal 3 2 10 2 3" xfId="25446"/>
    <cellStyle name="Totaal 3 2 10 2 3 2" xfId="36491"/>
    <cellStyle name="Totaal 3 2 10 2 4" xfId="36492"/>
    <cellStyle name="Totaal 3 2 10 2 5" xfId="36493"/>
    <cellStyle name="Totaal 3 2 10 2 6" xfId="36494"/>
    <cellStyle name="Totaal 3 2 10 3" xfId="9831"/>
    <cellStyle name="Totaal 3 2 10 4" xfId="25447"/>
    <cellStyle name="Totaal 3 2 10 4 2" xfId="36495"/>
    <cellStyle name="Totaal 3 2 10 5" xfId="36496"/>
    <cellStyle name="Totaal 3 2 10 6" xfId="36497"/>
    <cellStyle name="Totaal 3 2 10 7" xfId="36498"/>
    <cellStyle name="Totaal 3 2 11" xfId="1302"/>
    <cellStyle name="Totaal 3 2 11 2" xfId="7190"/>
    <cellStyle name="Totaal 3 2 11 2 2" xfId="11522"/>
    <cellStyle name="Totaal 3 2 11 2 3" xfId="25448"/>
    <cellStyle name="Totaal 3 2 11 2 3 2" xfId="36499"/>
    <cellStyle name="Totaal 3 2 11 2 4" xfId="36500"/>
    <cellStyle name="Totaal 3 2 11 2 5" xfId="36501"/>
    <cellStyle name="Totaal 3 2 11 2 6" xfId="36502"/>
    <cellStyle name="Totaal 3 2 11 3" xfId="9832"/>
    <cellStyle name="Totaal 3 2 11 4" xfId="25449"/>
    <cellStyle name="Totaal 3 2 11 4 2" xfId="36503"/>
    <cellStyle name="Totaal 3 2 11 5" xfId="36504"/>
    <cellStyle name="Totaal 3 2 11 6" xfId="36505"/>
    <cellStyle name="Totaal 3 2 11 7" xfId="36506"/>
    <cellStyle name="Totaal 3 2 12" xfId="1303"/>
    <cellStyle name="Totaal 3 2 12 2" xfId="7191"/>
    <cellStyle name="Totaal 3 2 12 2 2" xfId="11523"/>
    <cellStyle name="Totaal 3 2 12 2 3" xfId="25450"/>
    <cellStyle name="Totaal 3 2 12 2 3 2" xfId="36507"/>
    <cellStyle name="Totaal 3 2 12 2 4" xfId="36508"/>
    <cellStyle name="Totaal 3 2 12 2 5" xfId="36509"/>
    <cellStyle name="Totaal 3 2 12 2 6" xfId="36510"/>
    <cellStyle name="Totaal 3 2 12 3" xfId="9833"/>
    <cellStyle name="Totaal 3 2 12 4" xfId="25451"/>
    <cellStyle name="Totaal 3 2 12 4 2" xfId="36511"/>
    <cellStyle name="Totaal 3 2 12 5" xfId="36512"/>
    <cellStyle name="Totaal 3 2 12 6" xfId="36513"/>
    <cellStyle name="Totaal 3 2 12 7" xfId="36514"/>
    <cellStyle name="Totaal 3 2 13" xfId="1304"/>
    <cellStyle name="Totaal 3 2 13 2" xfId="7192"/>
    <cellStyle name="Totaal 3 2 13 2 2" xfId="11524"/>
    <cellStyle name="Totaal 3 2 13 2 3" xfId="25452"/>
    <cellStyle name="Totaal 3 2 13 2 3 2" xfId="36515"/>
    <cellStyle name="Totaal 3 2 13 2 4" xfId="36516"/>
    <cellStyle name="Totaal 3 2 13 2 5" xfId="36517"/>
    <cellStyle name="Totaal 3 2 13 2 6" xfId="36518"/>
    <cellStyle name="Totaal 3 2 13 3" xfId="9834"/>
    <cellStyle name="Totaal 3 2 13 4" xfId="25453"/>
    <cellStyle name="Totaal 3 2 13 4 2" xfId="36519"/>
    <cellStyle name="Totaal 3 2 13 5" xfId="36520"/>
    <cellStyle name="Totaal 3 2 13 6" xfId="36521"/>
    <cellStyle name="Totaal 3 2 13 7" xfId="36522"/>
    <cellStyle name="Totaal 3 2 14" xfId="1305"/>
    <cellStyle name="Totaal 3 2 14 2" xfId="7193"/>
    <cellStyle name="Totaal 3 2 14 2 2" xfId="11525"/>
    <cellStyle name="Totaal 3 2 14 2 3" xfId="25454"/>
    <cellStyle name="Totaal 3 2 14 2 3 2" xfId="36523"/>
    <cellStyle name="Totaal 3 2 14 2 4" xfId="36524"/>
    <cellStyle name="Totaal 3 2 14 2 5" xfId="36525"/>
    <cellStyle name="Totaal 3 2 14 2 6" xfId="36526"/>
    <cellStyle name="Totaal 3 2 14 3" xfId="9835"/>
    <cellStyle name="Totaal 3 2 14 4" xfId="25455"/>
    <cellStyle name="Totaal 3 2 14 4 2" xfId="36527"/>
    <cellStyle name="Totaal 3 2 14 5" xfId="36528"/>
    <cellStyle name="Totaal 3 2 14 6" xfId="36529"/>
    <cellStyle name="Totaal 3 2 14 7" xfId="36530"/>
    <cellStyle name="Totaal 3 2 15" xfId="1306"/>
    <cellStyle name="Totaal 3 2 15 2" xfId="7194"/>
    <cellStyle name="Totaal 3 2 15 2 2" xfId="11526"/>
    <cellStyle name="Totaal 3 2 15 2 3" xfId="25456"/>
    <cellStyle name="Totaal 3 2 15 2 3 2" xfId="36531"/>
    <cellStyle name="Totaal 3 2 15 2 4" xfId="36532"/>
    <cellStyle name="Totaal 3 2 15 2 5" xfId="36533"/>
    <cellStyle name="Totaal 3 2 15 2 6" xfId="36534"/>
    <cellStyle name="Totaal 3 2 15 3" xfId="9836"/>
    <cellStyle name="Totaal 3 2 15 4" xfId="25457"/>
    <cellStyle name="Totaal 3 2 15 4 2" xfId="36535"/>
    <cellStyle name="Totaal 3 2 15 5" xfId="36536"/>
    <cellStyle name="Totaal 3 2 15 6" xfId="36537"/>
    <cellStyle name="Totaal 3 2 15 7" xfId="36538"/>
    <cellStyle name="Totaal 3 2 16" xfId="1307"/>
    <cellStyle name="Totaal 3 2 16 2" xfId="7195"/>
    <cellStyle name="Totaal 3 2 16 2 2" xfId="11527"/>
    <cellStyle name="Totaal 3 2 16 2 3" xfId="25458"/>
    <cellStyle name="Totaal 3 2 16 2 3 2" xfId="36539"/>
    <cellStyle name="Totaal 3 2 16 2 4" xfId="36540"/>
    <cellStyle name="Totaal 3 2 16 2 5" xfId="36541"/>
    <cellStyle name="Totaal 3 2 16 2 6" xfId="36542"/>
    <cellStyle name="Totaal 3 2 16 3" xfId="9837"/>
    <cellStyle name="Totaal 3 2 16 4" xfId="25459"/>
    <cellStyle name="Totaal 3 2 16 4 2" xfId="36543"/>
    <cellStyle name="Totaal 3 2 16 5" xfId="36544"/>
    <cellStyle name="Totaal 3 2 16 6" xfId="36545"/>
    <cellStyle name="Totaal 3 2 16 7" xfId="36546"/>
    <cellStyle name="Totaal 3 2 17" xfId="1308"/>
    <cellStyle name="Totaal 3 2 17 2" xfId="7196"/>
    <cellStyle name="Totaal 3 2 17 2 2" xfId="11528"/>
    <cellStyle name="Totaal 3 2 17 2 3" xfId="25460"/>
    <cellStyle name="Totaal 3 2 17 2 3 2" xfId="36547"/>
    <cellStyle name="Totaal 3 2 17 2 4" xfId="36548"/>
    <cellStyle name="Totaal 3 2 17 2 5" xfId="36549"/>
    <cellStyle name="Totaal 3 2 17 2 6" xfId="36550"/>
    <cellStyle name="Totaal 3 2 17 3" xfId="9838"/>
    <cellStyle name="Totaal 3 2 17 4" xfId="25461"/>
    <cellStyle name="Totaal 3 2 17 4 2" xfId="36551"/>
    <cellStyle name="Totaal 3 2 17 5" xfId="36552"/>
    <cellStyle name="Totaal 3 2 17 6" xfId="36553"/>
    <cellStyle name="Totaal 3 2 17 7" xfId="36554"/>
    <cellStyle name="Totaal 3 2 18" xfId="1309"/>
    <cellStyle name="Totaal 3 2 18 2" xfId="7197"/>
    <cellStyle name="Totaal 3 2 18 2 2" xfId="11529"/>
    <cellStyle name="Totaal 3 2 18 2 3" xfId="25462"/>
    <cellStyle name="Totaal 3 2 18 2 3 2" xfId="36555"/>
    <cellStyle name="Totaal 3 2 18 2 4" xfId="36556"/>
    <cellStyle name="Totaal 3 2 18 2 5" xfId="36557"/>
    <cellStyle name="Totaal 3 2 18 2 6" xfId="36558"/>
    <cellStyle name="Totaal 3 2 18 3" xfId="9839"/>
    <cellStyle name="Totaal 3 2 18 4" xfId="25463"/>
    <cellStyle name="Totaal 3 2 18 4 2" xfId="36559"/>
    <cellStyle name="Totaal 3 2 18 5" xfId="36560"/>
    <cellStyle name="Totaal 3 2 18 6" xfId="36561"/>
    <cellStyle name="Totaal 3 2 18 7" xfId="36562"/>
    <cellStyle name="Totaal 3 2 19" xfId="1310"/>
    <cellStyle name="Totaal 3 2 19 2" xfId="7198"/>
    <cellStyle name="Totaal 3 2 19 2 2" xfId="11530"/>
    <cellStyle name="Totaal 3 2 19 2 3" xfId="25464"/>
    <cellStyle name="Totaal 3 2 19 2 3 2" xfId="36563"/>
    <cellStyle name="Totaal 3 2 19 2 4" xfId="36564"/>
    <cellStyle name="Totaal 3 2 19 2 5" xfId="36565"/>
    <cellStyle name="Totaal 3 2 19 2 6" xfId="36566"/>
    <cellStyle name="Totaal 3 2 19 3" xfId="9840"/>
    <cellStyle name="Totaal 3 2 19 4" xfId="25465"/>
    <cellStyle name="Totaal 3 2 19 4 2" xfId="36567"/>
    <cellStyle name="Totaal 3 2 19 5" xfId="36568"/>
    <cellStyle name="Totaal 3 2 19 6" xfId="36569"/>
    <cellStyle name="Totaal 3 2 19 7" xfId="36570"/>
    <cellStyle name="Totaal 3 2 2" xfId="1311"/>
    <cellStyle name="Totaal 3 2 2 2" xfId="7199"/>
    <cellStyle name="Totaal 3 2 2 2 2" xfId="11531"/>
    <cellStyle name="Totaal 3 2 2 2 3" xfId="25466"/>
    <cellStyle name="Totaal 3 2 2 2 3 2" xfId="36571"/>
    <cellStyle name="Totaal 3 2 2 2 4" xfId="36572"/>
    <cellStyle name="Totaal 3 2 2 2 5" xfId="36573"/>
    <cellStyle name="Totaal 3 2 2 2 6" xfId="36574"/>
    <cellStyle name="Totaal 3 2 2 3" xfId="9841"/>
    <cellStyle name="Totaal 3 2 2 4" xfId="25467"/>
    <cellStyle name="Totaal 3 2 2 4 2" xfId="36575"/>
    <cellStyle name="Totaal 3 2 2 5" xfId="36576"/>
    <cellStyle name="Totaal 3 2 2 6" xfId="36577"/>
    <cellStyle name="Totaal 3 2 2 7" xfId="36578"/>
    <cellStyle name="Totaal 3 2 20" xfId="1312"/>
    <cellStyle name="Totaal 3 2 20 2" xfId="7200"/>
    <cellStyle name="Totaal 3 2 20 2 2" xfId="11532"/>
    <cellStyle name="Totaal 3 2 20 2 3" xfId="25468"/>
    <cellStyle name="Totaal 3 2 20 2 3 2" xfId="36579"/>
    <cellStyle name="Totaal 3 2 20 2 4" xfId="36580"/>
    <cellStyle name="Totaal 3 2 20 2 5" xfId="36581"/>
    <cellStyle name="Totaal 3 2 20 2 6" xfId="36582"/>
    <cellStyle name="Totaal 3 2 20 3" xfId="9842"/>
    <cellStyle name="Totaal 3 2 20 4" xfId="25469"/>
    <cellStyle name="Totaal 3 2 20 4 2" xfId="36583"/>
    <cellStyle name="Totaal 3 2 20 5" xfId="36584"/>
    <cellStyle name="Totaal 3 2 20 6" xfId="36585"/>
    <cellStyle name="Totaal 3 2 20 7" xfId="36586"/>
    <cellStyle name="Totaal 3 2 21" xfId="1313"/>
    <cellStyle name="Totaal 3 2 21 2" xfId="7201"/>
    <cellStyle name="Totaal 3 2 21 2 2" xfId="11533"/>
    <cellStyle name="Totaal 3 2 21 2 3" xfId="25470"/>
    <cellStyle name="Totaal 3 2 21 2 3 2" xfId="36587"/>
    <cellStyle name="Totaal 3 2 21 2 4" xfId="36588"/>
    <cellStyle name="Totaal 3 2 21 2 5" xfId="36589"/>
    <cellStyle name="Totaal 3 2 21 2 6" xfId="36590"/>
    <cellStyle name="Totaal 3 2 21 3" xfId="9843"/>
    <cellStyle name="Totaal 3 2 21 4" xfId="25471"/>
    <cellStyle name="Totaal 3 2 21 4 2" xfId="36591"/>
    <cellStyle name="Totaal 3 2 21 5" xfId="36592"/>
    <cellStyle name="Totaal 3 2 21 6" xfId="36593"/>
    <cellStyle name="Totaal 3 2 21 7" xfId="36594"/>
    <cellStyle name="Totaal 3 2 22" xfId="1314"/>
    <cellStyle name="Totaal 3 2 22 2" xfId="7202"/>
    <cellStyle name="Totaal 3 2 22 2 2" xfId="11534"/>
    <cellStyle name="Totaal 3 2 22 2 3" xfId="25472"/>
    <cellStyle name="Totaal 3 2 22 2 3 2" xfId="36595"/>
    <cellStyle name="Totaal 3 2 22 2 4" xfId="36596"/>
    <cellStyle name="Totaal 3 2 22 2 5" xfId="36597"/>
    <cellStyle name="Totaal 3 2 22 2 6" xfId="36598"/>
    <cellStyle name="Totaal 3 2 22 3" xfId="9844"/>
    <cellStyle name="Totaal 3 2 22 4" xfId="25473"/>
    <cellStyle name="Totaal 3 2 22 4 2" xfId="36599"/>
    <cellStyle name="Totaal 3 2 22 5" xfId="36600"/>
    <cellStyle name="Totaal 3 2 22 6" xfId="36601"/>
    <cellStyle name="Totaal 3 2 22 7" xfId="36602"/>
    <cellStyle name="Totaal 3 2 23" xfId="1315"/>
    <cellStyle name="Totaal 3 2 23 2" xfId="7203"/>
    <cellStyle name="Totaal 3 2 23 2 2" xfId="11535"/>
    <cellStyle name="Totaal 3 2 23 2 3" xfId="25474"/>
    <cellStyle name="Totaal 3 2 23 2 3 2" xfId="36603"/>
    <cellStyle name="Totaal 3 2 23 2 4" xfId="36604"/>
    <cellStyle name="Totaal 3 2 23 2 5" xfId="36605"/>
    <cellStyle name="Totaal 3 2 23 2 6" xfId="36606"/>
    <cellStyle name="Totaal 3 2 23 3" xfId="9845"/>
    <cellStyle name="Totaal 3 2 23 4" xfId="25475"/>
    <cellStyle name="Totaal 3 2 23 4 2" xfId="36607"/>
    <cellStyle name="Totaal 3 2 23 5" xfId="36608"/>
    <cellStyle name="Totaal 3 2 23 6" xfId="36609"/>
    <cellStyle name="Totaal 3 2 23 7" xfId="36610"/>
    <cellStyle name="Totaal 3 2 24" xfId="1316"/>
    <cellStyle name="Totaal 3 2 24 2" xfId="7204"/>
    <cellStyle name="Totaal 3 2 24 2 2" xfId="11536"/>
    <cellStyle name="Totaal 3 2 24 2 3" xfId="25476"/>
    <cellStyle name="Totaal 3 2 24 2 3 2" xfId="36611"/>
    <cellStyle name="Totaal 3 2 24 2 4" xfId="36612"/>
    <cellStyle name="Totaal 3 2 24 2 5" xfId="36613"/>
    <cellStyle name="Totaal 3 2 24 2 6" xfId="36614"/>
    <cellStyle name="Totaal 3 2 24 3" xfId="9846"/>
    <cellStyle name="Totaal 3 2 24 4" xfId="25477"/>
    <cellStyle name="Totaal 3 2 24 4 2" xfId="36615"/>
    <cellStyle name="Totaal 3 2 24 5" xfId="36616"/>
    <cellStyle name="Totaal 3 2 24 6" xfId="36617"/>
    <cellStyle name="Totaal 3 2 24 7" xfId="36618"/>
    <cellStyle name="Totaal 3 2 25" xfId="1317"/>
    <cellStyle name="Totaal 3 2 25 2" xfId="7205"/>
    <cellStyle name="Totaal 3 2 25 2 2" xfId="11537"/>
    <cellStyle name="Totaal 3 2 25 2 3" xfId="25478"/>
    <cellStyle name="Totaal 3 2 25 2 3 2" xfId="36619"/>
    <cellStyle name="Totaal 3 2 25 2 4" xfId="36620"/>
    <cellStyle name="Totaal 3 2 25 2 5" xfId="36621"/>
    <cellStyle name="Totaal 3 2 25 2 6" xfId="36622"/>
    <cellStyle name="Totaal 3 2 25 3" xfId="9847"/>
    <cellStyle name="Totaal 3 2 25 4" xfId="25479"/>
    <cellStyle name="Totaal 3 2 25 4 2" xfId="36623"/>
    <cellStyle name="Totaal 3 2 25 5" xfId="36624"/>
    <cellStyle name="Totaal 3 2 25 6" xfId="36625"/>
    <cellStyle name="Totaal 3 2 25 7" xfId="36626"/>
    <cellStyle name="Totaal 3 2 26" xfId="1318"/>
    <cellStyle name="Totaal 3 2 26 2" xfId="7206"/>
    <cellStyle name="Totaal 3 2 26 2 2" xfId="11538"/>
    <cellStyle name="Totaal 3 2 26 2 3" xfId="25480"/>
    <cellStyle name="Totaal 3 2 26 2 3 2" xfId="36627"/>
    <cellStyle name="Totaal 3 2 26 2 4" xfId="36628"/>
    <cellStyle name="Totaal 3 2 26 2 5" xfId="36629"/>
    <cellStyle name="Totaal 3 2 26 2 6" xfId="36630"/>
    <cellStyle name="Totaal 3 2 26 3" xfId="9848"/>
    <cellStyle name="Totaal 3 2 26 4" xfId="25481"/>
    <cellStyle name="Totaal 3 2 26 4 2" xfId="36631"/>
    <cellStyle name="Totaal 3 2 26 5" xfId="36632"/>
    <cellStyle name="Totaal 3 2 26 6" xfId="36633"/>
    <cellStyle name="Totaal 3 2 26 7" xfId="36634"/>
    <cellStyle name="Totaal 3 2 27" xfId="1319"/>
    <cellStyle name="Totaal 3 2 27 2" xfId="7207"/>
    <cellStyle name="Totaal 3 2 27 2 2" xfId="11539"/>
    <cellStyle name="Totaal 3 2 27 2 3" xfId="25482"/>
    <cellStyle name="Totaal 3 2 27 2 3 2" xfId="36635"/>
    <cellStyle name="Totaal 3 2 27 2 4" xfId="36636"/>
    <cellStyle name="Totaal 3 2 27 2 5" xfId="36637"/>
    <cellStyle name="Totaal 3 2 27 2 6" xfId="36638"/>
    <cellStyle name="Totaal 3 2 27 3" xfId="9849"/>
    <cellStyle name="Totaal 3 2 27 4" xfId="25483"/>
    <cellStyle name="Totaal 3 2 27 4 2" xfId="36639"/>
    <cellStyle name="Totaal 3 2 27 5" xfId="36640"/>
    <cellStyle name="Totaal 3 2 27 6" xfId="36641"/>
    <cellStyle name="Totaal 3 2 27 7" xfId="36642"/>
    <cellStyle name="Totaal 3 2 28" xfId="1320"/>
    <cellStyle name="Totaal 3 2 28 2" xfId="7208"/>
    <cellStyle name="Totaal 3 2 28 2 2" xfId="11540"/>
    <cellStyle name="Totaal 3 2 28 2 3" xfId="25484"/>
    <cellStyle name="Totaal 3 2 28 2 3 2" xfId="36643"/>
    <cellStyle name="Totaal 3 2 28 2 4" xfId="36644"/>
    <cellStyle name="Totaal 3 2 28 2 5" xfId="36645"/>
    <cellStyle name="Totaal 3 2 28 2 6" xfId="36646"/>
    <cellStyle name="Totaal 3 2 28 3" xfId="9850"/>
    <cellStyle name="Totaal 3 2 28 4" xfId="25485"/>
    <cellStyle name="Totaal 3 2 28 4 2" xfId="36647"/>
    <cellStyle name="Totaal 3 2 28 5" xfId="36648"/>
    <cellStyle name="Totaal 3 2 28 6" xfId="36649"/>
    <cellStyle name="Totaal 3 2 28 7" xfId="36650"/>
    <cellStyle name="Totaal 3 2 29" xfId="1321"/>
    <cellStyle name="Totaal 3 2 29 2" xfId="7209"/>
    <cellStyle name="Totaal 3 2 29 2 2" xfId="11541"/>
    <cellStyle name="Totaal 3 2 29 2 3" xfId="25486"/>
    <cellStyle name="Totaal 3 2 29 2 3 2" xfId="36651"/>
    <cellStyle name="Totaal 3 2 29 2 4" xfId="36652"/>
    <cellStyle name="Totaal 3 2 29 2 5" xfId="36653"/>
    <cellStyle name="Totaal 3 2 29 2 6" xfId="36654"/>
    <cellStyle name="Totaal 3 2 29 3" xfId="9851"/>
    <cellStyle name="Totaal 3 2 29 4" xfId="25487"/>
    <cellStyle name="Totaal 3 2 29 4 2" xfId="36655"/>
    <cellStyle name="Totaal 3 2 29 5" xfId="36656"/>
    <cellStyle name="Totaal 3 2 29 6" xfId="36657"/>
    <cellStyle name="Totaal 3 2 29 7" xfId="36658"/>
    <cellStyle name="Totaal 3 2 3" xfId="1322"/>
    <cellStyle name="Totaal 3 2 3 2" xfId="7210"/>
    <cellStyle name="Totaal 3 2 3 2 2" xfId="11542"/>
    <cellStyle name="Totaal 3 2 3 2 3" xfId="25488"/>
    <cellStyle name="Totaal 3 2 3 2 3 2" xfId="36659"/>
    <cellStyle name="Totaal 3 2 3 2 4" xfId="36660"/>
    <cellStyle name="Totaal 3 2 3 2 5" xfId="36661"/>
    <cellStyle name="Totaal 3 2 3 2 6" xfId="36662"/>
    <cellStyle name="Totaal 3 2 3 3" xfId="9852"/>
    <cellStyle name="Totaal 3 2 3 4" xfId="25489"/>
    <cellStyle name="Totaal 3 2 3 4 2" xfId="36663"/>
    <cellStyle name="Totaal 3 2 3 5" xfId="36664"/>
    <cellStyle name="Totaal 3 2 3 6" xfId="36665"/>
    <cellStyle name="Totaal 3 2 3 7" xfId="36666"/>
    <cellStyle name="Totaal 3 2 30" xfId="1323"/>
    <cellStyle name="Totaal 3 2 30 2" xfId="7211"/>
    <cellStyle name="Totaal 3 2 30 2 2" xfId="11543"/>
    <cellStyle name="Totaal 3 2 30 2 3" xfId="25490"/>
    <cellStyle name="Totaal 3 2 30 2 3 2" xfId="36667"/>
    <cellStyle name="Totaal 3 2 30 2 4" xfId="36668"/>
    <cellStyle name="Totaal 3 2 30 2 5" xfId="36669"/>
    <cellStyle name="Totaal 3 2 30 2 6" xfId="36670"/>
    <cellStyle name="Totaal 3 2 30 3" xfId="9853"/>
    <cellStyle name="Totaal 3 2 30 4" xfId="25491"/>
    <cellStyle name="Totaal 3 2 30 4 2" xfId="36671"/>
    <cellStyle name="Totaal 3 2 30 5" xfId="36672"/>
    <cellStyle name="Totaal 3 2 30 6" xfId="36673"/>
    <cellStyle name="Totaal 3 2 30 7" xfId="36674"/>
    <cellStyle name="Totaal 3 2 31" xfId="1324"/>
    <cellStyle name="Totaal 3 2 31 2" xfId="7212"/>
    <cellStyle name="Totaal 3 2 31 2 2" xfId="11544"/>
    <cellStyle name="Totaal 3 2 31 2 3" xfId="25492"/>
    <cellStyle name="Totaal 3 2 31 2 3 2" xfId="36675"/>
    <cellStyle name="Totaal 3 2 31 2 4" xfId="36676"/>
    <cellStyle name="Totaal 3 2 31 2 5" xfId="36677"/>
    <cellStyle name="Totaal 3 2 31 2 6" xfId="36678"/>
    <cellStyle name="Totaal 3 2 31 3" xfId="9854"/>
    <cellStyle name="Totaal 3 2 31 4" xfId="25493"/>
    <cellStyle name="Totaal 3 2 31 4 2" xfId="36679"/>
    <cellStyle name="Totaal 3 2 31 5" xfId="36680"/>
    <cellStyle name="Totaal 3 2 31 6" xfId="36681"/>
    <cellStyle name="Totaal 3 2 31 7" xfId="36682"/>
    <cellStyle name="Totaal 3 2 32" xfId="1325"/>
    <cellStyle name="Totaal 3 2 32 2" xfId="7213"/>
    <cellStyle name="Totaal 3 2 32 2 2" xfId="11545"/>
    <cellStyle name="Totaal 3 2 32 2 3" xfId="25494"/>
    <cellStyle name="Totaal 3 2 32 2 3 2" xfId="36683"/>
    <cellStyle name="Totaal 3 2 32 2 4" xfId="36684"/>
    <cellStyle name="Totaal 3 2 32 2 5" xfId="36685"/>
    <cellStyle name="Totaal 3 2 32 2 6" xfId="36686"/>
    <cellStyle name="Totaal 3 2 32 3" xfId="9855"/>
    <cellStyle name="Totaal 3 2 32 4" xfId="25495"/>
    <cellStyle name="Totaal 3 2 32 4 2" xfId="36687"/>
    <cellStyle name="Totaal 3 2 32 5" xfId="36688"/>
    <cellStyle name="Totaal 3 2 32 6" xfId="36689"/>
    <cellStyle name="Totaal 3 2 32 7" xfId="36690"/>
    <cellStyle name="Totaal 3 2 33" xfId="1326"/>
    <cellStyle name="Totaal 3 2 33 2" xfId="7214"/>
    <cellStyle name="Totaal 3 2 33 2 2" xfId="11546"/>
    <cellStyle name="Totaal 3 2 33 2 3" xfId="25496"/>
    <cellStyle name="Totaal 3 2 33 2 3 2" xfId="36691"/>
    <cellStyle name="Totaal 3 2 33 2 4" xfId="36692"/>
    <cellStyle name="Totaal 3 2 33 2 5" xfId="36693"/>
    <cellStyle name="Totaal 3 2 33 2 6" xfId="36694"/>
    <cellStyle name="Totaal 3 2 33 3" xfId="9856"/>
    <cellStyle name="Totaal 3 2 33 4" xfId="25497"/>
    <cellStyle name="Totaal 3 2 33 4 2" xfId="36695"/>
    <cellStyle name="Totaal 3 2 33 5" xfId="36696"/>
    <cellStyle name="Totaal 3 2 33 6" xfId="36697"/>
    <cellStyle name="Totaal 3 2 33 7" xfId="36698"/>
    <cellStyle name="Totaal 3 2 34" xfId="1327"/>
    <cellStyle name="Totaal 3 2 34 2" xfId="7215"/>
    <cellStyle name="Totaal 3 2 34 2 2" xfId="11547"/>
    <cellStyle name="Totaal 3 2 34 2 3" xfId="25498"/>
    <cellStyle name="Totaal 3 2 34 2 3 2" xfId="36699"/>
    <cellStyle name="Totaal 3 2 34 2 4" xfId="36700"/>
    <cellStyle name="Totaal 3 2 34 2 5" xfId="36701"/>
    <cellStyle name="Totaal 3 2 34 2 6" xfId="36702"/>
    <cellStyle name="Totaal 3 2 34 3" xfId="9857"/>
    <cellStyle name="Totaal 3 2 34 4" xfId="25499"/>
    <cellStyle name="Totaal 3 2 34 4 2" xfId="36703"/>
    <cellStyle name="Totaal 3 2 34 5" xfId="36704"/>
    <cellStyle name="Totaal 3 2 34 6" xfId="36705"/>
    <cellStyle name="Totaal 3 2 34 7" xfId="36706"/>
    <cellStyle name="Totaal 3 2 35" xfId="1328"/>
    <cellStyle name="Totaal 3 2 35 2" xfId="7216"/>
    <cellStyle name="Totaal 3 2 35 2 2" xfId="11548"/>
    <cellStyle name="Totaal 3 2 35 2 3" xfId="25500"/>
    <cellStyle name="Totaal 3 2 35 2 3 2" xfId="36707"/>
    <cellStyle name="Totaal 3 2 35 2 4" xfId="36708"/>
    <cellStyle name="Totaal 3 2 35 2 5" xfId="36709"/>
    <cellStyle name="Totaal 3 2 35 2 6" xfId="36710"/>
    <cellStyle name="Totaal 3 2 35 3" xfId="9858"/>
    <cellStyle name="Totaal 3 2 35 4" xfId="25501"/>
    <cellStyle name="Totaal 3 2 35 4 2" xfId="36711"/>
    <cellStyle name="Totaal 3 2 35 5" xfId="36712"/>
    <cellStyle name="Totaal 3 2 35 6" xfId="36713"/>
    <cellStyle name="Totaal 3 2 35 7" xfId="36714"/>
    <cellStyle name="Totaal 3 2 36" xfId="1329"/>
    <cellStyle name="Totaal 3 2 36 2" xfId="7217"/>
    <cellStyle name="Totaal 3 2 36 2 2" xfId="11549"/>
    <cellStyle name="Totaal 3 2 36 2 3" xfId="25502"/>
    <cellStyle name="Totaal 3 2 36 2 3 2" xfId="36715"/>
    <cellStyle name="Totaal 3 2 36 2 4" xfId="36716"/>
    <cellStyle name="Totaal 3 2 36 2 5" xfId="36717"/>
    <cellStyle name="Totaal 3 2 36 2 6" xfId="36718"/>
    <cellStyle name="Totaal 3 2 36 3" xfId="9859"/>
    <cellStyle name="Totaal 3 2 36 4" xfId="25503"/>
    <cellStyle name="Totaal 3 2 36 4 2" xfId="36719"/>
    <cellStyle name="Totaal 3 2 36 5" xfId="36720"/>
    <cellStyle name="Totaal 3 2 36 6" xfId="36721"/>
    <cellStyle name="Totaal 3 2 36 7" xfId="36722"/>
    <cellStyle name="Totaal 3 2 37" xfId="1330"/>
    <cellStyle name="Totaal 3 2 37 2" xfId="7218"/>
    <cellStyle name="Totaal 3 2 37 2 2" xfId="11550"/>
    <cellStyle name="Totaal 3 2 37 2 3" xfId="25504"/>
    <cellStyle name="Totaal 3 2 37 2 3 2" xfId="36723"/>
    <cellStyle name="Totaal 3 2 37 2 4" xfId="36724"/>
    <cellStyle name="Totaal 3 2 37 2 5" xfId="36725"/>
    <cellStyle name="Totaal 3 2 37 2 6" xfId="36726"/>
    <cellStyle name="Totaal 3 2 37 3" xfId="9860"/>
    <cellStyle name="Totaal 3 2 37 4" xfId="25505"/>
    <cellStyle name="Totaal 3 2 37 4 2" xfId="36727"/>
    <cellStyle name="Totaal 3 2 37 5" xfId="36728"/>
    <cellStyle name="Totaal 3 2 37 6" xfId="36729"/>
    <cellStyle name="Totaal 3 2 37 7" xfId="36730"/>
    <cellStyle name="Totaal 3 2 38" xfId="1331"/>
    <cellStyle name="Totaal 3 2 38 2" xfId="7219"/>
    <cellStyle name="Totaal 3 2 38 2 2" xfId="11551"/>
    <cellStyle name="Totaal 3 2 38 2 3" xfId="25506"/>
    <cellStyle name="Totaal 3 2 38 2 3 2" xfId="36731"/>
    <cellStyle name="Totaal 3 2 38 2 4" xfId="36732"/>
    <cellStyle name="Totaal 3 2 38 2 5" xfId="36733"/>
    <cellStyle name="Totaal 3 2 38 2 6" xfId="36734"/>
    <cellStyle name="Totaal 3 2 38 3" xfId="9861"/>
    <cellStyle name="Totaal 3 2 38 4" xfId="25507"/>
    <cellStyle name="Totaal 3 2 38 4 2" xfId="36735"/>
    <cellStyle name="Totaal 3 2 38 5" xfId="36736"/>
    <cellStyle name="Totaal 3 2 38 6" xfId="36737"/>
    <cellStyle name="Totaal 3 2 38 7" xfId="36738"/>
    <cellStyle name="Totaal 3 2 39" xfId="1332"/>
    <cellStyle name="Totaal 3 2 39 2" xfId="7220"/>
    <cellStyle name="Totaal 3 2 39 2 2" xfId="11552"/>
    <cellStyle name="Totaal 3 2 39 2 3" xfId="25508"/>
    <cellStyle name="Totaal 3 2 39 2 3 2" xfId="36739"/>
    <cellStyle name="Totaal 3 2 39 2 4" xfId="36740"/>
    <cellStyle name="Totaal 3 2 39 2 5" xfId="36741"/>
    <cellStyle name="Totaal 3 2 39 2 6" xfId="36742"/>
    <cellStyle name="Totaal 3 2 39 3" xfId="9862"/>
    <cellStyle name="Totaal 3 2 39 4" xfId="25509"/>
    <cellStyle name="Totaal 3 2 39 4 2" xfId="36743"/>
    <cellStyle name="Totaal 3 2 39 5" xfId="36744"/>
    <cellStyle name="Totaal 3 2 39 6" xfId="36745"/>
    <cellStyle name="Totaal 3 2 39 7" xfId="36746"/>
    <cellStyle name="Totaal 3 2 4" xfId="1333"/>
    <cellStyle name="Totaal 3 2 4 2" xfId="7221"/>
    <cellStyle name="Totaal 3 2 4 2 2" xfId="11553"/>
    <cellStyle name="Totaal 3 2 4 2 3" xfId="25510"/>
    <cellStyle name="Totaal 3 2 4 2 3 2" xfId="36747"/>
    <cellStyle name="Totaal 3 2 4 2 4" xfId="36748"/>
    <cellStyle name="Totaal 3 2 4 2 5" xfId="36749"/>
    <cellStyle name="Totaal 3 2 4 2 6" xfId="36750"/>
    <cellStyle name="Totaal 3 2 4 3" xfId="9863"/>
    <cellStyle name="Totaal 3 2 4 4" xfId="25511"/>
    <cellStyle name="Totaal 3 2 4 4 2" xfId="36751"/>
    <cellStyle name="Totaal 3 2 4 5" xfId="36752"/>
    <cellStyle name="Totaal 3 2 4 6" xfId="36753"/>
    <cellStyle name="Totaal 3 2 4 7" xfId="36754"/>
    <cellStyle name="Totaal 3 2 40" xfId="1334"/>
    <cellStyle name="Totaal 3 2 40 2" xfId="7222"/>
    <cellStyle name="Totaal 3 2 40 2 2" xfId="11554"/>
    <cellStyle name="Totaal 3 2 40 2 3" xfId="25512"/>
    <cellStyle name="Totaal 3 2 40 2 3 2" xfId="36755"/>
    <cellStyle name="Totaal 3 2 40 2 4" xfId="36756"/>
    <cellStyle name="Totaal 3 2 40 2 5" xfId="36757"/>
    <cellStyle name="Totaal 3 2 40 2 6" xfId="36758"/>
    <cellStyle name="Totaal 3 2 40 3" xfId="9864"/>
    <cellStyle name="Totaal 3 2 40 4" xfId="25513"/>
    <cellStyle name="Totaal 3 2 40 4 2" xfId="36759"/>
    <cellStyle name="Totaal 3 2 40 5" xfId="36760"/>
    <cellStyle name="Totaal 3 2 40 6" xfId="36761"/>
    <cellStyle name="Totaal 3 2 40 7" xfId="36762"/>
    <cellStyle name="Totaal 3 2 41" xfId="1335"/>
    <cellStyle name="Totaal 3 2 41 2" xfId="7223"/>
    <cellStyle name="Totaal 3 2 41 2 2" xfId="11555"/>
    <cellStyle name="Totaal 3 2 41 2 3" xfId="25514"/>
    <cellStyle name="Totaal 3 2 41 2 3 2" xfId="36763"/>
    <cellStyle name="Totaal 3 2 41 2 4" xfId="36764"/>
    <cellStyle name="Totaal 3 2 41 2 5" xfId="36765"/>
    <cellStyle name="Totaal 3 2 41 2 6" xfId="36766"/>
    <cellStyle name="Totaal 3 2 41 3" xfId="9865"/>
    <cellStyle name="Totaal 3 2 41 4" xfId="25515"/>
    <cellStyle name="Totaal 3 2 41 4 2" xfId="36767"/>
    <cellStyle name="Totaal 3 2 41 5" xfId="36768"/>
    <cellStyle name="Totaal 3 2 41 6" xfId="36769"/>
    <cellStyle name="Totaal 3 2 41 7" xfId="36770"/>
    <cellStyle name="Totaal 3 2 42" xfId="1336"/>
    <cellStyle name="Totaal 3 2 42 2" xfId="7224"/>
    <cellStyle name="Totaal 3 2 42 2 2" xfId="11556"/>
    <cellStyle name="Totaal 3 2 42 2 3" xfId="25516"/>
    <cellStyle name="Totaal 3 2 42 2 3 2" xfId="36771"/>
    <cellStyle name="Totaal 3 2 42 2 4" xfId="36772"/>
    <cellStyle name="Totaal 3 2 42 2 5" xfId="36773"/>
    <cellStyle name="Totaal 3 2 42 2 6" xfId="36774"/>
    <cellStyle name="Totaal 3 2 42 3" xfId="9866"/>
    <cellStyle name="Totaal 3 2 42 4" xfId="25517"/>
    <cellStyle name="Totaal 3 2 42 4 2" xfId="36775"/>
    <cellStyle name="Totaal 3 2 42 5" xfId="36776"/>
    <cellStyle name="Totaal 3 2 42 6" xfId="36777"/>
    <cellStyle name="Totaal 3 2 42 7" xfId="36778"/>
    <cellStyle name="Totaal 3 2 43" xfId="1337"/>
    <cellStyle name="Totaal 3 2 43 2" xfId="7225"/>
    <cellStyle name="Totaal 3 2 43 2 2" xfId="11557"/>
    <cellStyle name="Totaal 3 2 43 2 3" xfId="25518"/>
    <cellStyle name="Totaal 3 2 43 2 3 2" xfId="36779"/>
    <cellStyle name="Totaal 3 2 43 2 4" xfId="36780"/>
    <cellStyle name="Totaal 3 2 43 2 5" xfId="36781"/>
    <cellStyle name="Totaal 3 2 43 2 6" xfId="36782"/>
    <cellStyle name="Totaal 3 2 43 3" xfId="9867"/>
    <cellStyle name="Totaal 3 2 43 4" xfId="25519"/>
    <cellStyle name="Totaal 3 2 43 4 2" xfId="36783"/>
    <cellStyle name="Totaal 3 2 43 5" xfId="36784"/>
    <cellStyle name="Totaal 3 2 43 6" xfId="36785"/>
    <cellStyle name="Totaal 3 2 43 7" xfId="36786"/>
    <cellStyle name="Totaal 3 2 44" xfId="1338"/>
    <cellStyle name="Totaal 3 2 44 2" xfId="7226"/>
    <cellStyle name="Totaal 3 2 44 2 2" xfId="11558"/>
    <cellStyle name="Totaal 3 2 44 2 3" xfId="25520"/>
    <cellStyle name="Totaal 3 2 44 2 3 2" xfId="36787"/>
    <cellStyle name="Totaal 3 2 44 2 4" xfId="36788"/>
    <cellStyle name="Totaal 3 2 44 2 5" xfId="36789"/>
    <cellStyle name="Totaal 3 2 44 2 6" xfId="36790"/>
    <cellStyle name="Totaal 3 2 44 3" xfId="9868"/>
    <cellStyle name="Totaal 3 2 44 4" xfId="25521"/>
    <cellStyle name="Totaal 3 2 44 4 2" xfId="36791"/>
    <cellStyle name="Totaal 3 2 44 5" xfId="36792"/>
    <cellStyle name="Totaal 3 2 44 6" xfId="36793"/>
    <cellStyle name="Totaal 3 2 44 7" xfId="36794"/>
    <cellStyle name="Totaal 3 2 45" xfId="1339"/>
    <cellStyle name="Totaal 3 2 45 2" xfId="7227"/>
    <cellStyle name="Totaal 3 2 45 2 2" xfId="11559"/>
    <cellStyle name="Totaal 3 2 45 2 3" xfId="25522"/>
    <cellStyle name="Totaal 3 2 45 2 3 2" xfId="36795"/>
    <cellStyle name="Totaal 3 2 45 2 4" xfId="36796"/>
    <cellStyle name="Totaal 3 2 45 2 5" xfId="36797"/>
    <cellStyle name="Totaal 3 2 45 2 6" xfId="36798"/>
    <cellStyle name="Totaal 3 2 45 3" xfId="9869"/>
    <cellStyle name="Totaal 3 2 45 4" xfId="25523"/>
    <cellStyle name="Totaal 3 2 45 4 2" xfId="36799"/>
    <cellStyle name="Totaal 3 2 45 5" xfId="36800"/>
    <cellStyle name="Totaal 3 2 45 6" xfId="36801"/>
    <cellStyle name="Totaal 3 2 45 7" xfId="36802"/>
    <cellStyle name="Totaal 3 2 46" xfId="1340"/>
    <cellStyle name="Totaal 3 2 46 2" xfId="7228"/>
    <cellStyle name="Totaal 3 2 46 2 2" xfId="11560"/>
    <cellStyle name="Totaal 3 2 46 2 3" xfId="25524"/>
    <cellStyle name="Totaal 3 2 46 2 3 2" xfId="36803"/>
    <cellStyle name="Totaal 3 2 46 2 4" xfId="36804"/>
    <cellStyle name="Totaal 3 2 46 2 5" xfId="36805"/>
    <cellStyle name="Totaal 3 2 46 2 6" xfId="36806"/>
    <cellStyle name="Totaal 3 2 46 3" xfId="9870"/>
    <cellStyle name="Totaal 3 2 46 4" xfId="25525"/>
    <cellStyle name="Totaal 3 2 46 4 2" xfId="36807"/>
    <cellStyle name="Totaal 3 2 46 5" xfId="36808"/>
    <cellStyle name="Totaal 3 2 46 6" xfId="36809"/>
    <cellStyle name="Totaal 3 2 46 7" xfId="36810"/>
    <cellStyle name="Totaal 3 2 47" xfId="1341"/>
    <cellStyle name="Totaal 3 2 47 2" xfId="7229"/>
    <cellStyle name="Totaal 3 2 47 2 2" xfId="11561"/>
    <cellStyle name="Totaal 3 2 47 2 3" xfId="25526"/>
    <cellStyle name="Totaal 3 2 47 2 3 2" xfId="36811"/>
    <cellStyle name="Totaal 3 2 47 2 4" xfId="36812"/>
    <cellStyle name="Totaal 3 2 47 2 5" xfId="36813"/>
    <cellStyle name="Totaal 3 2 47 2 6" xfId="36814"/>
    <cellStyle name="Totaal 3 2 47 3" xfId="9871"/>
    <cellStyle name="Totaal 3 2 47 4" xfId="25527"/>
    <cellStyle name="Totaal 3 2 47 4 2" xfId="36815"/>
    <cellStyle name="Totaal 3 2 47 5" xfId="36816"/>
    <cellStyle name="Totaal 3 2 47 6" xfId="36817"/>
    <cellStyle name="Totaal 3 2 47 7" xfId="36818"/>
    <cellStyle name="Totaal 3 2 48" xfId="1342"/>
    <cellStyle name="Totaal 3 2 48 2" xfId="7230"/>
    <cellStyle name="Totaal 3 2 48 2 2" xfId="11562"/>
    <cellStyle name="Totaal 3 2 48 2 3" xfId="25528"/>
    <cellStyle name="Totaal 3 2 48 2 3 2" xfId="36819"/>
    <cellStyle name="Totaal 3 2 48 2 4" xfId="36820"/>
    <cellStyle name="Totaal 3 2 48 2 5" xfId="36821"/>
    <cellStyle name="Totaal 3 2 48 2 6" xfId="36822"/>
    <cellStyle name="Totaal 3 2 48 3" xfId="9872"/>
    <cellStyle name="Totaal 3 2 48 4" xfId="25529"/>
    <cellStyle name="Totaal 3 2 48 4 2" xfId="36823"/>
    <cellStyle name="Totaal 3 2 48 5" xfId="36824"/>
    <cellStyle name="Totaal 3 2 48 6" xfId="36825"/>
    <cellStyle name="Totaal 3 2 48 7" xfId="36826"/>
    <cellStyle name="Totaal 3 2 49" xfId="1343"/>
    <cellStyle name="Totaal 3 2 49 2" xfId="7231"/>
    <cellStyle name="Totaal 3 2 49 2 2" xfId="11563"/>
    <cellStyle name="Totaal 3 2 49 2 3" xfId="25530"/>
    <cellStyle name="Totaal 3 2 49 2 3 2" xfId="36827"/>
    <cellStyle name="Totaal 3 2 49 2 4" xfId="36828"/>
    <cellStyle name="Totaal 3 2 49 2 5" xfId="36829"/>
    <cellStyle name="Totaal 3 2 49 2 6" xfId="36830"/>
    <cellStyle name="Totaal 3 2 49 3" xfId="9873"/>
    <cellStyle name="Totaal 3 2 49 4" xfId="25531"/>
    <cellStyle name="Totaal 3 2 49 4 2" xfId="36831"/>
    <cellStyle name="Totaal 3 2 49 5" xfId="36832"/>
    <cellStyle name="Totaal 3 2 49 6" xfId="36833"/>
    <cellStyle name="Totaal 3 2 49 7" xfId="36834"/>
    <cellStyle name="Totaal 3 2 5" xfId="1344"/>
    <cellStyle name="Totaal 3 2 5 2" xfId="7232"/>
    <cellStyle name="Totaal 3 2 5 2 2" xfId="11564"/>
    <cellStyle name="Totaal 3 2 5 2 3" xfId="25532"/>
    <cellStyle name="Totaal 3 2 5 2 3 2" xfId="36835"/>
    <cellStyle name="Totaal 3 2 5 2 4" xfId="36836"/>
    <cellStyle name="Totaal 3 2 5 2 5" xfId="36837"/>
    <cellStyle name="Totaal 3 2 5 2 6" xfId="36838"/>
    <cellStyle name="Totaal 3 2 5 3" xfId="9874"/>
    <cellStyle name="Totaal 3 2 5 4" xfId="25533"/>
    <cellStyle name="Totaal 3 2 5 4 2" xfId="36839"/>
    <cellStyle name="Totaal 3 2 5 5" xfId="36840"/>
    <cellStyle name="Totaal 3 2 5 6" xfId="36841"/>
    <cellStyle name="Totaal 3 2 5 7" xfId="36842"/>
    <cellStyle name="Totaal 3 2 50" xfId="1345"/>
    <cellStyle name="Totaal 3 2 50 2" xfId="7233"/>
    <cellStyle name="Totaal 3 2 50 2 2" xfId="11565"/>
    <cellStyle name="Totaal 3 2 50 2 3" xfId="25534"/>
    <cellStyle name="Totaal 3 2 50 2 3 2" xfId="36843"/>
    <cellStyle name="Totaal 3 2 50 2 4" xfId="36844"/>
    <cellStyle name="Totaal 3 2 50 2 5" xfId="36845"/>
    <cellStyle name="Totaal 3 2 50 2 6" xfId="36846"/>
    <cellStyle name="Totaal 3 2 50 3" xfId="9875"/>
    <cellStyle name="Totaal 3 2 50 4" xfId="25535"/>
    <cellStyle name="Totaal 3 2 50 4 2" xfId="36847"/>
    <cellStyle name="Totaal 3 2 50 5" xfId="36848"/>
    <cellStyle name="Totaal 3 2 50 6" xfId="36849"/>
    <cellStyle name="Totaal 3 2 50 7" xfId="36850"/>
    <cellStyle name="Totaal 3 2 51" xfId="1346"/>
    <cellStyle name="Totaal 3 2 51 2" xfId="7234"/>
    <cellStyle name="Totaal 3 2 51 2 2" xfId="11566"/>
    <cellStyle name="Totaal 3 2 51 2 3" xfId="25536"/>
    <cellStyle name="Totaal 3 2 51 2 3 2" xfId="36851"/>
    <cellStyle name="Totaal 3 2 51 2 4" xfId="36852"/>
    <cellStyle name="Totaal 3 2 51 2 5" xfId="36853"/>
    <cellStyle name="Totaal 3 2 51 2 6" xfId="36854"/>
    <cellStyle name="Totaal 3 2 51 3" xfId="9876"/>
    <cellStyle name="Totaal 3 2 51 4" xfId="25537"/>
    <cellStyle name="Totaal 3 2 51 4 2" xfId="36855"/>
    <cellStyle name="Totaal 3 2 51 5" xfId="36856"/>
    <cellStyle name="Totaal 3 2 51 6" xfId="36857"/>
    <cellStyle name="Totaal 3 2 51 7" xfId="36858"/>
    <cellStyle name="Totaal 3 2 52" xfId="1347"/>
    <cellStyle name="Totaal 3 2 52 2" xfId="7235"/>
    <cellStyle name="Totaal 3 2 52 2 2" xfId="11567"/>
    <cellStyle name="Totaal 3 2 52 2 3" xfId="25538"/>
    <cellStyle name="Totaal 3 2 52 2 3 2" xfId="36859"/>
    <cellStyle name="Totaal 3 2 52 2 4" xfId="36860"/>
    <cellStyle name="Totaal 3 2 52 2 5" xfId="36861"/>
    <cellStyle name="Totaal 3 2 52 2 6" xfId="36862"/>
    <cellStyle name="Totaal 3 2 52 3" xfId="9877"/>
    <cellStyle name="Totaal 3 2 52 4" xfId="25539"/>
    <cellStyle name="Totaal 3 2 52 4 2" xfId="36863"/>
    <cellStyle name="Totaal 3 2 52 5" xfId="36864"/>
    <cellStyle name="Totaal 3 2 52 6" xfId="36865"/>
    <cellStyle name="Totaal 3 2 52 7" xfId="36866"/>
    <cellStyle name="Totaal 3 2 53" xfId="1348"/>
    <cellStyle name="Totaal 3 2 53 2" xfId="7236"/>
    <cellStyle name="Totaal 3 2 53 2 2" xfId="11568"/>
    <cellStyle name="Totaal 3 2 53 2 3" xfId="25540"/>
    <cellStyle name="Totaal 3 2 53 2 3 2" xfId="36867"/>
    <cellStyle name="Totaal 3 2 53 2 4" xfId="36868"/>
    <cellStyle name="Totaal 3 2 53 2 5" xfId="36869"/>
    <cellStyle name="Totaal 3 2 53 2 6" xfId="36870"/>
    <cellStyle name="Totaal 3 2 53 3" xfId="9878"/>
    <cellStyle name="Totaal 3 2 53 4" xfId="25541"/>
    <cellStyle name="Totaal 3 2 53 4 2" xfId="36871"/>
    <cellStyle name="Totaal 3 2 53 5" xfId="36872"/>
    <cellStyle name="Totaal 3 2 53 6" xfId="36873"/>
    <cellStyle name="Totaal 3 2 53 7" xfId="36874"/>
    <cellStyle name="Totaal 3 2 54" xfId="1349"/>
    <cellStyle name="Totaal 3 2 54 2" xfId="7237"/>
    <cellStyle name="Totaal 3 2 54 2 2" xfId="11569"/>
    <cellStyle name="Totaal 3 2 54 2 3" xfId="25542"/>
    <cellStyle name="Totaal 3 2 54 2 3 2" xfId="36875"/>
    <cellStyle name="Totaal 3 2 54 2 4" xfId="36876"/>
    <cellStyle name="Totaal 3 2 54 2 5" xfId="36877"/>
    <cellStyle name="Totaal 3 2 54 2 6" xfId="36878"/>
    <cellStyle name="Totaal 3 2 54 3" xfId="9879"/>
    <cellStyle name="Totaal 3 2 54 4" xfId="25543"/>
    <cellStyle name="Totaal 3 2 54 4 2" xfId="36879"/>
    <cellStyle name="Totaal 3 2 54 5" xfId="36880"/>
    <cellStyle name="Totaal 3 2 54 6" xfId="36881"/>
    <cellStyle name="Totaal 3 2 54 7" xfId="36882"/>
    <cellStyle name="Totaal 3 2 55" xfId="1350"/>
    <cellStyle name="Totaal 3 2 55 2" xfId="7238"/>
    <cellStyle name="Totaal 3 2 55 2 2" xfId="11570"/>
    <cellStyle name="Totaal 3 2 55 2 3" xfId="25544"/>
    <cellStyle name="Totaal 3 2 55 2 3 2" xfId="36883"/>
    <cellStyle name="Totaal 3 2 55 2 4" xfId="36884"/>
    <cellStyle name="Totaal 3 2 55 2 5" xfId="36885"/>
    <cellStyle name="Totaal 3 2 55 2 6" xfId="36886"/>
    <cellStyle name="Totaal 3 2 55 3" xfId="9880"/>
    <cellStyle name="Totaal 3 2 55 4" xfId="25545"/>
    <cellStyle name="Totaal 3 2 55 4 2" xfId="36887"/>
    <cellStyle name="Totaal 3 2 55 5" xfId="36888"/>
    <cellStyle name="Totaal 3 2 55 6" xfId="36889"/>
    <cellStyle name="Totaal 3 2 55 7" xfId="36890"/>
    <cellStyle name="Totaal 3 2 56" xfId="1351"/>
    <cellStyle name="Totaal 3 2 56 2" xfId="7239"/>
    <cellStyle name="Totaal 3 2 56 2 2" xfId="11571"/>
    <cellStyle name="Totaal 3 2 56 2 3" xfId="25546"/>
    <cellStyle name="Totaal 3 2 56 2 3 2" xfId="36891"/>
    <cellStyle name="Totaal 3 2 56 2 4" xfId="36892"/>
    <cellStyle name="Totaal 3 2 56 2 5" xfId="36893"/>
    <cellStyle name="Totaal 3 2 56 2 6" xfId="36894"/>
    <cellStyle name="Totaal 3 2 56 3" xfId="9881"/>
    <cellStyle name="Totaal 3 2 56 4" xfId="25547"/>
    <cellStyle name="Totaal 3 2 56 4 2" xfId="36895"/>
    <cellStyle name="Totaal 3 2 56 5" xfId="36896"/>
    <cellStyle name="Totaal 3 2 56 6" xfId="36897"/>
    <cellStyle name="Totaal 3 2 56 7" xfId="36898"/>
    <cellStyle name="Totaal 3 2 57" xfId="1352"/>
    <cellStyle name="Totaal 3 2 57 2" xfId="7240"/>
    <cellStyle name="Totaal 3 2 57 2 2" xfId="11572"/>
    <cellStyle name="Totaal 3 2 57 2 3" xfId="25548"/>
    <cellStyle name="Totaal 3 2 57 2 3 2" xfId="36899"/>
    <cellStyle name="Totaal 3 2 57 2 4" xfId="36900"/>
    <cellStyle name="Totaal 3 2 57 2 5" xfId="36901"/>
    <cellStyle name="Totaal 3 2 57 2 6" xfId="36902"/>
    <cellStyle name="Totaal 3 2 57 3" xfId="9882"/>
    <cellStyle name="Totaal 3 2 57 4" xfId="25549"/>
    <cellStyle name="Totaal 3 2 57 4 2" xfId="36903"/>
    <cellStyle name="Totaal 3 2 57 5" xfId="36904"/>
    <cellStyle name="Totaal 3 2 57 6" xfId="36905"/>
    <cellStyle name="Totaal 3 2 57 7" xfId="36906"/>
    <cellStyle name="Totaal 3 2 58" xfId="1353"/>
    <cellStyle name="Totaal 3 2 58 2" xfId="7241"/>
    <cellStyle name="Totaal 3 2 58 2 2" xfId="11573"/>
    <cellStyle name="Totaal 3 2 58 2 3" xfId="25550"/>
    <cellStyle name="Totaal 3 2 58 2 3 2" xfId="36907"/>
    <cellStyle name="Totaal 3 2 58 2 4" xfId="36908"/>
    <cellStyle name="Totaal 3 2 58 2 5" xfId="36909"/>
    <cellStyle name="Totaal 3 2 58 2 6" xfId="36910"/>
    <cellStyle name="Totaal 3 2 58 3" xfId="9883"/>
    <cellStyle name="Totaal 3 2 58 4" xfId="25551"/>
    <cellStyle name="Totaal 3 2 58 4 2" xfId="36911"/>
    <cellStyle name="Totaal 3 2 58 5" xfId="36912"/>
    <cellStyle name="Totaal 3 2 58 6" xfId="36913"/>
    <cellStyle name="Totaal 3 2 58 7" xfId="36914"/>
    <cellStyle name="Totaal 3 2 59" xfId="1354"/>
    <cellStyle name="Totaal 3 2 59 2" xfId="7242"/>
    <cellStyle name="Totaal 3 2 59 2 2" xfId="11574"/>
    <cellStyle name="Totaal 3 2 59 2 3" xfId="25552"/>
    <cellStyle name="Totaal 3 2 59 2 3 2" xfId="36915"/>
    <cellStyle name="Totaal 3 2 59 2 4" xfId="36916"/>
    <cellStyle name="Totaal 3 2 59 2 5" xfId="36917"/>
    <cellStyle name="Totaal 3 2 59 2 6" xfId="36918"/>
    <cellStyle name="Totaal 3 2 59 3" xfId="9884"/>
    <cellStyle name="Totaal 3 2 59 4" xfId="25553"/>
    <cellStyle name="Totaal 3 2 59 4 2" xfId="36919"/>
    <cellStyle name="Totaal 3 2 59 5" xfId="36920"/>
    <cellStyle name="Totaal 3 2 59 6" xfId="36921"/>
    <cellStyle name="Totaal 3 2 59 7" xfId="36922"/>
    <cellStyle name="Totaal 3 2 6" xfId="1355"/>
    <cellStyle name="Totaal 3 2 6 2" xfId="7243"/>
    <cellStyle name="Totaal 3 2 6 2 2" xfId="11575"/>
    <cellStyle name="Totaal 3 2 6 2 3" xfId="25554"/>
    <cellStyle name="Totaal 3 2 6 2 3 2" xfId="36923"/>
    <cellStyle name="Totaal 3 2 6 2 4" xfId="36924"/>
    <cellStyle name="Totaal 3 2 6 2 5" xfId="36925"/>
    <cellStyle name="Totaal 3 2 6 2 6" xfId="36926"/>
    <cellStyle name="Totaal 3 2 6 3" xfId="9885"/>
    <cellStyle name="Totaal 3 2 6 4" xfId="25555"/>
    <cellStyle name="Totaal 3 2 6 4 2" xfId="36927"/>
    <cellStyle name="Totaal 3 2 6 5" xfId="36928"/>
    <cellStyle name="Totaal 3 2 6 6" xfId="36929"/>
    <cellStyle name="Totaal 3 2 6 7" xfId="36930"/>
    <cellStyle name="Totaal 3 2 60" xfId="1356"/>
    <cellStyle name="Totaal 3 2 60 2" xfId="7244"/>
    <cellStyle name="Totaal 3 2 60 2 2" xfId="11576"/>
    <cellStyle name="Totaal 3 2 60 2 3" xfId="25556"/>
    <cellStyle name="Totaal 3 2 60 2 3 2" xfId="36931"/>
    <cellStyle name="Totaal 3 2 60 2 4" xfId="36932"/>
    <cellStyle name="Totaal 3 2 60 2 5" xfId="36933"/>
    <cellStyle name="Totaal 3 2 60 2 6" xfId="36934"/>
    <cellStyle name="Totaal 3 2 60 3" xfId="9886"/>
    <cellStyle name="Totaal 3 2 60 4" xfId="25557"/>
    <cellStyle name="Totaal 3 2 60 4 2" xfId="36935"/>
    <cellStyle name="Totaal 3 2 60 5" xfId="36936"/>
    <cellStyle name="Totaal 3 2 60 6" xfId="36937"/>
    <cellStyle name="Totaal 3 2 60 7" xfId="36938"/>
    <cellStyle name="Totaal 3 2 61" xfId="1357"/>
    <cellStyle name="Totaal 3 2 61 2" xfId="7245"/>
    <cellStyle name="Totaal 3 2 61 2 2" xfId="11577"/>
    <cellStyle name="Totaal 3 2 61 2 3" xfId="25558"/>
    <cellStyle name="Totaal 3 2 61 2 3 2" xfId="36939"/>
    <cellStyle name="Totaal 3 2 61 2 4" xfId="36940"/>
    <cellStyle name="Totaal 3 2 61 2 5" xfId="36941"/>
    <cellStyle name="Totaal 3 2 61 2 6" xfId="36942"/>
    <cellStyle name="Totaal 3 2 61 3" xfId="9887"/>
    <cellStyle name="Totaal 3 2 61 4" xfId="25559"/>
    <cellStyle name="Totaal 3 2 61 4 2" xfId="36943"/>
    <cellStyle name="Totaal 3 2 61 5" xfId="36944"/>
    <cellStyle name="Totaal 3 2 61 6" xfId="36945"/>
    <cellStyle name="Totaal 3 2 61 7" xfId="36946"/>
    <cellStyle name="Totaal 3 2 62" xfId="1358"/>
    <cellStyle name="Totaal 3 2 62 2" xfId="7246"/>
    <cellStyle name="Totaal 3 2 62 2 2" xfId="11578"/>
    <cellStyle name="Totaal 3 2 62 2 3" xfId="25560"/>
    <cellStyle name="Totaal 3 2 62 2 3 2" xfId="36947"/>
    <cellStyle name="Totaal 3 2 62 2 4" xfId="36948"/>
    <cellStyle name="Totaal 3 2 62 2 5" xfId="36949"/>
    <cellStyle name="Totaal 3 2 62 2 6" xfId="36950"/>
    <cellStyle name="Totaal 3 2 62 3" xfId="9888"/>
    <cellStyle name="Totaal 3 2 62 4" xfId="25561"/>
    <cellStyle name="Totaal 3 2 62 4 2" xfId="36951"/>
    <cellStyle name="Totaal 3 2 62 5" xfId="36952"/>
    <cellStyle name="Totaal 3 2 62 6" xfId="36953"/>
    <cellStyle name="Totaal 3 2 62 7" xfId="36954"/>
    <cellStyle name="Totaal 3 2 63" xfId="1359"/>
    <cellStyle name="Totaal 3 2 63 2" xfId="7247"/>
    <cellStyle name="Totaal 3 2 63 2 2" xfId="11579"/>
    <cellStyle name="Totaal 3 2 63 2 3" xfId="25562"/>
    <cellStyle name="Totaal 3 2 63 2 3 2" xfId="36955"/>
    <cellStyle name="Totaal 3 2 63 2 4" xfId="36956"/>
    <cellStyle name="Totaal 3 2 63 2 5" xfId="36957"/>
    <cellStyle name="Totaal 3 2 63 2 6" xfId="36958"/>
    <cellStyle name="Totaal 3 2 63 3" xfId="9889"/>
    <cellStyle name="Totaal 3 2 63 4" xfId="25563"/>
    <cellStyle name="Totaal 3 2 63 4 2" xfId="36959"/>
    <cellStyle name="Totaal 3 2 63 5" xfId="36960"/>
    <cellStyle name="Totaal 3 2 63 6" xfId="36961"/>
    <cellStyle name="Totaal 3 2 63 7" xfId="36962"/>
    <cellStyle name="Totaal 3 2 64" xfId="1360"/>
    <cellStyle name="Totaal 3 2 64 2" xfId="7248"/>
    <cellStyle name="Totaal 3 2 64 2 2" xfId="11580"/>
    <cellStyle name="Totaal 3 2 64 2 3" xfId="25564"/>
    <cellStyle name="Totaal 3 2 64 2 3 2" xfId="36963"/>
    <cellStyle name="Totaal 3 2 64 2 4" xfId="36964"/>
    <cellStyle name="Totaal 3 2 64 2 5" xfId="36965"/>
    <cellStyle name="Totaal 3 2 64 2 6" xfId="36966"/>
    <cellStyle name="Totaal 3 2 64 3" xfId="9890"/>
    <cellStyle name="Totaal 3 2 64 4" xfId="25565"/>
    <cellStyle name="Totaal 3 2 64 4 2" xfId="36967"/>
    <cellStyle name="Totaal 3 2 64 5" xfId="36968"/>
    <cellStyle name="Totaal 3 2 64 6" xfId="36969"/>
    <cellStyle name="Totaal 3 2 64 7" xfId="36970"/>
    <cellStyle name="Totaal 3 2 65" xfId="1361"/>
    <cellStyle name="Totaal 3 2 65 2" xfId="7249"/>
    <cellStyle name="Totaal 3 2 65 2 2" xfId="11581"/>
    <cellStyle name="Totaal 3 2 65 2 3" xfId="25566"/>
    <cellStyle name="Totaal 3 2 65 2 3 2" xfId="36971"/>
    <cellStyle name="Totaal 3 2 65 2 4" xfId="36972"/>
    <cellStyle name="Totaal 3 2 65 2 5" xfId="36973"/>
    <cellStyle name="Totaal 3 2 65 2 6" xfId="36974"/>
    <cellStyle name="Totaal 3 2 65 3" xfId="9891"/>
    <cellStyle name="Totaal 3 2 65 4" xfId="25567"/>
    <cellStyle name="Totaal 3 2 65 4 2" xfId="36975"/>
    <cellStyle name="Totaal 3 2 65 5" xfId="36976"/>
    <cellStyle name="Totaal 3 2 65 6" xfId="36977"/>
    <cellStyle name="Totaal 3 2 65 7" xfId="36978"/>
    <cellStyle name="Totaal 3 2 66" xfId="1362"/>
    <cellStyle name="Totaal 3 2 66 2" xfId="7250"/>
    <cellStyle name="Totaal 3 2 66 2 2" xfId="11582"/>
    <cellStyle name="Totaal 3 2 66 2 3" xfId="25568"/>
    <cellStyle name="Totaal 3 2 66 2 3 2" xfId="36979"/>
    <cellStyle name="Totaal 3 2 66 2 4" xfId="36980"/>
    <cellStyle name="Totaal 3 2 66 2 5" xfId="36981"/>
    <cellStyle name="Totaal 3 2 66 2 6" xfId="36982"/>
    <cellStyle name="Totaal 3 2 66 3" xfId="9892"/>
    <cellStyle name="Totaal 3 2 66 4" xfId="25569"/>
    <cellStyle name="Totaal 3 2 66 4 2" xfId="36983"/>
    <cellStyle name="Totaal 3 2 66 5" xfId="36984"/>
    <cellStyle name="Totaal 3 2 66 6" xfId="36985"/>
    <cellStyle name="Totaal 3 2 66 7" xfId="36986"/>
    <cellStyle name="Totaal 3 2 67" xfId="1363"/>
    <cellStyle name="Totaal 3 2 67 2" xfId="7251"/>
    <cellStyle name="Totaal 3 2 67 2 2" xfId="11583"/>
    <cellStyle name="Totaal 3 2 67 2 3" xfId="25570"/>
    <cellStyle name="Totaal 3 2 67 2 3 2" xfId="36987"/>
    <cellStyle name="Totaal 3 2 67 2 4" xfId="36988"/>
    <cellStyle name="Totaal 3 2 67 2 5" xfId="36989"/>
    <cellStyle name="Totaal 3 2 67 2 6" xfId="36990"/>
    <cellStyle name="Totaal 3 2 67 3" xfId="9893"/>
    <cellStyle name="Totaal 3 2 67 4" xfId="25571"/>
    <cellStyle name="Totaal 3 2 67 4 2" xfId="36991"/>
    <cellStyle name="Totaal 3 2 67 5" xfId="36992"/>
    <cellStyle name="Totaal 3 2 67 6" xfId="36993"/>
    <cellStyle name="Totaal 3 2 67 7" xfId="36994"/>
    <cellStyle name="Totaal 3 2 68" xfId="1364"/>
    <cellStyle name="Totaal 3 2 68 2" xfId="7252"/>
    <cellStyle name="Totaal 3 2 68 2 2" xfId="11584"/>
    <cellStyle name="Totaal 3 2 68 2 3" xfId="25572"/>
    <cellStyle name="Totaal 3 2 68 2 3 2" xfId="36995"/>
    <cellStyle name="Totaal 3 2 68 2 4" xfId="36996"/>
    <cellStyle name="Totaal 3 2 68 2 5" xfId="36997"/>
    <cellStyle name="Totaal 3 2 68 2 6" xfId="36998"/>
    <cellStyle name="Totaal 3 2 68 3" xfId="9894"/>
    <cellStyle name="Totaal 3 2 68 4" xfId="25573"/>
    <cellStyle name="Totaal 3 2 68 4 2" xfId="36999"/>
    <cellStyle name="Totaal 3 2 68 5" xfId="37000"/>
    <cellStyle name="Totaal 3 2 68 6" xfId="37001"/>
    <cellStyle name="Totaal 3 2 68 7" xfId="37002"/>
    <cellStyle name="Totaal 3 2 69" xfId="1365"/>
    <cellStyle name="Totaal 3 2 69 2" xfId="7253"/>
    <cellStyle name="Totaal 3 2 69 2 2" xfId="11585"/>
    <cellStyle name="Totaal 3 2 69 2 3" xfId="25574"/>
    <cellStyle name="Totaal 3 2 69 2 3 2" xfId="37003"/>
    <cellStyle name="Totaal 3 2 69 2 4" xfId="37004"/>
    <cellStyle name="Totaal 3 2 69 2 5" xfId="37005"/>
    <cellStyle name="Totaal 3 2 69 2 6" xfId="37006"/>
    <cellStyle name="Totaal 3 2 69 3" xfId="9895"/>
    <cellStyle name="Totaal 3 2 69 4" xfId="25575"/>
    <cellStyle name="Totaal 3 2 69 4 2" xfId="37007"/>
    <cellStyle name="Totaal 3 2 69 5" xfId="37008"/>
    <cellStyle name="Totaal 3 2 69 6" xfId="37009"/>
    <cellStyle name="Totaal 3 2 69 7" xfId="37010"/>
    <cellStyle name="Totaal 3 2 7" xfId="1366"/>
    <cellStyle name="Totaal 3 2 7 2" xfId="7254"/>
    <cellStyle name="Totaal 3 2 7 2 2" xfId="11586"/>
    <cellStyle name="Totaal 3 2 7 2 3" xfId="25576"/>
    <cellStyle name="Totaal 3 2 7 2 3 2" xfId="37011"/>
    <cellStyle name="Totaal 3 2 7 2 4" xfId="37012"/>
    <cellStyle name="Totaal 3 2 7 2 5" xfId="37013"/>
    <cellStyle name="Totaal 3 2 7 2 6" xfId="37014"/>
    <cellStyle name="Totaal 3 2 7 3" xfId="9896"/>
    <cellStyle name="Totaal 3 2 7 4" xfId="25577"/>
    <cellStyle name="Totaal 3 2 7 4 2" xfId="37015"/>
    <cellStyle name="Totaal 3 2 7 5" xfId="37016"/>
    <cellStyle name="Totaal 3 2 7 6" xfId="37017"/>
    <cellStyle name="Totaal 3 2 7 7" xfId="37018"/>
    <cellStyle name="Totaal 3 2 70" xfId="1367"/>
    <cellStyle name="Totaal 3 2 70 2" xfId="7255"/>
    <cellStyle name="Totaal 3 2 70 2 2" xfId="11587"/>
    <cellStyle name="Totaal 3 2 70 2 3" xfId="25578"/>
    <cellStyle name="Totaal 3 2 70 2 3 2" xfId="37019"/>
    <cellStyle name="Totaal 3 2 70 2 4" xfId="37020"/>
    <cellStyle name="Totaal 3 2 70 2 5" xfId="37021"/>
    <cellStyle name="Totaal 3 2 70 2 6" xfId="37022"/>
    <cellStyle name="Totaal 3 2 70 3" xfId="9897"/>
    <cellStyle name="Totaal 3 2 70 4" xfId="25579"/>
    <cellStyle name="Totaal 3 2 70 4 2" xfId="37023"/>
    <cellStyle name="Totaal 3 2 70 5" xfId="37024"/>
    <cellStyle name="Totaal 3 2 70 6" xfId="37025"/>
    <cellStyle name="Totaal 3 2 70 7" xfId="37026"/>
    <cellStyle name="Totaal 3 2 71" xfId="1368"/>
    <cellStyle name="Totaal 3 2 71 2" xfId="7256"/>
    <cellStyle name="Totaal 3 2 71 2 2" xfId="11588"/>
    <cellStyle name="Totaal 3 2 71 2 3" xfId="25580"/>
    <cellStyle name="Totaal 3 2 71 2 3 2" xfId="37027"/>
    <cellStyle name="Totaal 3 2 71 2 4" xfId="37028"/>
    <cellStyle name="Totaal 3 2 71 2 5" xfId="37029"/>
    <cellStyle name="Totaal 3 2 71 2 6" xfId="37030"/>
    <cellStyle name="Totaal 3 2 71 3" xfId="9898"/>
    <cellStyle name="Totaal 3 2 71 4" xfId="25581"/>
    <cellStyle name="Totaal 3 2 71 4 2" xfId="37031"/>
    <cellStyle name="Totaal 3 2 71 5" xfId="37032"/>
    <cellStyle name="Totaal 3 2 71 6" xfId="37033"/>
    <cellStyle name="Totaal 3 2 71 7" xfId="37034"/>
    <cellStyle name="Totaal 3 2 72" xfId="1369"/>
    <cellStyle name="Totaal 3 2 72 2" xfId="7257"/>
    <cellStyle name="Totaal 3 2 72 2 2" xfId="11589"/>
    <cellStyle name="Totaal 3 2 72 2 3" xfId="25582"/>
    <cellStyle name="Totaal 3 2 72 2 3 2" xfId="37035"/>
    <cellStyle name="Totaal 3 2 72 2 4" xfId="37036"/>
    <cellStyle name="Totaal 3 2 72 2 5" xfId="37037"/>
    <cellStyle name="Totaal 3 2 72 2 6" xfId="37038"/>
    <cellStyle name="Totaal 3 2 72 3" xfId="9899"/>
    <cellStyle name="Totaal 3 2 72 4" xfId="25583"/>
    <cellStyle name="Totaal 3 2 72 4 2" xfId="37039"/>
    <cellStyle name="Totaal 3 2 72 5" xfId="37040"/>
    <cellStyle name="Totaal 3 2 72 6" xfId="37041"/>
    <cellStyle name="Totaal 3 2 72 7" xfId="37042"/>
    <cellStyle name="Totaal 3 2 73" xfId="1370"/>
    <cellStyle name="Totaal 3 2 73 2" xfId="7258"/>
    <cellStyle name="Totaal 3 2 73 2 2" xfId="11590"/>
    <cellStyle name="Totaal 3 2 73 2 3" xfId="25584"/>
    <cellStyle name="Totaal 3 2 73 2 3 2" xfId="37043"/>
    <cellStyle name="Totaal 3 2 73 2 4" xfId="37044"/>
    <cellStyle name="Totaal 3 2 73 2 5" xfId="37045"/>
    <cellStyle name="Totaal 3 2 73 2 6" xfId="37046"/>
    <cellStyle name="Totaal 3 2 73 3" xfId="9900"/>
    <cellStyle name="Totaal 3 2 73 4" xfId="25585"/>
    <cellStyle name="Totaal 3 2 73 4 2" xfId="37047"/>
    <cellStyle name="Totaal 3 2 73 5" xfId="37048"/>
    <cellStyle name="Totaal 3 2 73 6" xfId="37049"/>
    <cellStyle name="Totaal 3 2 73 7" xfId="37050"/>
    <cellStyle name="Totaal 3 2 74" xfId="1371"/>
    <cellStyle name="Totaal 3 2 74 2" xfId="7259"/>
    <cellStyle name="Totaal 3 2 74 2 2" xfId="11591"/>
    <cellStyle name="Totaal 3 2 74 2 3" xfId="25586"/>
    <cellStyle name="Totaal 3 2 74 2 3 2" xfId="37051"/>
    <cellStyle name="Totaal 3 2 74 2 4" xfId="37052"/>
    <cellStyle name="Totaal 3 2 74 2 5" xfId="37053"/>
    <cellStyle name="Totaal 3 2 74 2 6" xfId="37054"/>
    <cellStyle name="Totaal 3 2 74 3" xfId="9901"/>
    <cellStyle name="Totaal 3 2 74 4" xfId="25587"/>
    <cellStyle name="Totaal 3 2 74 4 2" xfId="37055"/>
    <cellStyle name="Totaal 3 2 74 5" xfId="37056"/>
    <cellStyle name="Totaal 3 2 74 6" xfId="37057"/>
    <cellStyle name="Totaal 3 2 74 7" xfId="37058"/>
    <cellStyle name="Totaal 3 2 75" xfId="1372"/>
    <cellStyle name="Totaal 3 2 75 2" xfId="7260"/>
    <cellStyle name="Totaal 3 2 75 2 2" xfId="11592"/>
    <cellStyle name="Totaal 3 2 75 2 3" xfId="25588"/>
    <cellStyle name="Totaal 3 2 75 2 3 2" xfId="37059"/>
    <cellStyle name="Totaal 3 2 75 2 4" xfId="37060"/>
    <cellStyle name="Totaal 3 2 75 2 5" xfId="37061"/>
    <cellStyle name="Totaal 3 2 75 2 6" xfId="37062"/>
    <cellStyle name="Totaal 3 2 75 3" xfId="9902"/>
    <cellStyle name="Totaal 3 2 75 4" xfId="25589"/>
    <cellStyle name="Totaal 3 2 75 4 2" xfId="37063"/>
    <cellStyle name="Totaal 3 2 75 5" xfId="37064"/>
    <cellStyle name="Totaal 3 2 75 6" xfId="37065"/>
    <cellStyle name="Totaal 3 2 75 7" xfId="37066"/>
    <cellStyle name="Totaal 3 2 76" xfId="1373"/>
    <cellStyle name="Totaal 3 2 76 2" xfId="7261"/>
    <cellStyle name="Totaal 3 2 76 2 2" xfId="11593"/>
    <cellStyle name="Totaal 3 2 76 2 3" xfId="25590"/>
    <cellStyle name="Totaal 3 2 76 2 3 2" xfId="37067"/>
    <cellStyle name="Totaal 3 2 76 2 4" xfId="37068"/>
    <cellStyle name="Totaal 3 2 76 2 5" xfId="37069"/>
    <cellStyle name="Totaal 3 2 76 2 6" xfId="37070"/>
    <cellStyle name="Totaal 3 2 76 3" xfId="9903"/>
    <cellStyle name="Totaal 3 2 76 4" xfId="25591"/>
    <cellStyle name="Totaal 3 2 76 4 2" xfId="37071"/>
    <cellStyle name="Totaal 3 2 76 5" xfId="37072"/>
    <cellStyle name="Totaal 3 2 76 6" xfId="37073"/>
    <cellStyle name="Totaal 3 2 76 7" xfId="37074"/>
    <cellStyle name="Totaal 3 2 77" xfId="1374"/>
    <cellStyle name="Totaal 3 2 77 2" xfId="7262"/>
    <cellStyle name="Totaal 3 2 77 2 2" xfId="11594"/>
    <cellStyle name="Totaal 3 2 77 2 3" xfId="25592"/>
    <cellStyle name="Totaal 3 2 77 2 3 2" xfId="37075"/>
    <cellStyle name="Totaal 3 2 77 2 4" xfId="37076"/>
    <cellStyle name="Totaal 3 2 77 2 5" xfId="37077"/>
    <cellStyle name="Totaal 3 2 77 2 6" xfId="37078"/>
    <cellStyle name="Totaal 3 2 77 3" xfId="9904"/>
    <cellStyle name="Totaal 3 2 77 4" xfId="25593"/>
    <cellStyle name="Totaal 3 2 77 4 2" xfId="37079"/>
    <cellStyle name="Totaal 3 2 77 5" xfId="37080"/>
    <cellStyle name="Totaal 3 2 77 6" xfId="37081"/>
    <cellStyle name="Totaal 3 2 77 7" xfId="37082"/>
    <cellStyle name="Totaal 3 2 78" xfId="1375"/>
    <cellStyle name="Totaal 3 2 78 2" xfId="7263"/>
    <cellStyle name="Totaal 3 2 78 2 2" xfId="11595"/>
    <cellStyle name="Totaal 3 2 78 2 3" xfId="25594"/>
    <cellStyle name="Totaal 3 2 78 2 3 2" xfId="37083"/>
    <cellStyle name="Totaal 3 2 78 2 4" xfId="37084"/>
    <cellStyle name="Totaal 3 2 78 2 5" xfId="37085"/>
    <cellStyle name="Totaal 3 2 78 2 6" xfId="37086"/>
    <cellStyle name="Totaal 3 2 78 3" xfId="9905"/>
    <cellStyle name="Totaal 3 2 78 4" xfId="25595"/>
    <cellStyle name="Totaal 3 2 78 4 2" xfId="37087"/>
    <cellStyle name="Totaal 3 2 78 5" xfId="37088"/>
    <cellStyle name="Totaal 3 2 78 6" xfId="37089"/>
    <cellStyle name="Totaal 3 2 78 7" xfId="37090"/>
    <cellStyle name="Totaal 3 2 79" xfId="1376"/>
    <cellStyle name="Totaal 3 2 79 2" xfId="7264"/>
    <cellStyle name="Totaal 3 2 79 2 2" xfId="11596"/>
    <cellStyle name="Totaal 3 2 79 2 3" xfId="25596"/>
    <cellStyle name="Totaal 3 2 79 2 3 2" xfId="37091"/>
    <cellStyle name="Totaal 3 2 79 2 4" xfId="37092"/>
    <cellStyle name="Totaal 3 2 79 2 5" xfId="37093"/>
    <cellStyle name="Totaal 3 2 79 2 6" xfId="37094"/>
    <cellStyle name="Totaal 3 2 79 3" xfId="9906"/>
    <cellStyle name="Totaal 3 2 79 4" xfId="25597"/>
    <cellStyle name="Totaal 3 2 79 4 2" xfId="37095"/>
    <cellStyle name="Totaal 3 2 79 5" xfId="37096"/>
    <cellStyle name="Totaal 3 2 79 6" xfId="37097"/>
    <cellStyle name="Totaal 3 2 79 7" xfId="37098"/>
    <cellStyle name="Totaal 3 2 8" xfId="1377"/>
    <cellStyle name="Totaal 3 2 8 2" xfId="7265"/>
    <cellStyle name="Totaal 3 2 8 2 2" xfId="11597"/>
    <cellStyle name="Totaal 3 2 8 2 3" xfId="25598"/>
    <cellStyle name="Totaal 3 2 8 2 3 2" xfId="37099"/>
    <cellStyle name="Totaal 3 2 8 2 4" xfId="37100"/>
    <cellStyle name="Totaal 3 2 8 2 5" xfId="37101"/>
    <cellStyle name="Totaal 3 2 8 2 6" xfId="37102"/>
    <cellStyle name="Totaal 3 2 8 3" xfId="9907"/>
    <cellStyle name="Totaal 3 2 8 4" xfId="25599"/>
    <cellStyle name="Totaal 3 2 8 4 2" xfId="37103"/>
    <cellStyle name="Totaal 3 2 8 5" xfId="37104"/>
    <cellStyle name="Totaal 3 2 8 6" xfId="37105"/>
    <cellStyle name="Totaal 3 2 8 7" xfId="37106"/>
    <cellStyle name="Totaal 3 2 80" xfId="1378"/>
    <cellStyle name="Totaal 3 2 80 2" xfId="7266"/>
    <cellStyle name="Totaal 3 2 80 2 2" xfId="11598"/>
    <cellStyle name="Totaal 3 2 80 2 3" xfId="25600"/>
    <cellStyle name="Totaal 3 2 80 2 3 2" xfId="37107"/>
    <cellStyle name="Totaal 3 2 80 2 4" xfId="37108"/>
    <cellStyle name="Totaal 3 2 80 2 5" xfId="37109"/>
    <cellStyle name="Totaal 3 2 80 2 6" xfId="37110"/>
    <cellStyle name="Totaal 3 2 80 3" xfId="9908"/>
    <cellStyle name="Totaal 3 2 80 4" xfId="25601"/>
    <cellStyle name="Totaal 3 2 80 4 2" xfId="37111"/>
    <cellStyle name="Totaal 3 2 80 5" xfId="37112"/>
    <cellStyle name="Totaal 3 2 80 6" xfId="37113"/>
    <cellStyle name="Totaal 3 2 80 7" xfId="37114"/>
    <cellStyle name="Totaal 3 2 81" xfId="1379"/>
    <cellStyle name="Totaal 3 2 81 2" xfId="7267"/>
    <cellStyle name="Totaal 3 2 81 2 2" xfId="11599"/>
    <cellStyle name="Totaal 3 2 81 2 3" xfId="25602"/>
    <cellStyle name="Totaal 3 2 81 2 3 2" xfId="37115"/>
    <cellStyle name="Totaal 3 2 81 2 4" xfId="37116"/>
    <cellStyle name="Totaal 3 2 81 2 5" xfId="37117"/>
    <cellStyle name="Totaal 3 2 81 2 6" xfId="37118"/>
    <cellStyle name="Totaal 3 2 81 3" xfId="9909"/>
    <cellStyle name="Totaal 3 2 81 4" xfId="25603"/>
    <cellStyle name="Totaal 3 2 81 4 2" xfId="37119"/>
    <cellStyle name="Totaal 3 2 81 5" xfId="37120"/>
    <cellStyle name="Totaal 3 2 81 6" xfId="37121"/>
    <cellStyle name="Totaal 3 2 81 7" xfId="37122"/>
    <cellStyle name="Totaal 3 2 82" xfId="7268"/>
    <cellStyle name="Totaal 3 2 82 2" xfId="11520"/>
    <cellStyle name="Totaal 3 2 82 3" xfId="25604"/>
    <cellStyle name="Totaal 3 2 82 3 2" xfId="37123"/>
    <cellStyle name="Totaal 3 2 82 4" xfId="37124"/>
    <cellStyle name="Totaal 3 2 82 5" xfId="37125"/>
    <cellStyle name="Totaal 3 2 82 6" xfId="37126"/>
    <cellStyle name="Totaal 3 2 83" xfId="9830"/>
    <cellStyle name="Totaal 3 2 84" xfId="25605"/>
    <cellStyle name="Totaal 3 2 84 2" xfId="37127"/>
    <cellStyle name="Totaal 3 2 85" xfId="37128"/>
    <cellStyle name="Totaal 3 2 86" xfId="37129"/>
    <cellStyle name="Totaal 3 2 87" xfId="37130"/>
    <cellStyle name="Totaal 3 2 9" xfId="1380"/>
    <cellStyle name="Totaal 3 2 9 2" xfId="7269"/>
    <cellStyle name="Totaal 3 2 9 2 2" xfId="11600"/>
    <cellStyle name="Totaal 3 2 9 2 3" xfId="25606"/>
    <cellStyle name="Totaal 3 2 9 2 3 2" xfId="37131"/>
    <cellStyle name="Totaal 3 2 9 2 4" xfId="37132"/>
    <cellStyle name="Totaal 3 2 9 2 5" xfId="37133"/>
    <cellStyle name="Totaal 3 2 9 2 6" xfId="37134"/>
    <cellStyle name="Totaal 3 2 9 3" xfId="9910"/>
    <cellStyle name="Totaal 3 2 9 4" xfId="25607"/>
    <cellStyle name="Totaal 3 2 9 4 2" xfId="37135"/>
    <cellStyle name="Totaal 3 2 9 5" xfId="37136"/>
    <cellStyle name="Totaal 3 2 9 6" xfId="37137"/>
    <cellStyle name="Totaal 3 2 9 7" xfId="37138"/>
    <cellStyle name="Totaal 3 20" xfId="1381"/>
    <cellStyle name="Totaal 3 20 2" xfId="7270"/>
    <cellStyle name="Totaal 3 20 2 2" xfId="11601"/>
    <cellStyle name="Totaal 3 20 2 3" xfId="25608"/>
    <cellStyle name="Totaal 3 20 2 3 2" xfId="37139"/>
    <cellStyle name="Totaal 3 20 2 4" xfId="37140"/>
    <cellStyle name="Totaal 3 20 2 5" xfId="37141"/>
    <cellStyle name="Totaal 3 20 2 6" xfId="37142"/>
    <cellStyle name="Totaal 3 20 3" xfId="9911"/>
    <cellStyle name="Totaal 3 20 4" xfId="25609"/>
    <cellStyle name="Totaal 3 20 4 2" xfId="37143"/>
    <cellStyle name="Totaal 3 20 5" xfId="37144"/>
    <cellStyle name="Totaal 3 20 6" xfId="37145"/>
    <cellStyle name="Totaal 3 20 7" xfId="37146"/>
    <cellStyle name="Totaal 3 21" xfId="1382"/>
    <cellStyle name="Totaal 3 21 2" xfId="7271"/>
    <cellStyle name="Totaal 3 21 2 2" xfId="11602"/>
    <cellStyle name="Totaal 3 21 2 3" xfId="25610"/>
    <cellStyle name="Totaal 3 21 2 3 2" xfId="37147"/>
    <cellStyle name="Totaal 3 21 2 4" xfId="37148"/>
    <cellStyle name="Totaal 3 21 2 5" xfId="37149"/>
    <cellStyle name="Totaal 3 21 2 6" xfId="37150"/>
    <cellStyle name="Totaal 3 21 3" xfId="9912"/>
    <cellStyle name="Totaal 3 21 4" xfId="25611"/>
    <cellStyle name="Totaal 3 21 4 2" xfId="37151"/>
    <cellStyle name="Totaal 3 21 5" xfId="37152"/>
    <cellStyle name="Totaal 3 21 6" xfId="37153"/>
    <cellStyle name="Totaal 3 21 7" xfId="37154"/>
    <cellStyle name="Totaal 3 22" xfId="1383"/>
    <cellStyle name="Totaal 3 22 2" xfId="7272"/>
    <cellStyle name="Totaal 3 22 2 2" xfId="11603"/>
    <cellStyle name="Totaal 3 22 2 3" xfId="25612"/>
    <cellStyle name="Totaal 3 22 2 3 2" xfId="37155"/>
    <cellStyle name="Totaal 3 22 2 4" xfId="37156"/>
    <cellStyle name="Totaal 3 22 2 5" xfId="37157"/>
    <cellStyle name="Totaal 3 22 2 6" xfId="37158"/>
    <cellStyle name="Totaal 3 22 3" xfId="9913"/>
    <cellStyle name="Totaal 3 22 4" xfId="25613"/>
    <cellStyle name="Totaal 3 22 4 2" xfId="37159"/>
    <cellStyle name="Totaal 3 22 5" xfId="37160"/>
    <cellStyle name="Totaal 3 22 6" xfId="37161"/>
    <cellStyle name="Totaal 3 22 7" xfId="37162"/>
    <cellStyle name="Totaal 3 23" xfId="1384"/>
    <cellStyle name="Totaal 3 23 2" xfId="7273"/>
    <cellStyle name="Totaal 3 23 2 2" xfId="11604"/>
    <cellStyle name="Totaal 3 23 2 3" xfId="25614"/>
    <cellStyle name="Totaal 3 23 2 3 2" xfId="37163"/>
    <cellStyle name="Totaal 3 23 2 4" xfId="37164"/>
    <cellStyle name="Totaal 3 23 2 5" xfId="37165"/>
    <cellStyle name="Totaal 3 23 2 6" xfId="37166"/>
    <cellStyle name="Totaal 3 23 3" xfId="9914"/>
    <cellStyle name="Totaal 3 23 4" xfId="25615"/>
    <cellStyle name="Totaal 3 23 4 2" xfId="37167"/>
    <cellStyle name="Totaal 3 23 5" xfId="37168"/>
    <cellStyle name="Totaal 3 23 6" xfId="37169"/>
    <cellStyle name="Totaal 3 23 7" xfId="37170"/>
    <cellStyle name="Totaal 3 24" xfId="1385"/>
    <cellStyle name="Totaal 3 24 2" xfId="7274"/>
    <cellStyle name="Totaal 3 24 2 2" xfId="11605"/>
    <cellStyle name="Totaal 3 24 2 3" xfId="25616"/>
    <cellStyle name="Totaal 3 24 2 3 2" xfId="37171"/>
    <cellStyle name="Totaal 3 24 2 4" xfId="37172"/>
    <cellStyle name="Totaal 3 24 2 5" xfId="37173"/>
    <cellStyle name="Totaal 3 24 2 6" xfId="37174"/>
    <cellStyle name="Totaal 3 24 3" xfId="9915"/>
    <cellStyle name="Totaal 3 24 4" xfId="25617"/>
    <cellStyle name="Totaal 3 24 4 2" xfId="37175"/>
    <cellStyle name="Totaal 3 24 5" xfId="37176"/>
    <cellStyle name="Totaal 3 24 6" xfId="37177"/>
    <cellStyle name="Totaal 3 24 7" xfId="37178"/>
    <cellStyle name="Totaal 3 25" xfId="1386"/>
    <cellStyle name="Totaal 3 25 2" xfId="7275"/>
    <cellStyle name="Totaal 3 25 2 2" xfId="11606"/>
    <cellStyle name="Totaal 3 25 2 3" xfId="25618"/>
    <cellStyle name="Totaal 3 25 2 3 2" xfId="37179"/>
    <cellStyle name="Totaal 3 25 2 4" xfId="37180"/>
    <cellStyle name="Totaal 3 25 2 5" xfId="37181"/>
    <cellStyle name="Totaal 3 25 2 6" xfId="37182"/>
    <cellStyle name="Totaal 3 25 3" xfId="9916"/>
    <cellStyle name="Totaal 3 25 4" xfId="25619"/>
    <cellStyle name="Totaal 3 25 4 2" xfId="37183"/>
    <cellStyle name="Totaal 3 25 5" xfId="37184"/>
    <cellStyle name="Totaal 3 25 6" xfId="37185"/>
    <cellStyle name="Totaal 3 25 7" xfId="37186"/>
    <cellStyle name="Totaal 3 26" xfId="1387"/>
    <cellStyle name="Totaal 3 26 2" xfId="7276"/>
    <cellStyle name="Totaal 3 26 2 2" xfId="11607"/>
    <cellStyle name="Totaal 3 26 2 3" xfId="25620"/>
    <cellStyle name="Totaal 3 26 2 3 2" xfId="37187"/>
    <cellStyle name="Totaal 3 26 2 4" xfId="37188"/>
    <cellStyle name="Totaal 3 26 2 5" xfId="37189"/>
    <cellStyle name="Totaal 3 26 2 6" xfId="37190"/>
    <cellStyle name="Totaal 3 26 3" xfId="9917"/>
    <cellStyle name="Totaal 3 26 4" xfId="25621"/>
    <cellStyle name="Totaal 3 26 4 2" xfId="37191"/>
    <cellStyle name="Totaal 3 26 5" xfId="37192"/>
    <cellStyle name="Totaal 3 26 6" xfId="37193"/>
    <cellStyle name="Totaal 3 26 7" xfId="37194"/>
    <cellStyle name="Totaal 3 27" xfId="1388"/>
    <cellStyle name="Totaal 3 27 2" xfId="7277"/>
    <cellStyle name="Totaal 3 27 2 2" xfId="11608"/>
    <cellStyle name="Totaal 3 27 2 3" xfId="25622"/>
    <cellStyle name="Totaal 3 27 2 3 2" xfId="37195"/>
    <cellStyle name="Totaal 3 27 2 4" xfId="37196"/>
    <cellStyle name="Totaal 3 27 2 5" xfId="37197"/>
    <cellStyle name="Totaal 3 27 2 6" xfId="37198"/>
    <cellStyle name="Totaal 3 27 3" xfId="9918"/>
    <cellStyle name="Totaal 3 27 4" xfId="25623"/>
    <cellStyle name="Totaal 3 27 4 2" xfId="37199"/>
    <cellStyle name="Totaal 3 27 5" xfId="37200"/>
    <cellStyle name="Totaal 3 27 6" xfId="37201"/>
    <cellStyle name="Totaal 3 27 7" xfId="37202"/>
    <cellStyle name="Totaal 3 28" xfId="1389"/>
    <cellStyle name="Totaal 3 28 2" xfId="7278"/>
    <cellStyle name="Totaal 3 28 2 2" xfId="11609"/>
    <cellStyle name="Totaal 3 28 2 3" xfId="25624"/>
    <cellStyle name="Totaal 3 28 2 3 2" xfId="37203"/>
    <cellStyle name="Totaal 3 28 2 4" xfId="37204"/>
    <cellStyle name="Totaal 3 28 2 5" xfId="37205"/>
    <cellStyle name="Totaal 3 28 2 6" xfId="37206"/>
    <cellStyle name="Totaal 3 28 3" xfId="9919"/>
    <cellStyle name="Totaal 3 28 4" xfId="25625"/>
    <cellStyle name="Totaal 3 28 4 2" xfId="37207"/>
    <cellStyle name="Totaal 3 28 5" xfId="37208"/>
    <cellStyle name="Totaal 3 28 6" xfId="37209"/>
    <cellStyle name="Totaal 3 28 7" xfId="37210"/>
    <cellStyle name="Totaal 3 29" xfId="1390"/>
    <cellStyle name="Totaal 3 29 2" xfId="7279"/>
    <cellStyle name="Totaal 3 29 2 2" xfId="11610"/>
    <cellStyle name="Totaal 3 29 2 3" xfId="25626"/>
    <cellStyle name="Totaal 3 29 2 3 2" xfId="37211"/>
    <cellStyle name="Totaal 3 29 2 4" xfId="37212"/>
    <cellStyle name="Totaal 3 29 2 5" xfId="37213"/>
    <cellStyle name="Totaal 3 29 2 6" xfId="37214"/>
    <cellStyle name="Totaal 3 29 3" xfId="9920"/>
    <cellStyle name="Totaal 3 29 4" xfId="25627"/>
    <cellStyle name="Totaal 3 29 4 2" xfId="37215"/>
    <cellStyle name="Totaal 3 29 5" xfId="37216"/>
    <cellStyle name="Totaal 3 29 6" xfId="37217"/>
    <cellStyle name="Totaal 3 29 7" xfId="37218"/>
    <cellStyle name="Totaal 3 3" xfId="1391"/>
    <cellStyle name="Totaal 3 3 2" xfId="7280"/>
    <cellStyle name="Totaal 3 3 2 2" xfId="11611"/>
    <cellStyle name="Totaal 3 3 2 3" xfId="25628"/>
    <cellStyle name="Totaal 3 3 2 3 2" xfId="37219"/>
    <cellStyle name="Totaal 3 3 2 4" xfId="37220"/>
    <cellStyle name="Totaal 3 3 2 5" xfId="37221"/>
    <cellStyle name="Totaal 3 3 2 6" xfId="37222"/>
    <cellStyle name="Totaal 3 3 3" xfId="9921"/>
    <cellStyle name="Totaal 3 3 4" xfId="25629"/>
    <cellStyle name="Totaal 3 3 4 2" xfId="37223"/>
    <cellStyle name="Totaal 3 3 5" xfId="37224"/>
    <cellStyle name="Totaal 3 3 6" xfId="37225"/>
    <cellStyle name="Totaal 3 3 7" xfId="37226"/>
    <cellStyle name="Totaal 3 30" xfId="1392"/>
    <cellStyle name="Totaal 3 30 2" xfId="7281"/>
    <cellStyle name="Totaal 3 30 2 2" xfId="11612"/>
    <cellStyle name="Totaal 3 30 2 3" xfId="25630"/>
    <cellStyle name="Totaal 3 30 2 3 2" xfId="37227"/>
    <cellStyle name="Totaal 3 30 2 4" xfId="37228"/>
    <cellStyle name="Totaal 3 30 2 5" xfId="37229"/>
    <cellStyle name="Totaal 3 30 2 6" xfId="37230"/>
    <cellStyle name="Totaal 3 30 3" xfId="9922"/>
    <cellStyle name="Totaal 3 30 4" xfId="25631"/>
    <cellStyle name="Totaal 3 30 4 2" xfId="37231"/>
    <cellStyle name="Totaal 3 30 5" xfId="37232"/>
    <cellStyle name="Totaal 3 30 6" xfId="37233"/>
    <cellStyle name="Totaal 3 30 7" xfId="37234"/>
    <cellStyle name="Totaal 3 31" xfId="7282"/>
    <cellStyle name="Totaal 3 31 2" xfId="11509"/>
    <cellStyle name="Totaal 3 31 3" xfId="25632"/>
    <cellStyle name="Totaal 3 31 3 2" xfId="37235"/>
    <cellStyle name="Totaal 3 31 4" xfId="37236"/>
    <cellStyle name="Totaal 3 31 5" xfId="37237"/>
    <cellStyle name="Totaal 3 31 6" xfId="37238"/>
    <cellStyle name="Totaal 3 32" xfId="9819"/>
    <cellStyle name="Totaal 3 33" xfId="25633"/>
    <cellStyle name="Totaal 3 33 2" xfId="37239"/>
    <cellStyle name="Totaal 3 34" xfId="37240"/>
    <cellStyle name="Totaal 3 35" xfId="37241"/>
    <cellStyle name="Totaal 3 36" xfId="37242"/>
    <cellStyle name="Totaal 3 4" xfId="1393"/>
    <cellStyle name="Totaal 3 4 2" xfId="7283"/>
    <cellStyle name="Totaal 3 4 2 2" xfId="11613"/>
    <cellStyle name="Totaal 3 4 2 3" xfId="25634"/>
    <cellStyle name="Totaal 3 4 2 3 2" xfId="37243"/>
    <cellStyle name="Totaal 3 4 2 4" xfId="37244"/>
    <cellStyle name="Totaal 3 4 2 5" xfId="37245"/>
    <cellStyle name="Totaal 3 4 2 6" xfId="37246"/>
    <cellStyle name="Totaal 3 4 3" xfId="9923"/>
    <cellStyle name="Totaal 3 4 4" xfId="25635"/>
    <cellStyle name="Totaal 3 4 4 2" xfId="37247"/>
    <cellStyle name="Totaal 3 4 5" xfId="37248"/>
    <cellStyle name="Totaal 3 4 6" xfId="37249"/>
    <cellStyle name="Totaal 3 4 7" xfId="37250"/>
    <cellStyle name="Totaal 3 5" xfId="1394"/>
    <cellStyle name="Totaal 3 5 2" xfId="7284"/>
    <cellStyle name="Totaal 3 5 2 2" xfId="11614"/>
    <cellStyle name="Totaal 3 5 2 3" xfId="25636"/>
    <cellStyle name="Totaal 3 5 2 3 2" xfId="37251"/>
    <cellStyle name="Totaal 3 5 2 4" xfId="37252"/>
    <cellStyle name="Totaal 3 5 2 5" xfId="37253"/>
    <cellStyle name="Totaal 3 5 2 6" xfId="37254"/>
    <cellStyle name="Totaal 3 5 3" xfId="9924"/>
    <cellStyle name="Totaal 3 5 4" xfId="25637"/>
    <cellStyle name="Totaal 3 5 4 2" xfId="37255"/>
    <cellStyle name="Totaal 3 5 5" xfId="37256"/>
    <cellStyle name="Totaal 3 5 6" xfId="37257"/>
    <cellStyle name="Totaal 3 5 7" xfId="37258"/>
    <cellStyle name="Totaal 3 6" xfId="1395"/>
    <cellStyle name="Totaal 3 6 2" xfId="7285"/>
    <cellStyle name="Totaal 3 6 2 2" xfId="11615"/>
    <cellStyle name="Totaal 3 6 2 3" xfId="25638"/>
    <cellStyle name="Totaal 3 6 2 3 2" xfId="37259"/>
    <cellStyle name="Totaal 3 6 2 4" xfId="37260"/>
    <cellStyle name="Totaal 3 6 2 5" xfId="37261"/>
    <cellStyle name="Totaal 3 6 2 6" xfId="37262"/>
    <cellStyle name="Totaal 3 6 3" xfId="9925"/>
    <cellStyle name="Totaal 3 6 4" xfId="25639"/>
    <cellStyle name="Totaal 3 6 4 2" xfId="37263"/>
    <cellStyle name="Totaal 3 6 5" xfId="37264"/>
    <cellStyle name="Totaal 3 6 6" xfId="37265"/>
    <cellStyle name="Totaal 3 6 7" xfId="37266"/>
    <cellStyle name="Totaal 3 7" xfId="1396"/>
    <cellStyle name="Totaal 3 7 2" xfId="7286"/>
    <cellStyle name="Totaal 3 7 2 2" xfId="11616"/>
    <cellStyle name="Totaal 3 7 2 3" xfId="25640"/>
    <cellStyle name="Totaal 3 7 2 3 2" xfId="37267"/>
    <cellStyle name="Totaal 3 7 2 4" xfId="37268"/>
    <cellStyle name="Totaal 3 7 2 5" xfId="37269"/>
    <cellStyle name="Totaal 3 7 2 6" xfId="37270"/>
    <cellStyle name="Totaal 3 7 3" xfId="9926"/>
    <cellStyle name="Totaal 3 7 4" xfId="25641"/>
    <cellStyle name="Totaal 3 7 4 2" xfId="37271"/>
    <cellStyle name="Totaal 3 7 5" xfId="37272"/>
    <cellStyle name="Totaal 3 7 6" xfId="37273"/>
    <cellStyle name="Totaal 3 7 7" xfId="37274"/>
    <cellStyle name="Totaal 3 8" xfId="1397"/>
    <cellStyle name="Totaal 3 8 2" xfId="7287"/>
    <cellStyle name="Totaal 3 8 2 2" xfId="11617"/>
    <cellStyle name="Totaal 3 8 2 3" xfId="25642"/>
    <cellStyle name="Totaal 3 8 2 3 2" xfId="37275"/>
    <cellStyle name="Totaal 3 8 2 4" xfId="37276"/>
    <cellStyle name="Totaal 3 8 2 5" xfId="37277"/>
    <cellStyle name="Totaal 3 8 2 6" xfId="37278"/>
    <cellStyle name="Totaal 3 8 3" xfId="9927"/>
    <cellStyle name="Totaal 3 8 4" xfId="25643"/>
    <cellStyle name="Totaal 3 8 4 2" xfId="37279"/>
    <cellStyle name="Totaal 3 8 5" xfId="37280"/>
    <cellStyle name="Totaal 3 8 6" xfId="37281"/>
    <cellStyle name="Totaal 3 8 7" xfId="37282"/>
    <cellStyle name="Totaal 3 9" xfId="1398"/>
    <cellStyle name="Totaal 3 9 2" xfId="7288"/>
    <cellStyle name="Totaal 3 9 2 2" xfId="11618"/>
    <cellStyle name="Totaal 3 9 2 3" xfId="25644"/>
    <cellStyle name="Totaal 3 9 2 3 2" xfId="37283"/>
    <cellStyle name="Totaal 3 9 2 4" xfId="37284"/>
    <cellStyle name="Totaal 3 9 2 5" xfId="37285"/>
    <cellStyle name="Totaal 3 9 2 6" xfId="37286"/>
    <cellStyle name="Totaal 3 9 3" xfId="9928"/>
    <cellStyle name="Totaal 3 9 4" xfId="25645"/>
    <cellStyle name="Totaal 3 9 4 2" xfId="37287"/>
    <cellStyle name="Totaal 3 9 5" xfId="37288"/>
    <cellStyle name="Totaal 3 9 6" xfId="37289"/>
    <cellStyle name="Totaal 3 9 7" xfId="37290"/>
    <cellStyle name="Total" xfId="1399"/>
    <cellStyle name="Total 10" xfId="1400"/>
    <cellStyle name="Total 10 2" xfId="7289"/>
    <cellStyle name="Total 10 2 2" xfId="11620"/>
    <cellStyle name="Total 10 2 3" xfId="25646"/>
    <cellStyle name="Total 10 2 3 2" xfId="37291"/>
    <cellStyle name="Total 10 2 4" xfId="37292"/>
    <cellStyle name="Total 10 2 5" xfId="37293"/>
    <cellStyle name="Total 10 2 6" xfId="37294"/>
    <cellStyle name="Total 10 3" xfId="9930"/>
    <cellStyle name="Total 10 4" xfId="25647"/>
    <cellStyle name="Total 10 4 2" xfId="37295"/>
    <cellStyle name="Total 10 5" xfId="37296"/>
    <cellStyle name="Total 10 6" xfId="37297"/>
    <cellStyle name="Total 10 7" xfId="37298"/>
    <cellStyle name="Total 11" xfId="1401"/>
    <cellStyle name="Total 11 2" xfId="7290"/>
    <cellStyle name="Total 11 2 2" xfId="11621"/>
    <cellStyle name="Total 11 2 3" xfId="25648"/>
    <cellStyle name="Total 11 2 3 2" xfId="37299"/>
    <cellStyle name="Total 11 2 4" xfId="37300"/>
    <cellStyle name="Total 11 2 5" xfId="37301"/>
    <cellStyle name="Total 11 2 6" xfId="37302"/>
    <cellStyle name="Total 11 3" xfId="9931"/>
    <cellStyle name="Total 11 4" xfId="25649"/>
    <cellStyle name="Total 11 4 2" xfId="37303"/>
    <cellStyle name="Total 11 5" xfId="37304"/>
    <cellStyle name="Total 11 6" xfId="37305"/>
    <cellStyle name="Total 11 7" xfId="37306"/>
    <cellStyle name="Total 12" xfId="1402"/>
    <cellStyle name="Total 12 2" xfId="7291"/>
    <cellStyle name="Total 12 2 2" xfId="11622"/>
    <cellStyle name="Total 12 2 3" xfId="25650"/>
    <cellStyle name="Total 12 2 3 2" xfId="37307"/>
    <cellStyle name="Total 12 2 4" xfId="37308"/>
    <cellStyle name="Total 12 2 5" xfId="37309"/>
    <cellStyle name="Total 12 2 6" xfId="37310"/>
    <cellStyle name="Total 12 3" xfId="9932"/>
    <cellStyle name="Total 12 4" xfId="25651"/>
    <cellStyle name="Total 12 4 2" xfId="37311"/>
    <cellStyle name="Total 12 5" xfId="37312"/>
    <cellStyle name="Total 12 6" xfId="37313"/>
    <cellStyle name="Total 12 7" xfId="37314"/>
    <cellStyle name="Total 13" xfId="1403"/>
    <cellStyle name="Total 13 2" xfId="7292"/>
    <cellStyle name="Total 13 2 2" xfId="11623"/>
    <cellStyle name="Total 13 2 3" xfId="25652"/>
    <cellStyle name="Total 13 2 3 2" xfId="37315"/>
    <cellStyle name="Total 13 2 4" xfId="37316"/>
    <cellStyle name="Total 13 2 5" xfId="37317"/>
    <cellStyle name="Total 13 2 6" xfId="37318"/>
    <cellStyle name="Total 13 3" xfId="9933"/>
    <cellStyle name="Total 13 4" xfId="25653"/>
    <cellStyle name="Total 13 4 2" xfId="37319"/>
    <cellStyle name="Total 13 5" xfId="37320"/>
    <cellStyle name="Total 13 6" xfId="37321"/>
    <cellStyle name="Total 13 7" xfId="37322"/>
    <cellStyle name="Total 14" xfId="1404"/>
    <cellStyle name="Total 14 2" xfId="7293"/>
    <cellStyle name="Total 14 2 2" xfId="11624"/>
    <cellStyle name="Total 14 2 3" xfId="25654"/>
    <cellStyle name="Total 14 2 3 2" xfId="37323"/>
    <cellStyle name="Total 14 2 4" xfId="37324"/>
    <cellStyle name="Total 14 2 5" xfId="37325"/>
    <cellStyle name="Total 14 2 6" xfId="37326"/>
    <cellStyle name="Total 14 3" xfId="9934"/>
    <cellStyle name="Total 14 4" xfId="25655"/>
    <cellStyle name="Total 14 4 2" xfId="37327"/>
    <cellStyle name="Total 14 5" xfId="37328"/>
    <cellStyle name="Total 14 6" xfId="37329"/>
    <cellStyle name="Total 14 7" xfId="37330"/>
    <cellStyle name="Total 15" xfId="1405"/>
    <cellStyle name="Total 15 2" xfId="7294"/>
    <cellStyle name="Total 15 2 2" xfId="11625"/>
    <cellStyle name="Total 15 2 3" xfId="25656"/>
    <cellStyle name="Total 15 2 3 2" xfId="37331"/>
    <cellStyle name="Total 15 2 4" xfId="37332"/>
    <cellStyle name="Total 15 2 5" xfId="37333"/>
    <cellStyle name="Total 15 2 6" xfId="37334"/>
    <cellStyle name="Total 15 3" xfId="9935"/>
    <cellStyle name="Total 15 4" xfId="25657"/>
    <cellStyle name="Total 15 4 2" xfId="37335"/>
    <cellStyle name="Total 15 5" xfId="37336"/>
    <cellStyle name="Total 15 6" xfId="37337"/>
    <cellStyle name="Total 15 7" xfId="37338"/>
    <cellStyle name="Total 16" xfId="1406"/>
    <cellStyle name="Total 16 2" xfId="7295"/>
    <cellStyle name="Total 16 2 2" xfId="11626"/>
    <cellStyle name="Total 16 2 3" xfId="25658"/>
    <cellStyle name="Total 16 2 3 2" xfId="37339"/>
    <cellStyle name="Total 16 2 4" xfId="37340"/>
    <cellStyle name="Total 16 2 5" xfId="37341"/>
    <cellStyle name="Total 16 2 6" xfId="37342"/>
    <cellStyle name="Total 16 3" xfId="9936"/>
    <cellStyle name="Total 16 4" xfId="25659"/>
    <cellStyle name="Total 16 4 2" xfId="37343"/>
    <cellStyle name="Total 16 5" xfId="37344"/>
    <cellStyle name="Total 16 6" xfId="37345"/>
    <cellStyle name="Total 16 7" xfId="37346"/>
    <cellStyle name="Total 17" xfId="1407"/>
    <cellStyle name="Total 17 2" xfId="7296"/>
    <cellStyle name="Total 17 2 2" xfId="11627"/>
    <cellStyle name="Total 17 2 3" xfId="25660"/>
    <cellStyle name="Total 17 2 3 2" xfId="37347"/>
    <cellStyle name="Total 17 2 4" xfId="37348"/>
    <cellStyle name="Total 17 2 5" xfId="37349"/>
    <cellStyle name="Total 17 2 6" xfId="37350"/>
    <cellStyle name="Total 17 3" xfId="9937"/>
    <cellStyle name="Total 17 4" xfId="25661"/>
    <cellStyle name="Total 17 4 2" xfId="37351"/>
    <cellStyle name="Total 17 5" xfId="37352"/>
    <cellStyle name="Total 17 6" xfId="37353"/>
    <cellStyle name="Total 17 7" xfId="37354"/>
    <cellStyle name="Total 18" xfId="1408"/>
    <cellStyle name="Total 18 2" xfId="7297"/>
    <cellStyle name="Total 18 2 2" xfId="11628"/>
    <cellStyle name="Total 18 2 3" xfId="25662"/>
    <cellStyle name="Total 18 2 3 2" xfId="37355"/>
    <cellStyle name="Total 18 2 4" xfId="37356"/>
    <cellStyle name="Total 18 2 5" xfId="37357"/>
    <cellStyle name="Total 18 2 6" xfId="37358"/>
    <cellStyle name="Total 18 3" xfId="9938"/>
    <cellStyle name="Total 18 4" xfId="25663"/>
    <cellStyle name="Total 18 4 2" xfId="37359"/>
    <cellStyle name="Total 18 5" xfId="37360"/>
    <cellStyle name="Total 18 6" xfId="37361"/>
    <cellStyle name="Total 18 7" xfId="37362"/>
    <cellStyle name="Total 19" xfId="1409"/>
    <cellStyle name="Total 19 2" xfId="7298"/>
    <cellStyle name="Total 19 2 2" xfId="11629"/>
    <cellStyle name="Total 19 2 3" xfId="25664"/>
    <cellStyle name="Total 19 2 3 2" xfId="37363"/>
    <cellStyle name="Total 19 2 4" xfId="37364"/>
    <cellStyle name="Total 19 2 5" xfId="37365"/>
    <cellStyle name="Total 19 2 6" xfId="37366"/>
    <cellStyle name="Total 19 3" xfId="9939"/>
    <cellStyle name="Total 19 4" xfId="25665"/>
    <cellStyle name="Total 19 4 2" xfId="37367"/>
    <cellStyle name="Total 19 5" xfId="37368"/>
    <cellStyle name="Total 19 6" xfId="37369"/>
    <cellStyle name="Total 19 7" xfId="37370"/>
    <cellStyle name="Total 2" xfId="1410"/>
    <cellStyle name="Total 2 10" xfId="1411"/>
    <cellStyle name="Total 2 10 2" xfId="7299"/>
    <cellStyle name="Total 2 10 2 2" xfId="11631"/>
    <cellStyle name="Total 2 10 2 3" xfId="25666"/>
    <cellStyle name="Total 2 10 2 3 2" xfId="37371"/>
    <cellStyle name="Total 2 10 2 4" xfId="37372"/>
    <cellStyle name="Total 2 10 2 5" xfId="37373"/>
    <cellStyle name="Total 2 10 2 6" xfId="37374"/>
    <cellStyle name="Total 2 10 3" xfId="9941"/>
    <cellStyle name="Total 2 10 4" xfId="25667"/>
    <cellStyle name="Total 2 10 4 2" xfId="37375"/>
    <cellStyle name="Total 2 10 5" xfId="37376"/>
    <cellStyle name="Total 2 10 6" xfId="37377"/>
    <cellStyle name="Total 2 10 7" xfId="37378"/>
    <cellStyle name="Total 2 11" xfId="1412"/>
    <cellStyle name="Total 2 11 2" xfId="7300"/>
    <cellStyle name="Total 2 11 2 2" xfId="11632"/>
    <cellStyle name="Total 2 11 2 3" xfId="25668"/>
    <cellStyle name="Total 2 11 2 3 2" xfId="37379"/>
    <cellStyle name="Total 2 11 2 4" xfId="37380"/>
    <cellStyle name="Total 2 11 2 5" xfId="37381"/>
    <cellStyle name="Total 2 11 2 6" xfId="37382"/>
    <cellStyle name="Total 2 11 3" xfId="9942"/>
    <cellStyle name="Total 2 11 4" xfId="25669"/>
    <cellStyle name="Total 2 11 4 2" xfId="37383"/>
    <cellStyle name="Total 2 11 5" xfId="37384"/>
    <cellStyle name="Total 2 11 6" xfId="37385"/>
    <cellStyle name="Total 2 11 7" xfId="37386"/>
    <cellStyle name="Total 2 12" xfId="1413"/>
    <cellStyle name="Total 2 12 2" xfId="7301"/>
    <cellStyle name="Total 2 12 2 2" xfId="11633"/>
    <cellStyle name="Total 2 12 2 3" xfId="25670"/>
    <cellStyle name="Total 2 12 2 3 2" xfId="37387"/>
    <cellStyle name="Total 2 12 2 4" xfId="37388"/>
    <cellStyle name="Total 2 12 2 5" xfId="37389"/>
    <cellStyle name="Total 2 12 2 6" xfId="37390"/>
    <cellStyle name="Total 2 12 3" xfId="9943"/>
    <cellStyle name="Total 2 12 4" xfId="25671"/>
    <cellStyle name="Total 2 12 4 2" xfId="37391"/>
    <cellStyle name="Total 2 12 5" xfId="37392"/>
    <cellStyle name="Total 2 12 6" xfId="37393"/>
    <cellStyle name="Total 2 12 7" xfId="37394"/>
    <cellStyle name="Total 2 13" xfId="1414"/>
    <cellStyle name="Total 2 13 2" xfId="7302"/>
    <cellStyle name="Total 2 13 2 2" xfId="11634"/>
    <cellStyle name="Total 2 13 2 3" xfId="25672"/>
    <cellStyle name="Total 2 13 2 3 2" xfId="37395"/>
    <cellStyle name="Total 2 13 2 4" xfId="37396"/>
    <cellStyle name="Total 2 13 2 5" xfId="37397"/>
    <cellStyle name="Total 2 13 2 6" xfId="37398"/>
    <cellStyle name="Total 2 13 3" xfId="9944"/>
    <cellStyle name="Total 2 13 4" xfId="25673"/>
    <cellStyle name="Total 2 13 4 2" xfId="37399"/>
    <cellStyle name="Total 2 13 5" xfId="37400"/>
    <cellStyle name="Total 2 13 6" xfId="37401"/>
    <cellStyle name="Total 2 13 7" xfId="37402"/>
    <cellStyle name="Total 2 14" xfId="1415"/>
    <cellStyle name="Total 2 14 2" xfId="7303"/>
    <cellStyle name="Total 2 14 2 2" xfId="11635"/>
    <cellStyle name="Total 2 14 2 3" xfId="25674"/>
    <cellStyle name="Total 2 14 2 3 2" xfId="37403"/>
    <cellStyle name="Total 2 14 2 4" xfId="37404"/>
    <cellStyle name="Total 2 14 2 5" xfId="37405"/>
    <cellStyle name="Total 2 14 2 6" xfId="37406"/>
    <cellStyle name="Total 2 14 3" xfId="9945"/>
    <cellStyle name="Total 2 14 4" xfId="25675"/>
    <cellStyle name="Total 2 14 4 2" xfId="37407"/>
    <cellStyle name="Total 2 14 5" xfId="37408"/>
    <cellStyle name="Total 2 14 6" xfId="37409"/>
    <cellStyle name="Total 2 14 7" xfId="37410"/>
    <cellStyle name="Total 2 15" xfId="1416"/>
    <cellStyle name="Total 2 15 2" xfId="7304"/>
    <cellStyle name="Total 2 15 2 2" xfId="11636"/>
    <cellStyle name="Total 2 15 2 3" xfId="25676"/>
    <cellStyle name="Total 2 15 2 3 2" xfId="37411"/>
    <cellStyle name="Total 2 15 2 4" xfId="37412"/>
    <cellStyle name="Total 2 15 2 5" xfId="37413"/>
    <cellStyle name="Total 2 15 2 6" xfId="37414"/>
    <cellStyle name="Total 2 15 3" xfId="9946"/>
    <cellStyle name="Total 2 15 4" xfId="25677"/>
    <cellStyle name="Total 2 15 4 2" xfId="37415"/>
    <cellStyle name="Total 2 15 5" xfId="37416"/>
    <cellStyle name="Total 2 15 6" xfId="37417"/>
    <cellStyle name="Total 2 15 7" xfId="37418"/>
    <cellStyle name="Total 2 16" xfId="1417"/>
    <cellStyle name="Total 2 16 2" xfId="7305"/>
    <cellStyle name="Total 2 16 2 2" xfId="11637"/>
    <cellStyle name="Total 2 16 2 3" xfId="25678"/>
    <cellStyle name="Total 2 16 2 3 2" xfId="37419"/>
    <cellStyle name="Total 2 16 2 4" xfId="37420"/>
    <cellStyle name="Total 2 16 2 5" xfId="37421"/>
    <cellStyle name="Total 2 16 2 6" xfId="37422"/>
    <cellStyle name="Total 2 16 3" xfId="9947"/>
    <cellStyle name="Total 2 16 4" xfId="25679"/>
    <cellStyle name="Total 2 16 4 2" xfId="37423"/>
    <cellStyle name="Total 2 16 5" xfId="37424"/>
    <cellStyle name="Total 2 16 6" xfId="37425"/>
    <cellStyle name="Total 2 16 7" xfId="37426"/>
    <cellStyle name="Total 2 17" xfId="1418"/>
    <cellStyle name="Total 2 17 2" xfId="7306"/>
    <cellStyle name="Total 2 17 2 2" xfId="11638"/>
    <cellStyle name="Total 2 17 2 3" xfId="25680"/>
    <cellStyle name="Total 2 17 2 3 2" xfId="37427"/>
    <cellStyle name="Total 2 17 2 4" xfId="37428"/>
    <cellStyle name="Total 2 17 2 5" xfId="37429"/>
    <cellStyle name="Total 2 17 2 6" xfId="37430"/>
    <cellStyle name="Total 2 17 3" xfId="9948"/>
    <cellStyle name="Total 2 17 4" xfId="25681"/>
    <cellStyle name="Total 2 17 4 2" xfId="37431"/>
    <cellStyle name="Total 2 17 5" xfId="37432"/>
    <cellStyle name="Total 2 17 6" xfId="37433"/>
    <cellStyle name="Total 2 17 7" xfId="37434"/>
    <cellStyle name="Total 2 18" xfId="1419"/>
    <cellStyle name="Total 2 18 2" xfId="7307"/>
    <cellStyle name="Total 2 18 2 2" xfId="11639"/>
    <cellStyle name="Total 2 18 2 3" xfId="25682"/>
    <cellStyle name="Total 2 18 2 3 2" xfId="37435"/>
    <cellStyle name="Total 2 18 2 4" xfId="37436"/>
    <cellStyle name="Total 2 18 2 5" xfId="37437"/>
    <cellStyle name="Total 2 18 2 6" xfId="37438"/>
    <cellStyle name="Total 2 18 3" xfId="9949"/>
    <cellStyle name="Total 2 18 4" xfId="25683"/>
    <cellStyle name="Total 2 18 4 2" xfId="37439"/>
    <cellStyle name="Total 2 18 5" xfId="37440"/>
    <cellStyle name="Total 2 18 6" xfId="37441"/>
    <cellStyle name="Total 2 18 7" xfId="37442"/>
    <cellStyle name="Total 2 19" xfId="1420"/>
    <cellStyle name="Total 2 19 2" xfId="7308"/>
    <cellStyle name="Total 2 19 2 2" xfId="11640"/>
    <cellStyle name="Total 2 19 2 3" xfId="25684"/>
    <cellStyle name="Total 2 19 2 3 2" xfId="37443"/>
    <cellStyle name="Total 2 19 2 4" xfId="37444"/>
    <cellStyle name="Total 2 19 2 5" xfId="37445"/>
    <cellStyle name="Total 2 19 2 6" xfId="37446"/>
    <cellStyle name="Total 2 19 3" xfId="9950"/>
    <cellStyle name="Total 2 19 4" xfId="25685"/>
    <cellStyle name="Total 2 19 4 2" xfId="37447"/>
    <cellStyle name="Total 2 19 5" xfId="37448"/>
    <cellStyle name="Total 2 19 6" xfId="37449"/>
    <cellStyle name="Total 2 19 7" xfId="37450"/>
    <cellStyle name="Total 2 2" xfId="1421"/>
    <cellStyle name="Total 2 2 2" xfId="7309"/>
    <cellStyle name="Total 2 2 2 2" xfId="11641"/>
    <cellStyle name="Total 2 2 2 3" xfId="25686"/>
    <cellStyle name="Total 2 2 2 3 2" xfId="37451"/>
    <cellStyle name="Total 2 2 2 4" xfId="37452"/>
    <cellStyle name="Total 2 2 2 5" xfId="37453"/>
    <cellStyle name="Total 2 2 2 6" xfId="37454"/>
    <cellStyle name="Total 2 2 3" xfId="9951"/>
    <cellStyle name="Total 2 2 4" xfId="25687"/>
    <cellStyle name="Total 2 2 4 2" xfId="37455"/>
    <cellStyle name="Total 2 2 5" xfId="37456"/>
    <cellStyle name="Total 2 2 6" xfId="37457"/>
    <cellStyle name="Total 2 2 7" xfId="37458"/>
    <cellStyle name="Total 2 20" xfId="1422"/>
    <cellStyle name="Total 2 20 2" xfId="7310"/>
    <cellStyle name="Total 2 20 2 2" xfId="11642"/>
    <cellStyle name="Total 2 20 2 3" xfId="25688"/>
    <cellStyle name="Total 2 20 2 3 2" xfId="37459"/>
    <cellStyle name="Total 2 20 2 4" xfId="37460"/>
    <cellStyle name="Total 2 20 2 5" xfId="37461"/>
    <cellStyle name="Total 2 20 2 6" xfId="37462"/>
    <cellStyle name="Total 2 20 3" xfId="9952"/>
    <cellStyle name="Total 2 20 4" xfId="25689"/>
    <cellStyle name="Total 2 20 4 2" xfId="37463"/>
    <cellStyle name="Total 2 20 5" xfId="37464"/>
    <cellStyle name="Total 2 20 6" xfId="37465"/>
    <cellStyle name="Total 2 20 7" xfId="37466"/>
    <cellStyle name="Total 2 21" xfId="1423"/>
    <cellStyle name="Total 2 21 2" xfId="7311"/>
    <cellStyle name="Total 2 21 2 2" xfId="11643"/>
    <cellStyle name="Total 2 21 2 3" xfId="25690"/>
    <cellStyle name="Total 2 21 2 3 2" xfId="37467"/>
    <cellStyle name="Total 2 21 2 4" xfId="37468"/>
    <cellStyle name="Total 2 21 2 5" xfId="37469"/>
    <cellStyle name="Total 2 21 2 6" xfId="37470"/>
    <cellStyle name="Total 2 21 3" xfId="9953"/>
    <cellStyle name="Total 2 21 4" xfId="25691"/>
    <cellStyle name="Total 2 21 4 2" xfId="37471"/>
    <cellStyle name="Total 2 21 5" xfId="37472"/>
    <cellStyle name="Total 2 21 6" xfId="37473"/>
    <cellStyle name="Total 2 21 7" xfId="37474"/>
    <cellStyle name="Total 2 22" xfId="1424"/>
    <cellStyle name="Total 2 22 2" xfId="7312"/>
    <cellStyle name="Total 2 22 2 2" xfId="11644"/>
    <cellStyle name="Total 2 22 2 3" xfId="25692"/>
    <cellStyle name="Total 2 22 2 3 2" xfId="37475"/>
    <cellStyle name="Total 2 22 2 4" xfId="37476"/>
    <cellStyle name="Total 2 22 2 5" xfId="37477"/>
    <cellStyle name="Total 2 22 2 6" xfId="37478"/>
    <cellStyle name="Total 2 22 3" xfId="9954"/>
    <cellStyle name="Total 2 22 4" xfId="25693"/>
    <cellStyle name="Total 2 22 4 2" xfId="37479"/>
    <cellStyle name="Total 2 22 5" xfId="37480"/>
    <cellStyle name="Total 2 22 6" xfId="37481"/>
    <cellStyle name="Total 2 22 7" xfId="37482"/>
    <cellStyle name="Total 2 23" xfId="1425"/>
    <cellStyle name="Total 2 23 2" xfId="7313"/>
    <cellStyle name="Total 2 23 2 2" xfId="11645"/>
    <cellStyle name="Total 2 23 2 3" xfId="25694"/>
    <cellStyle name="Total 2 23 2 3 2" xfId="37483"/>
    <cellStyle name="Total 2 23 2 4" xfId="37484"/>
    <cellStyle name="Total 2 23 2 5" xfId="37485"/>
    <cellStyle name="Total 2 23 2 6" xfId="37486"/>
    <cellStyle name="Total 2 23 3" xfId="9955"/>
    <cellStyle name="Total 2 23 4" xfId="25695"/>
    <cellStyle name="Total 2 23 4 2" xfId="37487"/>
    <cellStyle name="Total 2 23 5" xfId="37488"/>
    <cellStyle name="Total 2 23 6" xfId="37489"/>
    <cellStyle name="Total 2 23 7" xfId="37490"/>
    <cellStyle name="Total 2 24" xfId="1426"/>
    <cellStyle name="Total 2 24 2" xfId="7314"/>
    <cellStyle name="Total 2 24 2 2" xfId="11646"/>
    <cellStyle name="Total 2 24 2 3" xfId="25696"/>
    <cellStyle name="Total 2 24 2 3 2" xfId="37491"/>
    <cellStyle name="Total 2 24 2 4" xfId="37492"/>
    <cellStyle name="Total 2 24 2 5" xfId="37493"/>
    <cellStyle name="Total 2 24 2 6" xfId="37494"/>
    <cellStyle name="Total 2 24 3" xfId="9956"/>
    <cellStyle name="Total 2 24 4" xfId="25697"/>
    <cellStyle name="Total 2 24 4 2" xfId="37495"/>
    <cellStyle name="Total 2 24 5" xfId="37496"/>
    <cellStyle name="Total 2 24 6" xfId="37497"/>
    <cellStyle name="Total 2 24 7" xfId="37498"/>
    <cellStyle name="Total 2 25" xfId="1427"/>
    <cellStyle name="Total 2 25 2" xfId="7315"/>
    <cellStyle name="Total 2 25 2 2" xfId="11647"/>
    <cellStyle name="Total 2 25 2 3" xfId="25698"/>
    <cellStyle name="Total 2 25 2 3 2" xfId="37499"/>
    <cellStyle name="Total 2 25 2 4" xfId="37500"/>
    <cellStyle name="Total 2 25 2 5" xfId="37501"/>
    <cellStyle name="Total 2 25 2 6" xfId="37502"/>
    <cellStyle name="Total 2 25 3" xfId="9957"/>
    <cellStyle name="Total 2 25 4" xfId="25699"/>
    <cellStyle name="Total 2 25 4 2" xfId="37503"/>
    <cellStyle name="Total 2 25 5" xfId="37504"/>
    <cellStyle name="Total 2 25 6" xfId="37505"/>
    <cellStyle name="Total 2 25 7" xfId="37506"/>
    <cellStyle name="Total 2 26" xfId="1428"/>
    <cellStyle name="Total 2 26 2" xfId="7316"/>
    <cellStyle name="Total 2 26 2 2" xfId="11648"/>
    <cellStyle name="Total 2 26 2 3" xfId="25700"/>
    <cellStyle name="Total 2 26 2 3 2" xfId="37507"/>
    <cellStyle name="Total 2 26 2 4" xfId="37508"/>
    <cellStyle name="Total 2 26 2 5" xfId="37509"/>
    <cellStyle name="Total 2 26 2 6" xfId="37510"/>
    <cellStyle name="Total 2 26 3" xfId="9958"/>
    <cellStyle name="Total 2 26 4" xfId="25701"/>
    <cellStyle name="Total 2 26 4 2" xfId="37511"/>
    <cellStyle name="Total 2 26 5" xfId="37512"/>
    <cellStyle name="Total 2 26 6" xfId="37513"/>
    <cellStyle name="Total 2 26 7" xfId="37514"/>
    <cellStyle name="Total 2 27" xfId="1429"/>
    <cellStyle name="Total 2 27 2" xfId="7317"/>
    <cellStyle name="Total 2 27 2 2" xfId="11649"/>
    <cellStyle name="Total 2 27 2 3" xfId="25702"/>
    <cellStyle name="Total 2 27 2 3 2" xfId="37515"/>
    <cellStyle name="Total 2 27 2 4" xfId="37516"/>
    <cellStyle name="Total 2 27 2 5" xfId="37517"/>
    <cellStyle name="Total 2 27 2 6" xfId="37518"/>
    <cellStyle name="Total 2 27 3" xfId="9959"/>
    <cellStyle name="Total 2 27 4" xfId="25703"/>
    <cellStyle name="Total 2 27 4 2" xfId="37519"/>
    <cellStyle name="Total 2 27 5" xfId="37520"/>
    <cellStyle name="Total 2 27 6" xfId="37521"/>
    <cellStyle name="Total 2 27 7" xfId="37522"/>
    <cellStyle name="Total 2 28" xfId="1430"/>
    <cellStyle name="Total 2 28 2" xfId="7318"/>
    <cellStyle name="Total 2 28 2 2" xfId="11650"/>
    <cellStyle name="Total 2 28 2 3" xfId="25704"/>
    <cellStyle name="Total 2 28 2 3 2" xfId="37523"/>
    <cellStyle name="Total 2 28 2 4" xfId="37524"/>
    <cellStyle name="Total 2 28 2 5" xfId="37525"/>
    <cellStyle name="Total 2 28 2 6" xfId="37526"/>
    <cellStyle name="Total 2 28 3" xfId="9960"/>
    <cellStyle name="Total 2 28 4" xfId="25705"/>
    <cellStyle name="Total 2 28 4 2" xfId="37527"/>
    <cellStyle name="Total 2 28 5" xfId="37528"/>
    <cellStyle name="Total 2 28 6" xfId="37529"/>
    <cellStyle name="Total 2 28 7" xfId="37530"/>
    <cellStyle name="Total 2 29" xfId="1431"/>
    <cellStyle name="Total 2 29 2" xfId="7319"/>
    <cellStyle name="Total 2 29 2 2" xfId="11651"/>
    <cellStyle name="Total 2 29 2 3" xfId="25706"/>
    <cellStyle name="Total 2 29 2 3 2" xfId="37531"/>
    <cellStyle name="Total 2 29 2 4" xfId="37532"/>
    <cellStyle name="Total 2 29 2 5" xfId="37533"/>
    <cellStyle name="Total 2 29 2 6" xfId="37534"/>
    <cellStyle name="Total 2 29 3" xfId="9961"/>
    <cellStyle name="Total 2 29 4" xfId="25707"/>
    <cellStyle name="Total 2 29 4 2" xfId="37535"/>
    <cellStyle name="Total 2 29 5" xfId="37536"/>
    <cellStyle name="Total 2 29 6" xfId="37537"/>
    <cellStyle name="Total 2 29 7" xfId="37538"/>
    <cellStyle name="Total 2 3" xfId="1432"/>
    <cellStyle name="Total 2 3 2" xfId="7320"/>
    <cellStyle name="Total 2 3 2 2" xfId="11652"/>
    <cellStyle name="Total 2 3 2 3" xfId="25708"/>
    <cellStyle name="Total 2 3 2 3 2" xfId="37539"/>
    <cellStyle name="Total 2 3 2 4" xfId="37540"/>
    <cellStyle name="Total 2 3 2 5" xfId="37541"/>
    <cellStyle name="Total 2 3 2 6" xfId="37542"/>
    <cellStyle name="Total 2 3 3" xfId="9962"/>
    <cellStyle name="Total 2 3 4" xfId="25709"/>
    <cellStyle name="Total 2 3 4 2" xfId="37543"/>
    <cellStyle name="Total 2 3 5" xfId="37544"/>
    <cellStyle name="Total 2 3 6" xfId="37545"/>
    <cellStyle name="Total 2 3 7" xfId="37546"/>
    <cellStyle name="Total 2 30" xfId="1433"/>
    <cellStyle name="Total 2 30 2" xfId="7321"/>
    <cellStyle name="Total 2 30 2 2" xfId="11653"/>
    <cellStyle name="Total 2 30 2 3" xfId="25710"/>
    <cellStyle name="Total 2 30 2 3 2" xfId="37547"/>
    <cellStyle name="Total 2 30 2 4" xfId="37548"/>
    <cellStyle name="Total 2 30 2 5" xfId="37549"/>
    <cellStyle name="Total 2 30 2 6" xfId="37550"/>
    <cellStyle name="Total 2 30 3" xfId="9963"/>
    <cellStyle name="Total 2 30 4" xfId="25711"/>
    <cellStyle name="Total 2 30 4 2" xfId="37551"/>
    <cellStyle name="Total 2 30 5" xfId="37552"/>
    <cellStyle name="Total 2 30 6" xfId="37553"/>
    <cellStyle name="Total 2 30 7" xfId="37554"/>
    <cellStyle name="Total 2 31" xfId="1434"/>
    <cellStyle name="Total 2 31 2" xfId="7322"/>
    <cellStyle name="Total 2 31 2 2" xfId="11654"/>
    <cellStyle name="Total 2 31 2 3" xfId="25712"/>
    <cellStyle name="Total 2 31 2 3 2" xfId="37555"/>
    <cellStyle name="Total 2 31 2 4" xfId="37556"/>
    <cellStyle name="Total 2 31 2 5" xfId="37557"/>
    <cellStyle name="Total 2 31 2 6" xfId="37558"/>
    <cellStyle name="Total 2 31 3" xfId="9964"/>
    <cellStyle name="Total 2 31 4" xfId="25713"/>
    <cellStyle name="Total 2 31 4 2" xfId="37559"/>
    <cellStyle name="Total 2 31 5" xfId="37560"/>
    <cellStyle name="Total 2 31 6" xfId="37561"/>
    <cellStyle name="Total 2 31 7" xfId="37562"/>
    <cellStyle name="Total 2 32" xfId="1435"/>
    <cellStyle name="Total 2 32 2" xfId="7323"/>
    <cellStyle name="Total 2 32 2 2" xfId="11655"/>
    <cellStyle name="Total 2 32 2 3" xfId="25714"/>
    <cellStyle name="Total 2 32 2 3 2" xfId="37563"/>
    <cellStyle name="Total 2 32 2 4" xfId="37564"/>
    <cellStyle name="Total 2 32 2 5" xfId="37565"/>
    <cellStyle name="Total 2 32 2 6" xfId="37566"/>
    <cellStyle name="Total 2 32 3" xfId="9965"/>
    <cellStyle name="Total 2 32 4" xfId="25715"/>
    <cellStyle name="Total 2 32 4 2" xfId="37567"/>
    <cellStyle name="Total 2 32 5" xfId="37568"/>
    <cellStyle name="Total 2 32 6" xfId="37569"/>
    <cellStyle name="Total 2 32 7" xfId="37570"/>
    <cellStyle name="Total 2 33" xfId="1436"/>
    <cellStyle name="Total 2 33 2" xfId="7324"/>
    <cellStyle name="Total 2 33 2 2" xfId="11656"/>
    <cellStyle name="Total 2 33 2 3" xfId="25716"/>
    <cellStyle name="Total 2 33 2 3 2" xfId="37571"/>
    <cellStyle name="Total 2 33 2 4" xfId="37572"/>
    <cellStyle name="Total 2 33 2 5" xfId="37573"/>
    <cellStyle name="Total 2 33 2 6" xfId="37574"/>
    <cellStyle name="Total 2 33 3" xfId="9966"/>
    <cellStyle name="Total 2 33 4" xfId="25717"/>
    <cellStyle name="Total 2 33 4 2" xfId="37575"/>
    <cellStyle name="Total 2 33 5" xfId="37576"/>
    <cellStyle name="Total 2 33 6" xfId="37577"/>
    <cellStyle name="Total 2 33 7" xfId="37578"/>
    <cellStyle name="Total 2 34" xfId="1437"/>
    <cellStyle name="Total 2 34 2" xfId="7325"/>
    <cellStyle name="Total 2 34 2 2" xfId="11657"/>
    <cellStyle name="Total 2 34 2 3" xfId="25718"/>
    <cellStyle name="Total 2 34 2 3 2" xfId="37579"/>
    <cellStyle name="Total 2 34 2 4" xfId="37580"/>
    <cellStyle name="Total 2 34 2 5" xfId="37581"/>
    <cellStyle name="Total 2 34 2 6" xfId="37582"/>
    <cellStyle name="Total 2 34 3" xfId="9967"/>
    <cellStyle name="Total 2 34 4" xfId="25719"/>
    <cellStyle name="Total 2 34 4 2" xfId="37583"/>
    <cellStyle name="Total 2 34 5" xfId="37584"/>
    <cellStyle name="Total 2 34 6" xfId="37585"/>
    <cellStyle name="Total 2 34 7" xfId="37586"/>
    <cellStyle name="Total 2 35" xfId="1438"/>
    <cellStyle name="Total 2 35 2" xfId="7326"/>
    <cellStyle name="Total 2 35 2 2" xfId="11658"/>
    <cellStyle name="Total 2 35 2 3" xfId="25720"/>
    <cellStyle name="Total 2 35 2 3 2" xfId="37587"/>
    <cellStyle name="Total 2 35 2 4" xfId="37588"/>
    <cellStyle name="Total 2 35 2 5" xfId="37589"/>
    <cellStyle name="Total 2 35 2 6" xfId="37590"/>
    <cellStyle name="Total 2 35 3" xfId="9968"/>
    <cellStyle name="Total 2 35 4" xfId="25721"/>
    <cellStyle name="Total 2 35 4 2" xfId="37591"/>
    <cellStyle name="Total 2 35 5" xfId="37592"/>
    <cellStyle name="Total 2 35 6" xfId="37593"/>
    <cellStyle name="Total 2 35 7" xfId="37594"/>
    <cellStyle name="Total 2 36" xfId="1439"/>
    <cellStyle name="Total 2 36 2" xfId="7327"/>
    <cellStyle name="Total 2 36 2 2" xfId="11659"/>
    <cellStyle name="Total 2 36 2 3" xfId="25722"/>
    <cellStyle name="Total 2 36 2 3 2" xfId="37595"/>
    <cellStyle name="Total 2 36 2 4" xfId="37596"/>
    <cellStyle name="Total 2 36 2 5" xfId="37597"/>
    <cellStyle name="Total 2 36 2 6" xfId="37598"/>
    <cellStyle name="Total 2 36 3" xfId="9969"/>
    <cellStyle name="Total 2 36 4" xfId="25723"/>
    <cellStyle name="Total 2 36 4 2" xfId="37599"/>
    <cellStyle name="Total 2 36 5" xfId="37600"/>
    <cellStyle name="Total 2 36 6" xfId="37601"/>
    <cellStyle name="Total 2 36 7" xfId="37602"/>
    <cellStyle name="Total 2 37" xfId="1440"/>
    <cellStyle name="Total 2 37 2" xfId="7328"/>
    <cellStyle name="Total 2 37 2 2" xfId="11660"/>
    <cellStyle name="Total 2 37 2 3" xfId="25724"/>
    <cellStyle name="Total 2 37 2 3 2" xfId="37603"/>
    <cellStyle name="Total 2 37 2 4" xfId="37604"/>
    <cellStyle name="Total 2 37 2 5" xfId="37605"/>
    <cellStyle name="Total 2 37 2 6" xfId="37606"/>
    <cellStyle name="Total 2 37 3" xfId="9970"/>
    <cellStyle name="Total 2 37 4" xfId="25725"/>
    <cellStyle name="Total 2 37 4 2" xfId="37607"/>
    <cellStyle name="Total 2 37 5" xfId="37608"/>
    <cellStyle name="Total 2 37 6" xfId="37609"/>
    <cellStyle name="Total 2 37 7" xfId="37610"/>
    <cellStyle name="Total 2 38" xfId="1441"/>
    <cellStyle name="Total 2 38 2" xfId="7329"/>
    <cellStyle name="Total 2 38 2 2" xfId="11661"/>
    <cellStyle name="Total 2 38 2 3" xfId="25726"/>
    <cellStyle name="Total 2 38 2 3 2" xfId="37611"/>
    <cellStyle name="Total 2 38 2 4" xfId="37612"/>
    <cellStyle name="Total 2 38 2 5" xfId="37613"/>
    <cellStyle name="Total 2 38 2 6" xfId="37614"/>
    <cellStyle name="Total 2 38 3" xfId="9971"/>
    <cellStyle name="Total 2 38 4" xfId="25727"/>
    <cellStyle name="Total 2 38 4 2" xfId="37615"/>
    <cellStyle name="Total 2 38 5" xfId="37616"/>
    <cellStyle name="Total 2 38 6" xfId="37617"/>
    <cellStyle name="Total 2 38 7" xfId="37618"/>
    <cellStyle name="Total 2 39" xfId="1442"/>
    <cellStyle name="Total 2 39 2" xfId="7330"/>
    <cellStyle name="Total 2 39 2 2" xfId="11662"/>
    <cellStyle name="Total 2 39 2 3" xfId="25728"/>
    <cellStyle name="Total 2 39 2 3 2" xfId="37619"/>
    <cellStyle name="Total 2 39 2 4" xfId="37620"/>
    <cellStyle name="Total 2 39 2 5" xfId="37621"/>
    <cellStyle name="Total 2 39 2 6" xfId="37622"/>
    <cellStyle name="Total 2 39 3" xfId="9972"/>
    <cellStyle name="Total 2 39 4" xfId="25729"/>
    <cellStyle name="Total 2 39 4 2" xfId="37623"/>
    <cellStyle name="Total 2 39 5" xfId="37624"/>
    <cellStyle name="Total 2 39 6" xfId="37625"/>
    <cellStyle name="Total 2 39 7" xfId="37626"/>
    <cellStyle name="Total 2 4" xfId="1443"/>
    <cellStyle name="Total 2 4 2" xfId="7331"/>
    <cellStyle name="Total 2 4 2 2" xfId="11663"/>
    <cellStyle name="Total 2 4 2 3" xfId="25730"/>
    <cellStyle name="Total 2 4 2 3 2" xfId="37627"/>
    <cellStyle name="Total 2 4 2 4" xfId="37628"/>
    <cellStyle name="Total 2 4 2 5" xfId="37629"/>
    <cellStyle name="Total 2 4 2 6" xfId="37630"/>
    <cellStyle name="Total 2 4 3" xfId="9973"/>
    <cellStyle name="Total 2 4 4" xfId="25731"/>
    <cellStyle name="Total 2 4 4 2" xfId="37631"/>
    <cellStyle name="Total 2 4 5" xfId="37632"/>
    <cellStyle name="Total 2 4 6" xfId="37633"/>
    <cellStyle name="Total 2 4 7" xfId="37634"/>
    <cellStyle name="Total 2 40" xfId="1444"/>
    <cellStyle name="Total 2 40 2" xfId="7332"/>
    <cellStyle name="Total 2 40 2 2" xfId="11664"/>
    <cellStyle name="Total 2 40 2 3" xfId="25732"/>
    <cellStyle name="Total 2 40 2 3 2" xfId="37635"/>
    <cellStyle name="Total 2 40 2 4" xfId="37636"/>
    <cellStyle name="Total 2 40 2 5" xfId="37637"/>
    <cellStyle name="Total 2 40 2 6" xfId="37638"/>
    <cellStyle name="Total 2 40 3" xfId="9974"/>
    <cellStyle name="Total 2 40 4" xfId="25733"/>
    <cellStyle name="Total 2 40 4 2" xfId="37639"/>
    <cellStyle name="Total 2 40 5" xfId="37640"/>
    <cellStyle name="Total 2 40 6" xfId="37641"/>
    <cellStyle name="Total 2 40 7" xfId="37642"/>
    <cellStyle name="Total 2 41" xfId="1445"/>
    <cellStyle name="Total 2 41 2" xfId="7333"/>
    <cellStyle name="Total 2 41 2 2" xfId="11665"/>
    <cellStyle name="Total 2 41 2 3" xfId="25734"/>
    <cellStyle name="Total 2 41 2 3 2" xfId="37643"/>
    <cellStyle name="Total 2 41 2 4" xfId="37644"/>
    <cellStyle name="Total 2 41 2 5" xfId="37645"/>
    <cellStyle name="Total 2 41 2 6" xfId="37646"/>
    <cellStyle name="Total 2 41 3" xfId="9975"/>
    <cellStyle name="Total 2 41 4" xfId="25735"/>
    <cellStyle name="Total 2 41 4 2" xfId="37647"/>
    <cellStyle name="Total 2 41 5" xfId="37648"/>
    <cellStyle name="Total 2 41 6" xfId="37649"/>
    <cellStyle name="Total 2 41 7" xfId="37650"/>
    <cellStyle name="Total 2 42" xfId="1446"/>
    <cellStyle name="Total 2 42 2" xfId="7334"/>
    <cellStyle name="Total 2 42 2 2" xfId="11666"/>
    <cellStyle name="Total 2 42 2 3" xfId="25736"/>
    <cellStyle name="Total 2 42 2 3 2" xfId="37651"/>
    <cellStyle name="Total 2 42 2 4" xfId="37652"/>
    <cellStyle name="Total 2 42 2 5" xfId="37653"/>
    <cellStyle name="Total 2 42 2 6" xfId="37654"/>
    <cellStyle name="Total 2 42 3" xfId="9976"/>
    <cellStyle name="Total 2 42 4" xfId="25737"/>
    <cellStyle name="Total 2 42 4 2" xfId="37655"/>
    <cellStyle name="Total 2 42 5" xfId="37656"/>
    <cellStyle name="Total 2 42 6" xfId="37657"/>
    <cellStyle name="Total 2 42 7" xfId="37658"/>
    <cellStyle name="Total 2 43" xfId="1447"/>
    <cellStyle name="Total 2 43 2" xfId="7335"/>
    <cellStyle name="Total 2 43 2 2" xfId="11667"/>
    <cellStyle name="Total 2 43 2 3" xfId="25738"/>
    <cellStyle name="Total 2 43 2 3 2" xfId="37659"/>
    <cellStyle name="Total 2 43 2 4" xfId="37660"/>
    <cellStyle name="Total 2 43 2 5" xfId="37661"/>
    <cellStyle name="Total 2 43 2 6" xfId="37662"/>
    <cellStyle name="Total 2 43 3" xfId="9977"/>
    <cellStyle name="Total 2 43 4" xfId="25739"/>
    <cellStyle name="Total 2 43 4 2" xfId="37663"/>
    <cellStyle name="Total 2 43 5" xfId="37664"/>
    <cellStyle name="Total 2 43 6" xfId="37665"/>
    <cellStyle name="Total 2 43 7" xfId="37666"/>
    <cellStyle name="Total 2 44" xfId="1448"/>
    <cellStyle name="Total 2 44 2" xfId="7336"/>
    <cellStyle name="Total 2 44 2 2" xfId="11668"/>
    <cellStyle name="Total 2 44 2 3" xfId="25740"/>
    <cellStyle name="Total 2 44 2 3 2" xfId="37667"/>
    <cellStyle name="Total 2 44 2 4" xfId="37668"/>
    <cellStyle name="Total 2 44 2 5" xfId="37669"/>
    <cellStyle name="Total 2 44 2 6" xfId="37670"/>
    <cellStyle name="Total 2 44 3" xfId="9978"/>
    <cellStyle name="Total 2 44 4" xfId="25741"/>
    <cellStyle name="Total 2 44 4 2" xfId="37671"/>
    <cellStyle name="Total 2 44 5" xfId="37672"/>
    <cellStyle name="Total 2 44 6" xfId="37673"/>
    <cellStyle name="Total 2 44 7" xfId="37674"/>
    <cellStyle name="Total 2 45" xfId="1449"/>
    <cellStyle name="Total 2 45 2" xfId="7337"/>
    <cellStyle name="Total 2 45 2 2" xfId="11669"/>
    <cellStyle name="Total 2 45 2 3" xfId="25742"/>
    <cellStyle name="Total 2 45 2 3 2" xfId="37675"/>
    <cellStyle name="Total 2 45 2 4" xfId="37676"/>
    <cellStyle name="Total 2 45 2 5" xfId="37677"/>
    <cellStyle name="Total 2 45 2 6" xfId="37678"/>
    <cellStyle name="Total 2 45 3" xfId="9979"/>
    <cellStyle name="Total 2 45 4" xfId="25743"/>
    <cellStyle name="Total 2 45 4 2" xfId="37679"/>
    <cellStyle name="Total 2 45 5" xfId="37680"/>
    <cellStyle name="Total 2 45 6" xfId="37681"/>
    <cellStyle name="Total 2 45 7" xfId="37682"/>
    <cellStyle name="Total 2 46" xfId="1450"/>
    <cellStyle name="Total 2 46 2" xfId="7338"/>
    <cellStyle name="Total 2 46 2 2" xfId="11670"/>
    <cellStyle name="Total 2 46 2 3" xfId="25744"/>
    <cellStyle name="Total 2 46 2 3 2" xfId="37683"/>
    <cellStyle name="Total 2 46 2 4" xfId="37684"/>
    <cellStyle name="Total 2 46 2 5" xfId="37685"/>
    <cellStyle name="Total 2 46 2 6" xfId="37686"/>
    <cellStyle name="Total 2 46 3" xfId="9980"/>
    <cellStyle name="Total 2 46 4" xfId="25745"/>
    <cellStyle name="Total 2 46 4 2" xfId="37687"/>
    <cellStyle name="Total 2 46 5" xfId="37688"/>
    <cellStyle name="Total 2 46 6" xfId="37689"/>
    <cellStyle name="Total 2 46 7" xfId="37690"/>
    <cellStyle name="Total 2 47" xfId="1451"/>
    <cellStyle name="Total 2 47 2" xfId="7339"/>
    <cellStyle name="Total 2 47 2 2" xfId="11671"/>
    <cellStyle name="Total 2 47 2 3" xfId="25746"/>
    <cellStyle name="Total 2 47 2 3 2" xfId="37691"/>
    <cellStyle name="Total 2 47 2 4" xfId="37692"/>
    <cellStyle name="Total 2 47 2 5" xfId="37693"/>
    <cellStyle name="Total 2 47 2 6" xfId="37694"/>
    <cellStyle name="Total 2 47 3" xfId="9981"/>
    <cellStyle name="Total 2 47 4" xfId="25747"/>
    <cellStyle name="Total 2 47 4 2" xfId="37695"/>
    <cellStyle name="Total 2 47 5" xfId="37696"/>
    <cellStyle name="Total 2 47 6" xfId="37697"/>
    <cellStyle name="Total 2 47 7" xfId="37698"/>
    <cellStyle name="Total 2 48" xfId="1452"/>
    <cellStyle name="Total 2 48 2" xfId="7340"/>
    <cellStyle name="Total 2 48 2 2" xfId="11672"/>
    <cellStyle name="Total 2 48 2 3" xfId="25748"/>
    <cellStyle name="Total 2 48 2 3 2" xfId="37699"/>
    <cellStyle name="Total 2 48 2 4" xfId="37700"/>
    <cellStyle name="Total 2 48 2 5" xfId="37701"/>
    <cellStyle name="Total 2 48 2 6" xfId="37702"/>
    <cellStyle name="Total 2 48 3" xfId="9982"/>
    <cellStyle name="Total 2 48 4" xfId="25749"/>
    <cellStyle name="Total 2 48 4 2" xfId="37703"/>
    <cellStyle name="Total 2 48 5" xfId="37704"/>
    <cellStyle name="Total 2 48 6" xfId="37705"/>
    <cellStyle name="Total 2 48 7" xfId="37706"/>
    <cellStyle name="Total 2 49" xfId="1453"/>
    <cellStyle name="Total 2 49 2" xfId="7341"/>
    <cellStyle name="Total 2 49 2 2" xfId="11673"/>
    <cellStyle name="Total 2 49 2 3" xfId="25750"/>
    <cellStyle name="Total 2 49 2 3 2" xfId="37707"/>
    <cellStyle name="Total 2 49 2 4" xfId="37708"/>
    <cellStyle name="Total 2 49 2 5" xfId="37709"/>
    <cellStyle name="Total 2 49 2 6" xfId="37710"/>
    <cellStyle name="Total 2 49 3" xfId="9983"/>
    <cellStyle name="Total 2 49 4" xfId="25751"/>
    <cellStyle name="Total 2 49 4 2" xfId="37711"/>
    <cellStyle name="Total 2 49 5" xfId="37712"/>
    <cellStyle name="Total 2 49 6" xfId="37713"/>
    <cellStyle name="Total 2 49 7" xfId="37714"/>
    <cellStyle name="Total 2 5" xfId="1454"/>
    <cellStyle name="Total 2 5 2" xfId="7342"/>
    <cellStyle name="Total 2 5 2 2" xfId="11674"/>
    <cellStyle name="Total 2 5 2 3" xfId="25752"/>
    <cellStyle name="Total 2 5 2 3 2" xfId="37715"/>
    <cellStyle name="Total 2 5 2 4" xfId="37716"/>
    <cellStyle name="Total 2 5 2 5" xfId="37717"/>
    <cellStyle name="Total 2 5 2 6" xfId="37718"/>
    <cellStyle name="Total 2 5 3" xfId="9984"/>
    <cellStyle name="Total 2 5 4" xfId="25753"/>
    <cellStyle name="Total 2 5 4 2" xfId="37719"/>
    <cellStyle name="Total 2 5 5" xfId="37720"/>
    <cellStyle name="Total 2 5 6" xfId="37721"/>
    <cellStyle name="Total 2 5 7" xfId="37722"/>
    <cellStyle name="Total 2 50" xfId="1455"/>
    <cellStyle name="Total 2 50 2" xfId="7343"/>
    <cellStyle name="Total 2 50 2 2" xfId="11675"/>
    <cellStyle name="Total 2 50 2 3" xfId="25754"/>
    <cellStyle name="Total 2 50 2 3 2" xfId="37723"/>
    <cellStyle name="Total 2 50 2 4" xfId="37724"/>
    <cellStyle name="Total 2 50 2 5" xfId="37725"/>
    <cellStyle name="Total 2 50 2 6" xfId="37726"/>
    <cellStyle name="Total 2 50 3" xfId="9985"/>
    <cellStyle name="Total 2 50 4" xfId="25755"/>
    <cellStyle name="Total 2 50 4 2" xfId="37727"/>
    <cellStyle name="Total 2 50 5" xfId="37728"/>
    <cellStyle name="Total 2 50 6" xfId="37729"/>
    <cellStyle name="Total 2 50 7" xfId="37730"/>
    <cellStyle name="Total 2 51" xfId="1456"/>
    <cellStyle name="Total 2 51 2" xfId="7344"/>
    <cellStyle name="Total 2 51 2 2" xfId="11676"/>
    <cellStyle name="Total 2 51 2 3" xfId="25756"/>
    <cellStyle name="Total 2 51 2 3 2" xfId="37731"/>
    <cellStyle name="Total 2 51 2 4" xfId="37732"/>
    <cellStyle name="Total 2 51 2 5" xfId="37733"/>
    <cellStyle name="Total 2 51 2 6" xfId="37734"/>
    <cellStyle name="Total 2 51 3" xfId="9986"/>
    <cellStyle name="Total 2 51 4" xfId="25757"/>
    <cellStyle name="Total 2 51 4 2" xfId="37735"/>
    <cellStyle name="Total 2 51 5" xfId="37736"/>
    <cellStyle name="Total 2 51 6" xfId="37737"/>
    <cellStyle name="Total 2 51 7" xfId="37738"/>
    <cellStyle name="Total 2 52" xfId="1457"/>
    <cellStyle name="Total 2 52 2" xfId="7345"/>
    <cellStyle name="Total 2 52 2 2" xfId="11677"/>
    <cellStyle name="Total 2 52 2 3" xfId="25758"/>
    <cellStyle name="Total 2 52 2 3 2" xfId="37739"/>
    <cellStyle name="Total 2 52 2 4" xfId="37740"/>
    <cellStyle name="Total 2 52 2 5" xfId="37741"/>
    <cellStyle name="Total 2 52 2 6" xfId="37742"/>
    <cellStyle name="Total 2 52 3" xfId="9987"/>
    <cellStyle name="Total 2 52 4" xfId="25759"/>
    <cellStyle name="Total 2 52 4 2" xfId="37743"/>
    <cellStyle name="Total 2 52 5" xfId="37744"/>
    <cellStyle name="Total 2 52 6" xfId="37745"/>
    <cellStyle name="Total 2 52 7" xfId="37746"/>
    <cellStyle name="Total 2 53" xfId="1458"/>
    <cellStyle name="Total 2 53 2" xfId="7346"/>
    <cellStyle name="Total 2 53 2 2" xfId="11678"/>
    <cellStyle name="Total 2 53 2 3" xfId="25760"/>
    <cellStyle name="Total 2 53 2 3 2" xfId="37747"/>
    <cellStyle name="Total 2 53 2 4" xfId="37748"/>
    <cellStyle name="Total 2 53 2 5" xfId="37749"/>
    <cellStyle name="Total 2 53 2 6" xfId="37750"/>
    <cellStyle name="Total 2 53 3" xfId="9988"/>
    <cellStyle name="Total 2 53 4" xfId="25761"/>
    <cellStyle name="Total 2 53 4 2" xfId="37751"/>
    <cellStyle name="Total 2 53 5" xfId="37752"/>
    <cellStyle name="Total 2 53 6" xfId="37753"/>
    <cellStyle name="Total 2 53 7" xfId="37754"/>
    <cellStyle name="Total 2 54" xfId="1459"/>
    <cellStyle name="Total 2 54 2" xfId="7347"/>
    <cellStyle name="Total 2 54 2 2" xfId="11679"/>
    <cellStyle name="Total 2 54 2 3" xfId="25762"/>
    <cellStyle name="Total 2 54 2 3 2" xfId="37755"/>
    <cellStyle name="Total 2 54 2 4" xfId="37756"/>
    <cellStyle name="Total 2 54 2 5" xfId="37757"/>
    <cellStyle name="Total 2 54 2 6" xfId="37758"/>
    <cellStyle name="Total 2 54 3" xfId="9989"/>
    <cellStyle name="Total 2 54 4" xfId="25763"/>
    <cellStyle name="Total 2 54 4 2" xfId="37759"/>
    <cellStyle name="Total 2 54 5" xfId="37760"/>
    <cellStyle name="Total 2 54 6" xfId="37761"/>
    <cellStyle name="Total 2 54 7" xfId="37762"/>
    <cellStyle name="Total 2 55" xfId="1460"/>
    <cellStyle name="Total 2 55 2" xfId="7348"/>
    <cellStyle name="Total 2 55 2 2" xfId="11680"/>
    <cellStyle name="Total 2 55 2 3" xfId="25764"/>
    <cellStyle name="Total 2 55 2 3 2" xfId="37763"/>
    <cellStyle name="Total 2 55 2 4" xfId="37764"/>
    <cellStyle name="Total 2 55 2 5" xfId="37765"/>
    <cellStyle name="Total 2 55 2 6" xfId="37766"/>
    <cellStyle name="Total 2 55 3" xfId="9990"/>
    <cellStyle name="Total 2 55 4" xfId="25765"/>
    <cellStyle name="Total 2 55 4 2" xfId="37767"/>
    <cellStyle name="Total 2 55 5" xfId="37768"/>
    <cellStyle name="Total 2 55 6" xfId="37769"/>
    <cellStyle name="Total 2 55 7" xfId="37770"/>
    <cellStyle name="Total 2 56" xfId="1461"/>
    <cellStyle name="Total 2 56 2" xfId="7349"/>
    <cellStyle name="Total 2 56 2 2" xfId="11681"/>
    <cellStyle name="Total 2 56 2 3" xfId="25766"/>
    <cellStyle name="Total 2 56 2 3 2" xfId="37771"/>
    <cellStyle name="Total 2 56 2 4" xfId="37772"/>
    <cellStyle name="Total 2 56 2 5" xfId="37773"/>
    <cellStyle name="Total 2 56 2 6" xfId="37774"/>
    <cellStyle name="Total 2 56 3" xfId="9991"/>
    <cellStyle name="Total 2 56 4" xfId="25767"/>
    <cellStyle name="Total 2 56 4 2" xfId="37775"/>
    <cellStyle name="Total 2 56 5" xfId="37776"/>
    <cellStyle name="Total 2 56 6" xfId="37777"/>
    <cellStyle name="Total 2 56 7" xfId="37778"/>
    <cellStyle name="Total 2 57" xfId="1462"/>
    <cellStyle name="Total 2 57 2" xfId="7350"/>
    <cellStyle name="Total 2 57 2 2" xfId="11682"/>
    <cellStyle name="Total 2 57 2 3" xfId="25768"/>
    <cellStyle name="Total 2 57 2 3 2" xfId="37779"/>
    <cellStyle name="Total 2 57 2 4" xfId="37780"/>
    <cellStyle name="Total 2 57 2 5" xfId="37781"/>
    <cellStyle name="Total 2 57 2 6" xfId="37782"/>
    <cellStyle name="Total 2 57 3" xfId="9992"/>
    <cellStyle name="Total 2 57 4" xfId="25769"/>
    <cellStyle name="Total 2 57 4 2" xfId="37783"/>
    <cellStyle name="Total 2 57 5" xfId="37784"/>
    <cellStyle name="Total 2 57 6" xfId="37785"/>
    <cellStyle name="Total 2 57 7" xfId="37786"/>
    <cellStyle name="Total 2 58" xfId="1463"/>
    <cellStyle name="Total 2 58 2" xfId="7351"/>
    <cellStyle name="Total 2 58 2 2" xfId="11683"/>
    <cellStyle name="Total 2 58 2 3" xfId="25770"/>
    <cellStyle name="Total 2 58 2 3 2" xfId="37787"/>
    <cellStyle name="Total 2 58 2 4" xfId="37788"/>
    <cellStyle name="Total 2 58 2 5" xfId="37789"/>
    <cellStyle name="Total 2 58 2 6" xfId="37790"/>
    <cellStyle name="Total 2 58 3" xfId="9993"/>
    <cellStyle name="Total 2 58 4" xfId="25771"/>
    <cellStyle name="Total 2 58 4 2" xfId="37791"/>
    <cellStyle name="Total 2 58 5" xfId="37792"/>
    <cellStyle name="Total 2 58 6" xfId="37793"/>
    <cellStyle name="Total 2 58 7" xfId="37794"/>
    <cellStyle name="Total 2 59" xfId="1464"/>
    <cellStyle name="Total 2 59 2" xfId="7352"/>
    <cellStyle name="Total 2 59 2 2" xfId="11684"/>
    <cellStyle name="Total 2 59 2 3" xfId="25772"/>
    <cellStyle name="Total 2 59 2 3 2" xfId="37795"/>
    <cellStyle name="Total 2 59 2 4" xfId="37796"/>
    <cellStyle name="Total 2 59 2 5" xfId="37797"/>
    <cellStyle name="Total 2 59 2 6" xfId="37798"/>
    <cellStyle name="Total 2 59 3" xfId="9994"/>
    <cellStyle name="Total 2 59 4" xfId="25773"/>
    <cellStyle name="Total 2 59 4 2" xfId="37799"/>
    <cellStyle name="Total 2 59 5" xfId="37800"/>
    <cellStyle name="Total 2 59 6" xfId="37801"/>
    <cellStyle name="Total 2 59 7" xfId="37802"/>
    <cellStyle name="Total 2 6" xfId="1465"/>
    <cellStyle name="Total 2 6 2" xfId="7353"/>
    <cellStyle name="Total 2 6 2 2" xfId="11685"/>
    <cellStyle name="Total 2 6 2 3" xfId="25774"/>
    <cellStyle name="Total 2 6 2 3 2" xfId="37803"/>
    <cellStyle name="Total 2 6 2 4" xfId="37804"/>
    <cellStyle name="Total 2 6 2 5" xfId="37805"/>
    <cellStyle name="Total 2 6 2 6" xfId="37806"/>
    <cellStyle name="Total 2 6 3" xfId="9995"/>
    <cellStyle name="Total 2 6 4" xfId="25775"/>
    <cellStyle name="Total 2 6 4 2" xfId="37807"/>
    <cellStyle name="Total 2 6 5" xfId="37808"/>
    <cellStyle name="Total 2 6 6" xfId="37809"/>
    <cellStyle name="Total 2 6 7" xfId="37810"/>
    <cellStyle name="Total 2 60" xfId="1466"/>
    <cellStyle name="Total 2 60 2" xfId="7354"/>
    <cellStyle name="Total 2 60 2 2" xfId="11686"/>
    <cellStyle name="Total 2 60 2 3" xfId="25776"/>
    <cellStyle name="Total 2 60 2 3 2" xfId="37811"/>
    <cellStyle name="Total 2 60 2 4" xfId="37812"/>
    <cellStyle name="Total 2 60 2 5" xfId="37813"/>
    <cellStyle name="Total 2 60 2 6" xfId="37814"/>
    <cellStyle name="Total 2 60 3" xfId="9996"/>
    <cellStyle name="Total 2 60 4" xfId="25777"/>
    <cellStyle name="Total 2 60 4 2" xfId="37815"/>
    <cellStyle name="Total 2 60 5" xfId="37816"/>
    <cellStyle name="Total 2 60 6" xfId="37817"/>
    <cellStyle name="Total 2 60 7" xfId="37818"/>
    <cellStyle name="Total 2 61" xfId="1467"/>
    <cellStyle name="Total 2 61 2" xfId="7355"/>
    <cellStyle name="Total 2 61 2 2" xfId="11687"/>
    <cellStyle name="Total 2 61 2 3" xfId="25778"/>
    <cellStyle name="Total 2 61 2 3 2" xfId="37819"/>
    <cellStyle name="Total 2 61 2 4" xfId="37820"/>
    <cellStyle name="Total 2 61 2 5" xfId="37821"/>
    <cellStyle name="Total 2 61 2 6" xfId="37822"/>
    <cellStyle name="Total 2 61 3" xfId="9997"/>
    <cellStyle name="Total 2 61 4" xfId="25779"/>
    <cellStyle name="Total 2 61 4 2" xfId="37823"/>
    <cellStyle name="Total 2 61 5" xfId="37824"/>
    <cellStyle name="Total 2 61 6" xfId="37825"/>
    <cellStyle name="Total 2 61 7" xfId="37826"/>
    <cellStyle name="Total 2 62" xfId="1468"/>
    <cellStyle name="Total 2 62 2" xfId="7356"/>
    <cellStyle name="Total 2 62 2 2" xfId="11688"/>
    <cellStyle name="Total 2 62 2 3" xfId="25780"/>
    <cellStyle name="Total 2 62 2 3 2" xfId="37827"/>
    <cellStyle name="Total 2 62 2 4" xfId="37828"/>
    <cellStyle name="Total 2 62 2 5" xfId="37829"/>
    <cellStyle name="Total 2 62 2 6" xfId="37830"/>
    <cellStyle name="Total 2 62 3" xfId="9998"/>
    <cellStyle name="Total 2 62 4" xfId="25781"/>
    <cellStyle name="Total 2 62 4 2" xfId="37831"/>
    <cellStyle name="Total 2 62 5" xfId="37832"/>
    <cellStyle name="Total 2 62 6" xfId="37833"/>
    <cellStyle name="Total 2 62 7" xfId="37834"/>
    <cellStyle name="Total 2 63" xfId="1469"/>
    <cellStyle name="Total 2 63 2" xfId="7357"/>
    <cellStyle name="Total 2 63 2 2" xfId="11689"/>
    <cellStyle name="Total 2 63 2 3" xfId="25782"/>
    <cellStyle name="Total 2 63 2 3 2" xfId="37835"/>
    <cellStyle name="Total 2 63 2 4" xfId="37836"/>
    <cellStyle name="Total 2 63 2 5" xfId="37837"/>
    <cellStyle name="Total 2 63 2 6" xfId="37838"/>
    <cellStyle name="Total 2 63 3" xfId="9999"/>
    <cellStyle name="Total 2 63 4" xfId="25783"/>
    <cellStyle name="Total 2 63 4 2" xfId="37839"/>
    <cellStyle name="Total 2 63 5" xfId="37840"/>
    <cellStyle name="Total 2 63 6" xfId="37841"/>
    <cellStyle name="Total 2 63 7" xfId="37842"/>
    <cellStyle name="Total 2 64" xfId="1470"/>
    <cellStyle name="Total 2 64 2" xfId="7358"/>
    <cellStyle name="Total 2 64 2 2" xfId="11690"/>
    <cellStyle name="Total 2 64 2 3" xfId="25784"/>
    <cellStyle name="Total 2 64 2 3 2" xfId="37843"/>
    <cellStyle name="Total 2 64 2 4" xfId="37844"/>
    <cellStyle name="Total 2 64 2 5" xfId="37845"/>
    <cellStyle name="Total 2 64 2 6" xfId="37846"/>
    <cellStyle name="Total 2 64 3" xfId="10000"/>
    <cellStyle name="Total 2 64 4" xfId="25785"/>
    <cellStyle name="Total 2 64 4 2" xfId="37847"/>
    <cellStyle name="Total 2 64 5" xfId="37848"/>
    <cellStyle name="Total 2 64 6" xfId="37849"/>
    <cellStyle name="Total 2 64 7" xfId="37850"/>
    <cellStyle name="Total 2 65" xfId="1471"/>
    <cellStyle name="Total 2 65 2" xfId="7359"/>
    <cellStyle name="Total 2 65 2 2" xfId="11691"/>
    <cellStyle name="Total 2 65 2 3" xfId="25786"/>
    <cellStyle name="Total 2 65 2 3 2" xfId="37851"/>
    <cellStyle name="Total 2 65 2 4" xfId="37852"/>
    <cellStyle name="Total 2 65 2 5" xfId="37853"/>
    <cellStyle name="Total 2 65 2 6" xfId="37854"/>
    <cellStyle name="Total 2 65 3" xfId="10001"/>
    <cellStyle name="Total 2 65 4" xfId="25787"/>
    <cellStyle name="Total 2 65 4 2" xfId="37855"/>
    <cellStyle name="Total 2 65 5" xfId="37856"/>
    <cellStyle name="Total 2 65 6" xfId="37857"/>
    <cellStyle name="Total 2 65 7" xfId="37858"/>
    <cellStyle name="Total 2 66" xfId="1472"/>
    <cellStyle name="Total 2 66 2" xfId="7360"/>
    <cellStyle name="Total 2 66 2 2" xfId="11692"/>
    <cellStyle name="Total 2 66 2 3" xfId="25788"/>
    <cellStyle name="Total 2 66 2 3 2" xfId="37859"/>
    <cellStyle name="Total 2 66 2 4" xfId="37860"/>
    <cellStyle name="Total 2 66 2 5" xfId="37861"/>
    <cellStyle name="Total 2 66 2 6" xfId="37862"/>
    <cellStyle name="Total 2 66 3" xfId="10002"/>
    <cellStyle name="Total 2 66 4" xfId="25789"/>
    <cellStyle name="Total 2 66 4 2" xfId="37863"/>
    <cellStyle name="Total 2 66 5" xfId="37864"/>
    <cellStyle name="Total 2 66 6" xfId="37865"/>
    <cellStyle name="Total 2 66 7" xfId="37866"/>
    <cellStyle name="Total 2 67" xfId="1473"/>
    <cellStyle name="Total 2 67 2" xfId="7361"/>
    <cellStyle name="Total 2 67 2 2" xfId="11693"/>
    <cellStyle name="Total 2 67 2 3" xfId="25790"/>
    <cellStyle name="Total 2 67 2 3 2" xfId="37867"/>
    <cellStyle name="Total 2 67 2 4" xfId="37868"/>
    <cellStyle name="Total 2 67 2 5" xfId="37869"/>
    <cellStyle name="Total 2 67 2 6" xfId="37870"/>
    <cellStyle name="Total 2 67 3" xfId="10003"/>
    <cellStyle name="Total 2 67 4" xfId="25791"/>
    <cellStyle name="Total 2 67 4 2" xfId="37871"/>
    <cellStyle name="Total 2 67 5" xfId="37872"/>
    <cellStyle name="Total 2 67 6" xfId="37873"/>
    <cellStyle name="Total 2 67 7" xfId="37874"/>
    <cellStyle name="Total 2 68" xfId="1474"/>
    <cellStyle name="Total 2 68 2" xfId="7362"/>
    <cellStyle name="Total 2 68 2 2" xfId="11694"/>
    <cellStyle name="Total 2 68 2 3" xfId="25792"/>
    <cellStyle name="Total 2 68 2 3 2" xfId="37875"/>
    <cellStyle name="Total 2 68 2 4" xfId="37876"/>
    <cellStyle name="Total 2 68 2 5" xfId="37877"/>
    <cellStyle name="Total 2 68 2 6" xfId="37878"/>
    <cellStyle name="Total 2 68 3" xfId="10004"/>
    <cellStyle name="Total 2 68 4" xfId="25793"/>
    <cellStyle name="Total 2 68 4 2" xfId="37879"/>
    <cellStyle name="Total 2 68 5" xfId="37880"/>
    <cellStyle name="Total 2 68 6" xfId="37881"/>
    <cellStyle name="Total 2 68 7" xfId="37882"/>
    <cellStyle name="Total 2 69" xfId="1475"/>
    <cellStyle name="Total 2 69 2" xfId="7363"/>
    <cellStyle name="Total 2 69 2 2" xfId="11695"/>
    <cellStyle name="Total 2 69 2 3" xfId="25794"/>
    <cellStyle name="Total 2 69 2 3 2" xfId="37883"/>
    <cellStyle name="Total 2 69 2 4" xfId="37884"/>
    <cellStyle name="Total 2 69 2 5" xfId="37885"/>
    <cellStyle name="Total 2 69 2 6" xfId="37886"/>
    <cellStyle name="Total 2 69 3" xfId="10005"/>
    <cellStyle name="Total 2 69 4" xfId="25795"/>
    <cellStyle name="Total 2 69 4 2" xfId="37887"/>
    <cellStyle name="Total 2 69 5" xfId="37888"/>
    <cellStyle name="Total 2 69 6" xfId="37889"/>
    <cellStyle name="Total 2 69 7" xfId="37890"/>
    <cellStyle name="Total 2 7" xfId="1476"/>
    <cellStyle name="Total 2 7 2" xfId="7364"/>
    <cellStyle name="Total 2 7 2 2" xfId="11696"/>
    <cellStyle name="Total 2 7 2 3" xfId="25796"/>
    <cellStyle name="Total 2 7 2 3 2" xfId="37891"/>
    <cellStyle name="Total 2 7 2 4" xfId="37892"/>
    <cellStyle name="Total 2 7 2 5" xfId="37893"/>
    <cellStyle name="Total 2 7 2 6" xfId="37894"/>
    <cellStyle name="Total 2 7 3" xfId="10006"/>
    <cellStyle name="Total 2 7 4" xfId="25797"/>
    <cellStyle name="Total 2 7 4 2" xfId="37895"/>
    <cellStyle name="Total 2 7 5" xfId="37896"/>
    <cellStyle name="Total 2 7 6" xfId="37897"/>
    <cellStyle name="Total 2 7 7" xfId="37898"/>
    <cellStyle name="Total 2 70" xfId="1477"/>
    <cellStyle name="Total 2 70 2" xfId="7365"/>
    <cellStyle name="Total 2 70 2 2" xfId="11697"/>
    <cellStyle name="Total 2 70 2 3" xfId="25798"/>
    <cellStyle name="Total 2 70 2 3 2" xfId="37899"/>
    <cellStyle name="Total 2 70 2 4" xfId="37900"/>
    <cellStyle name="Total 2 70 2 5" xfId="37901"/>
    <cellStyle name="Total 2 70 2 6" xfId="37902"/>
    <cellStyle name="Total 2 70 3" xfId="10007"/>
    <cellStyle name="Total 2 70 4" xfId="25799"/>
    <cellStyle name="Total 2 70 4 2" xfId="37903"/>
    <cellStyle name="Total 2 70 5" xfId="37904"/>
    <cellStyle name="Total 2 70 6" xfId="37905"/>
    <cellStyle name="Total 2 70 7" xfId="37906"/>
    <cellStyle name="Total 2 71" xfId="1478"/>
    <cellStyle name="Total 2 71 2" xfId="7366"/>
    <cellStyle name="Total 2 71 2 2" xfId="11698"/>
    <cellStyle name="Total 2 71 2 3" xfId="25800"/>
    <cellStyle name="Total 2 71 2 3 2" xfId="37907"/>
    <cellStyle name="Total 2 71 2 4" xfId="37908"/>
    <cellStyle name="Total 2 71 2 5" xfId="37909"/>
    <cellStyle name="Total 2 71 2 6" xfId="37910"/>
    <cellStyle name="Total 2 71 3" xfId="10008"/>
    <cellStyle name="Total 2 71 4" xfId="25801"/>
    <cellStyle name="Total 2 71 4 2" xfId="37911"/>
    <cellStyle name="Total 2 71 5" xfId="37912"/>
    <cellStyle name="Total 2 71 6" xfId="37913"/>
    <cellStyle name="Total 2 71 7" xfId="37914"/>
    <cellStyle name="Total 2 72" xfId="1479"/>
    <cellStyle name="Total 2 72 2" xfId="7367"/>
    <cellStyle name="Total 2 72 2 2" xfId="11699"/>
    <cellStyle name="Total 2 72 2 3" xfId="25802"/>
    <cellStyle name="Total 2 72 2 3 2" xfId="37915"/>
    <cellStyle name="Total 2 72 2 4" xfId="37916"/>
    <cellStyle name="Total 2 72 2 5" xfId="37917"/>
    <cellStyle name="Total 2 72 2 6" xfId="37918"/>
    <cellStyle name="Total 2 72 3" xfId="10009"/>
    <cellStyle name="Total 2 72 4" xfId="25803"/>
    <cellStyle name="Total 2 72 4 2" xfId="37919"/>
    <cellStyle name="Total 2 72 5" xfId="37920"/>
    <cellStyle name="Total 2 72 6" xfId="37921"/>
    <cellStyle name="Total 2 72 7" xfId="37922"/>
    <cellStyle name="Total 2 73" xfId="1480"/>
    <cellStyle name="Total 2 73 2" xfId="7368"/>
    <cellStyle name="Total 2 73 2 2" xfId="11700"/>
    <cellStyle name="Total 2 73 2 3" xfId="25804"/>
    <cellStyle name="Total 2 73 2 3 2" xfId="37923"/>
    <cellStyle name="Total 2 73 2 4" xfId="37924"/>
    <cellStyle name="Total 2 73 2 5" xfId="37925"/>
    <cellStyle name="Total 2 73 2 6" xfId="37926"/>
    <cellStyle name="Total 2 73 3" xfId="10010"/>
    <cellStyle name="Total 2 73 4" xfId="25805"/>
    <cellStyle name="Total 2 73 4 2" xfId="37927"/>
    <cellStyle name="Total 2 73 5" xfId="37928"/>
    <cellStyle name="Total 2 73 6" xfId="37929"/>
    <cellStyle name="Total 2 73 7" xfId="37930"/>
    <cellStyle name="Total 2 74" xfId="1481"/>
    <cellStyle name="Total 2 74 2" xfId="7369"/>
    <cellStyle name="Total 2 74 2 2" xfId="11701"/>
    <cellStyle name="Total 2 74 2 3" xfId="25806"/>
    <cellStyle name="Total 2 74 2 3 2" xfId="37931"/>
    <cellStyle name="Total 2 74 2 4" xfId="37932"/>
    <cellStyle name="Total 2 74 2 5" xfId="37933"/>
    <cellStyle name="Total 2 74 2 6" xfId="37934"/>
    <cellStyle name="Total 2 74 3" xfId="10011"/>
    <cellStyle name="Total 2 74 4" xfId="25807"/>
    <cellStyle name="Total 2 74 4 2" xfId="37935"/>
    <cellStyle name="Total 2 74 5" xfId="37936"/>
    <cellStyle name="Total 2 74 6" xfId="37937"/>
    <cellStyle name="Total 2 74 7" xfId="37938"/>
    <cellStyle name="Total 2 75" xfId="1482"/>
    <cellStyle name="Total 2 75 2" xfId="7370"/>
    <cellStyle name="Total 2 75 2 2" xfId="11702"/>
    <cellStyle name="Total 2 75 2 3" xfId="25808"/>
    <cellStyle name="Total 2 75 2 3 2" xfId="37939"/>
    <cellStyle name="Total 2 75 2 4" xfId="37940"/>
    <cellStyle name="Total 2 75 2 5" xfId="37941"/>
    <cellStyle name="Total 2 75 2 6" xfId="37942"/>
    <cellStyle name="Total 2 75 3" xfId="10012"/>
    <cellStyle name="Total 2 75 4" xfId="25809"/>
    <cellStyle name="Total 2 75 4 2" xfId="37943"/>
    <cellStyle name="Total 2 75 5" xfId="37944"/>
    <cellStyle name="Total 2 75 6" xfId="37945"/>
    <cellStyle name="Total 2 75 7" xfId="37946"/>
    <cellStyle name="Total 2 76" xfId="1483"/>
    <cellStyle name="Total 2 76 2" xfId="7371"/>
    <cellStyle name="Total 2 76 2 2" xfId="11703"/>
    <cellStyle name="Total 2 76 2 3" xfId="25810"/>
    <cellStyle name="Total 2 76 2 3 2" xfId="37947"/>
    <cellStyle name="Total 2 76 2 4" xfId="37948"/>
    <cellStyle name="Total 2 76 2 5" xfId="37949"/>
    <cellStyle name="Total 2 76 2 6" xfId="37950"/>
    <cellStyle name="Total 2 76 3" xfId="10013"/>
    <cellStyle name="Total 2 76 4" xfId="25811"/>
    <cellStyle name="Total 2 76 4 2" xfId="37951"/>
    <cellStyle name="Total 2 76 5" xfId="37952"/>
    <cellStyle name="Total 2 76 6" xfId="37953"/>
    <cellStyle name="Total 2 76 7" xfId="37954"/>
    <cellStyle name="Total 2 77" xfId="1484"/>
    <cellStyle name="Total 2 77 2" xfId="7372"/>
    <cellStyle name="Total 2 77 2 2" xfId="11704"/>
    <cellStyle name="Total 2 77 2 3" xfId="25812"/>
    <cellStyle name="Total 2 77 2 3 2" xfId="37955"/>
    <cellStyle name="Total 2 77 2 4" xfId="37956"/>
    <cellStyle name="Total 2 77 2 5" xfId="37957"/>
    <cellStyle name="Total 2 77 2 6" xfId="37958"/>
    <cellStyle name="Total 2 77 3" xfId="10014"/>
    <cellStyle name="Total 2 77 4" xfId="25813"/>
    <cellStyle name="Total 2 77 4 2" xfId="37959"/>
    <cellStyle name="Total 2 77 5" xfId="37960"/>
    <cellStyle name="Total 2 77 6" xfId="37961"/>
    <cellStyle name="Total 2 77 7" xfId="37962"/>
    <cellStyle name="Total 2 78" xfId="1485"/>
    <cellStyle name="Total 2 78 2" xfId="7373"/>
    <cellStyle name="Total 2 78 2 2" xfId="11705"/>
    <cellStyle name="Total 2 78 2 3" xfId="25814"/>
    <cellStyle name="Total 2 78 2 3 2" xfId="37963"/>
    <cellStyle name="Total 2 78 2 4" xfId="37964"/>
    <cellStyle name="Total 2 78 2 5" xfId="37965"/>
    <cellStyle name="Total 2 78 2 6" xfId="37966"/>
    <cellStyle name="Total 2 78 3" xfId="10015"/>
    <cellStyle name="Total 2 78 4" xfId="25815"/>
    <cellStyle name="Total 2 78 4 2" xfId="37967"/>
    <cellStyle name="Total 2 78 5" xfId="37968"/>
    <cellStyle name="Total 2 78 6" xfId="37969"/>
    <cellStyle name="Total 2 78 7" xfId="37970"/>
    <cellStyle name="Total 2 79" xfId="1486"/>
    <cellStyle name="Total 2 79 2" xfId="7374"/>
    <cellStyle name="Total 2 79 2 2" xfId="11706"/>
    <cellStyle name="Total 2 79 2 3" xfId="25816"/>
    <cellStyle name="Total 2 79 2 3 2" xfId="37971"/>
    <cellStyle name="Total 2 79 2 4" xfId="37972"/>
    <cellStyle name="Total 2 79 2 5" xfId="37973"/>
    <cellStyle name="Total 2 79 2 6" xfId="37974"/>
    <cellStyle name="Total 2 79 3" xfId="10016"/>
    <cellStyle name="Total 2 79 4" xfId="25817"/>
    <cellStyle name="Total 2 79 4 2" xfId="37975"/>
    <cellStyle name="Total 2 79 5" xfId="37976"/>
    <cellStyle name="Total 2 79 6" xfId="37977"/>
    <cellStyle name="Total 2 79 7" xfId="37978"/>
    <cellStyle name="Total 2 8" xfId="1487"/>
    <cellStyle name="Total 2 8 2" xfId="7375"/>
    <cellStyle name="Total 2 8 2 2" xfId="11707"/>
    <cellStyle name="Total 2 8 2 3" xfId="25818"/>
    <cellStyle name="Total 2 8 2 3 2" xfId="37979"/>
    <cellStyle name="Total 2 8 2 4" xfId="37980"/>
    <cellStyle name="Total 2 8 2 5" xfId="37981"/>
    <cellStyle name="Total 2 8 2 6" xfId="37982"/>
    <cellStyle name="Total 2 8 3" xfId="10017"/>
    <cellStyle name="Total 2 8 4" xfId="25819"/>
    <cellStyle name="Total 2 8 4 2" xfId="37983"/>
    <cellStyle name="Total 2 8 5" xfId="37984"/>
    <cellStyle name="Total 2 8 6" xfId="37985"/>
    <cellStyle name="Total 2 8 7" xfId="37986"/>
    <cellStyle name="Total 2 80" xfId="1488"/>
    <cellStyle name="Total 2 80 2" xfId="7376"/>
    <cellStyle name="Total 2 80 2 2" xfId="11708"/>
    <cellStyle name="Total 2 80 2 3" xfId="25820"/>
    <cellStyle name="Total 2 80 2 3 2" xfId="37987"/>
    <cellStyle name="Total 2 80 2 4" xfId="37988"/>
    <cellStyle name="Total 2 80 2 5" xfId="37989"/>
    <cellStyle name="Total 2 80 2 6" xfId="37990"/>
    <cellStyle name="Total 2 80 3" xfId="10018"/>
    <cellStyle name="Total 2 80 4" xfId="25821"/>
    <cellStyle name="Total 2 80 4 2" xfId="37991"/>
    <cellStyle name="Total 2 80 5" xfId="37992"/>
    <cellStyle name="Total 2 80 6" xfId="37993"/>
    <cellStyle name="Total 2 80 7" xfId="37994"/>
    <cellStyle name="Total 2 81" xfId="1489"/>
    <cellStyle name="Total 2 81 2" xfId="7377"/>
    <cellStyle name="Total 2 81 2 2" xfId="11709"/>
    <cellStyle name="Total 2 81 2 3" xfId="25822"/>
    <cellStyle name="Total 2 81 2 3 2" xfId="37995"/>
    <cellStyle name="Total 2 81 2 4" xfId="37996"/>
    <cellStyle name="Total 2 81 2 5" xfId="37997"/>
    <cellStyle name="Total 2 81 2 6" xfId="37998"/>
    <cellStyle name="Total 2 81 3" xfId="10019"/>
    <cellStyle name="Total 2 81 4" xfId="25823"/>
    <cellStyle name="Total 2 81 4 2" xfId="37999"/>
    <cellStyle name="Total 2 81 5" xfId="38000"/>
    <cellStyle name="Total 2 81 6" xfId="38001"/>
    <cellStyle name="Total 2 81 7" xfId="38002"/>
    <cellStyle name="Total 2 82" xfId="7378"/>
    <cellStyle name="Total 2 82 2" xfId="11630"/>
    <cellStyle name="Total 2 82 3" xfId="25824"/>
    <cellStyle name="Total 2 82 3 2" xfId="38003"/>
    <cellStyle name="Total 2 82 4" xfId="38004"/>
    <cellStyle name="Total 2 82 5" xfId="38005"/>
    <cellStyle name="Total 2 82 6" xfId="38006"/>
    <cellStyle name="Total 2 83" xfId="9940"/>
    <cellStyle name="Total 2 84" xfId="25825"/>
    <cellStyle name="Total 2 84 2" xfId="38007"/>
    <cellStyle name="Total 2 85" xfId="38008"/>
    <cellStyle name="Total 2 86" xfId="38009"/>
    <cellStyle name="Total 2 87" xfId="38010"/>
    <cellStyle name="Total 2 9" xfId="1490"/>
    <cellStyle name="Total 2 9 2" xfId="7379"/>
    <cellStyle name="Total 2 9 2 2" xfId="11710"/>
    <cellStyle name="Total 2 9 2 3" xfId="25826"/>
    <cellStyle name="Total 2 9 2 3 2" xfId="38011"/>
    <cellStyle name="Total 2 9 2 4" xfId="38012"/>
    <cellStyle name="Total 2 9 2 5" xfId="38013"/>
    <cellStyle name="Total 2 9 2 6" xfId="38014"/>
    <cellStyle name="Total 2 9 3" xfId="10020"/>
    <cellStyle name="Total 2 9 4" xfId="25827"/>
    <cellStyle name="Total 2 9 4 2" xfId="38015"/>
    <cellStyle name="Total 2 9 5" xfId="38016"/>
    <cellStyle name="Total 2 9 6" xfId="38017"/>
    <cellStyle name="Total 2 9 7" xfId="38018"/>
    <cellStyle name="Total 20" xfId="1491"/>
    <cellStyle name="Total 20 2" xfId="7380"/>
    <cellStyle name="Total 20 2 2" xfId="11711"/>
    <cellStyle name="Total 20 2 3" xfId="25828"/>
    <cellStyle name="Total 20 2 3 2" xfId="38019"/>
    <cellStyle name="Total 20 2 4" xfId="38020"/>
    <cellStyle name="Total 20 2 5" xfId="38021"/>
    <cellStyle name="Total 20 2 6" xfId="38022"/>
    <cellStyle name="Total 20 3" xfId="10021"/>
    <cellStyle name="Total 20 4" xfId="25829"/>
    <cellStyle name="Total 20 4 2" xfId="38023"/>
    <cellStyle name="Total 20 5" xfId="38024"/>
    <cellStyle name="Total 20 6" xfId="38025"/>
    <cellStyle name="Total 20 7" xfId="38026"/>
    <cellStyle name="Total 21" xfId="1492"/>
    <cellStyle name="Total 21 2" xfId="7381"/>
    <cellStyle name="Total 21 2 2" xfId="11712"/>
    <cellStyle name="Total 21 2 3" xfId="25830"/>
    <cellStyle name="Total 21 2 3 2" xfId="38027"/>
    <cellStyle name="Total 21 2 4" xfId="38028"/>
    <cellStyle name="Total 21 2 5" xfId="38029"/>
    <cellStyle name="Total 21 2 6" xfId="38030"/>
    <cellStyle name="Total 21 3" xfId="10022"/>
    <cellStyle name="Total 21 4" xfId="25831"/>
    <cellStyle name="Total 21 4 2" xfId="38031"/>
    <cellStyle name="Total 21 5" xfId="38032"/>
    <cellStyle name="Total 21 6" xfId="38033"/>
    <cellStyle name="Total 21 7" xfId="38034"/>
    <cellStyle name="Total 22" xfId="1493"/>
    <cellStyle name="Total 22 2" xfId="7382"/>
    <cellStyle name="Total 22 2 2" xfId="11713"/>
    <cellStyle name="Total 22 2 3" xfId="25832"/>
    <cellStyle name="Total 22 2 3 2" xfId="38035"/>
    <cellStyle name="Total 22 2 4" xfId="38036"/>
    <cellStyle name="Total 22 2 5" xfId="38037"/>
    <cellStyle name="Total 22 2 6" xfId="38038"/>
    <cellStyle name="Total 22 3" xfId="10023"/>
    <cellStyle name="Total 22 4" xfId="25833"/>
    <cellStyle name="Total 22 4 2" xfId="38039"/>
    <cellStyle name="Total 22 5" xfId="38040"/>
    <cellStyle name="Total 22 6" xfId="38041"/>
    <cellStyle name="Total 22 7" xfId="38042"/>
    <cellStyle name="Total 23" xfId="1494"/>
    <cellStyle name="Total 23 2" xfId="7383"/>
    <cellStyle name="Total 23 2 2" xfId="11714"/>
    <cellStyle name="Total 23 2 3" xfId="25834"/>
    <cellStyle name="Total 23 2 3 2" xfId="38043"/>
    <cellStyle name="Total 23 2 4" xfId="38044"/>
    <cellStyle name="Total 23 2 5" xfId="38045"/>
    <cellStyle name="Total 23 2 6" xfId="38046"/>
    <cellStyle name="Total 23 3" xfId="10024"/>
    <cellStyle name="Total 23 4" xfId="25835"/>
    <cellStyle name="Total 23 4 2" xfId="38047"/>
    <cellStyle name="Total 23 5" xfId="38048"/>
    <cellStyle name="Total 23 6" xfId="38049"/>
    <cellStyle name="Total 23 7" xfId="38050"/>
    <cellStyle name="Total 24" xfId="1495"/>
    <cellStyle name="Total 24 2" xfId="7384"/>
    <cellStyle name="Total 24 2 2" xfId="11715"/>
    <cellStyle name="Total 24 2 3" xfId="25836"/>
    <cellStyle name="Total 24 2 3 2" xfId="38051"/>
    <cellStyle name="Total 24 2 4" xfId="38052"/>
    <cellStyle name="Total 24 2 5" xfId="38053"/>
    <cellStyle name="Total 24 2 6" xfId="38054"/>
    <cellStyle name="Total 24 3" xfId="10025"/>
    <cellStyle name="Total 24 4" xfId="25837"/>
    <cellStyle name="Total 24 4 2" xfId="38055"/>
    <cellStyle name="Total 24 5" xfId="38056"/>
    <cellStyle name="Total 24 6" xfId="38057"/>
    <cellStyle name="Total 24 7" xfId="38058"/>
    <cellStyle name="Total 25" xfId="1496"/>
    <cellStyle name="Total 25 2" xfId="7385"/>
    <cellStyle name="Total 25 2 2" xfId="11716"/>
    <cellStyle name="Total 25 2 3" xfId="25838"/>
    <cellStyle name="Total 25 2 3 2" xfId="38059"/>
    <cellStyle name="Total 25 2 4" xfId="38060"/>
    <cellStyle name="Total 25 2 5" xfId="38061"/>
    <cellStyle name="Total 25 2 6" xfId="38062"/>
    <cellStyle name="Total 25 3" xfId="10026"/>
    <cellStyle name="Total 25 4" xfId="25839"/>
    <cellStyle name="Total 25 4 2" xfId="38063"/>
    <cellStyle name="Total 25 5" xfId="38064"/>
    <cellStyle name="Total 25 6" xfId="38065"/>
    <cellStyle name="Total 25 7" xfId="38066"/>
    <cellStyle name="Total 26" xfId="1497"/>
    <cellStyle name="Total 26 2" xfId="7386"/>
    <cellStyle name="Total 26 2 2" xfId="11717"/>
    <cellStyle name="Total 26 2 3" xfId="25840"/>
    <cellStyle name="Total 26 2 3 2" xfId="38067"/>
    <cellStyle name="Total 26 2 4" xfId="38068"/>
    <cellStyle name="Total 26 2 5" xfId="38069"/>
    <cellStyle name="Total 26 2 6" xfId="38070"/>
    <cellStyle name="Total 26 3" xfId="10027"/>
    <cellStyle name="Total 26 4" xfId="25841"/>
    <cellStyle name="Total 26 4 2" xfId="38071"/>
    <cellStyle name="Total 26 5" xfId="38072"/>
    <cellStyle name="Total 26 6" xfId="38073"/>
    <cellStyle name="Total 26 7" xfId="38074"/>
    <cellStyle name="Total 27" xfId="1498"/>
    <cellStyle name="Total 27 2" xfId="7387"/>
    <cellStyle name="Total 27 2 2" xfId="11718"/>
    <cellStyle name="Total 27 2 3" xfId="25842"/>
    <cellStyle name="Total 27 2 3 2" xfId="38075"/>
    <cellStyle name="Total 27 2 4" xfId="38076"/>
    <cellStyle name="Total 27 2 5" xfId="38077"/>
    <cellStyle name="Total 27 2 6" xfId="38078"/>
    <cellStyle name="Total 27 3" xfId="10028"/>
    <cellStyle name="Total 27 4" xfId="25843"/>
    <cellStyle name="Total 27 4 2" xfId="38079"/>
    <cellStyle name="Total 27 5" xfId="38080"/>
    <cellStyle name="Total 27 6" xfId="38081"/>
    <cellStyle name="Total 27 7" xfId="38082"/>
    <cellStyle name="Total 28" xfId="1499"/>
    <cellStyle name="Total 28 2" xfId="7388"/>
    <cellStyle name="Total 28 2 2" xfId="11719"/>
    <cellStyle name="Total 28 2 3" xfId="25844"/>
    <cellStyle name="Total 28 2 3 2" xfId="38083"/>
    <cellStyle name="Total 28 2 4" xfId="38084"/>
    <cellStyle name="Total 28 2 5" xfId="38085"/>
    <cellStyle name="Total 28 2 6" xfId="38086"/>
    <cellStyle name="Total 28 3" xfId="10029"/>
    <cellStyle name="Total 28 4" xfId="25845"/>
    <cellStyle name="Total 28 4 2" xfId="38087"/>
    <cellStyle name="Total 28 5" xfId="38088"/>
    <cellStyle name="Total 28 6" xfId="38089"/>
    <cellStyle name="Total 28 7" xfId="38090"/>
    <cellStyle name="Total 29" xfId="1500"/>
    <cellStyle name="Total 29 2" xfId="7389"/>
    <cellStyle name="Total 29 2 2" xfId="11720"/>
    <cellStyle name="Total 29 2 3" xfId="25846"/>
    <cellStyle name="Total 29 2 3 2" xfId="38091"/>
    <cellStyle name="Total 29 2 4" xfId="38092"/>
    <cellStyle name="Total 29 2 5" xfId="38093"/>
    <cellStyle name="Total 29 2 6" xfId="38094"/>
    <cellStyle name="Total 29 3" xfId="10030"/>
    <cellStyle name="Total 29 4" xfId="25847"/>
    <cellStyle name="Total 29 4 2" xfId="38095"/>
    <cellStyle name="Total 29 5" xfId="38096"/>
    <cellStyle name="Total 29 6" xfId="38097"/>
    <cellStyle name="Total 29 7" xfId="38098"/>
    <cellStyle name="Total 3" xfId="1501"/>
    <cellStyle name="Total 3 2" xfId="7390"/>
    <cellStyle name="Total 3 2 2" xfId="11721"/>
    <cellStyle name="Total 3 2 3" xfId="25848"/>
    <cellStyle name="Total 3 2 3 2" xfId="38099"/>
    <cellStyle name="Total 3 2 4" xfId="38100"/>
    <cellStyle name="Total 3 2 5" xfId="38101"/>
    <cellStyle name="Total 3 2 6" xfId="38102"/>
    <cellStyle name="Total 3 3" xfId="10031"/>
    <cellStyle name="Total 3 4" xfId="25849"/>
    <cellStyle name="Total 3 4 2" xfId="38103"/>
    <cellStyle name="Total 3 5" xfId="38104"/>
    <cellStyle name="Total 3 6" xfId="38105"/>
    <cellStyle name="Total 3 7" xfId="38106"/>
    <cellStyle name="Total 30" xfId="1502"/>
    <cellStyle name="Total 30 2" xfId="7391"/>
    <cellStyle name="Total 30 2 2" xfId="11722"/>
    <cellStyle name="Total 30 2 3" xfId="25850"/>
    <cellStyle name="Total 30 2 3 2" xfId="38107"/>
    <cellStyle name="Total 30 2 4" xfId="38108"/>
    <cellStyle name="Total 30 2 5" xfId="38109"/>
    <cellStyle name="Total 30 2 6" xfId="38110"/>
    <cellStyle name="Total 30 3" xfId="10032"/>
    <cellStyle name="Total 30 4" xfId="25851"/>
    <cellStyle name="Total 30 4 2" xfId="38111"/>
    <cellStyle name="Total 30 5" xfId="38112"/>
    <cellStyle name="Total 30 6" xfId="38113"/>
    <cellStyle name="Total 30 7" xfId="38114"/>
    <cellStyle name="Total 31" xfId="7392"/>
    <cellStyle name="Total 31 2" xfId="11619"/>
    <cellStyle name="Total 31 3" xfId="25852"/>
    <cellStyle name="Total 31 3 2" xfId="38115"/>
    <cellStyle name="Total 31 4" xfId="38116"/>
    <cellStyle name="Total 31 5" xfId="38117"/>
    <cellStyle name="Total 31 6" xfId="38118"/>
    <cellStyle name="Total 32" xfId="9929"/>
    <cellStyle name="Total 33" xfId="25853"/>
    <cellStyle name="Total 33 2" xfId="38119"/>
    <cellStyle name="Total 34" xfId="38120"/>
    <cellStyle name="Total 35" xfId="38121"/>
    <cellStyle name="Total 36" xfId="38122"/>
    <cellStyle name="Total 4" xfId="1503"/>
    <cellStyle name="Total 4 2" xfId="7393"/>
    <cellStyle name="Total 4 2 2" xfId="11723"/>
    <cellStyle name="Total 4 2 3" xfId="25854"/>
    <cellStyle name="Total 4 2 3 2" xfId="38123"/>
    <cellStyle name="Total 4 2 4" xfId="38124"/>
    <cellStyle name="Total 4 2 5" xfId="38125"/>
    <cellStyle name="Total 4 2 6" xfId="38126"/>
    <cellStyle name="Total 4 3" xfId="10033"/>
    <cellStyle name="Total 4 4" xfId="25855"/>
    <cellStyle name="Total 4 4 2" xfId="38127"/>
    <cellStyle name="Total 4 5" xfId="38128"/>
    <cellStyle name="Total 4 6" xfId="38129"/>
    <cellStyle name="Total 4 7" xfId="38130"/>
    <cellStyle name="Total 5" xfId="1504"/>
    <cellStyle name="Total 5 2" xfId="7394"/>
    <cellStyle name="Total 5 2 2" xfId="11724"/>
    <cellStyle name="Total 5 2 3" xfId="25856"/>
    <cellStyle name="Total 5 2 3 2" xfId="38131"/>
    <cellStyle name="Total 5 2 4" xfId="38132"/>
    <cellStyle name="Total 5 2 5" xfId="38133"/>
    <cellStyle name="Total 5 2 6" xfId="38134"/>
    <cellStyle name="Total 5 3" xfId="10034"/>
    <cellStyle name="Total 5 4" xfId="25857"/>
    <cellStyle name="Total 5 4 2" xfId="38135"/>
    <cellStyle name="Total 5 5" xfId="38136"/>
    <cellStyle name="Total 5 6" xfId="38137"/>
    <cellStyle name="Total 5 7" xfId="38138"/>
    <cellStyle name="Total 6" xfId="1505"/>
    <cellStyle name="Total 6 2" xfId="7395"/>
    <cellStyle name="Total 6 2 2" xfId="11725"/>
    <cellStyle name="Total 6 2 3" xfId="25858"/>
    <cellStyle name="Total 6 2 3 2" xfId="38139"/>
    <cellStyle name="Total 6 2 4" xfId="38140"/>
    <cellStyle name="Total 6 2 5" xfId="38141"/>
    <cellStyle name="Total 6 2 6" xfId="38142"/>
    <cellStyle name="Total 6 3" xfId="10035"/>
    <cellStyle name="Total 6 4" xfId="25859"/>
    <cellStyle name="Total 6 4 2" xfId="38143"/>
    <cellStyle name="Total 6 5" xfId="38144"/>
    <cellStyle name="Total 6 6" xfId="38145"/>
    <cellStyle name="Total 6 7" xfId="38146"/>
    <cellStyle name="Total 7" xfId="1506"/>
    <cellStyle name="Total 7 2" xfId="7396"/>
    <cellStyle name="Total 7 2 2" xfId="11726"/>
    <cellStyle name="Total 7 2 3" xfId="25860"/>
    <cellStyle name="Total 7 2 3 2" xfId="38147"/>
    <cellStyle name="Total 7 2 4" xfId="38148"/>
    <cellStyle name="Total 7 2 5" xfId="38149"/>
    <cellStyle name="Total 7 2 6" xfId="38150"/>
    <cellStyle name="Total 7 3" xfId="10036"/>
    <cellStyle name="Total 7 4" xfId="25861"/>
    <cellStyle name="Total 7 4 2" xfId="38151"/>
    <cellStyle name="Total 7 5" xfId="38152"/>
    <cellStyle name="Total 7 6" xfId="38153"/>
    <cellStyle name="Total 7 7" xfId="38154"/>
    <cellStyle name="Total 8" xfId="1507"/>
    <cellStyle name="Total 8 2" xfId="7397"/>
    <cellStyle name="Total 8 2 2" xfId="11727"/>
    <cellStyle name="Total 8 2 3" xfId="25862"/>
    <cellStyle name="Total 8 2 3 2" xfId="38155"/>
    <cellStyle name="Total 8 2 4" xfId="38156"/>
    <cellStyle name="Total 8 2 5" xfId="38157"/>
    <cellStyle name="Total 8 2 6" xfId="38158"/>
    <cellStyle name="Total 8 3" xfId="10037"/>
    <cellStyle name="Total 8 4" xfId="25863"/>
    <cellStyle name="Total 8 4 2" xfId="38159"/>
    <cellStyle name="Total 8 5" xfId="38160"/>
    <cellStyle name="Total 8 6" xfId="38161"/>
    <cellStyle name="Total 8 7" xfId="38162"/>
    <cellStyle name="Total 9" xfId="1508"/>
    <cellStyle name="Total 9 2" xfId="7398"/>
    <cellStyle name="Total 9 2 2" xfId="11728"/>
    <cellStyle name="Total 9 2 3" xfId="25864"/>
    <cellStyle name="Total 9 2 3 2" xfId="38163"/>
    <cellStyle name="Total 9 2 4" xfId="38164"/>
    <cellStyle name="Total 9 2 5" xfId="38165"/>
    <cellStyle name="Total 9 2 6" xfId="38166"/>
    <cellStyle name="Total 9 3" xfId="10038"/>
    <cellStyle name="Total 9 4" xfId="25865"/>
    <cellStyle name="Total 9 4 2" xfId="38167"/>
    <cellStyle name="Total 9 5" xfId="38168"/>
    <cellStyle name="Total 9 6" xfId="38169"/>
    <cellStyle name="Total 9 7" xfId="38170"/>
    <cellStyle name="Totals" xfId="7399"/>
    <cellStyle name="Uitvoer 2" xfId="1509"/>
    <cellStyle name="Uitvoer 2 10" xfId="1510"/>
    <cellStyle name="Uitvoer 2 10 2" xfId="7400"/>
    <cellStyle name="Uitvoer 2 10 2 2" xfId="11730"/>
    <cellStyle name="Uitvoer 2 10 2 3" xfId="25866"/>
    <cellStyle name="Uitvoer 2 10 2 3 2" xfId="38171"/>
    <cellStyle name="Uitvoer 2 10 2 4" xfId="38172"/>
    <cellStyle name="Uitvoer 2 10 2 5" xfId="38173"/>
    <cellStyle name="Uitvoer 2 10 2 6" xfId="38174"/>
    <cellStyle name="Uitvoer 2 10 3" xfId="10040"/>
    <cellStyle name="Uitvoer 2 10 4" xfId="25867"/>
    <cellStyle name="Uitvoer 2 10 4 2" xfId="38175"/>
    <cellStyle name="Uitvoer 2 10 5" xfId="38176"/>
    <cellStyle name="Uitvoer 2 10 6" xfId="38177"/>
    <cellStyle name="Uitvoer 2 10 7" xfId="38178"/>
    <cellStyle name="Uitvoer 2 11" xfId="1511"/>
    <cellStyle name="Uitvoer 2 11 2" xfId="7401"/>
    <cellStyle name="Uitvoer 2 11 2 2" xfId="11731"/>
    <cellStyle name="Uitvoer 2 11 2 3" xfId="25868"/>
    <cellStyle name="Uitvoer 2 11 2 3 2" xfId="38179"/>
    <cellStyle name="Uitvoer 2 11 2 4" xfId="38180"/>
    <cellStyle name="Uitvoer 2 11 2 5" xfId="38181"/>
    <cellStyle name="Uitvoer 2 11 2 6" xfId="38182"/>
    <cellStyle name="Uitvoer 2 11 3" xfId="10041"/>
    <cellStyle name="Uitvoer 2 11 4" xfId="25869"/>
    <cellStyle name="Uitvoer 2 11 4 2" xfId="38183"/>
    <cellStyle name="Uitvoer 2 11 5" xfId="38184"/>
    <cellStyle name="Uitvoer 2 11 6" xfId="38185"/>
    <cellStyle name="Uitvoer 2 11 7" xfId="38186"/>
    <cellStyle name="Uitvoer 2 12" xfId="1512"/>
    <cellStyle name="Uitvoer 2 12 2" xfId="7402"/>
    <cellStyle name="Uitvoer 2 12 2 2" xfId="11732"/>
    <cellStyle name="Uitvoer 2 12 2 3" xfId="25870"/>
    <cellStyle name="Uitvoer 2 12 2 3 2" xfId="38187"/>
    <cellStyle name="Uitvoer 2 12 2 4" xfId="38188"/>
    <cellStyle name="Uitvoer 2 12 2 5" xfId="38189"/>
    <cellStyle name="Uitvoer 2 12 2 6" xfId="38190"/>
    <cellStyle name="Uitvoer 2 12 3" xfId="10042"/>
    <cellStyle name="Uitvoer 2 12 4" xfId="25871"/>
    <cellStyle name="Uitvoer 2 12 4 2" xfId="38191"/>
    <cellStyle name="Uitvoer 2 12 5" xfId="38192"/>
    <cellStyle name="Uitvoer 2 12 6" xfId="38193"/>
    <cellStyle name="Uitvoer 2 12 7" xfId="38194"/>
    <cellStyle name="Uitvoer 2 13" xfId="1513"/>
    <cellStyle name="Uitvoer 2 13 2" xfId="7403"/>
    <cellStyle name="Uitvoer 2 13 2 2" xfId="11733"/>
    <cellStyle name="Uitvoer 2 13 2 3" xfId="25872"/>
    <cellStyle name="Uitvoer 2 13 2 3 2" xfId="38195"/>
    <cellStyle name="Uitvoer 2 13 2 4" xfId="38196"/>
    <cellStyle name="Uitvoer 2 13 2 5" xfId="38197"/>
    <cellStyle name="Uitvoer 2 13 2 6" xfId="38198"/>
    <cellStyle name="Uitvoer 2 13 3" xfId="10043"/>
    <cellStyle name="Uitvoer 2 13 4" xfId="25873"/>
    <cellStyle name="Uitvoer 2 13 4 2" xfId="38199"/>
    <cellStyle name="Uitvoer 2 13 5" xfId="38200"/>
    <cellStyle name="Uitvoer 2 13 6" xfId="38201"/>
    <cellStyle name="Uitvoer 2 13 7" xfId="38202"/>
    <cellStyle name="Uitvoer 2 14" xfId="1514"/>
    <cellStyle name="Uitvoer 2 14 2" xfId="7404"/>
    <cellStyle name="Uitvoer 2 14 2 2" xfId="11734"/>
    <cellStyle name="Uitvoer 2 14 2 3" xfId="25874"/>
    <cellStyle name="Uitvoer 2 14 2 3 2" xfId="38203"/>
    <cellStyle name="Uitvoer 2 14 2 4" xfId="38204"/>
    <cellStyle name="Uitvoer 2 14 2 5" xfId="38205"/>
    <cellStyle name="Uitvoer 2 14 2 6" xfId="38206"/>
    <cellStyle name="Uitvoer 2 14 3" xfId="10044"/>
    <cellStyle name="Uitvoer 2 14 4" xfId="25875"/>
    <cellStyle name="Uitvoer 2 14 4 2" xfId="38207"/>
    <cellStyle name="Uitvoer 2 14 5" xfId="38208"/>
    <cellStyle name="Uitvoer 2 14 6" xfId="38209"/>
    <cellStyle name="Uitvoer 2 14 7" xfId="38210"/>
    <cellStyle name="Uitvoer 2 15" xfId="1515"/>
    <cellStyle name="Uitvoer 2 15 2" xfId="7405"/>
    <cellStyle name="Uitvoer 2 15 2 2" xfId="11735"/>
    <cellStyle name="Uitvoer 2 15 2 3" xfId="25876"/>
    <cellStyle name="Uitvoer 2 15 2 3 2" xfId="38211"/>
    <cellStyle name="Uitvoer 2 15 2 4" xfId="38212"/>
    <cellStyle name="Uitvoer 2 15 2 5" xfId="38213"/>
    <cellStyle name="Uitvoer 2 15 2 6" xfId="38214"/>
    <cellStyle name="Uitvoer 2 15 3" xfId="10045"/>
    <cellStyle name="Uitvoer 2 15 4" xfId="25877"/>
    <cellStyle name="Uitvoer 2 15 4 2" xfId="38215"/>
    <cellStyle name="Uitvoer 2 15 5" xfId="38216"/>
    <cellStyle name="Uitvoer 2 15 6" xfId="38217"/>
    <cellStyle name="Uitvoer 2 15 7" xfId="38218"/>
    <cellStyle name="Uitvoer 2 16" xfId="1516"/>
    <cellStyle name="Uitvoer 2 16 2" xfId="7406"/>
    <cellStyle name="Uitvoer 2 16 2 2" xfId="11736"/>
    <cellStyle name="Uitvoer 2 16 2 3" xfId="25878"/>
    <cellStyle name="Uitvoer 2 16 2 3 2" xfId="38219"/>
    <cellStyle name="Uitvoer 2 16 2 4" xfId="38220"/>
    <cellStyle name="Uitvoer 2 16 2 5" xfId="38221"/>
    <cellStyle name="Uitvoer 2 16 2 6" xfId="38222"/>
    <cellStyle name="Uitvoer 2 16 3" xfId="10046"/>
    <cellStyle name="Uitvoer 2 16 4" xfId="25879"/>
    <cellStyle name="Uitvoer 2 16 4 2" xfId="38223"/>
    <cellStyle name="Uitvoer 2 16 5" xfId="38224"/>
    <cellStyle name="Uitvoer 2 16 6" xfId="38225"/>
    <cellStyle name="Uitvoer 2 16 7" xfId="38226"/>
    <cellStyle name="Uitvoer 2 17" xfId="1517"/>
    <cellStyle name="Uitvoer 2 17 2" xfId="7407"/>
    <cellStyle name="Uitvoer 2 17 2 2" xfId="11737"/>
    <cellStyle name="Uitvoer 2 17 2 3" xfId="25880"/>
    <cellStyle name="Uitvoer 2 17 2 3 2" xfId="38227"/>
    <cellStyle name="Uitvoer 2 17 2 4" xfId="38228"/>
    <cellStyle name="Uitvoer 2 17 2 5" xfId="38229"/>
    <cellStyle name="Uitvoer 2 17 2 6" xfId="38230"/>
    <cellStyle name="Uitvoer 2 17 3" xfId="10047"/>
    <cellStyle name="Uitvoer 2 17 4" xfId="25881"/>
    <cellStyle name="Uitvoer 2 17 4 2" xfId="38231"/>
    <cellStyle name="Uitvoer 2 17 5" xfId="38232"/>
    <cellStyle name="Uitvoer 2 17 6" xfId="38233"/>
    <cellStyle name="Uitvoer 2 17 7" xfId="38234"/>
    <cellStyle name="Uitvoer 2 18" xfId="1518"/>
    <cellStyle name="Uitvoer 2 18 2" xfId="7408"/>
    <cellStyle name="Uitvoer 2 18 2 2" xfId="11738"/>
    <cellStyle name="Uitvoer 2 18 2 3" xfId="25882"/>
    <cellStyle name="Uitvoer 2 18 2 3 2" xfId="38235"/>
    <cellStyle name="Uitvoer 2 18 2 4" xfId="38236"/>
    <cellStyle name="Uitvoer 2 18 2 5" xfId="38237"/>
    <cellStyle name="Uitvoer 2 18 2 6" xfId="38238"/>
    <cellStyle name="Uitvoer 2 18 3" xfId="10048"/>
    <cellStyle name="Uitvoer 2 18 4" xfId="25883"/>
    <cellStyle name="Uitvoer 2 18 4 2" xfId="38239"/>
    <cellStyle name="Uitvoer 2 18 5" xfId="38240"/>
    <cellStyle name="Uitvoer 2 18 6" xfId="38241"/>
    <cellStyle name="Uitvoer 2 18 7" xfId="38242"/>
    <cellStyle name="Uitvoer 2 19" xfId="1519"/>
    <cellStyle name="Uitvoer 2 19 2" xfId="7409"/>
    <cellStyle name="Uitvoer 2 19 2 2" xfId="11739"/>
    <cellStyle name="Uitvoer 2 19 2 3" xfId="25884"/>
    <cellStyle name="Uitvoer 2 19 2 3 2" xfId="38243"/>
    <cellStyle name="Uitvoer 2 19 2 4" xfId="38244"/>
    <cellStyle name="Uitvoer 2 19 2 5" xfId="38245"/>
    <cellStyle name="Uitvoer 2 19 2 6" xfId="38246"/>
    <cellStyle name="Uitvoer 2 19 3" xfId="10049"/>
    <cellStyle name="Uitvoer 2 19 4" xfId="25885"/>
    <cellStyle name="Uitvoer 2 19 4 2" xfId="38247"/>
    <cellStyle name="Uitvoer 2 19 5" xfId="38248"/>
    <cellStyle name="Uitvoer 2 19 6" xfId="38249"/>
    <cellStyle name="Uitvoer 2 19 7" xfId="38250"/>
    <cellStyle name="Uitvoer 2 2" xfId="1520"/>
    <cellStyle name="Uitvoer 2 2 10" xfId="1521"/>
    <cellStyle name="Uitvoer 2 2 10 2" xfId="7410"/>
    <cellStyle name="Uitvoer 2 2 10 2 2" xfId="11741"/>
    <cellStyle name="Uitvoer 2 2 10 2 3" xfId="25886"/>
    <cellStyle name="Uitvoer 2 2 10 2 3 2" xfId="38251"/>
    <cellStyle name="Uitvoer 2 2 10 2 4" xfId="38252"/>
    <cellStyle name="Uitvoer 2 2 10 2 5" xfId="38253"/>
    <cellStyle name="Uitvoer 2 2 10 2 6" xfId="38254"/>
    <cellStyle name="Uitvoer 2 2 10 3" xfId="10051"/>
    <cellStyle name="Uitvoer 2 2 10 4" xfId="25887"/>
    <cellStyle name="Uitvoer 2 2 10 4 2" xfId="38255"/>
    <cellStyle name="Uitvoer 2 2 10 5" xfId="38256"/>
    <cellStyle name="Uitvoer 2 2 10 6" xfId="38257"/>
    <cellStyle name="Uitvoer 2 2 10 7" xfId="38258"/>
    <cellStyle name="Uitvoer 2 2 11" xfId="1522"/>
    <cellStyle name="Uitvoer 2 2 11 2" xfId="7411"/>
    <cellStyle name="Uitvoer 2 2 11 2 2" xfId="11742"/>
    <cellStyle name="Uitvoer 2 2 11 2 3" xfId="25888"/>
    <cellStyle name="Uitvoer 2 2 11 2 3 2" xfId="38259"/>
    <cellStyle name="Uitvoer 2 2 11 2 4" xfId="38260"/>
    <cellStyle name="Uitvoer 2 2 11 2 5" xfId="38261"/>
    <cellStyle name="Uitvoer 2 2 11 2 6" xfId="38262"/>
    <cellStyle name="Uitvoer 2 2 11 3" xfId="10052"/>
    <cellStyle name="Uitvoer 2 2 11 4" xfId="25889"/>
    <cellStyle name="Uitvoer 2 2 11 4 2" xfId="38263"/>
    <cellStyle name="Uitvoer 2 2 11 5" xfId="38264"/>
    <cellStyle name="Uitvoer 2 2 11 6" xfId="38265"/>
    <cellStyle name="Uitvoer 2 2 11 7" xfId="38266"/>
    <cellStyle name="Uitvoer 2 2 12" xfId="1523"/>
    <cellStyle name="Uitvoer 2 2 12 2" xfId="7412"/>
    <cellStyle name="Uitvoer 2 2 12 2 2" xfId="11743"/>
    <cellStyle name="Uitvoer 2 2 12 2 3" xfId="25890"/>
    <cellStyle name="Uitvoer 2 2 12 2 3 2" xfId="38267"/>
    <cellStyle name="Uitvoer 2 2 12 2 4" xfId="38268"/>
    <cellStyle name="Uitvoer 2 2 12 2 5" xfId="38269"/>
    <cellStyle name="Uitvoer 2 2 12 2 6" xfId="38270"/>
    <cellStyle name="Uitvoer 2 2 12 3" xfId="10053"/>
    <cellStyle name="Uitvoer 2 2 12 4" xfId="25891"/>
    <cellStyle name="Uitvoer 2 2 12 4 2" xfId="38271"/>
    <cellStyle name="Uitvoer 2 2 12 5" xfId="38272"/>
    <cellStyle name="Uitvoer 2 2 12 6" xfId="38273"/>
    <cellStyle name="Uitvoer 2 2 12 7" xfId="38274"/>
    <cellStyle name="Uitvoer 2 2 13" xfId="1524"/>
    <cellStyle name="Uitvoer 2 2 13 2" xfId="7413"/>
    <cellStyle name="Uitvoer 2 2 13 2 2" xfId="11744"/>
    <cellStyle name="Uitvoer 2 2 13 2 3" xfId="25892"/>
    <cellStyle name="Uitvoer 2 2 13 2 3 2" xfId="38275"/>
    <cellStyle name="Uitvoer 2 2 13 2 4" xfId="38276"/>
    <cellStyle name="Uitvoer 2 2 13 2 5" xfId="38277"/>
    <cellStyle name="Uitvoer 2 2 13 2 6" xfId="38278"/>
    <cellStyle name="Uitvoer 2 2 13 3" xfId="10054"/>
    <cellStyle name="Uitvoer 2 2 13 4" xfId="25893"/>
    <cellStyle name="Uitvoer 2 2 13 4 2" xfId="38279"/>
    <cellStyle name="Uitvoer 2 2 13 5" xfId="38280"/>
    <cellStyle name="Uitvoer 2 2 13 6" xfId="38281"/>
    <cellStyle name="Uitvoer 2 2 13 7" xfId="38282"/>
    <cellStyle name="Uitvoer 2 2 14" xfId="1525"/>
    <cellStyle name="Uitvoer 2 2 14 2" xfId="7414"/>
    <cellStyle name="Uitvoer 2 2 14 2 2" xfId="11745"/>
    <cellStyle name="Uitvoer 2 2 14 2 3" xfId="25894"/>
    <cellStyle name="Uitvoer 2 2 14 2 3 2" xfId="38283"/>
    <cellStyle name="Uitvoer 2 2 14 2 4" xfId="38284"/>
    <cellStyle name="Uitvoer 2 2 14 2 5" xfId="38285"/>
    <cellStyle name="Uitvoer 2 2 14 2 6" xfId="38286"/>
    <cellStyle name="Uitvoer 2 2 14 3" xfId="10055"/>
    <cellStyle name="Uitvoer 2 2 14 4" xfId="25895"/>
    <cellStyle name="Uitvoer 2 2 14 4 2" xfId="38287"/>
    <cellStyle name="Uitvoer 2 2 14 5" xfId="38288"/>
    <cellStyle name="Uitvoer 2 2 14 6" xfId="38289"/>
    <cellStyle name="Uitvoer 2 2 14 7" xfId="38290"/>
    <cellStyle name="Uitvoer 2 2 15" xfId="1526"/>
    <cellStyle name="Uitvoer 2 2 15 2" xfId="7415"/>
    <cellStyle name="Uitvoer 2 2 15 2 2" xfId="11746"/>
    <cellStyle name="Uitvoer 2 2 15 2 3" xfId="25896"/>
    <cellStyle name="Uitvoer 2 2 15 2 3 2" xfId="38291"/>
    <cellStyle name="Uitvoer 2 2 15 2 4" xfId="38292"/>
    <cellStyle name="Uitvoer 2 2 15 2 5" xfId="38293"/>
    <cellStyle name="Uitvoer 2 2 15 2 6" xfId="38294"/>
    <cellStyle name="Uitvoer 2 2 15 3" xfId="10056"/>
    <cellStyle name="Uitvoer 2 2 15 4" xfId="25897"/>
    <cellStyle name="Uitvoer 2 2 15 4 2" xfId="38295"/>
    <cellStyle name="Uitvoer 2 2 15 5" xfId="38296"/>
    <cellStyle name="Uitvoer 2 2 15 6" xfId="38297"/>
    <cellStyle name="Uitvoer 2 2 15 7" xfId="38298"/>
    <cellStyle name="Uitvoer 2 2 16" xfId="1527"/>
    <cellStyle name="Uitvoer 2 2 16 2" xfId="7416"/>
    <cellStyle name="Uitvoer 2 2 16 2 2" xfId="11747"/>
    <cellStyle name="Uitvoer 2 2 16 2 3" xfId="25898"/>
    <cellStyle name="Uitvoer 2 2 16 2 3 2" xfId="38299"/>
    <cellStyle name="Uitvoer 2 2 16 2 4" xfId="38300"/>
    <cellStyle name="Uitvoer 2 2 16 2 5" xfId="38301"/>
    <cellStyle name="Uitvoer 2 2 16 2 6" xfId="38302"/>
    <cellStyle name="Uitvoer 2 2 16 3" xfId="10057"/>
    <cellStyle name="Uitvoer 2 2 16 4" xfId="25899"/>
    <cellStyle name="Uitvoer 2 2 16 4 2" xfId="38303"/>
    <cellStyle name="Uitvoer 2 2 16 5" xfId="38304"/>
    <cellStyle name="Uitvoer 2 2 16 6" xfId="38305"/>
    <cellStyle name="Uitvoer 2 2 16 7" xfId="38306"/>
    <cellStyle name="Uitvoer 2 2 17" xfId="1528"/>
    <cellStyle name="Uitvoer 2 2 17 2" xfId="7417"/>
    <cellStyle name="Uitvoer 2 2 17 2 2" xfId="11748"/>
    <cellStyle name="Uitvoer 2 2 17 2 3" xfId="25900"/>
    <cellStyle name="Uitvoer 2 2 17 2 3 2" xfId="38307"/>
    <cellStyle name="Uitvoer 2 2 17 2 4" xfId="38308"/>
    <cellStyle name="Uitvoer 2 2 17 2 5" xfId="38309"/>
    <cellStyle name="Uitvoer 2 2 17 2 6" xfId="38310"/>
    <cellStyle name="Uitvoer 2 2 17 3" xfId="10058"/>
    <cellStyle name="Uitvoer 2 2 17 4" xfId="25901"/>
    <cellStyle name="Uitvoer 2 2 17 4 2" xfId="38311"/>
    <cellStyle name="Uitvoer 2 2 17 5" xfId="38312"/>
    <cellStyle name="Uitvoer 2 2 17 6" xfId="38313"/>
    <cellStyle name="Uitvoer 2 2 17 7" xfId="38314"/>
    <cellStyle name="Uitvoer 2 2 18" xfId="1529"/>
    <cellStyle name="Uitvoer 2 2 18 2" xfId="7418"/>
    <cellStyle name="Uitvoer 2 2 18 2 2" xfId="11749"/>
    <cellStyle name="Uitvoer 2 2 18 2 3" xfId="25902"/>
    <cellStyle name="Uitvoer 2 2 18 2 3 2" xfId="38315"/>
    <cellStyle name="Uitvoer 2 2 18 2 4" xfId="38316"/>
    <cellStyle name="Uitvoer 2 2 18 2 5" xfId="38317"/>
    <cellStyle name="Uitvoer 2 2 18 2 6" xfId="38318"/>
    <cellStyle name="Uitvoer 2 2 18 3" xfId="10059"/>
    <cellStyle name="Uitvoer 2 2 18 4" xfId="25903"/>
    <cellStyle name="Uitvoer 2 2 18 4 2" xfId="38319"/>
    <cellStyle name="Uitvoer 2 2 18 5" xfId="38320"/>
    <cellStyle name="Uitvoer 2 2 18 6" xfId="38321"/>
    <cellStyle name="Uitvoer 2 2 18 7" xfId="38322"/>
    <cellStyle name="Uitvoer 2 2 19" xfId="1530"/>
    <cellStyle name="Uitvoer 2 2 19 2" xfId="7419"/>
    <cellStyle name="Uitvoer 2 2 19 2 2" xfId="11750"/>
    <cellStyle name="Uitvoer 2 2 19 2 3" xfId="25904"/>
    <cellStyle name="Uitvoer 2 2 19 2 3 2" xfId="38323"/>
    <cellStyle name="Uitvoer 2 2 19 2 4" xfId="38324"/>
    <cellStyle name="Uitvoer 2 2 19 2 5" xfId="38325"/>
    <cellStyle name="Uitvoer 2 2 19 2 6" xfId="38326"/>
    <cellStyle name="Uitvoer 2 2 19 3" xfId="10060"/>
    <cellStyle name="Uitvoer 2 2 19 4" xfId="25905"/>
    <cellStyle name="Uitvoer 2 2 19 4 2" xfId="38327"/>
    <cellStyle name="Uitvoer 2 2 19 5" xfId="38328"/>
    <cellStyle name="Uitvoer 2 2 19 6" xfId="38329"/>
    <cellStyle name="Uitvoer 2 2 19 7" xfId="38330"/>
    <cellStyle name="Uitvoer 2 2 2" xfId="1531"/>
    <cellStyle name="Uitvoer 2 2 2 2" xfId="7420"/>
    <cellStyle name="Uitvoer 2 2 2 2 2" xfId="11751"/>
    <cellStyle name="Uitvoer 2 2 2 2 3" xfId="25906"/>
    <cellStyle name="Uitvoer 2 2 2 2 3 2" xfId="38331"/>
    <cellStyle name="Uitvoer 2 2 2 2 4" xfId="38332"/>
    <cellStyle name="Uitvoer 2 2 2 2 5" xfId="38333"/>
    <cellStyle name="Uitvoer 2 2 2 2 6" xfId="38334"/>
    <cellStyle name="Uitvoer 2 2 2 3" xfId="10061"/>
    <cellStyle name="Uitvoer 2 2 2 4" xfId="25907"/>
    <cellStyle name="Uitvoer 2 2 2 4 2" xfId="38335"/>
    <cellStyle name="Uitvoer 2 2 2 5" xfId="38336"/>
    <cellStyle name="Uitvoer 2 2 2 6" xfId="38337"/>
    <cellStyle name="Uitvoer 2 2 2 7" xfId="38338"/>
    <cellStyle name="Uitvoer 2 2 20" xfId="1532"/>
    <cellStyle name="Uitvoer 2 2 20 2" xfId="7421"/>
    <cellStyle name="Uitvoer 2 2 20 2 2" xfId="11752"/>
    <cellStyle name="Uitvoer 2 2 20 2 3" xfId="25908"/>
    <cellStyle name="Uitvoer 2 2 20 2 3 2" xfId="38339"/>
    <cellStyle name="Uitvoer 2 2 20 2 4" xfId="38340"/>
    <cellStyle name="Uitvoer 2 2 20 2 5" xfId="38341"/>
    <cellStyle name="Uitvoer 2 2 20 2 6" xfId="38342"/>
    <cellStyle name="Uitvoer 2 2 20 3" xfId="10062"/>
    <cellStyle name="Uitvoer 2 2 20 4" xfId="25909"/>
    <cellStyle name="Uitvoer 2 2 20 4 2" xfId="38343"/>
    <cellStyle name="Uitvoer 2 2 20 5" xfId="38344"/>
    <cellStyle name="Uitvoer 2 2 20 6" xfId="38345"/>
    <cellStyle name="Uitvoer 2 2 20 7" xfId="38346"/>
    <cellStyle name="Uitvoer 2 2 21" xfId="1533"/>
    <cellStyle name="Uitvoer 2 2 21 2" xfId="7422"/>
    <cellStyle name="Uitvoer 2 2 21 2 2" xfId="11753"/>
    <cellStyle name="Uitvoer 2 2 21 2 3" xfId="25910"/>
    <cellStyle name="Uitvoer 2 2 21 2 3 2" xfId="38347"/>
    <cellStyle name="Uitvoer 2 2 21 2 4" xfId="38348"/>
    <cellStyle name="Uitvoer 2 2 21 2 5" xfId="38349"/>
    <cellStyle name="Uitvoer 2 2 21 2 6" xfId="38350"/>
    <cellStyle name="Uitvoer 2 2 21 3" xfId="10063"/>
    <cellStyle name="Uitvoer 2 2 21 4" xfId="25911"/>
    <cellStyle name="Uitvoer 2 2 21 4 2" xfId="38351"/>
    <cellStyle name="Uitvoer 2 2 21 5" xfId="38352"/>
    <cellStyle name="Uitvoer 2 2 21 6" xfId="38353"/>
    <cellStyle name="Uitvoer 2 2 21 7" xfId="38354"/>
    <cellStyle name="Uitvoer 2 2 22" xfId="1534"/>
    <cellStyle name="Uitvoer 2 2 22 2" xfId="7423"/>
    <cellStyle name="Uitvoer 2 2 22 2 2" xfId="11754"/>
    <cellStyle name="Uitvoer 2 2 22 2 3" xfId="25912"/>
    <cellStyle name="Uitvoer 2 2 22 2 3 2" xfId="38355"/>
    <cellStyle name="Uitvoer 2 2 22 2 4" xfId="38356"/>
    <cellStyle name="Uitvoer 2 2 22 2 5" xfId="38357"/>
    <cellStyle name="Uitvoer 2 2 22 2 6" xfId="38358"/>
    <cellStyle name="Uitvoer 2 2 22 3" xfId="10064"/>
    <cellStyle name="Uitvoer 2 2 22 4" xfId="25913"/>
    <cellStyle name="Uitvoer 2 2 22 4 2" xfId="38359"/>
    <cellStyle name="Uitvoer 2 2 22 5" xfId="38360"/>
    <cellStyle name="Uitvoer 2 2 22 6" xfId="38361"/>
    <cellStyle name="Uitvoer 2 2 22 7" xfId="38362"/>
    <cellStyle name="Uitvoer 2 2 23" xfId="1535"/>
    <cellStyle name="Uitvoer 2 2 23 2" xfId="7424"/>
    <cellStyle name="Uitvoer 2 2 23 2 2" xfId="11755"/>
    <cellStyle name="Uitvoer 2 2 23 2 3" xfId="25914"/>
    <cellStyle name="Uitvoer 2 2 23 2 3 2" xfId="38363"/>
    <cellStyle name="Uitvoer 2 2 23 2 4" xfId="38364"/>
    <cellStyle name="Uitvoer 2 2 23 2 5" xfId="38365"/>
    <cellStyle name="Uitvoer 2 2 23 2 6" xfId="38366"/>
    <cellStyle name="Uitvoer 2 2 23 3" xfId="10065"/>
    <cellStyle name="Uitvoer 2 2 23 4" xfId="25915"/>
    <cellStyle name="Uitvoer 2 2 23 4 2" xfId="38367"/>
    <cellStyle name="Uitvoer 2 2 23 5" xfId="38368"/>
    <cellStyle name="Uitvoer 2 2 23 6" xfId="38369"/>
    <cellStyle name="Uitvoer 2 2 23 7" xfId="38370"/>
    <cellStyle name="Uitvoer 2 2 24" xfId="1536"/>
    <cellStyle name="Uitvoer 2 2 24 2" xfId="7425"/>
    <cellStyle name="Uitvoer 2 2 24 2 2" xfId="11756"/>
    <cellStyle name="Uitvoer 2 2 24 2 3" xfId="25916"/>
    <cellStyle name="Uitvoer 2 2 24 2 3 2" xfId="38371"/>
    <cellStyle name="Uitvoer 2 2 24 2 4" xfId="38372"/>
    <cellStyle name="Uitvoer 2 2 24 2 5" xfId="38373"/>
    <cellStyle name="Uitvoer 2 2 24 2 6" xfId="38374"/>
    <cellStyle name="Uitvoer 2 2 24 3" xfId="10066"/>
    <cellStyle name="Uitvoer 2 2 24 4" xfId="25917"/>
    <cellStyle name="Uitvoer 2 2 24 4 2" xfId="38375"/>
    <cellStyle name="Uitvoer 2 2 24 5" xfId="38376"/>
    <cellStyle name="Uitvoer 2 2 24 6" xfId="38377"/>
    <cellStyle name="Uitvoer 2 2 24 7" xfId="38378"/>
    <cellStyle name="Uitvoer 2 2 25" xfId="1537"/>
    <cellStyle name="Uitvoer 2 2 25 2" xfId="7426"/>
    <cellStyle name="Uitvoer 2 2 25 2 2" xfId="11757"/>
    <cellStyle name="Uitvoer 2 2 25 2 3" xfId="25918"/>
    <cellStyle name="Uitvoer 2 2 25 2 3 2" xfId="38379"/>
    <cellStyle name="Uitvoer 2 2 25 2 4" xfId="38380"/>
    <cellStyle name="Uitvoer 2 2 25 2 5" xfId="38381"/>
    <cellStyle name="Uitvoer 2 2 25 2 6" xfId="38382"/>
    <cellStyle name="Uitvoer 2 2 25 3" xfId="10067"/>
    <cellStyle name="Uitvoer 2 2 25 4" xfId="25919"/>
    <cellStyle name="Uitvoer 2 2 25 4 2" xfId="38383"/>
    <cellStyle name="Uitvoer 2 2 25 5" xfId="38384"/>
    <cellStyle name="Uitvoer 2 2 25 6" xfId="38385"/>
    <cellStyle name="Uitvoer 2 2 25 7" xfId="38386"/>
    <cellStyle name="Uitvoer 2 2 26" xfId="1538"/>
    <cellStyle name="Uitvoer 2 2 26 2" xfId="7427"/>
    <cellStyle name="Uitvoer 2 2 26 2 2" xfId="11758"/>
    <cellStyle name="Uitvoer 2 2 26 2 3" xfId="25920"/>
    <cellStyle name="Uitvoer 2 2 26 2 3 2" xfId="38387"/>
    <cellStyle name="Uitvoer 2 2 26 2 4" xfId="38388"/>
    <cellStyle name="Uitvoer 2 2 26 2 5" xfId="38389"/>
    <cellStyle name="Uitvoer 2 2 26 2 6" xfId="38390"/>
    <cellStyle name="Uitvoer 2 2 26 3" xfId="10068"/>
    <cellStyle name="Uitvoer 2 2 26 4" xfId="25921"/>
    <cellStyle name="Uitvoer 2 2 26 4 2" xfId="38391"/>
    <cellStyle name="Uitvoer 2 2 26 5" xfId="38392"/>
    <cellStyle name="Uitvoer 2 2 26 6" xfId="38393"/>
    <cellStyle name="Uitvoer 2 2 26 7" xfId="38394"/>
    <cellStyle name="Uitvoer 2 2 27" xfId="1539"/>
    <cellStyle name="Uitvoer 2 2 27 2" xfId="7428"/>
    <cellStyle name="Uitvoer 2 2 27 2 2" xfId="11759"/>
    <cellStyle name="Uitvoer 2 2 27 2 3" xfId="25922"/>
    <cellStyle name="Uitvoer 2 2 27 2 3 2" xfId="38395"/>
    <cellStyle name="Uitvoer 2 2 27 2 4" xfId="38396"/>
    <cellStyle name="Uitvoer 2 2 27 2 5" xfId="38397"/>
    <cellStyle name="Uitvoer 2 2 27 2 6" xfId="38398"/>
    <cellStyle name="Uitvoer 2 2 27 3" xfId="10069"/>
    <cellStyle name="Uitvoer 2 2 27 4" xfId="25923"/>
    <cellStyle name="Uitvoer 2 2 27 4 2" xfId="38399"/>
    <cellStyle name="Uitvoer 2 2 27 5" xfId="38400"/>
    <cellStyle name="Uitvoer 2 2 27 6" xfId="38401"/>
    <cellStyle name="Uitvoer 2 2 27 7" xfId="38402"/>
    <cellStyle name="Uitvoer 2 2 28" xfId="1540"/>
    <cellStyle name="Uitvoer 2 2 28 2" xfId="7429"/>
    <cellStyle name="Uitvoer 2 2 28 2 2" xfId="11760"/>
    <cellStyle name="Uitvoer 2 2 28 2 3" xfId="25924"/>
    <cellStyle name="Uitvoer 2 2 28 2 3 2" xfId="38403"/>
    <cellStyle name="Uitvoer 2 2 28 2 4" xfId="38404"/>
    <cellStyle name="Uitvoer 2 2 28 2 5" xfId="38405"/>
    <cellStyle name="Uitvoer 2 2 28 2 6" xfId="38406"/>
    <cellStyle name="Uitvoer 2 2 28 3" xfId="10070"/>
    <cellStyle name="Uitvoer 2 2 28 4" xfId="25925"/>
    <cellStyle name="Uitvoer 2 2 28 4 2" xfId="38407"/>
    <cellStyle name="Uitvoer 2 2 28 5" xfId="38408"/>
    <cellStyle name="Uitvoer 2 2 28 6" xfId="38409"/>
    <cellStyle name="Uitvoer 2 2 28 7" xfId="38410"/>
    <cellStyle name="Uitvoer 2 2 29" xfId="1541"/>
    <cellStyle name="Uitvoer 2 2 29 2" xfId="7430"/>
    <cellStyle name="Uitvoer 2 2 29 2 2" xfId="11761"/>
    <cellStyle name="Uitvoer 2 2 29 2 3" xfId="25926"/>
    <cellStyle name="Uitvoer 2 2 29 2 3 2" xfId="38411"/>
    <cellStyle name="Uitvoer 2 2 29 2 4" xfId="38412"/>
    <cellStyle name="Uitvoer 2 2 29 2 5" xfId="38413"/>
    <cellStyle name="Uitvoer 2 2 29 2 6" xfId="38414"/>
    <cellStyle name="Uitvoer 2 2 29 3" xfId="10071"/>
    <cellStyle name="Uitvoer 2 2 29 4" xfId="25927"/>
    <cellStyle name="Uitvoer 2 2 29 4 2" xfId="38415"/>
    <cellStyle name="Uitvoer 2 2 29 5" xfId="38416"/>
    <cellStyle name="Uitvoer 2 2 29 6" xfId="38417"/>
    <cellStyle name="Uitvoer 2 2 29 7" xfId="38418"/>
    <cellStyle name="Uitvoer 2 2 3" xfId="1542"/>
    <cellStyle name="Uitvoer 2 2 3 2" xfId="7431"/>
    <cellStyle name="Uitvoer 2 2 3 2 2" xfId="11762"/>
    <cellStyle name="Uitvoer 2 2 3 2 3" xfId="25928"/>
    <cellStyle name="Uitvoer 2 2 3 2 3 2" xfId="38419"/>
    <cellStyle name="Uitvoer 2 2 3 2 4" xfId="38420"/>
    <cellStyle name="Uitvoer 2 2 3 2 5" xfId="38421"/>
    <cellStyle name="Uitvoer 2 2 3 2 6" xfId="38422"/>
    <cellStyle name="Uitvoer 2 2 3 3" xfId="10072"/>
    <cellStyle name="Uitvoer 2 2 3 4" xfId="25929"/>
    <cellStyle name="Uitvoer 2 2 3 4 2" xfId="38423"/>
    <cellStyle name="Uitvoer 2 2 3 5" xfId="38424"/>
    <cellStyle name="Uitvoer 2 2 3 6" xfId="38425"/>
    <cellStyle name="Uitvoer 2 2 3 7" xfId="38426"/>
    <cellStyle name="Uitvoer 2 2 30" xfId="1543"/>
    <cellStyle name="Uitvoer 2 2 30 2" xfId="7432"/>
    <cellStyle name="Uitvoer 2 2 30 2 2" xfId="11763"/>
    <cellStyle name="Uitvoer 2 2 30 2 3" xfId="25930"/>
    <cellStyle name="Uitvoer 2 2 30 2 3 2" xfId="38427"/>
    <cellStyle name="Uitvoer 2 2 30 2 4" xfId="38428"/>
    <cellStyle name="Uitvoer 2 2 30 2 5" xfId="38429"/>
    <cellStyle name="Uitvoer 2 2 30 2 6" xfId="38430"/>
    <cellStyle name="Uitvoer 2 2 30 3" xfId="10073"/>
    <cellStyle name="Uitvoer 2 2 30 4" xfId="25931"/>
    <cellStyle name="Uitvoer 2 2 30 4 2" xfId="38431"/>
    <cellStyle name="Uitvoer 2 2 30 5" xfId="38432"/>
    <cellStyle name="Uitvoer 2 2 30 6" xfId="38433"/>
    <cellStyle name="Uitvoer 2 2 30 7" xfId="38434"/>
    <cellStyle name="Uitvoer 2 2 31" xfId="1544"/>
    <cellStyle name="Uitvoer 2 2 31 2" xfId="7433"/>
    <cellStyle name="Uitvoer 2 2 31 2 2" xfId="11764"/>
    <cellStyle name="Uitvoer 2 2 31 2 3" xfId="25932"/>
    <cellStyle name="Uitvoer 2 2 31 2 3 2" xfId="38435"/>
    <cellStyle name="Uitvoer 2 2 31 2 4" xfId="38436"/>
    <cellStyle name="Uitvoer 2 2 31 2 5" xfId="38437"/>
    <cellStyle name="Uitvoer 2 2 31 2 6" xfId="38438"/>
    <cellStyle name="Uitvoer 2 2 31 3" xfId="10074"/>
    <cellStyle name="Uitvoer 2 2 31 4" xfId="25933"/>
    <cellStyle name="Uitvoer 2 2 31 4 2" xfId="38439"/>
    <cellStyle name="Uitvoer 2 2 31 5" xfId="38440"/>
    <cellStyle name="Uitvoer 2 2 31 6" xfId="38441"/>
    <cellStyle name="Uitvoer 2 2 31 7" xfId="38442"/>
    <cellStyle name="Uitvoer 2 2 32" xfId="1545"/>
    <cellStyle name="Uitvoer 2 2 32 2" xfId="7434"/>
    <cellStyle name="Uitvoer 2 2 32 2 2" xfId="11765"/>
    <cellStyle name="Uitvoer 2 2 32 2 3" xfId="25934"/>
    <cellStyle name="Uitvoer 2 2 32 2 3 2" xfId="38443"/>
    <cellStyle name="Uitvoer 2 2 32 2 4" xfId="38444"/>
    <cellStyle name="Uitvoer 2 2 32 2 5" xfId="38445"/>
    <cellStyle name="Uitvoer 2 2 32 2 6" xfId="38446"/>
    <cellStyle name="Uitvoer 2 2 32 3" xfId="10075"/>
    <cellStyle name="Uitvoer 2 2 32 4" xfId="25935"/>
    <cellStyle name="Uitvoer 2 2 32 4 2" xfId="38447"/>
    <cellStyle name="Uitvoer 2 2 32 5" xfId="38448"/>
    <cellStyle name="Uitvoer 2 2 32 6" xfId="38449"/>
    <cellStyle name="Uitvoer 2 2 32 7" xfId="38450"/>
    <cellStyle name="Uitvoer 2 2 33" xfId="1546"/>
    <cellStyle name="Uitvoer 2 2 33 2" xfId="7435"/>
    <cellStyle name="Uitvoer 2 2 33 2 2" xfId="11766"/>
    <cellStyle name="Uitvoer 2 2 33 2 3" xfId="25936"/>
    <cellStyle name="Uitvoer 2 2 33 2 3 2" xfId="38451"/>
    <cellStyle name="Uitvoer 2 2 33 2 4" xfId="38452"/>
    <cellStyle name="Uitvoer 2 2 33 2 5" xfId="38453"/>
    <cellStyle name="Uitvoer 2 2 33 2 6" xfId="38454"/>
    <cellStyle name="Uitvoer 2 2 33 3" xfId="10076"/>
    <cellStyle name="Uitvoer 2 2 33 4" xfId="25937"/>
    <cellStyle name="Uitvoer 2 2 33 4 2" xfId="38455"/>
    <cellStyle name="Uitvoer 2 2 33 5" xfId="38456"/>
    <cellStyle name="Uitvoer 2 2 33 6" xfId="38457"/>
    <cellStyle name="Uitvoer 2 2 33 7" xfId="38458"/>
    <cellStyle name="Uitvoer 2 2 34" xfId="1547"/>
    <cellStyle name="Uitvoer 2 2 34 2" xfId="7436"/>
    <cellStyle name="Uitvoer 2 2 34 2 2" xfId="11767"/>
    <cellStyle name="Uitvoer 2 2 34 2 3" xfId="25938"/>
    <cellStyle name="Uitvoer 2 2 34 2 3 2" xfId="38459"/>
    <cellStyle name="Uitvoer 2 2 34 2 4" xfId="38460"/>
    <cellStyle name="Uitvoer 2 2 34 2 5" xfId="38461"/>
    <cellStyle name="Uitvoer 2 2 34 2 6" xfId="38462"/>
    <cellStyle name="Uitvoer 2 2 34 3" xfId="10077"/>
    <cellStyle name="Uitvoer 2 2 34 4" xfId="25939"/>
    <cellStyle name="Uitvoer 2 2 34 4 2" xfId="38463"/>
    <cellStyle name="Uitvoer 2 2 34 5" xfId="38464"/>
    <cellStyle name="Uitvoer 2 2 34 6" xfId="38465"/>
    <cellStyle name="Uitvoer 2 2 34 7" xfId="38466"/>
    <cellStyle name="Uitvoer 2 2 35" xfId="1548"/>
    <cellStyle name="Uitvoer 2 2 35 2" xfId="7437"/>
    <cellStyle name="Uitvoer 2 2 35 2 2" xfId="11768"/>
    <cellStyle name="Uitvoer 2 2 35 2 3" xfId="25940"/>
    <cellStyle name="Uitvoer 2 2 35 2 3 2" xfId="38467"/>
    <cellStyle name="Uitvoer 2 2 35 2 4" xfId="38468"/>
    <cellStyle name="Uitvoer 2 2 35 2 5" xfId="38469"/>
    <cellStyle name="Uitvoer 2 2 35 2 6" xfId="38470"/>
    <cellStyle name="Uitvoer 2 2 35 3" xfId="10078"/>
    <cellStyle name="Uitvoer 2 2 35 4" xfId="25941"/>
    <cellStyle name="Uitvoer 2 2 35 4 2" xfId="38471"/>
    <cellStyle name="Uitvoer 2 2 35 5" xfId="38472"/>
    <cellStyle name="Uitvoer 2 2 35 6" xfId="38473"/>
    <cellStyle name="Uitvoer 2 2 35 7" xfId="38474"/>
    <cellStyle name="Uitvoer 2 2 36" xfId="1549"/>
    <cellStyle name="Uitvoer 2 2 36 2" xfId="7438"/>
    <cellStyle name="Uitvoer 2 2 36 2 2" xfId="11769"/>
    <cellStyle name="Uitvoer 2 2 36 2 3" xfId="25942"/>
    <cellStyle name="Uitvoer 2 2 36 2 3 2" xfId="38475"/>
    <cellStyle name="Uitvoer 2 2 36 2 4" xfId="38476"/>
    <cellStyle name="Uitvoer 2 2 36 2 5" xfId="38477"/>
    <cellStyle name="Uitvoer 2 2 36 2 6" xfId="38478"/>
    <cellStyle name="Uitvoer 2 2 36 3" xfId="10079"/>
    <cellStyle name="Uitvoer 2 2 36 4" xfId="25943"/>
    <cellStyle name="Uitvoer 2 2 36 4 2" xfId="38479"/>
    <cellStyle name="Uitvoer 2 2 36 5" xfId="38480"/>
    <cellStyle name="Uitvoer 2 2 36 6" xfId="38481"/>
    <cellStyle name="Uitvoer 2 2 36 7" xfId="38482"/>
    <cellStyle name="Uitvoer 2 2 37" xfId="1550"/>
    <cellStyle name="Uitvoer 2 2 37 2" xfId="7439"/>
    <cellStyle name="Uitvoer 2 2 37 2 2" xfId="11770"/>
    <cellStyle name="Uitvoer 2 2 37 2 3" xfId="25944"/>
    <cellStyle name="Uitvoer 2 2 37 2 3 2" xfId="38483"/>
    <cellStyle name="Uitvoer 2 2 37 2 4" xfId="38484"/>
    <cellStyle name="Uitvoer 2 2 37 2 5" xfId="38485"/>
    <cellStyle name="Uitvoer 2 2 37 2 6" xfId="38486"/>
    <cellStyle name="Uitvoer 2 2 37 3" xfId="10080"/>
    <cellStyle name="Uitvoer 2 2 37 4" xfId="25945"/>
    <cellStyle name="Uitvoer 2 2 37 4 2" xfId="38487"/>
    <cellStyle name="Uitvoer 2 2 37 5" xfId="38488"/>
    <cellStyle name="Uitvoer 2 2 37 6" xfId="38489"/>
    <cellStyle name="Uitvoer 2 2 37 7" xfId="38490"/>
    <cellStyle name="Uitvoer 2 2 38" xfId="1551"/>
    <cellStyle name="Uitvoer 2 2 38 2" xfId="7440"/>
    <cellStyle name="Uitvoer 2 2 38 2 2" xfId="11771"/>
    <cellStyle name="Uitvoer 2 2 38 2 3" xfId="25946"/>
    <cellStyle name="Uitvoer 2 2 38 2 3 2" xfId="38491"/>
    <cellStyle name="Uitvoer 2 2 38 2 4" xfId="38492"/>
    <cellStyle name="Uitvoer 2 2 38 2 5" xfId="38493"/>
    <cellStyle name="Uitvoer 2 2 38 2 6" xfId="38494"/>
    <cellStyle name="Uitvoer 2 2 38 3" xfId="10081"/>
    <cellStyle name="Uitvoer 2 2 38 4" xfId="25947"/>
    <cellStyle name="Uitvoer 2 2 38 4 2" xfId="38495"/>
    <cellStyle name="Uitvoer 2 2 38 5" xfId="38496"/>
    <cellStyle name="Uitvoer 2 2 38 6" xfId="38497"/>
    <cellStyle name="Uitvoer 2 2 38 7" xfId="38498"/>
    <cellStyle name="Uitvoer 2 2 39" xfId="1552"/>
    <cellStyle name="Uitvoer 2 2 39 2" xfId="7441"/>
    <cellStyle name="Uitvoer 2 2 39 2 2" xfId="11772"/>
    <cellStyle name="Uitvoer 2 2 39 2 3" xfId="25948"/>
    <cellStyle name="Uitvoer 2 2 39 2 3 2" xfId="38499"/>
    <cellStyle name="Uitvoer 2 2 39 2 4" xfId="38500"/>
    <cellStyle name="Uitvoer 2 2 39 2 5" xfId="38501"/>
    <cellStyle name="Uitvoer 2 2 39 2 6" xfId="38502"/>
    <cellStyle name="Uitvoer 2 2 39 3" xfId="10082"/>
    <cellStyle name="Uitvoer 2 2 39 4" xfId="25949"/>
    <cellStyle name="Uitvoer 2 2 39 4 2" xfId="38503"/>
    <cellStyle name="Uitvoer 2 2 39 5" xfId="38504"/>
    <cellStyle name="Uitvoer 2 2 39 6" xfId="38505"/>
    <cellStyle name="Uitvoer 2 2 39 7" xfId="38506"/>
    <cellStyle name="Uitvoer 2 2 4" xfId="1553"/>
    <cellStyle name="Uitvoer 2 2 4 2" xfId="7442"/>
    <cellStyle name="Uitvoer 2 2 4 2 2" xfId="11773"/>
    <cellStyle name="Uitvoer 2 2 4 2 3" xfId="25950"/>
    <cellStyle name="Uitvoer 2 2 4 2 3 2" xfId="38507"/>
    <cellStyle name="Uitvoer 2 2 4 2 4" xfId="38508"/>
    <cellStyle name="Uitvoer 2 2 4 2 5" xfId="38509"/>
    <cellStyle name="Uitvoer 2 2 4 2 6" xfId="38510"/>
    <cellStyle name="Uitvoer 2 2 4 3" xfId="10083"/>
    <cellStyle name="Uitvoer 2 2 4 4" xfId="25951"/>
    <cellStyle name="Uitvoer 2 2 4 4 2" xfId="38511"/>
    <cellStyle name="Uitvoer 2 2 4 5" xfId="38512"/>
    <cellStyle name="Uitvoer 2 2 4 6" xfId="38513"/>
    <cellStyle name="Uitvoer 2 2 4 7" xfId="38514"/>
    <cellStyle name="Uitvoer 2 2 40" xfId="1554"/>
    <cellStyle name="Uitvoer 2 2 40 2" xfId="7443"/>
    <cellStyle name="Uitvoer 2 2 40 2 2" xfId="11774"/>
    <cellStyle name="Uitvoer 2 2 40 2 3" xfId="25952"/>
    <cellStyle name="Uitvoer 2 2 40 2 3 2" xfId="38515"/>
    <cellStyle name="Uitvoer 2 2 40 2 4" xfId="38516"/>
    <cellStyle name="Uitvoer 2 2 40 2 5" xfId="38517"/>
    <cellStyle name="Uitvoer 2 2 40 2 6" xfId="38518"/>
    <cellStyle name="Uitvoer 2 2 40 3" xfId="10084"/>
    <cellStyle name="Uitvoer 2 2 40 4" xfId="25953"/>
    <cellStyle name="Uitvoer 2 2 40 4 2" xfId="38519"/>
    <cellStyle name="Uitvoer 2 2 40 5" xfId="38520"/>
    <cellStyle name="Uitvoer 2 2 40 6" xfId="38521"/>
    <cellStyle name="Uitvoer 2 2 40 7" xfId="38522"/>
    <cellStyle name="Uitvoer 2 2 41" xfId="1555"/>
    <cellStyle name="Uitvoer 2 2 41 2" xfId="7444"/>
    <cellStyle name="Uitvoer 2 2 41 2 2" xfId="11775"/>
    <cellStyle name="Uitvoer 2 2 41 2 3" xfId="25954"/>
    <cellStyle name="Uitvoer 2 2 41 2 3 2" xfId="38523"/>
    <cellStyle name="Uitvoer 2 2 41 2 4" xfId="38524"/>
    <cellStyle name="Uitvoer 2 2 41 2 5" xfId="38525"/>
    <cellStyle name="Uitvoer 2 2 41 2 6" xfId="38526"/>
    <cellStyle name="Uitvoer 2 2 41 3" xfId="10085"/>
    <cellStyle name="Uitvoer 2 2 41 4" xfId="25955"/>
    <cellStyle name="Uitvoer 2 2 41 4 2" xfId="38527"/>
    <cellStyle name="Uitvoer 2 2 41 5" xfId="38528"/>
    <cellStyle name="Uitvoer 2 2 41 6" xfId="38529"/>
    <cellStyle name="Uitvoer 2 2 41 7" xfId="38530"/>
    <cellStyle name="Uitvoer 2 2 42" xfId="1556"/>
    <cellStyle name="Uitvoer 2 2 42 2" xfId="7445"/>
    <cellStyle name="Uitvoer 2 2 42 2 2" xfId="11776"/>
    <cellStyle name="Uitvoer 2 2 42 2 3" xfId="25956"/>
    <cellStyle name="Uitvoer 2 2 42 2 3 2" xfId="38531"/>
    <cellStyle name="Uitvoer 2 2 42 2 4" xfId="38532"/>
    <cellStyle name="Uitvoer 2 2 42 2 5" xfId="38533"/>
    <cellStyle name="Uitvoer 2 2 42 2 6" xfId="38534"/>
    <cellStyle name="Uitvoer 2 2 42 3" xfId="10086"/>
    <cellStyle name="Uitvoer 2 2 42 4" xfId="25957"/>
    <cellStyle name="Uitvoer 2 2 42 4 2" xfId="38535"/>
    <cellStyle name="Uitvoer 2 2 42 5" xfId="38536"/>
    <cellStyle name="Uitvoer 2 2 42 6" xfId="38537"/>
    <cellStyle name="Uitvoer 2 2 42 7" xfId="38538"/>
    <cellStyle name="Uitvoer 2 2 43" xfId="1557"/>
    <cellStyle name="Uitvoer 2 2 43 2" xfId="7446"/>
    <cellStyle name="Uitvoer 2 2 43 2 2" xfId="11777"/>
    <cellStyle name="Uitvoer 2 2 43 2 3" xfId="25958"/>
    <cellStyle name="Uitvoer 2 2 43 2 3 2" xfId="38539"/>
    <cellStyle name="Uitvoer 2 2 43 2 4" xfId="38540"/>
    <cellStyle name="Uitvoer 2 2 43 2 5" xfId="38541"/>
    <cellStyle name="Uitvoer 2 2 43 2 6" xfId="38542"/>
    <cellStyle name="Uitvoer 2 2 43 3" xfId="10087"/>
    <cellStyle name="Uitvoer 2 2 43 4" xfId="25959"/>
    <cellStyle name="Uitvoer 2 2 43 4 2" xfId="38543"/>
    <cellStyle name="Uitvoer 2 2 43 5" xfId="38544"/>
    <cellStyle name="Uitvoer 2 2 43 6" xfId="38545"/>
    <cellStyle name="Uitvoer 2 2 43 7" xfId="38546"/>
    <cellStyle name="Uitvoer 2 2 44" xfId="1558"/>
    <cellStyle name="Uitvoer 2 2 44 2" xfId="7447"/>
    <cellStyle name="Uitvoer 2 2 44 2 2" xfId="11778"/>
    <cellStyle name="Uitvoer 2 2 44 2 3" xfId="25960"/>
    <cellStyle name="Uitvoer 2 2 44 2 3 2" xfId="38547"/>
    <cellStyle name="Uitvoer 2 2 44 2 4" xfId="38548"/>
    <cellStyle name="Uitvoer 2 2 44 2 5" xfId="38549"/>
    <cellStyle name="Uitvoer 2 2 44 2 6" xfId="38550"/>
    <cellStyle name="Uitvoer 2 2 44 3" xfId="10088"/>
    <cellStyle name="Uitvoer 2 2 44 4" xfId="25961"/>
    <cellStyle name="Uitvoer 2 2 44 4 2" xfId="38551"/>
    <cellStyle name="Uitvoer 2 2 44 5" xfId="38552"/>
    <cellStyle name="Uitvoer 2 2 44 6" xfId="38553"/>
    <cellStyle name="Uitvoer 2 2 44 7" xfId="38554"/>
    <cellStyle name="Uitvoer 2 2 45" xfId="1559"/>
    <cellStyle name="Uitvoer 2 2 45 2" xfId="7448"/>
    <cellStyle name="Uitvoer 2 2 45 2 2" xfId="11779"/>
    <cellStyle name="Uitvoer 2 2 45 2 3" xfId="25962"/>
    <cellStyle name="Uitvoer 2 2 45 2 3 2" xfId="38555"/>
    <cellStyle name="Uitvoer 2 2 45 2 4" xfId="38556"/>
    <cellStyle name="Uitvoer 2 2 45 2 5" xfId="38557"/>
    <cellStyle name="Uitvoer 2 2 45 2 6" xfId="38558"/>
    <cellStyle name="Uitvoer 2 2 45 3" xfId="10089"/>
    <cellStyle name="Uitvoer 2 2 45 4" xfId="25963"/>
    <cellStyle name="Uitvoer 2 2 45 4 2" xfId="38559"/>
    <cellStyle name="Uitvoer 2 2 45 5" xfId="38560"/>
    <cellStyle name="Uitvoer 2 2 45 6" xfId="38561"/>
    <cellStyle name="Uitvoer 2 2 45 7" xfId="38562"/>
    <cellStyle name="Uitvoer 2 2 46" xfId="1560"/>
    <cellStyle name="Uitvoer 2 2 46 2" xfId="7449"/>
    <cellStyle name="Uitvoer 2 2 46 2 2" xfId="11780"/>
    <cellStyle name="Uitvoer 2 2 46 2 3" xfId="25964"/>
    <cellStyle name="Uitvoer 2 2 46 2 3 2" xfId="38563"/>
    <cellStyle name="Uitvoer 2 2 46 2 4" xfId="38564"/>
    <cellStyle name="Uitvoer 2 2 46 2 5" xfId="38565"/>
    <cellStyle name="Uitvoer 2 2 46 2 6" xfId="38566"/>
    <cellStyle name="Uitvoer 2 2 46 3" xfId="10090"/>
    <cellStyle name="Uitvoer 2 2 46 4" xfId="25965"/>
    <cellStyle name="Uitvoer 2 2 46 4 2" xfId="38567"/>
    <cellStyle name="Uitvoer 2 2 46 5" xfId="38568"/>
    <cellStyle name="Uitvoer 2 2 46 6" xfId="38569"/>
    <cellStyle name="Uitvoer 2 2 46 7" xfId="38570"/>
    <cellStyle name="Uitvoer 2 2 47" xfId="1561"/>
    <cellStyle name="Uitvoer 2 2 47 2" xfId="7450"/>
    <cellStyle name="Uitvoer 2 2 47 2 2" xfId="11781"/>
    <cellStyle name="Uitvoer 2 2 47 2 3" xfId="25966"/>
    <cellStyle name="Uitvoer 2 2 47 2 3 2" xfId="38571"/>
    <cellStyle name="Uitvoer 2 2 47 2 4" xfId="38572"/>
    <cellStyle name="Uitvoer 2 2 47 2 5" xfId="38573"/>
    <cellStyle name="Uitvoer 2 2 47 2 6" xfId="38574"/>
    <cellStyle name="Uitvoer 2 2 47 3" xfId="10091"/>
    <cellStyle name="Uitvoer 2 2 47 4" xfId="25967"/>
    <cellStyle name="Uitvoer 2 2 47 4 2" xfId="38575"/>
    <cellStyle name="Uitvoer 2 2 47 5" xfId="38576"/>
    <cellStyle name="Uitvoer 2 2 47 6" xfId="38577"/>
    <cellStyle name="Uitvoer 2 2 47 7" xfId="38578"/>
    <cellStyle name="Uitvoer 2 2 48" xfId="1562"/>
    <cellStyle name="Uitvoer 2 2 48 2" xfId="7451"/>
    <cellStyle name="Uitvoer 2 2 48 2 2" xfId="11782"/>
    <cellStyle name="Uitvoer 2 2 48 2 3" xfId="25968"/>
    <cellStyle name="Uitvoer 2 2 48 2 3 2" xfId="38579"/>
    <cellStyle name="Uitvoer 2 2 48 2 4" xfId="38580"/>
    <cellStyle name="Uitvoer 2 2 48 2 5" xfId="38581"/>
    <cellStyle name="Uitvoer 2 2 48 2 6" xfId="38582"/>
    <cellStyle name="Uitvoer 2 2 48 3" xfId="10092"/>
    <cellStyle name="Uitvoer 2 2 48 4" xfId="25969"/>
    <cellStyle name="Uitvoer 2 2 48 4 2" xfId="38583"/>
    <cellStyle name="Uitvoer 2 2 48 5" xfId="38584"/>
    <cellStyle name="Uitvoer 2 2 48 6" xfId="38585"/>
    <cellStyle name="Uitvoer 2 2 48 7" xfId="38586"/>
    <cellStyle name="Uitvoer 2 2 49" xfId="1563"/>
    <cellStyle name="Uitvoer 2 2 49 2" xfId="7452"/>
    <cellStyle name="Uitvoer 2 2 49 2 2" xfId="11783"/>
    <cellStyle name="Uitvoer 2 2 49 2 3" xfId="25970"/>
    <cellStyle name="Uitvoer 2 2 49 2 3 2" xfId="38587"/>
    <cellStyle name="Uitvoer 2 2 49 2 4" xfId="38588"/>
    <cellStyle name="Uitvoer 2 2 49 2 5" xfId="38589"/>
    <cellStyle name="Uitvoer 2 2 49 2 6" xfId="38590"/>
    <cellStyle name="Uitvoer 2 2 49 3" xfId="10093"/>
    <cellStyle name="Uitvoer 2 2 49 4" xfId="25971"/>
    <cellStyle name="Uitvoer 2 2 49 4 2" xfId="38591"/>
    <cellStyle name="Uitvoer 2 2 49 5" xfId="38592"/>
    <cellStyle name="Uitvoer 2 2 49 6" xfId="38593"/>
    <cellStyle name="Uitvoer 2 2 49 7" xfId="38594"/>
    <cellStyle name="Uitvoer 2 2 5" xfId="1564"/>
    <cellStyle name="Uitvoer 2 2 5 2" xfId="7453"/>
    <cellStyle name="Uitvoer 2 2 5 2 2" xfId="11784"/>
    <cellStyle name="Uitvoer 2 2 5 2 3" xfId="25972"/>
    <cellStyle name="Uitvoer 2 2 5 2 3 2" xfId="38595"/>
    <cellStyle name="Uitvoer 2 2 5 2 4" xfId="38596"/>
    <cellStyle name="Uitvoer 2 2 5 2 5" xfId="38597"/>
    <cellStyle name="Uitvoer 2 2 5 2 6" xfId="38598"/>
    <cellStyle name="Uitvoer 2 2 5 3" xfId="10094"/>
    <cellStyle name="Uitvoer 2 2 5 4" xfId="25973"/>
    <cellStyle name="Uitvoer 2 2 5 4 2" xfId="38599"/>
    <cellStyle name="Uitvoer 2 2 5 5" xfId="38600"/>
    <cellStyle name="Uitvoer 2 2 5 6" xfId="38601"/>
    <cellStyle name="Uitvoer 2 2 5 7" xfId="38602"/>
    <cellStyle name="Uitvoer 2 2 50" xfId="1565"/>
    <cellStyle name="Uitvoer 2 2 50 2" xfId="7454"/>
    <cellStyle name="Uitvoer 2 2 50 2 2" xfId="11785"/>
    <cellStyle name="Uitvoer 2 2 50 2 3" xfId="25974"/>
    <cellStyle name="Uitvoer 2 2 50 2 3 2" xfId="38603"/>
    <cellStyle name="Uitvoer 2 2 50 2 4" xfId="38604"/>
    <cellStyle name="Uitvoer 2 2 50 2 5" xfId="38605"/>
    <cellStyle name="Uitvoer 2 2 50 2 6" xfId="38606"/>
    <cellStyle name="Uitvoer 2 2 50 3" xfId="10095"/>
    <cellStyle name="Uitvoer 2 2 50 4" xfId="25975"/>
    <cellStyle name="Uitvoer 2 2 50 4 2" xfId="38607"/>
    <cellStyle name="Uitvoer 2 2 50 5" xfId="38608"/>
    <cellStyle name="Uitvoer 2 2 50 6" xfId="38609"/>
    <cellStyle name="Uitvoer 2 2 50 7" xfId="38610"/>
    <cellStyle name="Uitvoer 2 2 51" xfId="1566"/>
    <cellStyle name="Uitvoer 2 2 51 2" xfId="7455"/>
    <cellStyle name="Uitvoer 2 2 51 2 2" xfId="11786"/>
    <cellStyle name="Uitvoer 2 2 51 2 3" xfId="25976"/>
    <cellStyle name="Uitvoer 2 2 51 2 3 2" xfId="38611"/>
    <cellStyle name="Uitvoer 2 2 51 2 4" xfId="38612"/>
    <cellStyle name="Uitvoer 2 2 51 2 5" xfId="38613"/>
    <cellStyle name="Uitvoer 2 2 51 2 6" xfId="38614"/>
    <cellStyle name="Uitvoer 2 2 51 3" xfId="10096"/>
    <cellStyle name="Uitvoer 2 2 51 4" xfId="25977"/>
    <cellStyle name="Uitvoer 2 2 51 4 2" xfId="38615"/>
    <cellStyle name="Uitvoer 2 2 51 5" xfId="38616"/>
    <cellStyle name="Uitvoer 2 2 51 6" xfId="38617"/>
    <cellStyle name="Uitvoer 2 2 51 7" xfId="38618"/>
    <cellStyle name="Uitvoer 2 2 52" xfId="1567"/>
    <cellStyle name="Uitvoer 2 2 52 2" xfId="7456"/>
    <cellStyle name="Uitvoer 2 2 52 2 2" xfId="11787"/>
    <cellStyle name="Uitvoer 2 2 52 2 3" xfId="25978"/>
    <cellStyle name="Uitvoer 2 2 52 2 3 2" xfId="38619"/>
    <cellStyle name="Uitvoer 2 2 52 2 4" xfId="38620"/>
    <cellStyle name="Uitvoer 2 2 52 2 5" xfId="38621"/>
    <cellStyle name="Uitvoer 2 2 52 2 6" xfId="38622"/>
    <cellStyle name="Uitvoer 2 2 52 3" xfId="10097"/>
    <cellStyle name="Uitvoer 2 2 52 4" xfId="25979"/>
    <cellStyle name="Uitvoer 2 2 52 4 2" xfId="38623"/>
    <cellStyle name="Uitvoer 2 2 52 5" xfId="38624"/>
    <cellStyle name="Uitvoer 2 2 52 6" xfId="38625"/>
    <cellStyle name="Uitvoer 2 2 52 7" xfId="38626"/>
    <cellStyle name="Uitvoer 2 2 53" xfId="1568"/>
    <cellStyle name="Uitvoer 2 2 53 2" xfId="7457"/>
    <cellStyle name="Uitvoer 2 2 53 2 2" xfId="11788"/>
    <cellStyle name="Uitvoer 2 2 53 2 3" xfId="25980"/>
    <cellStyle name="Uitvoer 2 2 53 2 3 2" xfId="38627"/>
    <cellStyle name="Uitvoer 2 2 53 2 4" xfId="38628"/>
    <cellStyle name="Uitvoer 2 2 53 2 5" xfId="38629"/>
    <cellStyle name="Uitvoer 2 2 53 2 6" xfId="38630"/>
    <cellStyle name="Uitvoer 2 2 53 3" xfId="10098"/>
    <cellStyle name="Uitvoer 2 2 53 4" xfId="25981"/>
    <cellStyle name="Uitvoer 2 2 53 4 2" xfId="38631"/>
    <cellStyle name="Uitvoer 2 2 53 5" xfId="38632"/>
    <cellStyle name="Uitvoer 2 2 53 6" xfId="38633"/>
    <cellStyle name="Uitvoer 2 2 53 7" xfId="38634"/>
    <cellStyle name="Uitvoer 2 2 54" xfId="1569"/>
    <cellStyle name="Uitvoer 2 2 54 2" xfId="7458"/>
    <cellStyle name="Uitvoer 2 2 54 2 2" xfId="11789"/>
    <cellStyle name="Uitvoer 2 2 54 2 3" xfId="25982"/>
    <cellStyle name="Uitvoer 2 2 54 2 3 2" xfId="38635"/>
    <cellStyle name="Uitvoer 2 2 54 2 4" xfId="38636"/>
    <cellStyle name="Uitvoer 2 2 54 2 5" xfId="38637"/>
    <cellStyle name="Uitvoer 2 2 54 2 6" xfId="38638"/>
    <cellStyle name="Uitvoer 2 2 54 3" xfId="10099"/>
    <cellStyle name="Uitvoer 2 2 54 4" xfId="25983"/>
    <cellStyle name="Uitvoer 2 2 54 4 2" xfId="38639"/>
    <cellStyle name="Uitvoer 2 2 54 5" xfId="38640"/>
    <cellStyle name="Uitvoer 2 2 54 6" xfId="38641"/>
    <cellStyle name="Uitvoer 2 2 54 7" xfId="38642"/>
    <cellStyle name="Uitvoer 2 2 55" xfId="1570"/>
    <cellStyle name="Uitvoer 2 2 55 2" xfId="7459"/>
    <cellStyle name="Uitvoer 2 2 55 2 2" xfId="11790"/>
    <cellStyle name="Uitvoer 2 2 55 2 3" xfId="25984"/>
    <cellStyle name="Uitvoer 2 2 55 2 3 2" xfId="38643"/>
    <cellStyle name="Uitvoer 2 2 55 2 4" xfId="38644"/>
    <cellStyle name="Uitvoer 2 2 55 2 5" xfId="38645"/>
    <cellStyle name="Uitvoer 2 2 55 2 6" xfId="38646"/>
    <cellStyle name="Uitvoer 2 2 55 3" xfId="10100"/>
    <cellStyle name="Uitvoer 2 2 55 4" xfId="25985"/>
    <cellStyle name="Uitvoer 2 2 55 4 2" xfId="38647"/>
    <cellStyle name="Uitvoer 2 2 55 5" xfId="38648"/>
    <cellStyle name="Uitvoer 2 2 55 6" xfId="38649"/>
    <cellStyle name="Uitvoer 2 2 55 7" xfId="38650"/>
    <cellStyle name="Uitvoer 2 2 56" xfId="1571"/>
    <cellStyle name="Uitvoer 2 2 56 2" xfId="7460"/>
    <cellStyle name="Uitvoer 2 2 56 2 2" xfId="11791"/>
    <cellStyle name="Uitvoer 2 2 56 2 3" xfId="25986"/>
    <cellStyle name="Uitvoer 2 2 56 2 3 2" xfId="38651"/>
    <cellStyle name="Uitvoer 2 2 56 2 4" xfId="38652"/>
    <cellStyle name="Uitvoer 2 2 56 2 5" xfId="38653"/>
    <cellStyle name="Uitvoer 2 2 56 2 6" xfId="38654"/>
    <cellStyle name="Uitvoer 2 2 56 3" xfId="10101"/>
    <cellStyle name="Uitvoer 2 2 56 4" xfId="25987"/>
    <cellStyle name="Uitvoer 2 2 56 4 2" xfId="38655"/>
    <cellStyle name="Uitvoer 2 2 56 5" xfId="38656"/>
    <cellStyle name="Uitvoer 2 2 56 6" xfId="38657"/>
    <cellStyle name="Uitvoer 2 2 56 7" xfId="38658"/>
    <cellStyle name="Uitvoer 2 2 57" xfId="1572"/>
    <cellStyle name="Uitvoer 2 2 57 2" xfId="7461"/>
    <cellStyle name="Uitvoer 2 2 57 2 2" xfId="11792"/>
    <cellStyle name="Uitvoer 2 2 57 2 3" xfId="25988"/>
    <cellStyle name="Uitvoer 2 2 57 2 3 2" xfId="38659"/>
    <cellStyle name="Uitvoer 2 2 57 2 4" xfId="38660"/>
    <cellStyle name="Uitvoer 2 2 57 2 5" xfId="38661"/>
    <cellStyle name="Uitvoer 2 2 57 2 6" xfId="38662"/>
    <cellStyle name="Uitvoer 2 2 57 3" xfId="10102"/>
    <cellStyle name="Uitvoer 2 2 57 4" xfId="25989"/>
    <cellStyle name="Uitvoer 2 2 57 4 2" xfId="38663"/>
    <cellStyle name="Uitvoer 2 2 57 5" xfId="38664"/>
    <cellStyle name="Uitvoer 2 2 57 6" xfId="38665"/>
    <cellStyle name="Uitvoer 2 2 57 7" xfId="38666"/>
    <cellStyle name="Uitvoer 2 2 58" xfId="1573"/>
    <cellStyle name="Uitvoer 2 2 58 2" xfId="7462"/>
    <cellStyle name="Uitvoer 2 2 58 2 2" xfId="11793"/>
    <cellStyle name="Uitvoer 2 2 58 2 3" xfId="25990"/>
    <cellStyle name="Uitvoer 2 2 58 2 3 2" xfId="38667"/>
    <cellStyle name="Uitvoer 2 2 58 2 4" xfId="38668"/>
    <cellStyle name="Uitvoer 2 2 58 2 5" xfId="38669"/>
    <cellStyle name="Uitvoer 2 2 58 2 6" xfId="38670"/>
    <cellStyle name="Uitvoer 2 2 58 3" xfId="10103"/>
    <cellStyle name="Uitvoer 2 2 58 4" xfId="25991"/>
    <cellStyle name="Uitvoer 2 2 58 4 2" xfId="38671"/>
    <cellStyle name="Uitvoer 2 2 58 5" xfId="38672"/>
    <cellStyle name="Uitvoer 2 2 58 6" xfId="38673"/>
    <cellStyle name="Uitvoer 2 2 58 7" xfId="38674"/>
    <cellStyle name="Uitvoer 2 2 59" xfId="1574"/>
    <cellStyle name="Uitvoer 2 2 59 2" xfId="7463"/>
    <cellStyle name="Uitvoer 2 2 59 2 2" xfId="11794"/>
    <cellStyle name="Uitvoer 2 2 59 2 3" xfId="25992"/>
    <cellStyle name="Uitvoer 2 2 59 2 3 2" xfId="38675"/>
    <cellStyle name="Uitvoer 2 2 59 2 4" xfId="38676"/>
    <cellStyle name="Uitvoer 2 2 59 2 5" xfId="38677"/>
    <cellStyle name="Uitvoer 2 2 59 2 6" xfId="38678"/>
    <cellStyle name="Uitvoer 2 2 59 3" xfId="10104"/>
    <cellStyle name="Uitvoer 2 2 59 4" xfId="25993"/>
    <cellStyle name="Uitvoer 2 2 59 4 2" xfId="38679"/>
    <cellStyle name="Uitvoer 2 2 59 5" xfId="38680"/>
    <cellStyle name="Uitvoer 2 2 59 6" xfId="38681"/>
    <cellStyle name="Uitvoer 2 2 59 7" xfId="38682"/>
    <cellStyle name="Uitvoer 2 2 6" xfId="1575"/>
    <cellStyle name="Uitvoer 2 2 6 2" xfId="7464"/>
    <cellStyle name="Uitvoer 2 2 6 2 2" xfId="11795"/>
    <cellStyle name="Uitvoer 2 2 6 2 3" xfId="25994"/>
    <cellStyle name="Uitvoer 2 2 6 2 3 2" xfId="38683"/>
    <cellStyle name="Uitvoer 2 2 6 2 4" xfId="38684"/>
    <cellStyle name="Uitvoer 2 2 6 2 5" xfId="38685"/>
    <cellStyle name="Uitvoer 2 2 6 2 6" xfId="38686"/>
    <cellStyle name="Uitvoer 2 2 6 3" xfId="10105"/>
    <cellStyle name="Uitvoer 2 2 6 4" xfId="25995"/>
    <cellStyle name="Uitvoer 2 2 6 4 2" xfId="38687"/>
    <cellStyle name="Uitvoer 2 2 6 5" xfId="38688"/>
    <cellStyle name="Uitvoer 2 2 6 6" xfId="38689"/>
    <cellStyle name="Uitvoer 2 2 6 7" xfId="38690"/>
    <cellStyle name="Uitvoer 2 2 60" xfId="1576"/>
    <cellStyle name="Uitvoer 2 2 60 2" xfId="7465"/>
    <cellStyle name="Uitvoer 2 2 60 2 2" xfId="11796"/>
    <cellStyle name="Uitvoer 2 2 60 2 3" xfId="25996"/>
    <cellStyle name="Uitvoer 2 2 60 2 3 2" xfId="38691"/>
    <cellStyle name="Uitvoer 2 2 60 2 4" xfId="38692"/>
    <cellStyle name="Uitvoer 2 2 60 2 5" xfId="38693"/>
    <cellStyle name="Uitvoer 2 2 60 2 6" xfId="38694"/>
    <cellStyle name="Uitvoer 2 2 60 3" xfId="10106"/>
    <cellStyle name="Uitvoer 2 2 60 4" xfId="25997"/>
    <cellStyle name="Uitvoer 2 2 60 4 2" xfId="38695"/>
    <cellStyle name="Uitvoer 2 2 60 5" xfId="38696"/>
    <cellStyle name="Uitvoer 2 2 60 6" xfId="38697"/>
    <cellStyle name="Uitvoer 2 2 60 7" xfId="38698"/>
    <cellStyle name="Uitvoer 2 2 61" xfId="1577"/>
    <cellStyle name="Uitvoer 2 2 61 2" xfId="7466"/>
    <cellStyle name="Uitvoer 2 2 61 2 2" xfId="11797"/>
    <cellStyle name="Uitvoer 2 2 61 2 3" xfId="25998"/>
    <cellStyle name="Uitvoer 2 2 61 2 3 2" xfId="38699"/>
    <cellStyle name="Uitvoer 2 2 61 2 4" xfId="38700"/>
    <cellStyle name="Uitvoer 2 2 61 2 5" xfId="38701"/>
    <cellStyle name="Uitvoer 2 2 61 2 6" xfId="38702"/>
    <cellStyle name="Uitvoer 2 2 61 3" xfId="10107"/>
    <cellStyle name="Uitvoer 2 2 61 4" xfId="25999"/>
    <cellStyle name="Uitvoer 2 2 61 4 2" xfId="38703"/>
    <cellStyle name="Uitvoer 2 2 61 5" xfId="38704"/>
    <cellStyle name="Uitvoer 2 2 61 6" xfId="38705"/>
    <cellStyle name="Uitvoer 2 2 61 7" xfId="38706"/>
    <cellStyle name="Uitvoer 2 2 62" xfId="1578"/>
    <cellStyle name="Uitvoer 2 2 62 2" xfId="7467"/>
    <cellStyle name="Uitvoer 2 2 62 2 2" xfId="11798"/>
    <cellStyle name="Uitvoer 2 2 62 2 3" xfId="26000"/>
    <cellStyle name="Uitvoer 2 2 62 2 3 2" xfId="38707"/>
    <cellStyle name="Uitvoer 2 2 62 2 4" xfId="38708"/>
    <cellStyle name="Uitvoer 2 2 62 2 5" xfId="38709"/>
    <cellStyle name="Uitvoer 2 2 62 2 6" xfId="38710"/>
    <cellStyle name="Uitvoer 2 2 62 3" xfId="10108"/>
    <cellStyle name="Uitvoer 2 2 62 4" xfId="26001"/>
    <cellStyle name="Uitvoer 2 2 62 4 2" xfId="38711"/>
    <cellStyle name="Uitvoer 2 2 62 5" xfId="38712"/>
    <cellStyle name="Uitvoer 2 2 62 6" xfId="38713"/>
    <cellStyle name="Uitvoer 2 2 62 7" xfId="38714"/>
    <cellStyle name="Uitvoer 2 2 63" xfId="1579"/>
    <cellStyle name="Uitvoer 2 2 63 2" xfId="7468"/>
    <cellStyle name="Uitvoer 2 2 63 2 2" xfId="11799"/>
    <cellStyle name="Uitvoer 2 2 63 2 3" xfId="26002"/>
    <cellStyle name="Uitvoer 2 2 63 2 3 2" xfId="38715"/>
    <cellStyle name="Uitvoer 2 2 63 2 4" xfId="38716"/>
    <cellStyle name="Uitvoer 2 2 63 2 5" xfId="38717"/>
    <cellStyle name="Uitvoer 2 2 63 2 6" xfId="38718"/>
    <cellStyle name="Uitvoer 2 2 63 3" xfId="10109"/>
    <cellStyle name="Uitvoer 2 2 63 4" xfId="26003"/>
    <cellStyle name="Uitvoer 2 2 63 4 2" xfId="38719"/>
    <cellStyle name="Uitvoer 2 2 63 5" xfId="38720"/>
    <cellStyle name="Uitvoer 2 2 63 6" xfId="38721"/>
    <cellStyle name="Uitvoer 2 2 63 7" xfId="38722"/>
    <cellStyle name="Uitvoer 2 2 64" xfId="1580"/>
    <cellStyle name="Uitvoer 2 2 64 2" xfId="7469"/>
    <cellStyle name="Uitvoer 2 2 64 2 2" xfId="11800"/>
    <cellStyle name="Uitvoer 2 2 64 2 3" xfId="26004"/>
    <cellStyle name="Uitvoer 2 2 64 2 3 2" xfId="38723"/>
    <cellStyle name="Uitvoer 2 2 64 2 4" xfId="38724"/>
    <cellStyle name="Uitvoer 2 2 64 2 5" xfId="38725"/>
    <cellStyle name="Uitvoer 2 2 64 2 6" xfId="38726"/>
    <cellStyle name="Uitvoer 2 2 64 3" xfId="10110"/>
    <cellStyle name="Uitvoer 2 2 64 4" xfId="26005"/>
    <cellStyle name="Uitvoer 2 2 64 4 2" xfId="38727"/>
    <cellStyle name="Uitvoer 2 2 64 5" xfId="38728"/>
    <cellStyle name="Uitvoer 2 2 64 6" xfId="38729"/>
    <cellStyle name="Uitvoer 2 2 64 7" xfId="38730"/>
    <cellStyle name="Uitvoer 2 2 65" xfId="1581"/>
    <cellStyle name="Uitvoer 2 2 65 2" xfId="7470"/>
    <cellStyle name="Uitvoer 2 2 65 2 2" xfId="11801"/>
    <cellStyle name="Uitvoer 2 2 65 2 3" xfId="26006"/>
    <cellStyle name="Uitvoer 2 2 65 2 3 2" xfId="38731"/>
    <cellStyle name="Uitvoer 2 2 65 2 4" xfId="38732"/>
    <cellStyle name="Uitvoer 2 2 65 2 5" xfId="38733"/>
    <cellStyle name="Uitvoer 2 2 65 2 6" xfId="38734"/>
    <cellStyle name="Uitvoer 2 2 65 3" xfId="10111"/>
    <cellStyle name="Uitvoer 2 2 65 4" xfId="26007"/>
    <cellStyle name="Uitvoer 2 2 65 4 2" xfId="38735"/>
    <cellStyle name="Uitvoer 2 2 65 5" xfId="38736"/>
    <cellStyle name="Uitvoer 2 2 65 6" xfId="38737"/>
    <cellStyle name="Uitvoer 2 2 65 7" xfId="38738"/>
    <cellStyle name="Uitvoer 2 2 66" xfId="1582"/>
    <cellStyle name="Uitvoer 2 2 66 2" xfId="7471"/>
    <cellStyle name="Uitvoer 2 2 66 2 2" xfId="11802"/>
    <cellStyle name="Uitvoer 2 2 66 2 3" xfId="26008"/>
    <cellStyle name="Uitvoer 2 2 66 2 3 2" xfId="38739"/>
    <cellStyle name="Uitvoer 2 2 66 2 4" xfId="38740"/>
    <cellStyle name="Uitvoer 2 2 66 2 5" xfId="38741"/>
    <cellStyle name="Uitvoer 2 2 66 2 6" xfId="38742"/>
    <cellStyle name="Uitvoer 2 2 66 3" xfId="10112"/>
    <cellStyle name="Uitvoer 2 2 66 4" xfId="26009"/>
    <cellStyle name="Uitvoer 2 2 66 4 2" xfId="38743"/>
    <cellStyle name="Uitvoer 2 2 66 5" xfId="38744"/>
    <cellStyle name="Uitvoer 2 2 66 6" xfId="38745"/>
    <cellStyle name="Uitvoer 2 2 66 7" xfId="38746"/>
    <cellStyle name="Uitvoer 2 2 67" xfId="1583"/>
    <cellStyle name="Uitvoer 2 2 67 2" xfId="7472"/>
    <cellStyle name="Uitvoer 2 2 67 2 2" xfId="11803"/>
    <cellStyle name="Uitvoer 2 2 67 2 3" xfId="26010"/>
    <cellStyle name="Uitvoer 2 2 67 2 3 2" xfId="38747"/>
    <cellStyle name="Uitvoer 2 2 67 2 4" xfId="38748"/>
    <cellStyle name="Uitvoer 2 2 67 2 5" xfId="38749"/>
    <cellStyle name="Uitvoer 2 2 67 2 6" xfId="38750"/>
    <cellStyle name="Uitvoer 2 2 67 3" xfId="10113"/>
    <cellStyle name="Uitvoer 2 2 67 4" xfId="26011"/>
    <cellStyle name="Uitvoer 2 2 67 4 2" xfId="38751"/>
    <cellStyle name="Uitvoer 2 2 67 5" xfId="38752"/>
    <cellStyle name="Uitvoer 2 2 67 6" xfId="38753"/>
    <cellStyle name="Uitvoer 2 2 67 7" xfId="38754"/>
    <cellStyle name="Uitvoer 2 2 68" xfId="1584"/>
    <cellStyle name="Uitvoer 2 2 68 2" xfId="7473"/>
    <cellStyle name="Uitvoer 2 2 68 2 2" xfId="11804"/>
    <cellStyle name="Uitvoer 2 2 68 2 3" xfId="26012"/>
    <cellStyle name="Uitvoer 2 2 68 2 3 2" xfId="38755"/>
    <cellStyle name="Uitvoer 2 2 68 2 4" xfId="38756"/>
    <cellStyle name="Uitvoer 2 2 68 2 5" xfId="38757"/>
    <cellStyle name="Uitvoer 2 2 68 2 6" xfId="38758"/>
    <cellStyle name="Uitvoer 2 2 68 3" xfId="10114"/>
    <cellStyle name="Uitvoer 2 2 68 4" xfId="26013"/>
    <cellStyle name="Uitvoer 2 2 68 4 2" xfId="38759"/>
    <cellStyle name="Uitvoer 2 2 68 5" xfId="38760"/>
    <cellStyle name="Uitvoer 2 2 68 6" xfId="38761"/>
    <cellStyle name="Uitvoer 2 2 68 7" xfId="38762"/>
    <cellStyle name="Uitvoer 2 2 69" xfId="1585"/>
    <cellStyle name="Uitvoer 2 2 69 2" xfId="7474"/>
    <cellStyle name="Uitvoer 2 2 69 2 2" xfId="11805"/>
    <cellStyle name="Uitvoer 2 2 69 2 3" xfId="26014"/>
    <cellStyle name="Uitvoer 2 2 69 2 3 2" xfId="38763"/>
    <cellStyle name="Uitvoer 2 2 69 2 4" xfId="38764"/>
    <cellStyle name="Uitvoer 2 2 69 2 5" xfId="38765"/>
    <cellStyle name="Uitvoer 2 2 69 2 6" xfId="38766"/>
    <cellStyle name="Uitvoer 2 2 69 3" xfId="10115"/>
    <cellStyle name="Uitvoer 2 2 69 4" xfId="26015"/>
    <cellStyle name="Uitvoer 2 2 69 4 2" xfId="38767"/>
    <cellStyle name="Uitvoer 2 2 69 5" xfId="38768"/>
    <cellStyle name="Uitvoer 2 2 69 6" xfId="38769"/>
    <cellStyle name="Uitvoer 2 2 69 7" xfId="38770"/>
    <cellStyle name="Uitvoer 2 2 7" xfId="1586"/>
    <cellStyle name="Uitvoer 2 2 7 2" xfId="7475"/>
    <cellStyle name="Uitvoer 2 2 7 2 2" xfId="11806"/>
    <cellStyle name="Uitvoer 2 2 7 2 3" xfId="26016"/>
    <cellStyle name="Uitvoer 2 2 7 2 3 2" xfId="38771"/>
    <cellStyle name="Uitvoer 2 2 7 2 4" xfId="38772"/>
    <cellStyle name="Uitvoer 2 2 7 2 5" xfId="38773"/>
    <cellStyle name="Uitvoer 2 2 7 2 6" xfId="38774"/>
    <cellStyle name="Uitvoer 2 2 7 3" xfId="10116"/>
    <cellStyle name="Uitvoer 2 2 7 4" xfId="26017"/>
    <cellStyle name="Uitvoer 2 2 7 4 2" xfId="38775"/>
    <cellStyle name="Uitvoer 2 2 7 5" xfId="38776"/>
    <cellStyle name="Uitvoer 2 2 7 6" xfId="38777"/>
    <cellStyle name="Uitvoer 2 2 7 7" xfId="38778"/>
    <cellStyle name="Uitvoer 2 2 70" xfId="1587"/>
    <cellStyle name="Uitvoer 2 2 70 2" xfId="7476"/>
    <cellStyle name="Uitvoer 2 2 70 2 2" xfId="11807"/>
    <cellStyle name="Uitvoer 2 2 70 2 3" xfId="26018"/>
    <cellStyle name="Uitvoer 2 2 70 2 3 2" xfId="38779"/>
    <cellStyle name="Uitvoer 2 2 70 2 4" xfId="38780"/>
    <cellStyle name="Uitvoer 2 2 70 2 5" xfId="38781"/>
    <cellStyle name="Uitvoer 2 2 70 2 6" xfId="38782"/>
    <cellStyle name="Uitvoer 2 2 70 3" xfId="10117"/>
    <cellStyle name="Uitvoer 2 2 70 4" xfId="26019"/>
    <cellStyle name="Uitvoer 2 2 70 4 2" xfId="38783"/>
    <cellStyle name="Uitvoer 2 2 70 5" xfId="38784"/>
    <cellStyle name="Uitvoer 2 2 70 6" xfId="38785"/>
    <cellStyle name="Uitvoer 2 2 70 7" xfId="38786"/>
    <cellStyle name="Uitvoer 2 2 71" xfId="1588"/>
    <cellStyle name="Uitvoer 2 2 71 2" xfId="7477"/>
    <cellStyle name="Uitvoer 2 2 71 2 2" xfId="11808"/>
    <cellStyle name="Uitvoer 2 2 71 2 3" xfId="26020"/>
    <cellStyle name="Uitvoer 2 2 71 2 3 2" xfId="38787"/>
    <cellStyle name="Uitvoer 2 2 71 2 4" xfId="38788"/>
    <cellStyle name="Uitvoer 2 2 71 2 5" xfId="38789"/>
    <cellStyle name="Uitvoer 2 2 71 2 6" xfId="38790"/>
    <cellStyle name="Uitvoer 2 2 71 3" xfId="10118"/>
    <cellStyle name="Uitvoer 2 2 71 4" xfId="26021"/>
    <cellStyle name="Uitvoer 2 2 71 4 2" xfId="38791"/>
    <cellStyle name="Uitvoer 2 2 71 5" xfId="38792"/>
    <cellStyle name="Uitvoer 2 2 71 6" xfId="38793"/>
    <cellStyle name="Uitvoer 2 2 71 7" xfId="38794"/>
    <cellStyle name="Uitvoer 2 2 72" xfId="1589"/>
    <cellStyle name="Uitvoer 2 2 72 2" xfId="7478"/>
    <cellStyle name="Uitvoer 2 2 72 2 2" xfId="11809"/>
    <cellStyle name="Uitvoer 2 2 72 2 3" xfId="26022"/>
    <cellStyle name="Uitvoer 2 2 72 2 3 2" xfId="38795"/>
    <cellStyle name="Uitvoer 2 2 72 2 4" xfId="38796"/>
    <cellStyle name="Uitvoer 2 2 72 2 5" xfId="38797"/>
    <cellStyle name="Uitvoer 2 2 72 2 6" xfId="38798"/>
    <cellStyle name="Uitvoer 2 2 72 3" xfId="10119"/>
    <cellStyle name="Uitvoer 2 2 72 4" xfId="26023"/>
    <cellStyle name="Uitvoer 2 2 72 4 2" xfId="38799"/>
    <cellStyle name="Uitvoer 2 2 72 5" xfId="38800"/>
    <cellStyle name="Uitvoer 2 2 72 6" xfId="38801"/>
    <cellStyle name="Uitvoer 2 2 72 7" xfId="38802"/>
    <cellStyle name="Uitvoer 2 2 73" xfId="1590"/>
    <cellStyle name="Uitvoer 2 2 73 2" xfId="7479"/>
    <cellStyle name="Uitvoer 2 2 73 2 2" xfId="11810"/>
    <cellStyle name="Uitvoer 2 2 73 2 3" xfId="26024"/>
    <cellStyle name="Uitvoer 2 2 73 2 3 2" xfId="38803"/>
    <cellStyle name="Uitvoer 2 2 73 2 4" xfId="38804"/>
    <cellStyle name="Uitvoer 2 2 73 2 5" xfId="38805"/>
    <cellStyle name="Uitvoer 2 2 73 2 6" xfId="38806"/>
    <cellStyle name="Uitvoer 2 2 73 3" xfId="10120"/>
    <cellStyle name="Uitvoer 2 2 73 4" xfId="26025"/>
    <cellStyle name="Uitvoer 2 2 73 4 2" xfId="38807"/>
    <cellStyle name="Uitvoer 2 2 73 5" xfId="38808"/>
    <cellStyle name="Uitvoer 2 2 73 6" xfId="38809"/>
    <cellStyle name="Uitvoer 2 2 73 7" xfId="38810"/>
    <cellStyle name="Uitvoer 2 2 74" xfId="1591"/>
    <cellStyle name="Uitvoer 2 2 74 2" xfId="7480"/>
    <cellStyle name="Uitvoer 2 2 74 2 2" xfId="11811"/>
    <cellStyle name="Uitvoer 2 2 74 2 3" xfId="26026"/>
    <cellStyle name="Uitvoer 2 2 74 2 3 2" xfId="38811"/>
    <cellStyle name="Uitvoer 2 2 74 2 4" xfId="38812"/>
    <cellStyle name="Uitvoer 2 2 74 2 5" xfId="38813"/>
    <cellStyle name="Uitvoer 2 2 74 2 6" xfId="38814"/>
    <cellStyle name="Uitvoer 2 2 74 3" xfId="10121"/>
    <cellStyle name="Uitvoer 2 2 74 4" xfId="26027"/>
    <cellStyle name="Uitvoer 2 2 74 4 2" xfId="38815"/>
    <cellStyle name="Uitvoer 2 2 74 5" xfId="38816"/>
    <cellStyle name="Uitvoer 2 2 74 6" xfId="38817"/>
    <cellStyle name="Uitvoer 2 2 74 7" xfId="38818"/>
    <cellStyle name="Uitvoer 2 2 75" xfId="1592"/>
    <cellStyle name="Uitvoer 2 2 75 2" xfId="7481"/>
    <cellStyle name="Uitvoer 2 2 75 2 2" xfId="11812"/>
    <cellStyle name="Uitvoer 2 2 75 2 3" xfId="26028"/>
    <cellStyle name="Uitvoer 2 2 75 2 3 2" xfId="38819"/>
    <cellStyle name="Uitvoer 2 2 75 2 4" xfId="38820"/>
    <cellStyle name="Uitvoer 2 2 75 2 5" xfId="38821"/>
    <cellStyle name="Uitvoer 2 2 75 2 6" xfId="38822"/>
    <cellStyle name="Uitvoer 2 2 75 3" xfId="10122"/>
    <cellStyle name="Uitvoer 2 2 75 4" xfId="26029"/>
    <cellStyle name="Uitvoer 2 2 75 4 2" xfId="38823"/>
    <cellStyle name="Uitvoer 2 2 75 5" xfId="38824"/>
    <cellStyle name="Uitvoer 2 2 75 6" xfId="38825"/>
    <cellStyle name="Uitvoer 2 2 75 7" xfId="38826"/>
    <cellStyle name="Uitvoer 2 2 76" xfId="1593"/>
    <cellStyle name="Uitvoer 2 2 76 2" xfId="7482"/>
    <cellStyle name="Uitvoer 2 2 76 2 2" xfId="11813"/>
    <cellStyle name="Uitvoer 2 2 76 2 3" xfId="26030"/>
    <cellStyle name="Uitvoer 2 2 76 2 3 2" xfId="38827"/>
    <cellStyle name="Uitvoer 2 2 76 2 4" xfId="38828"/>
    <cellStyle name="Uitvoer 2 2 76 2 5" xfId="38829"/>
    <cellStyle name="Uitvoer 2 2 76 2 6" xfId="38830"/>
    <cellStyle name="Uitvoer 2 2 76 3" xfId="10123"/>
    <cellStyle name="Uitvoer 2 2 76 4" xfId="26031"/>
    <cellStyle name="Uitvoer 2 2 76 4 2" xfId="38831"/>
    <cellStyle name="Uitvoer 2 2 76 5" xfId="38832"/>
    <cellStyle name="Uitvoer 2 2 76 6" xfId="38833"/>
    <cellStyle name="Uitvoer 2 2 76 7" xfId="38834"/>
    <cellStyle name="Uitvoer 2 2 77" xfId="1594"/>
    <cellStyle name="Uitvoer 2 2 77 2" xfId="7483"/>
    <cellStyle name="Uitvoer 2 2 77 2 2" xfId="11814"/>
    <cellStyle name="Uitvoer 2 2 77 2 3" xfId="26032"/>
    <cellStyle name="Uitvoer 2 2 77 2 3 2" xfId="38835"/>
    <cellStyle name="Uitvoer 2 2 77 2 4" xfId="38836"/>
    <cellStyle name="Uitvoer 2 2 77 2 5" xfId="38837"/>
    <cellStyle name="Uitvoer 2 2 77 2 6" xfId="38838"/>
    <cellStyle name="Uitvoer 2 2 77 3" xfId="10124"/>
    <cellStyle name="Uitvoer 2 2 77 4" xfId="26033"/>
    <cellStyle name="Uitvoer 2 2 77 4 2" xfId="38839"/>
    <cellStyle name="Uitvoer 2 2 77 5" xfId="38840"/>
    <cellStyle name="Uitvoer 2 2 77 6" xfId="38841"/>
    <cellStyle name="Uitvoer 2 2 77 7" xfId="38842"/>
    <cellStyle name="Uitvoer 2 2 78" xfId="1595"/>
    <cellStyle name="Uitvoer 2 2 78 2" xfId="7484"/>
    <cellStyle name="Uitvoer 2 2 78 2 2" xfId="11815"/>
    <cellStyle name="Uitvoer 2 2 78 2 3" xfId="26034"/>
    <cellStyle name="Uitvoer 2 2 78 2 3 2" xfId="38843"/>
    <cellStyle name="Uitvoer 2 2 78 2 4" xfId="38844"/>
    <cellStyle name="Uitvoer 2 2 78 2 5" xfId="38845"/>
    <cellStyle name="Uitvoer 2 2 78 2 6" xfId="38846"/>
    <cellStyle name="Uitvoer 2 2 78 3" xfId="10125"/>
    <cellStyle name="Uitvoer 2 2 78 4" xfId="26035"/>
    <cellStyle name="Uitvoer 2 2 78 4 2" xfId="38847"/>
    <cellStyle name="Uitvoer 2 2 78 5" xfId="38848"/>
    <cellStyle name="Uitvoer 2 2 78 6" xfId="38849"/>
    <cellStyle name="Uitvoer 2 2 78 7" xfId="38850"/>
    <cellStyle name="Uitvoer 2 2 79" xfId="1596"/>
    <cellStyle name="Uitvoer 2 2 79 2" xfId="7485"/>
    <cellStyle name="Uitvoer 2 2 79 2 2" xfId="11816"/>
    <cellStyle name="Uitvoer 2 2 79 2 3" xfId="26036"/>
    <cellStyle name="Uitvoer 2 2 79 2 3 2" xfId="38851"/>
    <cellStyle name="Uitvoer 2 2 79 2 4" xfId="38852"/>
    <cellStyle name="Uitvoer 2 2 79 2 5" xfId="38853"/>
    <cellStyle name="Uitvoer 2 2 79 2 6" xfId="38854"/>
    <cellStyle name="Uitvoer 2 2 79 3" xfId="10126"/>
    <cellStyle name="Uitvoer 2 2 79 4" xfId="26037"/>
    <cellStyle name="Uitvoer 2 2 79 4 2" xfId="38855"/>
    <cellStyle name="Uitvoer 2 2 79 5" xfId="38856"/>
    <cellStyle name="Uitvoer 2 2 79 6" xfId="38857"/>
    <cellStyle name="Uitvoer 2 2 79 7" xfId="38858"/>
    <cellStyle name="Uitvoer 2 2 8" xfId="1597"/>
    <cellStyle name="Uitvoer 2 2 8 2" xfId="7486"/>
    <cellStyle name="Uitvoer 2 2 8 2 2" xfId="11817"/>
    <cellStyle name="Uitvoer 2 2 8 2 3" xfId="26038"/>
    <cellStyle name="Uitvoer 2 2 8 2 3 2" xfId="38859"/>
    <cellStyle name="Uitvoer 2 2 8 2 4" xfId="38860"/>
    <cellStyle name="Uitvoer 2 2 8 2 5" xfId="38861"/>
    <cellStyle name="Uitvoer 2 2 8 2 6" xfId="38862"/>
    <cellStyle name="Uitvoer 2 2 8 3" xfId="10127"/>
    <cellStyle name="Uitvoer 2 2 8 4" xfId="26039"/>
    <cellStyle name="Uitvoer 2 2 8 4 2" xfId="38863"/>
    <cellStyle name="Uitvoer 2 2 8 5" xfId="38864"/>
    <cellStyle name="Uitvoer 2 2 8 6" xfId="38865"/>
    <cellStyle name="Uitvoer 2 2 8 7" xfId="38866"/>
    <cellStyle name="Uitvoer 2 2 80" xfId="1598"/>
    <cellStyle name="Uitvoer 2 2 80 2" xfId="7487"/>
    <cellStyle name="Uitvoer 2 2 80 2 2" xfId="11818"/>
    <cellStyle name="Uitvoer 2 2 80 2 3" xfId="26040"/>
    <cellStyle name="Uitvoer 2 2 80 2 3 2" xfId="38867"/>
    <cellStyle name="Uitvoer 2 2 80 2 4" xfId="38868"/>
    <cellStyle name="Uitvoer 2 2 80 2 5" xfId="38869"/>
    <cellStyle name="Uitvoer 2 2 80 2 6" xfId="38870"/>
    <cellStyle name="Uitvoer 2 2 80 3" xfId="10128"/>
    <cellStyle name="Uitvoer 2 2 80 4" xfId="26041"/>
    <cellStyle name="Uitvoer 2 2 80 4 2" xfId="38871"/>
    <cellStyle name="Uitvoer 2 2 80 5" xfId="38872"/>
    <cellStyle name="Uitvoer 2 2 80 6" xfId="38873"/>
    <cellStyle name="Uitvoer 2 2 80 7" xfId="38874"/>
    <cellStyle name="Uitvoer 2 2 81" xfId="7488"/>
    <cellStyle name="Uitvoer 2 2 81 2" xfId="11740"/>
    <cellStyle name="Uitvoer 2 2 81 3" xfId="26042"/>
    <cellStyle name="Uitvoer 2 2 81 3 2" xfId="38875"/>
    <cellStyle name="Uitvoer 2 2 81 4" xfId="38876"/>
    <cellStyle name="Uitvoer 2 2 81 5" xfId="38877"/>
    <cellStyle name="Uitvoer 2 2 81 6" xfId="38878"/>
    <cellStyle name="Uitvoer 2 2 82" xfId="10050"/>
    <cellStyle name="Uitvoer 2 2 83" xfId="26043"/>
    <cellStyle name="Uitvoer 2 2 83 2" xfId="38879"/>
    <cellStyle name="Uitvoer 2 2 84" xfId="38880"/>
    <cellStyle name="Uitvoer 2 2 85" xfId="38881"/>
    <cellStyle name="Uitvoer 2 2 86" xfId="38882"/>
    <cellStyle name="Uitvoer 2 2 9" xfId="1599"/>
    <cellStyle name="Uitvoer 2 2 9 2" xfId="7489"/>
    <cellStyle name="Uitvoer 2 2 9 2 2" xfId="11819"/>
    <cellStyle name="Uitvoer 2 2 9 2 3" xfId="26044"/>
    <cellStyle name="Uitvoer 2 2 9 2 3 2" xfId="38883"/>
    <cellStyle name="Uitvoer 2 2 9 2 4" xfId="38884"/>
    <cellStyle name="Uitvoer 2 2 9 2 5" xfId="38885"/>
    <cellStyle name="Uitvoer 2 2 9 2 6" xfId="38886"/>
    <cellStyle name="Uitvoer 2 2 9 3" xfId="10129"/>
    <cellStyle name="Uitvoer 2 2 9 4" xfId="26045"/>
    <cellStyle name="Uitvoer 2 2 9 4 2" xfId="38887"/>
    <cellStyle name="Uitvoer 2 2 9 5" xfId="38888"/>
    <cellStyle name="Uitvoer 2 2 9 6" xfId="38889"/>
    <cellStyle name="Uitvoer 2 2 9 7" xfId="38890"/>
    <cellStyle name="Uitvoer 2 20" xfId="1600"/>
    <cellStyle name="Uitvoer 2 20 2" xfId="7490"/>
    <cellStyle name="Uitvoer 2 20 2 2" xfId="11820"/>
    <cellStyle name="Uitvoer 2 20 2 3" xfId="26046"/>
    <cellStyle name="Uitvoer 2 20 2 3 2" xfId="38891"/>
    <cellStyle name="Uitvoer 2 20 2 4" xfId="38892"/>
    <cellStyle name="Uitvoer 2 20 2 5" xfId="38893"/>
    <cellStyle name="Uitvoer 2 20 2 6" xfId="38894"/>
    <cellStyle name="Uitvoer 2 20 3" xfId="10130"/>
    <cellStyle name="Uitvoer 2 20 4" xfId="26047"/>
    <cellStyle name="Uitvoer 2 20 4 2" xfId="38895"/>
    <cellStyle name="Uitvoer 2 20 5" xfId="38896"/>
    <cellStyle name="Uitvoer 2 20 6" xfId="38897"/>
    <cellStyle name="Uitvoer 2 20 7" xfId="38898"/>
    <cellStyle name="Uitvoer 2 21" xfId="1601"/>
    <cellStyle name="Uitvoer 2 21 2" xfId="7491"/>
    <cellStyle name="Uitvoer 2 21 2 2" xfId="11821"/>
    <cellStyle name="Uitvoer 2 21 2 3" xfId="26048"/>
    <cellStyle name="Uitvoer 2 21 2 3 2" xfId="38899"/>
    <cellStyle name="Uitvoer 2 21 2 4" xfId="38900"/>
    <cellStyle name="Uitvoer 2 21 2 5" xfId="38901"/>
    <cellStyle name="Uitvoer 2 21 2 6" xfId="38902"/>
    <cellStyle name="Uitvoer 2 21 3" xfId="10131"/>
    <cellStyle name="Uitvoer 2 21 4" xfId="26049"/>
    <cellStyle name="Uitvoer 2 21 4 2" xfId="38903"/>
    <cellStyle name="Uitvoer 2 21 5" xfId="38904"/>
    <cellStyle name="Uitvoer 2 21 6" xfId="38905"/>
    <cellStyle name="Uitvoer 2 21 7" xfId="38906"/>
    <cellStyle name="Uitvoer 2 22" xfId="1602"/>
    <cellStyle name="Uitvoer 2 22 2" xfId="7492"/>
    <cellStyle name="Uitvoer 2 22 2 2" xfId="11822"/>
    <cellStyle name="Uitvoer 2 22 2 3" xfId="26050"/>
    <cellStyle name="Uitvoer 2 22 2 3 2" xfId="38907"/>
    <cellStyle name="Uitvoer 2 22 2 4" xfId="38908"/>
    <cellStyle name="Uitvoer 2 22 2 5" xfId="38909"/>
    <cellStyle name="Uitvoer 2 22 2 6" xfId="38910"/>
    <cellStyle name="Uitvoer 2 22 3" xfId="10132"/>
    <cellStyle name="Uitvoer 2 22 4" xfId="26051"/>
    <cellStyle name="Uitvoer 2 22 4 2" xfId="38911"/>
    <cellStyle name="Uitvoer 2 22 5" xfId="38912"/>
    <cellStyle name="Uitvoer 2 22 6" xfId="38913"/>
    <cellStyle name="Uitvoer 2 22 7" xfId="38914"/>
    <cellStyle name="Uitvoer 2 23" xfId="1603"/>
    <cellStyle name="Uitvoer 2 23 2" xfId="7493"/>
    <cellStyle name="Uitvoer 2 23 2 2" xfId="11823"/>
    <cellStyle name="Uitvoer 2 23 2 3" xfId="26052"/>
    <cellStyle name="Uitvoer 2 23 2 3 2" xfId="38915"/>
    <cellStyle name="Uitvoer 2 23 2 4" xfId="38916"/>
    <cellStyle name="Uitvoer 2 23 2 5" xfId="38917"/>
    <cellStyle name="Uitvoer 2 23 2 6" xfId="38918"/>
    <cellStyle name="Uitvoer 2 23 3" xfId="10133"/>
    <cellStyle name="Uitvoer 2 23 4" xfId="26053"/>
    <cellStyle name="Uitvoer 2 23 4 2" xfId="38919"/>
    <cellStyle name="Uitvoer 2 23 5" xfId="38920"/>
    <cellStyle name="Uitvoer 2 23 6" xfId="38921"/>
    <cellStyle name="Uitvoer 2 23 7" xfId="38922"/>
    <cellStyle name="Uitvoer 2 24" xfId="1604"/>
    <cellStyle name="Uitvoer 2 24 2" xfId="7494"/>
    <cellStyle name="Uitvoer 2 24 2 2" xfId="11824"/>
    <cellStyle name="Uitvoer 2 24 2 3" xfId="26054"/>
    <cellStyle name="Uitvoer 2 24 2 3 2" xfId="38923"/>
    <cellStyle name="Uitvoer 2 24 2 4" xfId="38924"/>
    <cellStyle name="Uitvoer 2 24 2 5" xfId="38925"/>
    <cellStyle name="Uitvoer 2 24 2 6" xfId="38926"/>
    <cellStyle name="Uitvoer 2 24 3" xfId="10134"/>
    <cellStyle name="Uitvoer 2 24 4" xfId="26055"/>
    <cellStyle name="Uitvoer 2 24 4 2" xfId="38927"/>
    <cellStyle name="Uitvoer 2 24 5" xfId="38928"/>
    <cellStyle name="Uitvoer 2 24 6" xfId="38929"/>
    <cellStyle name="Uitvoer 2 24 7" xfId="38930"/>
    <cellStyle name="Uitvoer 2 25" xfId="1605"/>
    <cellStyle name="Uitvoer 2 25 2" xfId="7495"/>
    <cellStyle name="Uitvoer 2 25 2 2" xfId="11825"/>
    <cellStyle name="Uitvoer 2 25 2 3" xfId="26056"/>
    <cellStyle name="Uitvoer 2 25 2 3 2" xfId="38931"/>
    <cellStyle name="Uitvoer 2 25 2 4" xfId="38932"/>
    <cellStyle name="Uitvoer 2 25 2 5" xfId="38933"/>
    <cellStyle name="Uitvoer 2 25 2 6" xfId="38934"/>
    <cellStyle name="Uitvoer 2 25 3" xfId="10135"/>
    <cellStyle name="Uitvoer 2 25 4" xfId="26057"/>
    <cellStyle name="Uitvoer 2 25 4 2" xfId="38935"/>
    <cellStyle name="Uitvoer 2 25 5" xfId="38936"/>
    <cellStyle name="Uitvoer 2 25 6" xfId="38937"/>
    <cellStyle name="Uitvoer 2 25 7" xfId="38938"/>
    <cellStyle name="Uitvoer 2 26" xfId="1606"/>
    <cellStyle name="Uitvoer 2 26 2" xfId="7496"/>
    <cellStyle name="Uitvoer 2 26 2 2" xfId="11826"/>
    <cellStyle name="Uitvoer 2 26 2 3" xfId="26058"/>
    <cellStyle name="Uitvoer 2 26 2 3 2" xfId="38939"/>
    <cellStyle name="Uitvoer 2 26 2 4" xfId="38940"/>
    <cellStyle name="Uitvoer 2 26 2 5" xfId="38941"/>
    <cellStyle name="Uitvoer 2 26 2 6" xfId="38942"/>
    <cellStyle name="Uitvoer 2 26 3" xfId="10136"/>
    <cellStyle name="Uitvoer 2 26 4" xfId="26059"/>
    <cellStyle name="Uitvoer 2 26 4 2" xfId="38943"/>
    <cellStyle name="Uitvoer 2 26 5" xfId="38944"/>
    <cellStyle name="Uitvoer 2 26 6" xfId="38945"/>
    <cellStyle name="Uitvoer 2 26 7" xfId="38946"/>
    <cellStyle name="Uitvoer 2 27" xfId="1607"/>
    <cellStyle name="Uitvoer 2 27 2" xfId="7497"/>
    <cellStyle name="Uitvoer 2 27 2 2" xfId="11827"/>
    <cellStyle name="Uitvoer 2 27 2 3" xfId="26060"/>
    <cellStyle name="Uitvoer 2 27 2 3 2" xfId="38947"/>
    <cellStyle name="Uitvoer 2 27 2 4" xfId="38948"/>
    <cellStyle name="Uitvoer 2 27 2 5" xfId="38949"/>
    <cellStyle name="Uitvoer 2 27 2 6" xfId="38950"/>
    <cellStyle name="Uitvoer 2 27 3" xfId="10137"/>
    <cellStyle name="Uitvoer 2 27 4" xfId="26061"/>
    <cellStyle name="Uitvoer 2 27 4 2" xfId="38951"/>
    <cellStyle name="Uitvoer 2 27 5" xfId="38952"/>
    <cellStyle name="Uitvoer 2 27 6" xfId="38953"/>
    <cellStyle name="Uitvoer 2 27 7" xfId="38954"/>
    <cellStyle name="Uitvoer 2 28" xfId="1608"/>
    <cellStyle name="Uitvoer 2 28 2" xfId="7498"/>
    <cellStyle name="Uitvoer 2 28 2 2" xfId="11828"/>
    <cellStyle name="Uitvoer 2 28 2 3" xfId="26062"/>
    <cellStyle name="Uitvoer 2 28 2 3 2" xfId="38955"/>
    <cellStyle name="Uitvoer 2 28 2 4" xfId="38956"/>
    <cellStyle name="Uitvoer 2 28 2 5" xfId="38957"/>
    <cellStyle name="Uitvoer 2 28 2 6" xfId="38958"/>
    <cellStyle name="Uitvoer 2 28 3" xfId="10138"/>
    <cellStyle name="Uitvoer 2 28 4" xfId="26063"/>
    <cellStyle name="Uitvoer 2 28 4 2" xfId="38959"/>
    <cellStyle name="Uitvoer 2 28 5" xfId="38960"/>
    <cellStyle name="Uitvoer 2 28 6" xfId="38961"/>
    <cellStyle name="Uitvoer 2 28 7" xfId="38962"/>
    <cellStyle name="Uitvoer 2 29" xfId="1609"/>
    <cellStyle name="Uitvoer 2 29 2" xfId="7499"/>
    <cellStyle name="Uitvoer 2 29 2 2" xfId="11829"/>
    <cellStyle name="Uitvoer 2 29 2 3" xfId="26064"/>
    <cellStyle name="Uitvoer 2 29 2 3 2" xfId="38963"/>
    <cellStyle name="Uitvoer 2 29 2 4" xfId="38964"/>
    <cellStyle name="Uitvoer 2 29 2 5" xfId="38965"/>
    <cellStyle name="Uitvoer 2 29 2 6" xfId="38966"/>
    <cellStyle name="Uitvoer 2 29 3" xfId="10139"/>
    <cellStyle name="Uitvoer 2 29 4" xfId="26065"/>
    <cellStyle name="Uitvoer 2 29 4 2" xfId="38967"/>
    <cellStyle name="Uitvoer 2 29 5" xfId="38968"/>
    <cellStyle name="Uitvoer 2 29 6" xfId="38969"/>
    <cellStyle name="Uitvoer 2 29 7" xfId="38970"/>
    <cellStyle name="Uitvoer 2 3" xfId="1610"/>
    <cellStyle name="Uitvoer 2 3 2" xfId="7500"/>
    <cellStyle name="Uitvoer 2 3 2 2" xfId="11830"/>
    <cellStyle name="Uitvoer 2 3 2 3" xfId="26066"/>
    <cellStyle name="Uitvoer 2 3 2 3 2" xfId="38971"/>
    <cellStyle name="Uitvoer 2 3 2 4" xfId="38972"/>
    <cellStyle name="Uitvoer 2 3 2 5" xfId="38973"/>
    <cellStyle name="Uitvoer 2 3 2 6" xfId="38974"/>
    <cellStyle name="Uitvoer 2 3 3" xfId="10140"/>
    <cellStyle name="Uitvoer 2 3 4" xfId="26067"/>
    <cellStyle name="Uitvoer 2 3 4 2" xfId="38975"/>
    <cellStyle name="Uitvoer 2 3 5" xfId="38976"/>
    <cellStyle name="Uitvoer 2 3 6" xfId="38977"/>
    <cellStyle name="Uitvoer 2 3 7" xfId="38978"/>
    <cellStyle name="Uitvoer 2 30" xfId="1611"/>
    <cellStyle name="Uitvoer 2 30 2" xfId="7501"/>
    <cellStyle name="Uitvoer 2 30 2 2" xfId="11831"/>
    <cellStyle name="Uitvoer 2 30 2 3" xfId="26068"/>
    <cellStyle name="Uitvoer 2 30 2 3 2" xfId="38979"/>
    <cellStyle name="Uitvoer 2 30 2 4" xfId="38980"/>
    <cellStyle name="Uitvoer 2 30 2 5" xfId="38981"/>
    <cellStyle name="Uitvoer 2 30 2 6" xfId="38982"/>
    <cellStyle name="Uitvoer 2 30 3" xfId="10141"/>
    <cellStyle name="Uitvoer 2 30 4" xfId="26069"/>
    <cellStyle name="Uitvoer 2 30 4 2" xfId="38983"/>
    <cellStyle name="Uitvoer 2 30 5" xfId="38984"/>
    <cellStyle name="Uitvoer 2 30 6" xfId="38985"/>
    <cellStyle name="Uitvoer 2 30 7" xfId="38986"/>
    <cellStyle name="Uitvoer 2 31" xfId="7502"/>
    <cellStyle name="Uitvoer 2 31 2" xfId="11729"/>
    <cellStyle name="Uitvoer 2 31 3" xfId="26070"/>
    <cellStyle name="Uitvoer 2 31 3 2" xfId="38987"/>
    <cellStyle name="Uitvoer 2 31 4" xfId="38988"/>
    <cellStyle name="Uitvoer 2 31 5" xfId="38989"/>
    <cellStyle name="Uitvoer 2 31 6" xfId="38990"/>
    <cellStyle name="Uitvoer 2 32" xfId="10039"/>
    <cellStyle name="Uitvoer 2 33" xfId="26071"/>
    <cellStyle name="Uitvoer 2 33 2" xfId="38991"/>
    <cellStyle name="Uitvoer 2 34" xfId="38992"/>
    <cellStyle name="Uitvoer 2 35" xfId="38993"/>
    <cellStyle name="Uitvoer 2 36" xfId="38994"/>
    <cellStyle name="Uitvoer 2 4" xfId="1612"/>
    <cellStyle name="Uitvoer 2 4 2" xfId="7503"/>
    <cellStyle name="Uitvoer 2 4 2 2" xfId="11832"/>
    <cellStyle name="Uitvoer 2 4 2 3" xfId="26072"/>
    <cellStyle name="Uitvoer 2 4 2 3 2" xfId="38995"/>
    <cellStyle name="Uitvoer 2 4 2 4" xfId="38996"/>
    <cellStyle name="Uitvoer 2 4 2 5" xfId="38997"/>
    <cellStyle name="Uitvoer 2 4 2 6" xfId="38998"/>
    <cellStyle name="Uitvoer 2 4 3" xfId="10142"/>
    <cellStyle name="Uitvoer 2 4 4" xfId="26073"/>
    <cellStyle name="Uitvoer 2 4 4 2" xfId="38999"/>
    <cellStyle name="Uitvoer 2 4 5" xfId="39000"/>
    <cellStyle name="Uitvoer 2 4 6" xfId="39001"/>
    <cellStyle name="Uitvoer 2 4 7" xfId="39002"/>
    <cellStyle name="Uitvoer 2 5" xfId="1613"/>
    <cellStyle name="Uitvoer 2 5 2" xfId="7504"/>
    <cellStyle name="Uitvoer 2 5 2 2" xfId="11833"/>
    <cellStyle name="Uitvoer 2 5 2 3" xfId="26074"/>
    <cellStyle name="Uitvoer 2 5 2 3 2" xfId="39003"/>
    <cellStyle name="Uitvoer 2 5 2 4" xfId="39004"/>
    <cellStyle name="Uitvoer 2 5 2 5" xfId="39005"/>
    <cellStyle name="Uitvoer 2 5 2 6" xfId="39006"/>
    <cellStyle name="Uitvoer 2 5 3" xfId="10143"/>
    <cellStyle name="Uitvoer 2 5 4" xfId="26075"/>
    <cellStyle name="Uitvoer 2 5 4 2" xfId="39007"/>
    <cellStyle name="Uitvoer 2 5 5" xfId="39008"/>
    <cellStyle name="Uitvoer 2 5 6" xfId="39009"/>
    <cellStyle name="Uitvoer 2 5 7" xfId="39010"/>
    <cellStyle name="Uitvoer 2 6" xfId="1614"/>
    <cellStyle name="Uitvoer 2 6 2" xfId="7505"/>
    <cellStyle name="Uitvoer 2 6 2 2" xfId="11834"/>
    <cellStyle name="Uitvoer 2 6 2 3" xfId="26076"/>
    <cellStyle name="Uitvoer 2 6 2 3 2" xfId="39011"/>
    <cellStyle name="Uitvoer 2 6 2 4" xfId="39012"/>
    <cellStyle name="Uitvoer 2 6 2 5" xfId="39013"/>
    <cellStyle name="Uitvoer 2 6 2 6" xfId="39014"/>
    <cellStyle name="Uitvoer 2 6 3" xfId="10144"/>
    <cellStyle name="Uitvoer 2 6 4" xfId="26077"/>
    <cellStyle name="Uitvoer 2 6 4 2" xfId="39015"/>
    <cellStyle name="Uitvoer 2 6 5" xfId="39016"/>
    <cellStyle name="Uitvoer 2 6 6" xfId="39017"/>
    <cellStyle name="Uitvoer 2 6 7" xfId="39018"/>
    <cellStyle name="Uitvoer 2 7" xfId="1615"/>
    <cellStyle name="Uitvoer 2 7 2" xfId="7506"/>
    <cellStyle name="Uitvoer 2 7 2 2" xfId="11835"/>
    <cellStyle name="Uitvoer 2 7 2 3" xfId="26078"/>
    <cellStyle name="Uitvoer 2 7 2 3 2" xfId="39019"/>
    <cellStyle name="Uitvoer 2 7 2 4" xfId="39020"/>
    <cellStyle name="Uitvoer 2 7 2 5" xfId="39021"/>
    <cellStyle name="Uitvoer 2 7 2 6" xfId="39022"/>
    <cellStyle name="Uitvoer 2 7 3" xfId="10145"/>
    <cellStyle name="Uitvoer 2 7 4" xfId="26079"/>
    <cellStyle name="Uitvoer 2 7 4 2" xfId="39023"/>
    <cellStyle name="Uitvoer 2 7 5" xfId="39024"/>
    <cellStyle name="Uitvoer 2 7 6" xfId="39025"/>
    <cellStyle name="Uitvoer 2 7 7" xfId="39026"/>
    <cellStyle name="Uitvoer 2 8" xfId="1616"/>
    <cellStyle name="Uitvoer 2 8 2" xfId="7507"/>
    <cellStyle name="Uitvoer 2 8 2 2" xfId="11836"/>
    <cellStyle name="Uitvoer 2 8 2 3" xfId="26080"/>
    <cellStyle name="Uitvoer 2 8 2 3 2" xfId="39027"/>
    <cellStyle name="Uitvoer 2 8 2 4" xfId="39028"/>
    <cellStyle name="Uitvoer 2 8 2 5" xfId="39029"/>
    <cellStyle name="Uitvoer 2 8 2 6" xfId="39030"/>
    <cellStyle name="Uitvoer 2 8 3" xfId="10146"/>
    <cellStyle name="Uitvoer 2 8 4" xfId="26081"/>
    <cellStyle name="Uitvoer 2 8 4 2" xfId="39031"/>
    <cellStyle name="Uitvoer 2 8 5" xfId="39032"/>
    <cellStyle name="Uitvoer 2 8 6" xfId="39033"/>
    <cellStyle name="Uitvoer 2 8 7" xfId="39034"/>
    <cellStyle name="Uitvoer 2 9" xfId="1617"/>
    <cellStyle name="Uitvoer 2 9 2" xfId="7508"/>
    <cellStyle name="Uitvoer 2 9 2 2" xfId="11837"/>
    <cellStyle name="Uitvoer 2 9 2 3" xfId="26082"/>
    <cellStyle name="Uitvoer 2 9 2 3 2" xfId="39035"/>
    <cellStyle name="Uitvoer 2 9 2 4" xfId="39036"/>
    <cellStyle name="Uitvoer 2 9 2 5" xfId="39037"/>
    <cellStyle name="Uitvoer 2 9 2 6" xfId="39038"/>
    <cellStyle name="Uitvoer 2 9 3" xfId="10147"/>
    <cellStyle name="Uitvoer 2 9 4" xfId="26083"/>
    <cellStyle name="Uitvoer 2 9 4 2" xfId="39039"/>
    <cellStyle name="Uitvoer 2 9 5" xfId="39040"/>
    <cellStyle name="Uitvoer 2 9 6" xfId="39041"/>
    <cellStyle name="Uitvoer 2 9 7" xfId="39042"/>
    <cellStyle name="Uitvoer 3" xfId="1618"/>
    <cellStyle name="Uitvoer 3 10" xfId="1619"/>
    <cellStyle name="Uitvoer 3 10 2" xfId="7509"/>
    <cellStyle name="Uitvoer 3 10 2 2" xfId="11839"/>
    <cellStyle name="Uitvoer 3 10 2 3" xfId="26084"/>
    <cellStyle name="Uitvoer 3 10 2 3 2" xfId="39043"/>
    <cellStyle name="Uitvoer 3 10 2 4" xfId="39044"/>
    <cellStyle name="Uitvoer 3 10 2 5" xfId="39045"/>
    <cellStyle name="Uitvoer 3 10 2 6" xfId="39046"/>
    <cellStyle name="Uitvoer 3 10 3" xfId="10149"/>
    <cellStyle name="Uitvoer 3 10 4" xfId="26085"/>
    <cellStyle name="Uitvoer 3 10 4 2" xfId="39047"/>
    <cellStyle name="Uitvoer 3 10 5" xfId="39048"/>
    <cellStyle name="Uitvoer 3 10 6" xfId="39049"/>
    <cellStyle name="Uitvoer 3 10 7" xfId="39050"/>
    <cellStyle name="Uitvoer 3 11" xfId="1620"/>
    <cellStyle name="Uitvoer 3 11 2" xfId="7510"/>
    <cellStyle name="Uitvoer 3 11 2 2" xfId="11840"/>
    <cellStyle name="Uitvoer 3 11 2 3" xfId="26086"/>
    <cellStyle name="Uitvoer 3 11 2 3 2" xfId="39051"/>
    <cellStyle name="Uitvoer 3 11 2 4" xfId="39052"/>
    <cellStyle name="Uitvoer 3 11 2 5" xfId="39053"/>
    <cellStyle name="Uitvoer 3 11 2 6" xfId="39054"/>
    <cellStyle name="Uitvoer 3 11 3" xfId="10150"/>
    <cellStyle name="Uitvoer 3 11 4" xfId="26087"/>
    <cellStyle name="Uitvoer 3 11 4 2" xfId="39055"/>
    <cellStyle name="Uitvoer 3 11 5" xfId="39056"/>
    <cellStyle name="Uitvoer 3 11 6" xfId="39057"/>
    <cellStyle name="Uitvoer 3 11 7" xfId="39058"/>
    <cellStyle name="Uitvoer 3 12" xfId="1621"/>
    <cellStyle name="Uitvoer 3 12 2" xfId="7511"/>
    <cellStyle name="Uitvoer 3 12 2 2" xfId="11841"/>
    <cellStyle name="Uitvoer 3 12 2 3" xfId="26088"/>
    <cellStyle name="Uitvoer 3 12 2 3 2" xfId="39059"/>
    <cellStyle name="Uitvoer 3 12 2 4" xfId="39060"/>
    <cellStyle name="Uitvoer 3 12 2 5" xfId="39061"/>
    <cellStyle name="Uitvoer 3 12 2 6" xfId="39062"/>
    <cellStyle name="Uitvoer 3 12 3" xfId="10151"/>
    <cellStyle name="Uitvoer 3 12 4" xfId="26089"/>
    <cellStyle name="Uitvoer 3 12 4 2" xfId="39063"/>
    <cellStyle name="Uitvoer 3 12 5" xfId="39064"/>
    <cellStyle name="Uitvoer 3 12 6" xfId="39065"/>
    <cellStyle name="Uitvoer 3 12 7" xfId="39066"/>
    <cellStyle name="Uitvoer 3 13" xfId="1622"/>
    <cellStyle name="Uitvoer 3 13 2" xfId="7512"/>
    <cellStyle name="Uitvoer 3 13 2 2" xfId="11842"/>
    <cellStyle name="Uitvoer 3 13 2 3" xfId="26090"/>
    <cellStyle name="Uitvoer 3 13 2 3 2" xfId="39067"/>
    <cellStyle name="Uitvoer 3 13 2 4" xfId="39068"/>
    <cellStyle name="Uitvoer 3 13 2 5" xfId="39069"/>
    <cellStyle name="Uitvoer 3 13 2 6" xfId="39070"/>
    <cellStyle name="Uitvoer 3 13 3" xfId="10152"/>
    <cellStyle name="Uitvoer 3 13 4" xfId="26091"/>
    <cellStyle name="Uitvoer 3 13 4 2" xfId="39071"/>
    <cellStyle name="Uitvoer 3 13 5" xfId="39072"/>
    <cellStyle name="Uitvoer 3 13 6" xfId="39073"/>
    <cellStyle name="Uitvoer 3 13 7" xfId="39074"/>
    <cellStyle name="Uitvoer 3 14" xfId="1623"/>
    <cellStyle name="Uitvoer 3 14 2" xfId="7513"/>
    <cellStyle name="Uitvoer 3 14 2 2" xfId="11843"/>
    <cellStyle name="Uitvoer 3 14 2 3" xfId="26092"/>
    <cellStyle name="Uitvoer 3 14 2 3 2" xfId="39075"/>
    <cellStyle name="Uitvoer 3 14 2 4" xfId="39076"/>
    <cellStyle name="Uitvoer 3 14 2 5" xfId="39077"/>
    <cellStyle name="Uitvoer 3 14 2 6" xfId="39078"/>
    <cellStyle name="Uitvoer 3 14 3" xfId="10153"/>
    <cellStyle name="Uitvoer 3 14 4" xfId="26093"/>
    <cellStyle name="Uitvoer 3 14 4 2" xfId="39079"/>
    <cellStyle name="Uitvoer 3 14 5" xfId="39080"/>
    <cellStyle name="Uitvoer 3 14 6" xfId="39081"/>
    <cellStyle name="Uitvoer 3 14 7" xfId="39082"/>
    <cellStyle name="Uitvoer 3 15" xfId="1624"/>
    <cellStyle name="Uitvoer 3 15 2" xfId="7514"/>
    <cellStyle name="Uitvoer 3 15 2 2" xfId="11844"/>
    <cellStyle name="Uitvoer 3 15 2 3" xfId="26094"/>
    <cellStyle name="Uitvoer 3 15 2 3 2" xfId="39083"/>
    <cellStyle name="Uitvoer 3 15 2 4" xfId="39084"/>
    <cellStyle name="Uitvoer 3 15 2 5" xfId="39085"/>
    <cellStyle name="Uitvoer 3 15 2 6" xfId="39086"/>
    <cellStyle name="Uitvoer 3 15 3" xfId="10154"/>
    <cellStyle name="Uitvoer 3 15 4" xfId="26095"/>
    <cellStyle name="Uitvoer 3 15 4 2" xfId="39087"/>
    <cellStyle name="Uitvoer 3 15 5" xfId="39088"/>
    <cellStyle name="Uitvoer 3 15 6" xfId="39089"/>
    <cellStyle name="Uitvoer 3 15 7" xfId="39090"/>
    <cellStyle name="Uitvoer 3 16" xfId="1625"/>
    <cellStyle name="Uitvoer 3 16 2" xfId="7515"/>
    <cellStyle name="Uitvoer 3 16 2 2" xfId="11845"/>
    <cellStyle name="Uitvoer 3 16 2 3" xfId="26096"/>
    <cellStyle name="Uitvoer 3 16 2 3 2" xfId="39091"/>
    <cellStyle name="Uitvoer 3 16 2 4" xfId="39092"/>
    <cellStyle name="Uitvoer 3 16 2 5" xfId="39093"/>
    <cellStyle name="Uitvoer 3 16 2 6" xfId="39094"/>
    <cellStyle name="Uitvoer 3 16 3" xfId="10155"/>
    <cellStyle name="Uitvoer 3 16 4" xfId="26097"/>
    <cellStyle name="Uitvoer 3 16 4 2" xfId="39095"/>
    <cellStyle name="Uitvoer 3 16 5" xfId="39096"/>
    <cellStyle name="Uitvoer 3 16 6" xfId="39097"/>
    <cellStyle name="Uitvoer 3 16 7" xfId="39098"/>
    <cellStyle name="Uitvoer 3 17" xfId="1626"/>
    <cellStyle name="Uitvoer 3 17 2" xfId="7516"/>
    <cellStyle name="Uitvoer 3 17 2 2" xfId="11846"/>
    <cellStyle name="Uitvoer 3 17 2 3" xfId="26098"/>
    <cellStyle name="Uitvoer 3 17 2 3 2" xfId="39099"/>
    <cellStyle name="Uitvoer 3 17 2 4" xfId="39100"/>
    <cellStyle name="Uitvoer 3 17 2 5" xfId="39101"/>
    <cellStyle name="Uitvoer 3 17 2 6" xfId="39102"/>
    <cellStyle name="Uitvoer 3 17 3" xfId="10156"/>
    <cellStyle name="Uitvoer 3 17 4" xfId="26099"/>
    <cellStyle name="Uitvoer 3 17 4 2" xfId="39103"/>
    <cellStyle name="Uitvoer 3 17 5" xfId="39104"/>
    <cellStyle name="Uitvoer 3 17 6" xfId="39105"/>
    <cellStyle name="Uitvoer 3 17 7" xfId="39106"/>
    <cellStyle name="Uitvoer 3 18" xfId="1627"/>
    <cellStyle name="Uitvoer 3 18 2" xfId="7517"/>
    <cellStyle name="Uitvoer 3 18 2 2" xfId="11847"/>
    <cellStyle name="Uitvoer 3 18 2 3" xfId="26100"/>
    <cellStyle name="Uitvoer 3 18 2 3 2" xfId="39107"/>
    <cellStyle name="Uitvoer 3 18 2 4" xfId="39108"/>
    <cellStyle name="Uitvoer 3 18 2 5" xfId="39109"/>
    <cellStyle name="Uitvoer 3 18 2 6" xfId="39110"/>
    <cellStyle name="Uitvoer 3 18 3" xfId="10157"/>
    <cellStyle name="Uitvoer 3 18 4" xfId="26101"/>
    <cellStyle name="Uitvoer 3 18 4 2" xfId="39111"/>
    <cellStyle name="Uitvoer 3 18 5" xfId="39112"/>
    <cellStyle name="Uitvoer 3 18 6" xfId="39113"/>
    <cellStyle name="Uitvoer 3 18 7" xfId="39114"/>
    <cellStyle name="Uitvoer 3 19" xfId="1628"/>
    <cellStyle name="Uitvoer 3 19 2" xfId="7518"/>
    <cellStyle name="Uitvoer 3 19 2 2" xfId="11848"/>
    <cellStyle name="Uitvoer 3 19 2 3" xfId="26102"/>
    <cellStyle name="Uitvoer 3 19 2 3 2" xfId="39115"/>
    <cellStyle name="Uitvoer 3 19 2 4" xfId="39116"/>
    <cellStyle name="Uitvoer 3 19 2 5" xfId="39117"/>
    <cellStyle name="Uitvoer 3 19 2 6" xfId="39118"/>
    <cellStyle name="Uitvoer 3 19 3" xfId="10158"/>
    <cellStyle name="Uitvoer 3 19 4" xfId="26103"/>
    <cellStyle name="Uitvoer 3 19 4 2" xfId="39119"/>
    <cellStyle name="Uitvoer 3 19 5" xfId="39120"/>
    <cellStyle name="Uitvoer 3 19 6" xfId="39121"/>
    <cellStyle name="Uitvoer 3 19 7" xfId="39122"/>
    <cellStyle name="Uitvoer 3 2" xfId="1629"/>
    <cellStyle name="Uitvoer 3 2 10" xfId="1630"/>
    <cellStyle name="Uitvoer 3 2 10 2" xfId="7519"/>
    <cellStyle name="Uitvoer 3 2 10 2 2" xfId="11850"/>
    <cellStyle name="Uitvoer 3 2 10 2 3" xfId="26104"/>
    <cellStyle name="Uitvoer 3 2 10 2 3 2" xfId="39123"/>
    <cellStyle name="Uitvoer 3 2 10 2 4" xfId="39124"/>
    <cellStyle name="Uitvoer 3 2 10 2 5" xfId="39125"/>
    <cellStyle name="Uitvoer 3 2 10 2 6" xfId="39126"/>
    <cellStyle name="Uitvoer 3 2 10 3" xfId="10160"/>
    <cellStyle name="Uitvoer 3 2 10 4" xfId="26105"/>
    <cellStyle name="Uitvoer 3 2 10 4 2" xfId="39127"/>
    <cellStyle name="Uitvoer 3 2 10 5" xfId="39128"/>
    <cellStyle name="Uitvoer 3 2 10 6" xfId="39129"/>
    <cellStyle name="Uitvoer 3 2 10 7" xfId="39130"/>
    <cellStyle name="Uitvoer 3 2 11" xfId="1631"/>
    <cellStyle name="Uitvoer 3 2 11 2" xfId="7520"/>
    <cellStyle name="Uitvoer 3 2 11 2 2" xfId="11851"/>
    <cellStyle name="Uitvoer 3 2 11 2 3" xfId="26106"/>
    <cellStyle name="Uitvoer 3 2 11 2 3 2" xfId="39131"/>
    <cellStyle name="Uitvoer 3 2 11 2 4" xfId="39132"/>
    <cellStyle name="Uitvoer 3 2 11 2 5" xfId="39133"/>
    <cellStyle name="Uitvoer 3 2 11 2 6" xfId="39134"/>
    <cellStyle name="Uitvoer 3 2 11 3" xfId="10161"/>
    <cellStyle name="Uitvoer 3 2 11 4" xfId="26107"/>
    <cellStyle name="Uitvoer 3 2 11 4 2" xfId="39135"/>
    <cellStyle name="Uitvoer 3 2 11 5" xfId="39136"/>
    <cellStyle name="Uitvoer 3 2 11 6" xfId="39137"/>
    <cellStyle name="Uitvoer 3 2 11 7" xfId="39138"/>
    <cellStyle name="Uitvoer 3 2 12" xfId="1632"/>
    <cellStyle name="Uitvoer 3 2 12 2" xfId="7521"/>
    <cellStyle name="Uitvoer 3 2 12 2 2" xfId="11852"/>
    <cellStyle name="Uitvoer 3 2 12 2 3" xfId="26108"/>
    <cellStyle name="Uitvoer 3 2 12 2 3 2" xfId="39139"/>
    <cellStyle name="Uitvoer 3 2 12 2 4" xfId="39140"/>
    <cellStyle name="Uitvoer 3 2 12 2 5" xfId="39141"/>
    <cellStyle name="Uitvoer 3 2 12 2 6" xfId="39142"/>
    <cellStyle name="Uitvoer 3 2 12 3" xfId="10162"/>
    <cellStyle name="Uitvoer 3 2 12 4" xfId="26109"/>
    <cellStyle name="Uitvoer 3 2 12 4 2" xfId="39143"/>
    <cellStyle name="Uitvoer 3 2 12 5" xfId="39144"/>
    <cellStyle name="Uitvoer 3 2 12 6" xfId="39145"/>
    <cellStyle name="Uitvoer 3 2 12 7" xfId="39146"/>
    <cellStyle name="Uitvoer 3 2 13" xfId="1633"/>
    <cellStyle name="Uitvoer 3 2 13 2" xfId="7522"/>
    <cellStyle name="Uitvoer 3 2 13 2 2" xfId="11853"/>
    <cellStyle name="Uitvoer 3 2 13 2 3" xfId="26110"/>
    <cellStyle name="Uitvoer 3 2 13 2 3 2" xfId="39147"/>
    <cellStyle name="Uitvoer 3 2 13 2 4" xfId="39148"/>
    <cellStyle name="Uitvoer 3 2 13 2 5" xfId="39149"/>
    <cellStyle name="Uitvoer 3 2 13 2 6" xfId="39150"/>
    <cellStyle name="Uitvoer 3 2 13 3" xfId="10163"/>
    <cellStyle name="Uitvoer 3 2 13 4" xfId="26111"/>
    <cellStyle name="Uitvoer 3 2 13 4 2" xfId="39151"/>
    <cellStyle name="Uitvoer 3 2 13 5" xfId="39152"/>
    <cellStyle name="Uitvoer 3 2 13 6" xfId="39153"/>
    <cellStyle name="Uitvoer 3 2 13 7" xfId="39154"/>
    <cellStyle name="Uitvoer 3 2 14" xfId="1634"/>
    <cellStyle name="Uitvoer 3 2 14 2" xfId="7523"/>
    <cellStyle name="Uitvoer 3 2 14 2 2" xfId="11854"/>
    <cellStyle name="Uitvoer 3 2 14 2 3" xfId="26112"/>
    <cellStyle name="Uitvoer 3 2 14 2 3 2" xfId="39155"/>
    <cellStyle name="Uitvoer 3 2 14 2 4" xfId="39156"/>
    <cellStyle name="Uitvoer 3 2 14 2 5" xfId="39157"/>
    <cellStyle name="Uitvoer 3 2 14 2 6" xfId="39158"/>
    <cellStyle name="Uitvoer 3 2 14 3" xfId="10164"/>
    <cellStyle name="Uitvoer 3 2 14 4" xfId="26113"/>
    <cellStyle name="Uitvoer 3 2 14 4 2" xfId="39159"/>
    <cellStyle name="Uitvoer 3 2 14 5" xfId="39160"/>
    <cellStyle name="Uitvoer 3 2 14 6" xfId="39161"/>
    <cellStyle name="Uitvoer 3 2 14 7" xfId="39162"/>
    <cellStyle name="Uitvoer 3 2 15" xfId="1635"/>
    <cellStyle name="Uitvoer 3 2 15 2" xfId="7524"/>
    <cellStyle name="Uitvoer 3 2 15 2 2" xfId="11855"/>
    <cellStyle name="Uitvoer 3 2 15 2 3" xfId="26114"/>
    <cellStyle name="Uitvoer 3 2 15 2 3 2" xfId="39163"/>
    <cellStyle name="Uitvoer 3 2 15 2 4" xfId="39164"/>
    <cellStyle name="Uitvoer 3 2 15 2 5" xfId="39165"/>
    <cellStyle name="Uitvoer 3 2 15 2 6" xfId="39166"/>
    <cellStyle name="Uitvoer 3 2 15 3" xfId="10165"/>
    <cellStyle name="Uitvoer 3 2 15 4" xfId="26115"/>
    <cellStyle name="Uitvoer 3 2 15 4 2" xfId="39167"/>
    <cellStyle name="Uitvoer 3 2 15 5" xfId="39168"/>
    <cellStyle name="Uitvoer 3 2 15 6" xfId="39169"/>
    <cellStyle name="Uitvoer 3 2 15 7" xfId="39170"/>
    <cellStyle name="Uitvoer 3 2 16" xfId="1636"/>
    <cellStyle name="Uitvoer 3 2 16 2" xfId="7525"/>
    <cellStyle name="Uitvoer 3 2 16 2 2" xfId="11856"/>
    <cellStyle name="Uitvoer 3 2 16 2 3" xfId="26116"/>
    <cellStyle name="Uitvoer 3 2 16 2 3 2" xfId="39171"/>
    <cellStyle name="Uitvoer 3 2 16 2 4" xfId="39172"/>
    <cellStyle name="Uitvoer 3 2 16 2 5" xfId="39173"/>
    <cellStyle name="Uitvoer 3 2 16 2 6" xfId="39174"/>
    <cellStyle name="Uitvoer 3 2 16 3" xfId="10166"/>
    <cellStyle name="Uitvoer 3 2 16 4" xfId="26117"/>
    <cellStyle name="Uitvoer 3 2 16 4 2" xfId="39175"/>
    <cellStyle name="Uitvoer 3 2 16 5" xfId="39176"/>
    <cellStyle name="Uitvoer 3 2 16 6" xfId="39177"/>
    <cellStyle name="Uitvoer 3 2 16 7" xfId="39178"/>
    <cellStyle name="Uitvoer 3 2 17" xfId="1637"/>
    <cellStyle name="Uitvoer 3 2 17 2" xfId="7526"/>
    <cellStyle name="Uitvoer 3 2 17 2 2" xfId="11857"/>
    <cellStyle name="Uitvoer 3 2 17 2 3" xfId="26118"/>
    <cellStyle name="Uitvoer 3 2 17 2 3 2" xfId="39179"/>
    <cellStyle name="Uitvoer 3 2 17 2 4" xfId="39180"/>
    <cellStyle name="Uitvoer 3 2 17 2 5" xfId="39181"/>
    <cellStyle name="Uitvoer 3 2 17 2 6" xfId="39182"/>
    <cellStyle name="Uitvoer 3 2 17 3" xfId="10167"/>
    <cellStyle name="Uitvoer 3 2 17 4" xfId="26119"/>
    <cellStyle name="Uitvoer 3 2 17 4 2" xfId="39183"/>
    <cellStyle name="Uitvoer 3 2 17 5" xfId="39184"/>
    <cellStyle name="Uitvoer 3 2 17 6" xfId="39185"/>
    <cellStyle name="Uitvoer 3 2 17 7" xfId="39186"/>
    <cellStyle name="Uitvoer 3 2 18" xfId="1638"/>
    <cellStyle name="Uitvoer 3 2 18 2" xfId="7527"/>
    <cellStyle name="Uitvoer 3 2 18 2 2" xfId="11858"/>
    <cellStyle name="Uitvoer 3 2 18 2 3" xfId="26120"/>
    <cellStyle name="Uitvoer 3 2 18 2 3 2" xfId="39187"/>
    <cellStyle name="Uitvoer 3 2 18 2 4" xfId="39188"/>
    <cellStyle name="Uitvoer 3 2 18 2 5" xfId="39189"/>
    <cellStyle name="Uitvoer 3 2 18 2 6" xfId="39190"/>
    <cellStyle name="Uitvoer 3 2 18 3" xfId="10168"/>
    <cellStyle name="Uitvoer 3 2 18 4" xfId="26121"/>
    <cellStyle name="Uitvoer 3 2 18 4 2" xfId="39191"/>
    <cellStyle name="Uitvoer 3 2 18 5" xfId="39192"/>
    <cellStyle name="Uitvoer 3 2 18 6" xfId="39193"/>
    <cellStyle name="Uitvoer 3 2 18 7" xfId="39194"/>
    <cellStyle name="Uitvoer 3 2 19" xfId="1639"/>
    <cellStyle name="Uitvoer 3 2 19 2" xfId="7528"/>
    <cellStyle name="Uitvoer 3 2 19 2 2" xfId="11859"/>
    <cellStyle name="Uitvoer 3 2 19 2 3" xfId="26122"/>
    <cellStyle name="Uitvoer 3 2 19 2 3 2" xfId="39195"/>
    <cellStyle name="Uitvoer 3 2 19 2 4" xfId="39196"/>
    <cellStyle name="Uitvoer 3 2 19 2 5" xfId="39197"/>
    <cellStyle name="Uitvoer 3 2 19 2 6" xfId="39198"/>
    <cellStyle name="Uitvoer 3 2 19 3" xfId="10169"/>
    <cellStyle name="Uitvoer 3 2 19 4" xfId="26123"/>
    <cellStyle name="Uitvoer 3 2 19 4 2" xfId="39199"/>
    <cellStyle name="Uitvoer 3 2 19 5" xfId="39200"/>
    <cellStyle name="Uitvoer 3 2 19 6" xfId="39201"/>
    <cellStyle name="Uitvoer 3 2 19 7" xfId="39202"/>
    <cellStyle name="Uitvoer 3 2 2" xfId="1640"/>
    <cellStyle name="Uitvoer 3 2 2 2" xfId="7529"/>
    <cellStyle name="Uitvoer 3 2 2 2 2" xfId="11860"/>
    <cellStyle name="Uitvoer 3 2 2 2 3" xfId="26124"/>
    <cellStyle name="Uitvoer 3 2 2 2 3 2" xfId="39203"/>
    <cellStyle name="Uitvoer 3 2 2 2 4" xfId="39204"/>
    <cellStyle name="Uitvoer 3 2 2 2 5" xfId="39205"/>
    <cellStyle name="Uitvoer 3 2 2 2 6" xfId="39206"/>
    <cellStyle name="Uitvoer 3 2 2 3" xfId="10170"/>
    <cellStyle name="Uitvoer 3 2 2 4" xfId="26125"/>
    <cellStyle name="Uitvoer 3 2 2 4 2" xfId="39207"/>
    <cellStyle name="Uitvoer 3 2 2 5" xfId="39208"/>
    <cellStyle name="Uitvoer 3 2 2 6" xfId="39209"/>
    <cellStyle name="Uitvoer 3 2 2 7" xfId="39210"/>
    <cellStyle name="Uitvoer 3 2 20" xfId="1641"/>
    <cellStyle name="Uitvoer 3 2 20 2" xfId="7530"/>
    <cellStyle name="Uitvoer 3 2 20 2 2" xfId="11861"/>
    <cellStyle name="Uitvoer 3 2 20 2 3" xfId="26126"/>
    <cellStyle name="Uitvoer 3 2 20 2 3 2" xfId="39211"/>
    <cellStyle name="Uitvoer 3 2 20 2 4" xfId="39212"/>
    <cellStyle name="Uitvoer 3 2 20 2 5" xfId="39213"/>
    <cellStyle name="Uitvoer 3 2 20 2 6" xfId="39214"/>
    <cellStyle name="Uitvoer 3 2 20 3" xfId="10171"/>
    <cellStyle name="Uitvoer 3 2 20 4" xfId="26127"/>
    <cellStyle name="Uitvoer 3 2 20 4 2" xfId="39215"/>
    <cellStyle name="Uitvoer 3 2 20 5" xfId="39216"/>
    <cellStyle name="Uitvoer 3 2 20 6" xfId="39217"/>
    <cellStyle name="Uitvoer 3 2 20 7" xfId="39218"/>
    <cellStyle name="Uitvoer 3 2 21" xfId="1642"/>
    <cellStyle name="Uitvoer 3 2 21 2" xfId="7531"/>
    <cellStyle name="Uitvoer 3 2 21 2 2" xfId="11862"/>
    <cellStyle name="Uitvoer 3 2 21 2 3" xfId="26128"/>
    <cellStyle name="Uitvoer 3 2 21 2 3 2" xfId="39219"/>
    <cellStyle name="Uitvoer 3 2 21 2 4" xfId="39220"/>
    <cellStyle name="Uitvoer 3 2 21 2 5" xfId="39221"/>
    <cellStyle name="Uitvoer 3 2 21 2 6" xfId="39222"/>
    <cellStyle name="Uitvoer 3 2 21 3" xfId="10172"/>
    <cellStyle name="Uitvoer 3 2 21 4" xfId="26129"/>
    <cellStyle name="Uitvoer 3 2 21 4 2" xfId="39223"/>
    <cellStyle name="Uitvoer 3 2 21 5" xfId="39224"/>
    <cellStyle name="Uitvoer 3 2 21 6" xfId="39225"/>
    <cellStyle name="Uitvoer 3 2 21 7" xfId="39226"/>
    <cellStyle name="Uitvoer 3 2 22" xfId="1643"/>
    <cellStyle name="Uitvoer 3 2 22 2" xfId="7532"/>
    <cellStyle name="Uitvoer 3 2 22 2 2" xfId="11863"/>
    <cellStyle name="Uitvoer 3 2 22 2 3" xfId="26130"/>
    <cellStyle name="Uitvoer 3 2 22 2 3 2" xfId="39227"/>
    <cellStyle name="Uitvoer 3 2 22 2 4" xfId="39228"/>
    <cellStyle name="Uitvoer 3 2 22 2 5" xfId="39229"/>
    <cellStyle name="Uitvoer 3 2 22 2 6" xfId="39230"/>
    <cellStyle name="Uitvoer 3 2 22 3" xfId="10173"/>
    <cellStyle name="Uitvoer 3 2 22 4" xfId="26131"/>
    <cellStyle name="Uitvoer 3 2 22 4 2" xfId="39231"/>
    <cellStyle name="Uitvoer 3 2 22 5" xfId="39232"/>
    <cellStyle name="Uitvoer 3 2 22 6" xfId="39233"/>
    <cellStyle name="Uitvoer 3 2 22 7" xfId="39234"/>
    <cellStyle name="Uitvoer 3 2 23" xfId="1644"/>
    <cellStyle name="Uitvoer 3 2 23 2" xfId="7533"/>
    <cellStyle name="Uitvoer 3 2 23 2 2" xfId="11864"/>
    <cellStyle name="Uitvoer 3 2 23 2 3" xfId="26132"/>
    <cellStyle name="Uitvoer 3 2 23 2 3 2" xfId="39235"/>
    <cellStyle name="Uitvoer 3 2 23 2 4" xfId="39236"/>
    <cellStyle name="Uitvoer 3 2 23 2 5" xfId="39237"/>
    <cellStyle name="Uitvoer 3 2 23 2 6" xfId="39238"/>
    <cellStyle name="Uitvoer 3 2 23 3" xfId="10174"/>
    <cellStyle name="Uitvoer 3 2 23 4" xfId="26133"/>
    <cellStyle name="Uitvoer 3 2 23 4 2" xfId="39239"/>
    <cellStyle name="Uitvoer 3 2 23 5" xfId="39240"/>
    <cellStyle name="Uitvoer 3 2 23 6" xfId="39241"/>
    <cellStyle name="Uitvoer 3 2 23 7" xfId="39242"/>
    <cellStyle name="Uitvoer 3 2 24" xfId="1645"/>
    <cellStyle name="Uitvoer 3 2 24 2" xfId="7534"/>
    <cellStyle name="Uitvoer 3 2 24 2 2" xfId="11865"/>
    <cellStyle name="Uitvoer 3 2 24 2 3" xfId="26134"/>
    <cellStyle name="Uitvoer 3 2 24 2 3 2" xfId="39243"/>
    <cellStyle name="Uitvoer 3 2 24 2 4" xfId="39244"/>
    <cellStyle name="Uitvoer 3 2 24 2 5" xfId="39245"/>
    <cellStyle name="Uitvoer 3 2 24 2 6" xfId="39246"/>
    <cellStyle name="Uitvoer 3 2 24 3" xfId="10175"/>
    <cellStyle name="Uitvoer 3 2 24 4" xfId="26135"/>
    <cellStyle name="Uitvoer 3 2 24 4 2" xfId="39247"/>
    <cellStyle name="Uitvoer 3 2 24 5" xfId="39248"/>
    <cellStyle name="Uitvoer 3 2 24 6" xfId="39249"/>
    <cellStyle name="Uitvoer 3 2 24 7" xfId="39250"/>
    <cellStyle name="Uitvoer 3 2 25" xfId="1646"/>
    <cellStyle name="Uitvoer 3 2 25 2" xfId="7535"/>
    <cellStyle name="Uitvoer 3 2 25 2 2" xfId="11866"/>
    <cellStyle name="Uitvoer 3 2 25 2 3" xfId="26136"/>
    <cellStyle name="Uitvoer 3 2 25 2 3 2" xfId="39251"/>
    <cellStyle name="Uitvoer 3 2 25 2 4" xfId="39252"/>
    <cellStyle name="Uitvoer 3 2 25 2 5" xfId="39253"/>
    <cellStyle name="Uitvoer 3 2 25 2 6" xfId="39254"/>
    <cellStyle name="Uitvoer 3 2 25 3" xfId="10176"/>
    <cellStyle name="Uitvoer 3 2 25 4" xfId="26137"/>
    <cellStyle name="Uitvoer 3 2 25 4 2" xfId="39255"/>
    <cellStyle name="Uitvoer 3 2 25 5" xfId="39256"/>
    <cellStyle name="Uitvoer 3 2 25 6" xfId="39257"/>
    <cellStyle name="Uitvoer 3 2 25 7" xfId="39258"/>
    <cellStyle name="Uitvoer 3 2 26" xfId="1647"/>
    <cellStyle name="Uitvoer 3 2 26 2" xfId="7536"/>
    <cellStyle name="Uitvoer 3 2 26 2 2" xfId="11867"/>
    <cellStyle name="Uitvoer 3 2 26 2 3" xfId="26138"/>
    <cellStyle name="Uitvoer 3 2 26 2 3 2" xfId="39259"/>
    <cellStyle name="Uitvoer 3 2 26 2 4" xfId="39260"/>
    <cellStyle name="Uitvoer 3 2 26 2 5" xfId="39261"/>
    <cellStyle name="Uitvoer 3 2 26 2 6" xfId="39262"/>
    <cellStyle name="Uitvoer 3 2 26 3" xfId="10177"/>
    <cellStyle name="Uitvoer 3 2 26 4" xfId="26139"/>
    <cellStyle name="Uitvoer 3 2 26 4 2" xfId="39263"/>
    <cellStyle name="Uitvoer 3 2 26 5" xfId="39264"/>
    <cellStyle name="Uitvoer 3 2 26 6" xfId="39265"/>
    <cellStyle name="Uitvoer 3 2 26 7" xfId="39266"/>
    <cellStyle name="Uitvoer 3 2 27" xfId="1648"/>
    <cellStyle name="Uitvoer 3 2 27 2" xfId="7537"/>
    <cellStyle name="Uitvoer 3 2 27 2 2" xfId="11868"/>
    <cellStyle name="Uitvoer 3 2 27 2 3" xfId="26140"/>
    <cellStyle name="Uitvoer 3 2 27 2 3 2" xfId="39267"/>
    <cellStyle name="Uitvoer 3 2 27 2 4" xfId="39268"/>
    <cellStyle name="Uitvoer 3 2 27 2 5" xfId="39269"/>
    <cellStyle name="Uitvoer 3 2 27 2 6" xfId="39270"/>
    <cellStyle name="Uitvoer 3 2 27 3" xfId="10178"/>
    <cellStyle name="Uitvoer 3 2 27 4" xfId="26141"/>
    <cellStyle name="Uitvoer 3 2 27 4 2" xfId="39271"/>
    <cellStyle name="Uitvoer 3 2 27 5" xfId="39272"/>
    <cellStyle name="Uitvoer 3 2 27 6" xfId="39273"/>
    <cellStyle name="Uitvoer 3 2 27 7" xfId="39274"/>
    <cellStyle name="Uitvoer 3 2 28" xfId="1649"/>
    <cellStyle name="Uitvoer 3 2 28 2" xfId="7538"/>
    <cellStyle name="Uitvoer 3 2 28 2 2" xfId="11869"/>
    <cellStyle name="Uitvoer 3 2 28 2 3" xfId="26142"/>
    <cellStyle name="Uitvoer 3 2 28 2 3 2" xfId="39275"/>
    <cellStyle name="Uitvoer 3 2 28 2 4" xfId="39276"/>
    <cellStyle name="Uitvoer 3 2 28 2 5" xfId="39277"/>
    <cellStyle name="Uitvoer 3 2 28 2 6" xfId="39278"/>
    <cellStyle name="Uitvoer 3 2 28 3" xfId="10179"/>
    <cellStyle name="Uitvoer 3 2 28 4" xfId="26143"/>
    <cellStyle name="Uitvoer 3 2 28 4 2" xfId="39279"/>
    <cellStyle name="Uitvoer 3 2 28 5" xfId="39280"/>
    <cellStyle name="Uitvoer 3 2 28 6" xfId="39281"/>
    <cellStyle name="Uitvoer 3 2 28 7" xfId="39282"/>
    <cellStyle name="Uitvoer 3 2 29" xfId="1650"/>
    <cellStyle name="Uitvoer 3 2 29 2" xfId="7539"/>
    <cellStyle name="Uitvoer 3 2 29 2 2" xfId="11870"/>
    <cellStyle name="Uitvoer 3 2 29 2 3" xfId="26144"/>
    <cellStyle name="Uitvoer 3 2 29 2 3 2" xfId="39283"/>
    <cellStyle name="Uitvoer 3 2 29 2 4" xfId="39284"/>
    <cellStyle name="Uitvoer 3 2 29 2 5" xfId="39285"/>
    <cellStyle name="Uitvoer 3 2 29 2 6" xfId="39286"/>
    <cellStyle name="Uitvoer 3 2 29 3" xfId="10180"/>
    <cellStyle name="Uitvoer 3 2 29 4" xfId="26145"/>
    <cellStyle name="Uitvoer 3 2 29 4 2" xfId="39287"/>
    <cellStyle name="Uitvoer 3 2 29 5" xfId="39288"/>
    <cellStyle name="Uitvoer 3 2 29 6" xfId="39289"/>
    <cellStyle name="Uitvoer 3 2 29 7" xfId="39290"/>
    <cellStyle name="Uitvoer 3 2 3" xfId="1651"/>
    <cellStyle name="Uitvoer 3 2 3 2" xfId="7540"/>
    <cellStyle name="Uitvoer 3 2 3 2 2" xfId="11871"/>
    <cellStyle name="Uitvoer 3 2 3 2 3" xfId="26146"/>
    <cellStyle name="Uitvoer 3 2 3 2 3 2" xfId="39291"/>
    <cellStyle name="Uitvoer 3 2 3 2 4" xfId="39292"/>
    <cellStyle name="Uitvoer 3 2 3 2 5" xfId="39293"/>
    <cellStyle name="Uitvoer 3 2 3 2 6" xfId="39294"/>
    <cellStyle name="Uitvoer 3 2 3 3" xfId="10181"/>
    <cellStyle name="Uitvoer 3 2 3 4" xfId="26147"/>
    <cellStyle name="Uitvoer 3 2 3 4 2" xfId="39295"/>
    <cellStyle name="Uitvoer 3 2 3 5" xfId="39296"/>
    <cellStyle name="Uitvoer 3 2 3 6" xfId="39297"/>
    <cellStyle name="Uitvoer 3 2 3 7" xfId="39298"/>
    <cellStyle name="Uitvoer 3 2 30" xfId="1652"/>
    <cellStyle name="Uitvoer 3 2 30 2" xfId="7541"/>
    <cellStyle name="Uitvoer 3 2 30 2 2" xfId="11872"/>
    <cellStyle name="Uitvoer 3 2 30 2 3" xfId="26148"/>
    <cellStyle name="Uitvoer 3 2 30 2 3 2" xfId="39299"/>
    <cellStyle name="Uitvoer 3 2 30 2 4" xfId="39300"/>
    <cellStyle name="Uitvoer 3 2 30 2 5" xfId="39301"/>
    <cellStyle name="Uitvoer 3 2 30 2 6" xfId="39302"/>
    <cellStyle name="Uitvoer 3 2 30 3" xfId="10182"/>
    <cellStyle name="Uitvoer 3 2 30 4" xfId="26149"/>
    <cellStyle name="Uitvoer 3 2 30 4 2" xfId="39303"/>
    <cellStyle name="Uitvoer 3 2 30 5" xfId="39304"/>
    <cellStyle name="Uitvoer 3 2 30 6" xfId="39305"/>
    <cellStyle name="Uitvoer 3 2 30 7" xfId="39306"/>
    <cellStyle name="Uitvoer 3 2 31" xfId="1653"/>
    <cellStyle name="Uitvoer 3 2 31 2" xfId="7542"/>
    <cellStyle name="Uitvoer 3 2 31 2 2" xfId="11873"/>
    <cellStyle name="Uitvoer 3 2 31 2 3" xfId="26150"/>
    <cellStyle name="Uitvoer 3 2 31 2 3 2" xfId="39307"/>
    <cellStyle name="Uitvoer 3 2 31 2 4" xfId="39308"/>
    <cellStyle name="Uitvoer 3 2 31 2 5" xfId="39309"/>
    <cellStyle name="Uitvoer 3 2 31 2 6" xfId="39310"/>
    <cellStyle name="Uitvoer 3 2 31 3" xfId="10183"/>
    <cellStyle name="Uitvoer 3 2 31 4" xfId="26151"/>
    <cellStyle name="Uitvoer 3 2 31 4 2" xfId="39311"/>
    <cellStyle name="Uitvoer 3 2 31 5" xfId="39312"/>
    <cellStyle name="Uitvoer 3 2 31 6" xfId="39313"/>
    <cellStyle name="Uitvoer 3 2 31 7" xfId="39314"/>
    <cellStyle name="Uitvoer 3 2 32" xfId="1654"/>
    <cellStyle name="Uitvoer 3 2 32 2" xfId="7543"/>
    <cellStyle name="Uitvoer 3 2 32 2 2" xfId="11874"/>
    <cellStyle name="Uitvoer 3 2 32 2 3" xfId="26152"/>
    <cellStyle name="Uitvoer 3 2 32 2 3 2" xfId="39315"/>
    <cellStyle name="Uitvoer 3 2 32 2 4" xfId="39316"/>
    <cellStyle name="Uitvoer 3 2 32 2 5" xfId="39317"/>
    <cellStyle name="Uitvoer 3 2 32 2 6" xfId="39318"/>
    <cellStyle name="Uitvoer 3 2 32 3" xfId="10184"/>
    <cellStyle name="Uitvoer 3 2 32 4" xfId="26153"/>
    <cellStyle name="Uitvoer 3 2 32 4 2" xfId="39319"/>
    <cellStyle name="Uitvoer 3 2 32 5" xfId="39320"/>
    <cellStyle name="Uitvoer 3 2 32 6" xfId="39321"/>
    <cellStyle name="Uitvoer 3 2 32 7" xfId="39322"/>
    <cellStyle name="Uitvoer 3 2 33" xfId="1655"/>
    <cellStyle name="Uitvoer 3 2 33 2" xfId="7544"/>
    <cellStyle name="Uitvoer 3 2 33 2 2" xfId="11875"/>
    <cellStyle name="Uitvoer 3 2 33 2 3" xfId="26154"/>
    <cellStyle name="Uitvoer 3 2 33 2 3 2" xfId="39323"/>
    <cellStyle name="Uitvoer 3 2 33 2 4" xfId="39324"/>
    <cellStyle name="Uitvoer 3 2 33 2 5" xfId="39325"/>
    <cellStyle name="Uitvoer 3 2 33 2 6" xfId="39326"/>
    <cellStyle name="Uitvoer 3 2 33 3" xfId="10185"/>
    <cellStyle name="Uitvoer 3 2 33 4" xfId="26155"/>
    <cellStyle name="Uitvoer 3 2 33 4 2" xfId="39327"/>
    <cellStyle name="Uitvoer 3 2 33 5" xfId="39328"/>
    <cellStyle name="Uitvoer 3 2 33 6" xfId="39329"/>
    <cellStyle name="Uitvoer 3 2 33 7" xfId="39330"/>
    <cellStyle name="Uitvoer 3 2 34" xfId="1656"/>
    <cellStyle name="Uitvoer 3 2 34 2" xfId="7545"/>
    <cellStyle name="Uitvoer 3 2 34 2 2" xfId="11876"/>
    <cellStyle name="Uitvoer 3 2 34 2 3" xfId="26156"/>
    <cellStyle name="Uitvoer 3 2 34 2 3 2" xfId="39331"/>
    <cellStyle name="Uitvoer 3 2 34 2 4" xfId="39332"/>
    <cellStyle name="Uitvoer 3 2 34 2 5" xfId="39333"/>
    <cellStyle name="Uitvoer 3 2 34 2 6" xfId="39334"/>
    <cellStyle name="Uitvoer 3 2 34 3" xfId="10186"/>
    <cellStyle name="Uitvoer 3 2 34 4" xfId="26157"/>
    <cellStyle name="Uitvoer 3 2 34 4 2" xfId="39335"/>
    <cellStyle name="Uitvoer 3 2 34 5" xfId="39336"/>
    <cellStyle name="Uitvoer 3 2 34 6" xfId="39337"/>
    <cellStyle name="Uitvoer 3 2 34 7" xfId="39338"/>
    <cellStyle name="Uitvoer 3 2 35" xfId="1657"/>
    <cellStyle name="Uitvoer 3 2 35 2" xfId="7546"/>
    <cellStyle name="Uitvoer 3 2 35 2 2" xfId="11877"/>
    <cellStyle name="Uitvoer 3 2 35 2 3" xfId="26158"/>
    <cellStyle name="Uitvoer 3 2 35 2 3 2" xfId="39339"/>
    <cellStyle name="Uitvoer 3 2 35 2 4" xfId="39340"/>
    <cellStyle name="Uitvoer 3 2 35 2 5" xfId="39341"/>
    <cellStyle name="Uitvoer 3 2 35 2 6" xfId="39342"/>
    <cellStyle name="Uitvoer 3 2 35 3" xfId="10187"/>
    <cellStyle name="Uitvoer 3 2 35 4" xfId="26159"/>
    <cellStyle name="Uitvoer 3 2 35 4 2" xfId="39343"/>
    <cellStyle name="Uitvoer 3 2 35 5" xfId="39344"/>
    <cellStyle name="Uitvoer 3 2 35 6" xfId="39345"/>
    <cellStyle name="Uitvoer 3 2 35 7" xfId="39346"/>
    <cellStyle name="Uitvoer 3 2 36" xfId="1658"/>
    <cellStyle name="Uitvoer 3 2 36 2" xfId="7547"/>
    <cellStyle name="Uitvoer 3 2 36 2 2" xfId="11878"/>
    <cellStyle name="Uitvoer 3 2 36 2 3" xfId="26160"/>
    <cellStyle name="Uitvoer 3 2 36 2 3 2" xfId="39347"/>
    <cellStyle name="Uitvoer 3 2 36 2 4" xfId="39348"/>
    <cellStyle name="Uitvoer 3 2 36 2 5" xfId="39349"/>
    <cellStyle name="Uitvoer 3 2 36 2 6" xfId="39350"/>
    <cellStyle name="Uitvoer 3 2 36 3" xfId="10188"/>
    <cellStyle name="Uitvoer 3 2 36 4" xfId="26161"/>
    <cellStyle name="Uitvoer 3 2 36 4 2" xfId="39351"/>
    <cellStyle name="Uitvoer 3 2 36 5" xfId="39352"/>
    <cellStyle name="Uitvoer 3 2 36 6" xfId="39353"/>
    <cellStyle name="Uitvoer 3 2 36 7" xfId="39354"/>
    <cellStyle name="Uitvoer 3 2 37" xfId="1659"/>
    <cellStyle name="Uitvoer 3 2 37 2" xfId="7548"/>
    <cellStyle name="Uitvoer 3 2 37 2 2" xfId="11879"/>
    <cellStyle name="Uitvoer 3 2 37 2 3" xfId="26162"/>
    <cellStyle name="Uitvoer 3 2 37 2 3 2" xfId="39355"/>
    <cellStyle name="Uitvoer 3 2 37 2 4" xfId="39356"/>
    <cellStyle name="Uitvoer 3 2 37 2 5" xfId="39357"/>
    <cellStyle name="Uitvoer 3 2 37 2 6" xfId="39358"/>
    <cellStyle name="Uitvoer 3 2 37 3" xfId="10189"/>
    <cellStyle name="Uitvoer 3 2 37 4" xfId="26163"/>
    <cellStyle name="Uitvoer 3 2 37 4 2" xfId="39359"/>
    <cellStyle name="Uitvoer 3 2 37 5" xfId="39360"/>
    <cellStyle name="Uitvoer 3 2 37 6" xfId="39361"/>
    <cellStyle name="Uitvoer 3 2 37 7" xfId="39362"/>
    <cellStyle name="Uitvoer 3 2 38" xfId="1660"/>
    <cellStyle name="Uitvoer 3 2 38 2" xfId="7549"/>
    <cellStyle name="Uitvoer 3 2 38 2 2" xfId="11880"/>
    <cellStyle name="Uitvoer 3 2 38 2 3" xfId="26164"/>
    <cellStyle name="Uitvoer 3 2 38 2 3 2" xfId="39363"/>
    <cellStyle name="Uitvoer 3 2 38 2 4" xfId="39364"/>
    <cellStyle name="Uitvoer 3 2 38 2 5" xfId="39365"/>
    <cellStyle name="Uitvoer 3 2 38 2 6" xfId="39366"/>
    <cellStyle name="Uitvoer 3 2 38 3" xfId="10190"/>
    <cellStyle name="Uitvoer 3 2 38 4" xfId="26165"/>
    <cellStyle name="Uitvoer 3 2 38 4 2" xfId="39367"/>
    <cellStyle name="Uitvoer 3 2 38 5" xfId="39368"/>
    <cellStyle name="Uitvoer 3 2 38 6" xfId="39369"/>
    <cellStyle name="Uitvoer 3 2 38 7" xfId="39370"/>
    <cellStyle name="Uitvoer 3 2 39" xfId="1661"/>
    <cellStyle name="Uitvoer 3 2 39 2" xfId="7550"/>
    <cellStyle name="Uitvoer 3 2 39 2 2" xfId="11881"/>
    <cellStyle name="Uitvoer 3 2 39 2 3" xfId="26166"/>
    <cellStyle name="Uitvoer 3 2 39 2 3 2" xfId="39371"/>
    <cellStyle name="Uitvoer 3 2 39 2 4" xfId="39372"/>
    <cellStyle name="Uitvoer 3 2 39 2 5" xfId="39373"/>
    <cellStyle name="Uitvoer 3 2 39 2 6" xfId="39374"/>
    <cellStyle name="Uitvoer 3 2 39 3" xfId="10191"/>
    <cellStyle name="Uitvoer 3 2 39 4" xfId="26167"/>
    <cellStyle name="Uitvoer 3 2 39 4 2" xfId="39375"/>
    <cellStyle name="Uitvoer 3 2 39 5" xfId="39376"/>
    <cellStyle name="Uitvoer 3 2 39 6" xfId="39377"/>
    <cellStyle name="Uitvoer 3 2 39 7" xfId="39378"/>
    <cellStyle name="Uitvoer 3 2 4" xfId="1662"/>
    <cellStyle name="Uitvoer 3 2 4 2" xfId="7551"/>
    <cellStyle name="Uitvoer 3 2 4 2 2" xfId="11882"/>
    <cellStyle name="Uitvoer 3 2 4 2 3" xfId="26168"/>
    <cellStyle name="Uitvoer 3 2 4 2 3 2" xfId="39379"/>
    <cellStyle name="Uitvoer 3 2 4 2 4" xfId="39380"/>
    <cellStyle name="Uitvoer 3 2 4 2 5" xfId="39381"/>
    <cellStyle name="Uitvoer 3 2 4 2 6" xfId="39382"/>
    <cellStyle name="Uitvoer 3 2 4 3" xfId="10192"/>
    <cellStyle name="Uitvoer 3 2 4 4" xfId="26169"/>
    <cellStyle name="Uitvoer 3 2 4 4 2" xfId="39383"/>
    <cellStyle name="Uitvoer 3 2 4 5" xfId="39384"/>
    <cellStyle name="Uitvoer 3 2 4 6" xfId="39385"/>
    <cellStyle name="Uitvoer 3 2 4 7" xfId="39386"/>
    <cellStyle name="Uitvoer 3 2 40" xfId="1663"/>
    <cellStyle name="Uitvoer 3 2 40 2" xfId="7552"/>
    <cellStyle name="Uitvoer 3 2 40 2 2" xfId="11883"/>
    <cellStyle name="Uitvoer 3 2 40 2 3" xfId="26170"/>
    <cellStyle name="Uitvoer 3 2 40 2 3 2" xfId="39387"/>
    <cellStyle name="Uitvoer 3 2 40 2 4" xfId="39388"/>
    <cellStyle name="Uitvoer 3 2 40 2 5" xfId="39389"/>
    <cellStyle name="Uitvoer 3 2 40 2 6" xfId="39390"/>
    <cellStyle name="Uitvoer 3 2 40 3" xfId="10193"/>
    <cellStyle name="Uitvoer 3 2 40 4" xfId="26171"/>
    <cellStyle name="Uitvoer 3 2 40 4 2" xfId="39391"/>
    <cellStyle name="Uitvoer 3 2 40 5" xfId="39392"/>
    <cellStyle name="Uitvoer 3 2 40 6" xfId="39393"/>
    <cellStyle name="Uitvoer 3 2 40 7" xfId="39394"/>
    <cellStyle name="Uitvoer 3 2 41" xfId="1664"/>
    <cellStyle name="Uitvoer 3 2 41 2" xfId="7553"/>
    <cellStyle name="Uitvoer 3 2 41 2 2" xfId="11884"/>
    <cellStyle name="Uitvoer 3 2 41 2 3" xfId="26172"/>
    <cellStyle name="Uitvoer 3 2 41 2 3 2" xfId="39395"/>
    <cellStyle name="Uitvoer 3 2 41 2 4" xfId="39396"/>
    <cellStyle name="Uitvoer 3 2 41 2 5" xfId="39397"/>
    <cellStyle name="Uitvoer 3 2 41 2 6" xfId="39398"/>
    <cellStyle name="Uitvoer 3 2 41 3" xfId="10194"/>
    <cellStyle name="Uitvoer 3 2 41 4" xfId="26173"/>
    <cellStyle name="Uitvoer 3 2 41 4 2" xfId="39399"/>
    <cellStyle name="Uitvoer 3 2 41 5" xfId="39400"/>
    <cellStyle name="Uitvoer 3 2 41 6" xfId="39401"/>
    <cellStyle name="Uitvoer 3 2 41 7" xfId="39402"/>
    <cellStyle name="Uitvoer 3 2 42" xfId="1665"/>
    <cellStyle name="Uitvoer 3 2 42 2" xfId="7554"/>
    <cellStyle name="Uitvoer 3 2 42 2 2" xfId="11885"/>
    <cellStyle name="Uitvoer 3 2 42 2 3" xfId="26174"/>
    <cellStyle name="Uitvoer 3 2 42 2 3 2" xfId="39403"/>
    <cellStyle name="Uitvoer 3 2 42 2 4" xfId="39404"/>
    <cellStyle name="Uitvoer 3 2 42 2 5" xfId="39405"/>
    <cellStyle name="Uitvoer 3 2 42 2 6" xfId="39406"/>
    <cellStyle name="Uitvoer 3 2 42 3" xfId="10195"/>
    <cellStyle name="Uitvoer 3 2 42 4" xfId="26175"/>
    <cellStyle name="Uitvoer 3 2 42 4 2" xfId="39407"/>
    <cellStyle name="Uitvoer 3 2 42 5" xfId="39408"/>
    <cellStyle name="Uitvoer 3 2 42 6" xfId="39409"/>
    <cellStyle name="Uitvoer 3 2 42 7" xfId="39410"/>
    <cellStyle name="Uitvoer 3 2 43" xfId="1666"/>
    <cellStyle name="Uitvoer 3 2 43 2" xfId="7555"/>
    <cellStyle name="Uitvoer 3 2 43 2 2" xfId="11886"/>
    <cellStyle name="Uitvoer 3 2 43 2 3" xfId="26176"/>
    <cellStyle name="Uitvoer 3 2 43 2 3 2" xfId="39411"/>
    <cellStyle name="Uitvoer 3 2 43 2 4" xfId="39412"/>
    <cellStyle name="Uitvoer 3 2 43 2 5" xfId="39413"/>
    <cellStyle name="Uitvoer 3 2 43 2 6" xfId="39414"/>
    <cellStyle name="Uitvoer 3 2 43 3" xfId="10196"/>
    <cellStyle name="Uitvoer 3 2 43 4" xfId="26177"/>
    <cellStyle name="Uitvoer 3 2 43 4 2" xfId="39415"/>
    <cellStyle name="Uitvoer 3 2 43 5" xfId="39416"/>
    <cellStyle name="Uitvoer 3 2 43 6" xfId="39417"/>
    <cellStyle name="Uitvoer 3 2 43 7" xfId="39418"/>
    <cellStyle name="Uitvoer 3 2 44" xfId="1667"/>
    <cellStyle name="Uitvoer 3 2 44 2" xfId="7556"/>
    <cellStyle name="Uitvoer 3 2 44 2 2" xfId="11887"/>
    <cellStyle name="Uitvoer 3 2 44 2 3" xfId="26178"/>
    <cellStyle name="Uitvoer 3 2 44 2 3 2" xfId="39419"/>
    <cellStyle name="Uitvoer 3 2 44 2 4" xfId="39420"/>
    <cellStyle name="Uitvoer 3 2 44 2 5" xfId="39421"/>
    <cellStyle name="Uitvoer 3 2 44 2 6" xfId="39422"/>
    <cellStyle name="Uitvoer 3 2 44 3" xfId="10197"/>
    <cellStyle name="Uitvoer 3 2 44 4" xfId="26179"/>
    <cellStyle name="Uitvoer 3 2 44 4 2" xfId="39423"/>
    <cellStyle name="Uitvoer 3 2 44 5" xfId="39424"/>
    <cellStyle name="Uitvoer 3 2 44 6" xfId="39425"/>
    <cellStyle name="Uitvoer 3 2 44 7" xfId="39426"/>
    <cellStyle name="Uitvoer 3 2 45" xfId="1668"/>
    <cellStyle name="Uitvoer 3 2 45 2" xfId="7557"/>
    <cellStyle name="Uitvoer 3 2 45 2 2" xfId="11888"/>
    <cellStyle name="Uitvoer 3 2 45 2 3" xfId="26180"/>
    <cellStyle name="Uitvoer 3 2 45 2 3 2" xfId="39427"/>
    <cellStyle name="Uitvoer 3 2 45 2 4" xfId="39428"/>
    <cellStyle name="Uitvoer 3 2 45 2 5" xfId="39429"/>
    <cellStyle name="Uitvoer 3 2 45 2 6" xfId="39430"/>
    <cellStyle name="Uitvoer 3 2 45 3" xfId="10198"/>
    <cellStyle name="Uitvoer 3 2 45 4" xfId="26181"/>
    <cellStyle name="Uitvoer 3 2 45 4 2" xfId="39431"/>
    <cellStyle name="Uitvoer 3 2 45 5" xfId="39432"/>
    <cellStyle name="Uitvoer 3 2 45 6" xfId="39433"/>
    <cellStyle name="Uitvoer 3 2 45 7" xfId="39434"/>
    <cellStyle name="Uitvoer 3 2 46" xfId="1669"/>
    <cellStyle name="Uitvoer 3 2 46 2" xfId="7558"/>
    <cellStyle name="Uitvoer 3 2 46 2 2" xfId="11889"/>
    <cellStyle name="Uitvoer 3 2 46 2 3" xfId="26182"/>
    <cellStyle name="Uitvoer 3 2 46 2 3 2" xfId="39435"/>
    <cellStyle name="Uitvoer 3 2 46 2 4" xfId="39436"/>
    <cellStyle name="Uitvoer 3 2 46 2 5" xfId="39437"/>
    <cellStyle name="Uitvoer 3 2 46 2 6" xfId="39438"/>
    <cellStyle name="Uitvoer 3 2 46 3" xfId="10199"/>
    <cellStyle name="Uitvoer 3 2 46 4" xfId="26183"/>
    <cellStyle name="Uitvoer 3 2 46 4 2" xfId="39439"/>
    <cellStyle name="Uitvoer 3 2 46 5" xfId="39440"/>
    <cellStyle name="Uitvoer 3 2 46 6" xfId="39441"/>
    <cellStyle name="Uitvoer 3 2 46 7" xfId="39442"/>
    <cellStyle name="Uitvoer 3 2 47" xfId="1670"/>
    <cellStyle name="Uitvoer 3 2 47 2" xfId="7559"/>
    <cellStyle name="Uitvoer 3 2 47 2 2" xfId="11890"/>
    <cellStyle name="Uitvoer 3 2 47 2 3" xfId="26184"/>
    <cellStyle name="Uitvoer 3 2 47 2 3 2" xfId="39443"/>
    <cellStyle name="Uitvoer 3 2 47 2 4" xfId="39444"/>
    <cellStyle name="Uitvoer 3 2 47 2 5" xfId="39445"/>
    <cellStyle name="Uitvoer 3 2 47 2 6" xfId="39446"/>
    <cellStyle name="Uitvoer 3 2 47 3" xfId="10200"/>
    <cellStyle name="Uitvoer 3 2 47 4" xfId="26185"/>
    <cellStyle name="Uitvoer 3 2 47 4 2" xfId="39447"/>
    <cellStyle name="Uitvoer 3 2 47 5" xfId="39448"/>
    <cellStyle name="Uitvoer 3 2 47 6" xfId="39449"/>
    <cellStyle name="Uitvoer 3 2 47 7" xfId="39450"/>
    <cellStyle name="Uitvoer 3 2 48" xfId="1671"/>
    <cellStyle name="Uitvoer 3 2 48 2" xfId="7560"/>
    <cellStyle name="Uitvoer 3 2 48 2 2" xfId="11891"/>
    <cellStyle name="Uitvoer 3 2 48 2 3" xfId="26186"/>
    <cellStyle name="Uitvoer 3 2 48 2 3 2" xfId="39451"/>
    <cellStyle name="Uitvoer 3 2 48 2 4" xfId="39452"/>
    <cellStyle name="Uitvoer 3 2 48 2 5" xfId="39453"/>
    <cellStyle name="Uitvoer 3 2 48 2 6" xfId="39454"/>
    <cellStyle name="Uitvoer 3 2 48 3" xfId="10201"/>
    <cellStyle name="Uitvoer 3 2 48 4" xfId="26187"/>
    <cellStyle name="Uitvoer 3 2 48 4 2" xfId="39455"/>
    <cellStyle name="Uitvoer 3 2 48 5" xfId="39456"/>
    <cellStyle name="Uitvoer 3 2 48 6" xfId="39457"/>
    <cellStyle name="Uitvoer 3 2 48 7" xfId="39458"/>
    <cellStyle name="Uitvoer 3 2 49" xfId="1672"/>
    <cellStyle name="Uitvoer 3 2 49 2" xfId="7561"/>
    <cellStyle name="Uitvoer 3 2 49 2 2" xfId="11892"/>
    <cellStyle name="Uitvoer 3 2 49 2 3" xfId="26188"/>
    <cellStyle name="Uitvoer 3 2 49 2 3 2" xfId="39459"/>
    <cellStyle name="Uitvoer 3 2 49 2 4" xfId="39460"/>
    <cellStyle name="Uitvoer 3 2 49 2 5" xfId="39461"/>
    <cellStyle name="Uitvoer 3 2 49 2 6" xfId="39462"/>
    <cellStyle name="Uitvoer 3 2 49 3" xfId="10202"/>
    <cellStyle name="Uitvoer 3 2 49 4" xfId="26189"/>
    <cellStyle name="Uitvoer 3 2 49 4 2" xfId="39463"/>
    <cellStyle name="Uitvoer 3 2 49 5" xfId="39464"/>
    <cellStyle name="Uitvoer 3 2 49 6" xfId="39465"/>
    <cellStyle name="Uitvoer 3 2 49 7" xfId="39466"/>
    <cellStyle name="Uitvoer 3 2 5" xfId="1673"/>
    <cellStyle name="Uitvoer 3 2 5 2" xfId="7562"/>
    <cellStyle name="Uitvoer 3 2 5 2 2" xfId="11893"/>
    <cellStyle name="Uitvoer 3 2 5 2 3" xfId="26190"/>
    <cellStyle name="Uitvoer 3 2 5 2 3 2" xfId="39467"/>
    <cellStyle name="Uitvoer 3 2 5 2 4" xfId="39468"/>
    <cellStyle name="Uitvoer 3 2 5 2 5" xfId="39469"/>
    <cellStyle name="Uitvoer 3 2 5 2 6" xfId="39470"/>
    <cellStyle name="Uitvoer 3 2 5 3" xfId="10203"/>
    <cellStyle name="Uitvoer 3 2 5 4" xfId="26191"/>
    <cellStyle name="Uitvoer 3 2 5 4 2" xfId="39471"/>
    <cellStyle name="Uitvoer 3 2 5 5" xfId="39472"/>
    <cellStyle name="Uitvoer 3 2 5 6" xfId="39473"/>
    <cellStyle name="Uitvoer 3 2 5 7" xfId="39474"/>
    <cellStyle name="Uitvoer 3 2 50" xfId="1674"/>
    <cellStyle name="Uitvoer 3 2 50 2" xfId="7563"/>
    <cellStyle name="Uitvoer 3 2 50 2 2" xfId="11894"/>
    <cellStyle name="Uitvoer 3 2 50 2 3" xfId="26192"/>
    <cellStyle name="Uitvoer 3 2 50 2 3 2" xfId="39475"/>
    <cellStyle name="Uitvoer 3 2 50 2 4" xfId="39476"/>
    <cellStyle name="Uitvoer 3 2 50 2 5" xfId="39477"/>
    <cellStyle name="Uitvoer 3 2 50 2 6" xfId="39478"/>
    <cellStyle name="Uitvoer 3 2 50 3" xfId="10204"/>
    <cellStyle name="Uitvoer 3 2 50 4" xfId="26193"/>
    <cellStyle name="Uitvoer 3 2 50 4 2" xfId="39479"/>
    <cellStyle name="Uitvoer 3 2 50 5" xfId="39480"/>
    <cellStyle name="Uitvoer 3 2 50 6" xfId="39481"/>
    <cellStyle name="Uitvoer 3 2 50 7" xfId="39482"/>
    <cellStyle name="Uitvoer 3 2 51" xfId="1675"/>
    <cellStyle name="Uitvoer 3 2 51 2" xfId="7564"/>
    <cellStyle name="Uitvoer 3 2 51 2 2" xfId="11895"/>
    <cellStyle name="Uitvoer 3 2 51 2 3" xfId="26194"/>
    <cellStyle name="Uitvoer 3 2 51 2 3 2" xfId="39483"/>
    <cellStyle name="Uitvoer 3 2 51 2 4" xfId="39484"/>
    <cellStyle name="Uitvoer 3 2 51 2 5" xfId="39485"/>
    <cellStyle name="Uitvoer 3 2 51 2 6" xfId="39486"/>
    <cellStyle name="Uitvoer 3 2 51 3" xfId="10205"/>
    <cellStyle name="Uitvoer 3 2 51 4" xfId="26195"/>
    <cellStyle name="Uitvoer 3 2 51 4 2" xfId="39487"/>
    <cellStyle name="Uitvoer 3 2 51 5" xfId="39488"/>
    <cellStyle name="Uitvoer 3 2 51 6" xfId="39489"/>
    <cellStyle name="Uitvoer 3 2 51 7" xfId="39490"/>
    <cellStyle name="Uitvoer 3 2 52" xfId="1676"/>
    <cellStyle name="Uitvoer 3 2 52 2" xfId="7565"/>
    <cellStyle name="Uitvoer 3 2 52 2 2" xfId="11896"/>
    <cellStyle name="Uitvoer 3 2 52 2 3" xfId="26196"/>
    <cellStyle name="Uitvoer 3 2 52 2 3 2" xfId="39491"/>
    <cellStyle name="Uitvoer 3 2 52 2 4" xfId="39492"/>
    <cellStyle name="Uitvoer 3 2 52 2 5" xfId="39493"/>
    <cellStyle name="Uitvoer 3 2 52 2 6" xfId="39494"/>
    <cellStyle name="Uitvoer 3 2 52 3" xfId="10206"/>
    <cellStyle name="Uitvoer 3 2 52 4" xfId="26197"/>
    <cellStyle name="Uitvoer 3 2 52 4 2" xfId="39495"/>
    <cellStyle name="Uitvoer 3 2 52 5" xfId="39496"/>
    <cellStyle name="Uitvoer 3 2 52 6" xfId="39497"/>
    <cellStyle name="Uitvoer 3 2 52 7" xfId="39498"/>
    <cellStyle name="Uitvoer 3 2 53" xfId="1677"/>
    <cellStyle name="Uitvoer 3 2 53 2" xfId="7566"/>
    <cellStyle name="Uitvoer 3 2 53 2 2" xfId="11897"/>
    <cellStyle name="Uitvoer 3 2 53 2 3" xfId="26198"/>
    <cellStyle name="Uitvoer 3 2 53 2 3 2" xfId="39499"/>
    <cellStyle name="Uitvoer 3 2 53 2 4" xfId="39500"/>
    <cellStyle name="Uitvoer 3 2 53 2 5" xfId="39501"/>
    <cellStyle name="Uitvoer 3 2 53 2 6" xfId="39502"/>
    <cellStyle name="Uitvoer 3 2 53 3" xfId="10207"/>
    <cellStyle name="Uitvoer 3 2 53 4" xfId="26199"/>
    <cellStyle name="Uitvoer 3 2 53 4 2" xfId="39503"/>
    <cellStyle name="Uitvoer 3 2 53 5" xfId="39504"/>
    <cellStyle name="Uitvoer 3 2 53 6" xfId="39505"/>
    <cellStyle name="Uitvoer 3 2 53 7" xfId="39506"/>
    <cellStyle name="Uitvoer 3 2 54" xfId="1678"/>
    <cellStyle name="Uitvoer 3 2 54 2" xfId="7567"/>
    <cellStyle name="Uitvoer 3 2 54 2 2" xfId="11898"/>
    <cellStyle name="Uitvoer 3 2 54 2 3" xfId="26200"/>
    <cellStyle name="Uitvoer 3 2 54 2 3 2" xfId="39507"/>
    <cellStyle name="Uitvoer 3 2 54 2 4" xfId="39508"/>
    <cellStyle name="Uitvoer 3 2 54 2 5" xfId="39509"/>
    <cellStyle name="Uitvoer 3 2 54 2 6" xfId="39510"/>
    <cellStyle name="Uitvoer 3 2 54 3" xfId="10208"/>
    <cellStyle name="Uitvoer 3 2 54 4" xfId="26201"/>
    <cellStyle name="Uitvoer 3 2 54 4 2" xfId="39511"/>
    <cellStyle name="Uitvoer 3 2 54 5" xfId="39512"/>
    <cellStyle name="Uitvoer 3 2 54 6" xfId="39513"/>
    <cellStyle name="Uitvoer 3 2 54 7" xfId="39514"/>
    <cellStyle name="Uitvoer 3 2 55" xfId="1679"/>
    <cellStyle name="Uitvoer 3 2 55 2" xfId="7568"/>
    <cellStyle name="Uitvoer 3 2 55 2 2" xfId="11899"/>
    <cellStyle name="Uitvoer 3 2 55 2 3" xfId="26202"/>
    <cellStyle name="Uitvoer 3 2 55 2 3 2" xfId="39515"/>
    <cellStyle name="Uitvoer 3 2 55 2 4" xfId="39516"/>
    <cellStyle name="Uitvoer 3 2 55 2 5" xfId="39517"/>
    <cellStyle name="Uitvoer 3 2 55 2 6" xfId="39518"/>
    <cellStyle name="Uitvoer 3 2 55 3" xfId="10209"/>
    <cellStyle name="Uitvoer 3 2 55 4" xfId="26203"/>
    <cellStyle name="Uitvoer 3 2 55 4 2" xfId="39519"/>
    <cellStyle name="Uitvoer 3 2 55 5" xfId="39520"/>
    <cellStyle name="Uitvoer 3 2 55 6" xfId="39521"/>
    <cellStyle name="Uitvoer 3 2 55 7" xfId="39522"/>
    <cellStyle name="Uitvoer 3 2 56" xfId="1680"/>
    <cellStyle name="Uitvoer 3 2 56 2" xfId="7569"/>
    <cellStyle name="Uitvoer 3 2 56 2 2" xfId="11900"/>
    <cellStyle name="Uitvoer 3 2 56 2 3" xfId="26204"/>
    <cellStyle name="Uitvoer 3 2 56 2 3 2" xfId="39523"/>
    <cellStyle name="Uitvoer 3 2 56 2 4" xfId="39524"/>
    <cellStyle name="Uitvoer 3 2 56 2 5" xfId="39525"/>
    <cellStyle name="Uitvoer 3 2 56 2 6" xfId="39526"/>
    <cellStyle name="Uitvoer 3 2 56 3" xfId="10210"/>
    <cellStyle name="Uitvoer 3 2 56 4" xfId="26205"/>
    <cellStyle name="Uitvoer 3 2 56 4 2" xfId="39527"/>
    <cellStyle name="Uitvoer 3 2 56 5" xfId="39528"/>
    <cellStyle name="Uitvoer 3 2 56 6" xfId="39529"/>
    <cellStyle name="Uitvoer 3 2 56 7" xfId="39530"/>
    <cellStyle name="Uitvoer 3 2 57" xfId="1681"/>
    <cellStyle name="Uitvoer 3 2 57 2" xfId="7570"/>
    <cellStyle name="Uitvoer 3 2 57 2 2" xfId="11901"/>
    <cellStyle name="Uitvoer 3 2 57 2 3" xfId="26206"/>
    <cellStyle name="Uitvoer 3 2 57 2 3 2" xfId="39531"/>
    <cellStyle name="Uitvoer 3 2 57 2 4" xfId="39532"/>
    <cellStyle name="Uitvoer 3 2 57 2 5" xfId="39533"/>
    <cellStyle name="Uitvoer 3 2 57 2 6" xfId="39534"/>
    <cellStyle name="Uitvoer 3 2 57 3" xfId="10211"/>
    <cellStyle name="Uitvoer 3 2 57 4" xfId="26207"/>
    <cellStyle name="Uitvoer 3 2 57 4 2" xfId="39535"/>
    <cellStyle name="Uitvoer 3 2 57 5" xfId="39536"/>
    <cellStyle name="Uitvoer 3 2 57 6" xfId="39537"/>
    <cellStyle name="Uitvoer 3 2 57 7" xfId="39538"/>
    <cellStyle name="Uitvoer 3 2 58" xfId="1682"/>
    <cellStyle name="Uitvoer 3 2 58 2" xfId="7571"/>
    <cellStyle name="Uitvoer 3 2 58 2 2" xfId="11902"/>
    <cellStyle name="Uitvoer 3 2 58 2 3" xfId="26208"/>
    <cellStyle name="Uitvoer 3 2 58 2 3 2" xfId="39539"/>
    <cellStyle name="Uitvoer 3 2 58 2 4" xfId="39540"/>
    <cellStyle name="Uitvoer 3 2 58 2 5" xfId="39541"/>
    <cellStyle name="Uitvoer 3 2 58 2 6" xfId="39542"/>
    <cellStyle name="Uitvoer 3 2 58 3" xfId="10212"/>
    <cellStyle name="Uitvoer 3 2 58 4" xfId="26209"/>
    <cellStyle name="Uitvoer 3 2 58 4 2" xfId="39543"/>
    <cellStyle name="Uitvoer 3 2 58 5" xfId="39544"/>
    <cellStyle name="Uitvoer 3 2 58 6" xfId="39545"/>
    <cellStyle name="Uitvoer 3 2 58 7" xfId="39546"/>
    <cellStyle name="Uitvoer 3 2 59" xfId="1683"/>
    <cellStyle name="Uitvoer 3 2 59 2" xfId="7572"/>
    <cellStyle name="Uitvoer 3 2 59 2 2" xfId="11903"/>
    <cellStyle name="Uitvoer 3 2 59 2 3" xfId="26210"/>
    <cellStyle name="Uitvoer 3 2 59 2 3 2" xfId="39547"/>
    <cellStyle name="Uitvoer 3 2 59 2 4" xfId="39548"/>
    <cellStyle name="Uitvoer 3 2 59 2 5" xfId="39549"/>
    <cellStyle name="Uitvoer 3 2 59 2 6" xfId="39550"/>
    <cellStyle name="Uitvoer 3 2 59 3" xfId="10213"/>
    <cellStyle name="Uitvoer 3 2 59 4" xfId="26211"/>
    <cellStyle name="Uitvoer 3 2 59 4 2" xfId="39551"/>
    <cellStyle name="Uitvoer 3 2 59 5" xfId="39552"/>
    <cellStyle name="Uitvoer 3 2 59 6" xfId="39553"/>
    <cellStyle name="Uitvoer 3 2 59 7" xfId="39554"/>
    <cellStyle name="Uitvoer 3 2 6" xfId="1684"/>
    <cellStyle name="Uitvoer 3 2 6 2" xfId="7573"/>
    <cellStyle name="Uitvoer 3 2 6 2 2" xfId="11904"/>
    <cellStyle name="Uitvoer 3 2 6 2 3" xfId="26212"/>
    <cellStyle name="Uitvoer 3 2 6 2 3 2" xfId="39555"/>
    <cellStyle name="Uitvoer 3 2 6 2 4" xfId="39556"/>
    <cellStyle name="Uitvoer 3 2 6 2 5" xfId="39557"/>
    <cellStyle name="Uitvoer 3 2 6 2 6" xfId="39558"/>
    <cellStyle name="Uitvoer 3 2 6 3" xfId="10214"/>
    <cellStyle name="Uitvoer 3 2 6 4" xfId="26213"/>
    <cellStyle name="Uitvoer 3 2 6 4 2" xfId="39559"/>
    <cellStyle name="Uitvoer 3 2 6 5" xfId="39560"/>
    <cellStyle name="Uitvoer 3 2 6 6" xfId="39561"/>
    <cellStyle name="Uitvoer 3 2 6 7" xfId="39562"/>
    <cellStyle name="Uitvoer 3 2 60" xfId="1685"/>
    <cellStyle name="Uitvoer 3 2 60 2" xfId="7574"/>
    <cellStyle name="Uitvoer 3 2 60 2 2" xfId="11905"/>
    <cellStyle name="Uitvoer 3 2 60 2 3" xfId="26214"/>
    <cellStyle name="Uitvoer 3 2 60 2 3 2" xfId="39563"/>
    <cellStyle name="Uitvoer 3 2 60 2 4" xfId="39564"/>
    <cellStyle name="Uitvoer 3 2 60 2 5" xfId="39565"/>
    <cellStyle name="Uitvoer 3 2 60 2 6" xfId="39566"/>
    <cellStyle name="Uitvoer 3 2 60 3" xfId="10215"/>
    <cellStyle name="Uitvoer 3 2 60 4" xfId="26215"/>
    <cellStyle name="Uitvoer 3 2 60 4 2" xfId="39567"/>
    <cellStyle name="Uitvoer 3 2 60 5" xfId="39568"/>
    <cellStyle name="Uitvoer 3 2 60 6" xfId="39569"/>
    <cellStyle name="Uitvoer 3 2 60 7" xfId="39570"/>
    <cellStyle name="Uitvoer 3 2 61" xfId="1686"/>
    <cellStyle name="Uitvoer 3 2 61 2" xfId="7575"/>
    <cellStyle name="Uitvoer 3 2 61 2 2" xfId="11906"/>
    <cellStyle name="Uitvoer 3 2 61 2 3" xfId="26216"/>
    <cellStyle name="Uitvoer 3 2 61 2 3 2" xfId="39571"/>
    <cellStyle name="Uitvoer 3 2 61 2 4" xfId="39572"/>
    <cellStyle name="Uitvoer 3 2 61 2 5" xfId="39573"/>
    <cellStyle name="Uitvoer 3 2 61 2 6" xfId="39574"/>
    <cellStyle name="Uitvoer 3 2 61 3" xfId="10216"/>
    <cellStyle name="Uitvoer 3 2 61 4" xfId="26217"/>
    <cellStyle name="Uitvoer 3 2 61 4 2" xfId="39575"/>
    <cellStyle name="Uitvoer 3 2 61 5" xfId="39576"/>
    <cellStyle name="Uitvoer 3 2 61 6" xfId="39577"/>
    <cellStyle name="Uitvoer 3 2 61 7" xfId="39578"/>
    <cellStyle name="Uitvoer 3 2 62" xfId="1687"/>
    <cellStyle name="Uitvoer 3 2 62 2" xfId="7576"/>
    <cellStyle name="Uitvoer 3 2 62 2 2" xfId="11907"/>
    <cellStyle name="Uitvoer 3 2 62 2 3" xfId="26218"/>
    <cellStyle name="Uitvoer 3 2 62 2 3 2" xfId="39579"/>
    <cellStyle name="Uitvoer 3 2 62 2 4" xfId="39580"/>
    <cellStyle name="Uitvoer 3 2 62 2 5" xfId="39581"/>
    <cellStyle name="Uitvoer 3 2 62 2 6" xfId="39582"/>
    <cellStyle name="Uitvoer 3 2 62 3" xfId="10217"/>
    <cellStyle name="Uitvoer 3 2 62 4" xfId="26219"/>
    <cellStyle name="Uitvoer 3 2 62 4 2" xfId="39583"/>
    <cellStyle name="Uitvoer 3 2 62 5" xfId="39584"/>
    <cellStyle name="Uitvoer 3 2 62 6" xfId="39585"/>
    <cellStyle name="Uitvoer 3 2 62 7" xfId="39586"/>
    <cellStyle name="Uitvoer 3 2 63" xfId="1688"/>
    <cellStyle name="Uitvoer 3 2 63 2" xfId="7577"/>
    <cellStyle name="Uitvoer 3 2 63 2 2" xfId="11908"/>
    <cellStyle name="Uitvoer 3 2 63 2 3" xfId="26220"/>
    <cellStyle name="Uitvoer 3 2 63 2 3 2" xfId="39587"/>
    <cellStyle name="Uitvoer 3 2 63 2 4" xfId="39588"/>
    <cellStyle name="Uitvoer 3 2 63 2 5" xfId="39589"/>
    <cellStyle name="Uitvoer 3 2 63 2 6" xfId="39590"/>
    <cellStyle name="Uitvoer 3 2 63 3" xfId="10218"/>
    <cellStyle name="Uitvoer 3 2 63 4" xfId="26221"/>
    <cellStyle name="Uitvoer 3 2 63 4 2" xfId="39591"/>
    <cellStyle name="Uitvoer 3 2 63 5" xfId="39592"/>
    <cellStyle name="Uitvoer 3 2 63 6" xfId="39593"/>
    <cellStyle name="Uitvoer 3 2 63 7" xfId="39594"/>
    <cellStyle name="Uitvoer 3 2 64" xfId="1689"/>
    <cellStyle name="Uitvoer 3 2 64 2" xfId="7578"/>
    <cellStyle name="Uitvoer 3 2 64 2 2" xfId="11909"/>
    <cellStyle name="Uitvoer 3 2 64 2 3" xfId="26222"/>
    <cellStyle name="Uitvoer 3 2 64 2 3 2" xfId="39595"/>
    <cellStyle name="Uitvoer 3 2 64 2 4" xfId="39596"/>
    <cellStyle name="Uitvoer 3 2 64 2 5" xfId="39597"/>
    <cellStyle name="Uitvoer 3 2 64 2 6" xfId="39598"/>
    <cellStyle name="Uitvoer 3 2 64 3" xfId="10219"/>
    <cellStyle name="Uitvoer 3 2 64 4" xfId="26223"/>
    <cellStyle name="Uitvoer 3 2 64 4 2" xfId="39599"/>
    <cellStyle name="Uitvoer 3 2 64 5" xfId="39600"/>
    <cellStyle name="Uitvoer 3 2 64 6" xfId="39601"/>
    <cellStyle name="Uitvoer 3 2 64 7" xfId="39602"/>
    <cellStyle name="Uitvoer 3 2 65" xfId="1690"/>
    <cellStyle name="Uitvoer 3 2 65 2" xfId="7579"/>
    <cellStyle name="Uitvoer 3 2 65 2 2" xfId="11910"/>
    <cellStyle name="Uitvoer 3 2 65 2 3" xfId="26224"/>
    <cellStyle name="Uitvoer 3 2 65 2 3 2" xfId="39603"/>
    <cellStyle name="Uitvoer 3 2 65 2 4" xfId="39604"/>
    <cellStyle name="Uitvoer 3 2 65 2 5" xfId="39605"/>
    <cellStyle name="Uitvoer 3 2 65 2 6" xfId="39606"/>
    <cellStyle name="Uitvoer 3 2 65 3" xfId="10220"/>
    <cellStyle name="Uitvoer 3 2 65 4" xfId="26225"/>
    <cellStyle name="Uitvoer 3 2 65 4 2" xfId="39607"/>
    <cellStyle name="Uitvoer 3 2 65 5" xfId="39608"/>
    <cellStyle name="Uitvoer 3 2 65 6" xfId="39609"/>
    <cellStyle name="Uitvoer 3 2 65 7" xfId="39610"/>
    <cellStyle name="Uitvoer 3 2 66" xfId="1691"/>
    <cellStyle name="Uitvoer 3 2 66 2" xfId="7580"/>
    <cellStyle name="Uitvoer 3 2 66 2 2" xfId="11911"/>
    <cellStyle name="Uitvoer 3 2 66 2 3" xfId="26226"/>
    <cellStyle name="Uitvoer 3 2 66 2 3 2" xfId="39611"/>
    <cellStyle name="Uitvoer 3 2 66 2 4" xfId="39612"/>
    <cellStyle name="Uitvoer 3 2 66 2 5" xfId="39613"/>
    <cellStyle name="Uitvoer 3 2 66 2 6" xfId="39614"/>
    <cellStyle name="Uitvoer 3 2 66 3" xfId="10221"/>
    <cellStyle name="Uitvoer 3 2 66 4" xfId="26227"/>
    <cellStyle name="Uitvoer 3 2 66 4 2" xfId="39615"/>
    <cellStyle name="Uitvoer 3 2 66 5" xfId="39616"/>
    <cellStyle name="Uitvoer 3 2 66 6" xfId="39617"/>
    <cellStyle name="Uitvoer 3 2 66 7" xfId="39618"/>
    <cellStyle name="Uitvoer 3 2 67" xfId="1692"/>
    <cellStyle name="Uitvoer 3 2 67 2" xfId="7581"/>
    <cellStyle name="Uitvoer 3 2 67 2 2" xfId="11912"/>
    <cellStyle name="Uitvoer 3 2 67 2 3" xfId="26228"/>
    <cellStyle name="Uitvoer 3 2 67 2 3 2" xfId="39619"/>
    <cellStyle name="Uitvoer 3 2 67 2 4" xfId="39620"/>
    <cellStyle name="Uitvoer 3 2 67 2 5" xfId="39621"/>
    <cellStyle name="Uitvoer 3 2 67 2 6" xfId="39622"/>
    <cellStyle name="Uitvoer 3 2 67 3" xfId="10222"/>
    <cellStyle name="Uitvoer 3 2 67 4" xfId="26229"/>
    <cellStyle name="Uitvoer 3 2 67 4 2" xfId="39623"/>
    <cellStyle name="Uitvoer 3 2 67 5" xfId="39624"/>
    <cellStyle name="Uitvoer 3 2 67 6" xfId="39625"/>
    <cellStyle name="Uitvoer 3 2 67 7" xfId="39626"/>
    <cellStyle name="Uitvoer 3 2 68" xfId="1693"/>
    <cellStyle name="Uitvoer 3 2 68 2" xfId="7582"/>
    <cellStyle name="Uitvoer 3 2 68 2 2" xfId="11913"/>
    <cellStyle name="Uitvoer 3 2 68 2 3" xfId="26230"/>
    <cellStyle name="Uitvoer 3 2 68 2 3 2" xfId="39627"/>
    <cellStyle name="Uitvoer 3 2 68 2 4" xfId="39628"/>
    <cellStyle name="Uitvoer 3 2 68 2 5" xfId="39629"/>
    <cellStyle name="Uitvoer 3 2 68 2 6" xfId="39630"/>
    <cellStyle name="Uitvoer 3 2 68 3" xfId="10223"/>
    <cellStyle name="Uitvoer 3 2 68 4" xfId="26231"/>
    <cellStyle name="Uitvoer 3 2 68 4 2" xfId="39631"/>
    <cellStyle name="Uitvoer 3 2 68 5" xfId="39632"/>
    <cellStyle name="Uitvoer 3 2 68 6" xfId="39633"/>
    <cellStyle name="Uitvoer 3 2 68 7" xfId="39634"/>
    <cellStyle name="Uitvoer 3 2 69" xfId="1694"/>
    <cellStyle name="Uitvoer 3 2 69 2" xfId="7583"/>
    <cellStyle name="Uitvoer 3 2 69 2 2" xfId="11914"/>
    <cellStyle name="Uitvoer 3 2 69 2 3" xfId="26232"/>
    <cellStyle name="Uitvoer 3 2 69 2 3 2" xfId="39635"/>
    <cellStyle name="Uitvoer 3 2 69 2 4" xfId="39636"/>
    <cellStyle name="Uitvoer 3 2 69 2 5" xfId="39637"/>
    <cellStyle name="Uitvoer 3 2 69 2 6" xfId="39638"/>
    <cellStyle name="Uitvoer 3 2 69 3" xfId="10224"/>
    <cellStyle name="Uitvoer 3 2 69 4" xfId="26233"/>
    <cellStyle name="Uitvoer 3 2 69 4 2" xfId="39639"/>
    <cellStyle name="Uitvoer 3 2 69 5" xfId="39640"/>
    <cellStyle name="Uitvoer 3 2 69 6" xfId="39641"/>
    <cellStyle name="Uitvoer 3 2 69 7" xfId="39642"/>
    <cellStyle name="Uitvoer 3 2 7" xfId="1695"/>
    <cellStyle name="Uitvoer 3 2 7 2" xfId="7584"/>
    <cellStyle name="Uitvoer 3 2 7 2 2" xfId="11915"/>
    <cellStyle name="Uitvoer 3 2 7 2 3" xfId="26234"/>
    <cellStyle name="Uitvoer 3 2 7 2 3 2" xfId="39643"/>
    <cellStyle name="Uitvoer 3 2 7 2 4" xfId="39644"/>
    <cellStyle name="Uitvoer 3 2 7 2 5" xfId="39645"/>
    <cellStyle name="Uitvoer 3 2 7 2 6" xfId="39646"/>
    <cellStyle name="Uitvoer 3 2 7 3" xfId="10225"/>
    <cellStyle name="Uitvoer 3 2 7 4" xfId="26235"/>
    <cellStyle name="Uitvoer 3 2 7 4 2" xfId="39647"/>
    <cellStyle name="Uitvoer 3 2 7 5" xfId="39648"/>
    <cellStyle name="Uitvoer 3 2 7 6" xfId="39649"/>
    <cellStyle name="Uitvoer 3 2 7 7" xfId="39650"/>
    <cellStyle name="Uitvoer 3 2 70" xfId="1696"/>
    <cellStyle name="Uitvoer 3 2 70 2" xfId="7585"/>
    <cellStyle name="Uitvoer 3 2 70 2 2" xfId="11916"/>
    <cellStyle name="Uitvoer 3 2 70 2 3" xfId="26236"/>
    <cellStyle name="Uitvoer 3 2 70 2 3 2" xfId="39651"/>
    <cellStyle name="Uitvoer 3 2 70 2 4" xfId="39652"/>
    <cellStyle name="Uitvoer 3 2 70 2 5" xfId="39653"/>
    <cellStyle name="Uitvoer 3 2 70 2 6" xfId="39654"/>
    <cellStyle name="Uitvoer 3 2 70 3" xfId="10226"/>
    <cellStyle name="Uitvoer 3 2 70 4" xfId="26237"/>
    <cellStyle name="Uitvoer 3 2 70 4 2" xfId="39655"/>
    <cellStyle name="Uitvoer 3 2 70 5" xfId="39656"/>
    <cellStyle name="Uitvoer 3 2 70 6" xfId="39657"/>
    <cellStyle name="Uitvoer 3 2 70 7" xfId="39658"/>
    <cellStyle name="Uitvoer 3 2 71" xfId="1697"/>
    <cellStyle name="Uitvoer 3 2 71 2" xfId="7586"/>
    <cellStyle name="Uitvoer 3 2 71 2 2" xfId="11917"/>
    <cellStyle name="Uitvoer 3 2 71 2 3" xfId="26238"/>
    <cellStyle name="Uitvoer 3 2 71 2 3 2" xfId="39659"/>
    <cellStyle name="Uitvoer 3 2 71 2 4" xfId="39660"/>
    <cellStyle name="Uitvoer 3 2 71 2 5" xfId="39661"/>
    <cellStyle name="Uitvoer 3 2 71 2 6" xfId="39662"/>
    <cellStyle name="Uitvoer 3 2 71 3" xfId="10227"/>
    <cellStyle name="Uitvoer 3 2 71 4" xfId="26239"/>
    <cellStyle name="Uitvoer 3 2 71 4 2" xfId="39663"/>
    <cellStyle name="Uitvoer 3 2 71 5" xfId="39664"/>
    <cellStyle name="Uitvoer 3 2 71 6" xfId="39665"/>
    <cellStyle name="Uitvoer 3 2 71 7" xfId="39666"/>
    <cellStyle name="Uitvoer 3 2 72" xfId="1698"/>
    <cellStyle name="Uitvoer 3 2 72 2" xfId="7587"/>
    <cellStyle name="Uitvoer 3 2 72 2 2" xfId="11918"/>
    <cellStyle name="Uitvoer 3 2 72 2 3" xfId="26240"/>
    <cellStyle name="Uitvoer 3 2 72 2 3 2" xfId="39667"/>
    <cellStyle name="Uitvoer 3 2 72 2 4" xfId="39668"/>
    <cellStyle name="Uitvoer 3 2 72 2 5" xfId="39669"/>
    <cellStyle name="Uitvoer 3 2 72 2 6" xfId="39670"/>
    <cellStyle name="Uitvoer 3 2 72 3" xfId="10228"/>
    <cellStyle name="Uitvoer 3 2 72 4" xfId="26241"/>
    <cellStyle name="Uitvoer 3 2 72 4 2" xfId="39671"/>
    <cellStyle name="Uitvoer 3 2 72 5" xfId="39672"/>
    <cellStyle name="Uitvoer 3 2 72 6" xfId="39673"/>
    <cellStyle name="Uitvoer 3 2 72 7" xfId="39674"/>
    <cellStyle name="Uitvoer 3 2 73" xfId="1699"/>
    <cellStyle name="Uitvoer 3 2 73 2" xfId="7588"/>
    <cellStyle name="Uitvoer 3 2 73 2 2" xfId="11919"/>
    <cellStyle name="Uitvoer 3 2 73 2 3" xfId="26242"/>
    <cellStyle name="Uitvoer 3 2 73 2 3 2" xfId="39675"/>
    <cellStyle name="Uitvoer 3 2 73 2 4" xfId="39676"/>
    <cellStyle name="Uitvoer 3 2 73 2 5" xfId="39677"/>
    <cellStyle name="Uitvoer 3 2 73 2 6" xfId="39678"/>
    <cellStyle name="Uitvoer 3 2 73 3" xfId="10229"/>
    <cellStyle name="Uitvoer 3 2 73 4" xfId="26243"/>
    <cellStyle name="Uitvoer 3 2 73 4 2" xfId="39679"/>
    <cellStyle name="Uitvoer 3 2 73 5" xfId="39680"/>
    <cellStyle name="Uitvoer 3 2 73 6" xfId="39681"/>
    <cellStyle name="Uitvoer 3 2 73 7" xfId="39682"/>
    <cellStyle name="Uitvoer 3 2 74" xfId="1700"/>
    <cellStyle name="Uitvoer 3 2 74 2" xfId="7589"/>
    <cellStyle name="Uitvoer 3 2 74 2 2" xfId="11920"/>
    <cellStyle name="Uitvoer 3 2 74 2 3" xfId="26244"/>
    <cellStyle name="Uitvoer 3 2 74 2 3 2" xfId="39683"/>
    <cellStyle name="Uitvoer 3 2 74 2 4" xfId="39684"/>
    <cellStyle name="Uitvoer 3 2 74 2 5" xfId="39685"/>
    <cellStyle name="Uitvoer 3 2 74 2 6" xfId="39686"/>
    <cellStyle name="Uitvoer 3 2 74 3" xfId="10230"/>
    <cellStyle name="Uitvoer 3 2 74 4" xfId="26245"/>
    <cellStyle name="Uitvoer 3 2 74 4 2" xfId="39687"/>
    <cellStyle name="Uitvoer 3 2 74 5" xfId="39688"/>
    <cellStyle name="Uitvoer 3 2 74 6" xfId="39689"/>
    <cellStyle name="Uitvoer 3 2 74 7" xfId="39690"/>
    <cellStyle name="Uitvoer 3 2 75" xfId="1701"/>
    <cellStyle name="Uitvoer 3 2 75 2" xfId="7590"/>
    <cellStyle name="Uitvoer 3 2 75 2 2" xfId="11921"/>
    <cellStyle name="Uitvoer 3 2 75 2 3" xfId="26246"/>
    <cellStyle name="Uitvoer 3 2 75 2 3 2" xfId="39691"/>
    <cellStyle name="Uitvoer 3 2 75 2 4" xfId="39692"/>
    <cellStyle name="Uitvoer 3 2 75 2 5" xfId="39693"/>
    <cellStyle name="Uitvoer 3 2 75 2 6" xfId="39694"/>
    <cellStyle name="Uitvoer 3 2 75 3" xfId="10231"/>
    <cellStyle name="Uitvoer 3 2 75 4" xfId="26247"/>
    <cellStyle name="Uitvoer 3 2 75 4 2" xfId="39695"/>
    <cellStyle name="Uitvoer 3 2 75 5" xfId="39696"/>
    <cellStyle name="Uitvoer 3 2 75 6" xfId="39697"/>
    <cellStyle name="Uitvoer 3 2 75 7" xfId="39698"/>
    <cellStyle name="Uitvoer 3 2 76" xfId="1702"/>
    <cellStyle name="Uitvoer 3 2 76 2" xfId="7591"/>
    <cellStyle name="Uitvoer 3 2 76 2 2" xfId="11922"/>
    <cellStyle name="Uitvoer 3 2 76 2 3" xfId="26248"/>
    <cellStyle name="Uitvoer 3 2 76 2 3 2" xfId="39699"/>
    <cellStyle name="Uitvoer 3 2 76 2 4" xfId="39700"/>
    <cellStyle name="Uitvoer 3 2 76 2 5" xfId="39701"/>
    <cellStyle name="Uitvoer 3 2 76 2 6" xfId="39702"/>
    <cellStyle name="Uitvoer 3 2 76 3" xfId="10232"/>
    <cellStyle name="Uitvoer 3 2 76 4" xfId="26249"/>
    <cellStyle name="Uitvoer 3 2 76 4 2" xfId="39703"/>
    <cellStyle name="Uitvoer 3 2 76 5" xfId="39704"/>
    <cellStyle name="Uitvoer 3 2 76 6" xfId="39705"/>
    <cellStyle name="Uitvoer 3 2 76 7" xfId="39706"/>
    <cellStyle name="Uitvoer 3 2 77" xfId="1703"/>
    <cellStyle name="Uitvoer 3 2 77 2" xfId="7592"/>
    <cellStyle name="Uitvoer 3 2 77 2 2" xfId="11923"/>
    <cellStyle name="Uitvoer 3 2 77 2 3" xfId="26250"/>
    <cellStyle name="Uitvoer 3 2 77 2 3 2" xfId="39707"/>
    <cellStyle name="Uitvoer 3 2 77 2 4" xfId="39708"/>
    <cellStyle name="Uitvoer 3 2 77 2 5" xfId="39709"/>
    <cellStyle name="Uitvoer 3 2 77 2 6" xfId="39710"/>
    <cellStyle name="Uitvoer 3 2 77 3" xfId="10233"/>
    <cellStyle name="Uitvoer 3 2 77 4" xfId="26251"/>
    <cellStyle name="Uitvoer 3 2 77 4 2" xfId="39711"/>
    <cellStyle name="Uitvoer 3 2 77 5" xfId="39712"/>
    <cellStyle name="Uitvoer 3 2 77 6" xfId="39713"/>
    <cellStyle name="Uitvoer 3 2 77 7" xfId="39714"/>
    <cellStyle name="Uitvoer 3 2 78" xfId="1704"/>
    <cellStyle name="Uitvoer 3 2 78 2" xfId="7593"/>
    <cellStyle name="Uitvoer 3 2 78 2 2" xfId="11924"/>
    <cellStyle name="Uitvoer 3 2 78 2 3" xfId="26252"/>
    <cellStyle name="Uitvoer 3 2 78 2 3 2" xfId="39715"/>
    <cellStyle name="Uitvoer 3 2 78 2 4" xfId="39716"/>
    <cellStyle name="Uitvoer 3 2 78 2 5" xfId="39717"/>
    <cellStyle name="Uitvoer 3 2 78 2 6" xfId="39718"/>
    <cellStyle name="Uitvoer 3 2 78 3" xfId="10234"/>
    <cellStyle name="Uitvoer 3 2 78 4" xfId="26253"/>
    <cellStyle name="Uitvoer 3 2 78 4 2" xfId="39719"/>
    <cellStyle name="Uitvoer 3 2 78 5" xfId="39720"/>
    <cellStyle name="Uitvoer 3 2 78 6" xfId="39721"/>
    <cellStyle name="Uitvoer 3 2 78 7" xfId="39722"/>
    <cellStyle name="Uitvoer 3 2 79" xfId="1705"/>
    <cellStyle name="Uitvoer 3 2 79 2" xfId="7594"/>
    <cellStyle name="Uitvoer 3 2 79 2 2" xfId="11925"/>
    <cellStyle name="Uitvoer 3 2 79 2 3" xfId="26254"/>
    <cellStyle name="Uitvoer 3 2 79 2 3 2" xfId="39723"/>
    <cellStyle name="Uitvoer 3 2 79 2 4" xfId="39724"/>
    <cellStyle name="Uitvoer 3 2 79 2 5" xfId="39725"/>
    <cellStyle name="Uitvoer 3 2 79 2 6" xfId="39726"/>
    <cellStyle name="Uitvoer 3 2 79 3" xfId="10235"/>
    <cellStyle name="Uitvoer 3 2 79 4" xfId="26255"/>
    <cellStyle name="Uitvoer 3 2 79 4 2" xfId="39727"/>
    <cellStyle name="Uitvoer 3 2 79 5" xfId="39728"/>
    <cellStyle name="Uitvoer 3 2 79 6" xfId="39729"/>
    <cellStyle name="Uitvoer 3 2 79 7" xfId="39730"/>
    <cellStyle name="Uitvoer 3 2 8" xfId="1706"/>
    <cellStyle name="Uitvoer 3 2 8 2" xfId="7595"/>
    <cellStyle name="Uitvoer 3 2 8 2 2" xfId="11926"/>
    <cellStyle name="Uitvoer 3 2 8 2 3" xfId="26256"/>
    <cellStyle name="Uitvoer 3 2 8 2 3 2" xfId="39731"/>
    <cellStyle name="Uitvoer 3 2 8 2 4" xfId="39732"/>
    <cellStyle name="Uitvoer 3 2 8 2 5" xfId="39733"/>
    <cellStyle name="Uitvoer 3 2 8 2 6" xfId="39734"/>
    <cellStyle name="Uitvoer 3 2 8 3" xfId="10236"/>
    <cellStyle name="Uitvoer 3 2 8 4" xfId="26257"/>
    <cellStyle name="Uitvoer 3 2 8 4 2" xfId="39735"/>
    <cellStyle name="Uitvoer 3 2 8 5" xfId="39736"/>
    <cellStyle name="Uitvoer 3 2 8 6" xfId="39737"/>
    <cellStyle name="Uitvoer 3 2 8 7" xfId="39738"/>
    <cellStyle name="Uitvoer 3 2 80" xfId="1707"/>
    <cellStyle name="Uitvoer 3 2 80 2" xfId="7596"/>
    <cellStyle name="Uitvoer 3 2 80 2 2" xfId="11927"/>
    <cellStyle name="Uitvoer 3 2 80 2 3" xfId="26258"/>
    <cellStyle name="Uitvoer 3 2 80 2 3 2" xfId="39739"/>
    <cellStyle name="Uitvoer 3 2 80 2 4" xfId="39740"/>
    <cellStyle name="Uitvoer 3 2 80 2 5" xfId="39741"/>
    <cellStyle name="Uitvoer 3 2 80 2 6" xfId="39742"/>
    <cellStyle name="Uitvoer 3 2 80 3" xfId="10237"/>
    <cellStyle name="Uitvoer 3 2 80 4" xfId="26259"/>
    <cellStyle name="Uitvoer 3 2 80 4 2" xfId="39743"/>
    <cellStyle name="Uitvoer 3 2 80 5" xfId="39744"/>
    <cellStyle name="Uitvoer 3 2 80 6" xfId="39745"/>
    <cellStyle name="Uitvoer 3 2 80 7" xfId="39746"/>
    <cellStyle name="Uitvoer 3 2 81" xfId="7597"/>
    <cellStyle name="Uitvoer 3 2 81 2" xfId="11849"/>
    <cellStyle name="Uitvoer 3 2 81 3" xfId="26260"/>
    <cellStyle name="Uitvoer 3 2 81 3 2" xfId="39747"/>
    <cellStyle name="Uitvoer 3 2 81 4" xfId="39748"/>
    <cellStyle name="Uitvoer 3 2 81 5" xfId="39749"/>
    <cellStyle name="Uitvoer 3 2 81 6" xfId="39750"/>
    <cellStyle name="Uitvoer 3 2 82" xfId="10159"/>
    <cellStyle name="Uitvoer 3 2 83" xfId="26261"/>
    <cellStyle name="Uitvoer 3 2 83 2" xfId="39751"/>
    <cellStyle name="Uitvoer 3 2 84" xfId="39752"/>
    <cellStyle name="Uitvoer 3 2 85" xfId="39753"/>
    <cellStyle name="Uitvoer 3 2 86" xfId="39754"/>
    <cellStyle name="Uitvoer 3 2 9" xfId="1708"/>
    <cellStyle name="Uitvoer 3 2 9 2" xfId="7598"/>
    <cellStyle name="Uitvoer 3 2 9 2 2" xfId="11928"/>
    <cellStyle name="Uitvoer 3 2 9 2 3" xfId="26262"/>
    <cellStyle name="Uitvoer 3 2 9 2 3 2" xfId="39755"/>
    <cellStyle name="Uitvoer 3 2 9 2 4" xfId="39756"/>
    <cellStyle name="Uitvoer 3 2 9 2 5" xfId="39757"/>
    <cellStyle name="Uitvoer 3 2 9 2 6" xfId="39758"/>
    <cellStyle name="Uitvoer 3 2 9 3" xfId="10238"/>
    <cellStyle name="Uitvoer 3 2 9 4" xfId="26263"/>
    <cellStyle name="Uitvoer 3 2 9 4 2" xfId="39759"/>
    <cellStyle name="Uitvoer 3 2 9 5" xfId="39760"/>
    <cellStyle name="Uitvoer 3 2 9 6" xfId="39761"/>
    <cellStyle name="Uitvoer 3 2 9 7" xfId="39762"/>
    <cellStyle name="Uitvoer 3 20" xfId="1709"/>
    <cellStyle name="Uitvoer 3 20 2" xfId="7599"/>
    <cellStyle name="Uitvoer 3 20 2 2" xfId="11929"/>
    <cellStyle name="Uitvoer 3 20 2 3" xfId="26264"/>
    <cellStyle name="Uitvoer 3 20 2 3 2" xfId="39763"/>
    <cellStyle name="Uitvoer 3 20 2 4" xfId="39764"/>
    <cellStyle name="Uitvoer 3 20 2 5" xfId="39765"/>
    <cellStyle name="Uitvoer 3 20 2 6" xfId="39766"/>
    <cellStyle name="Uitvoer 3 20 3" xfId="10239"/>
    <cellStyle name="Uitvoer 3 20 4" xfId="26265"/>
    <cellStyle name="Uitvoer 3 20 4 2" xfId="39767"/>
    <cellStyle name="Uitvoer 3 20 5" xfId="39768"/>
    <cellStyle name="Uitvoer 3 20 6" xfId="39769"/>
    <cellStyle name="Uitvoer 3 20 7" xfId="39770"/>
    <cellStyle name="Uitvoer 3 21" xfId="1710"/>
    <cellStyle name="Uitvoer 3 21 2" xfId="7600"/>
    <cellStyle name="Uitvoer 3 21 2 2" xfId="11930"/>
    <cellStyle name="Uitvoer 3 21 2 3" xfId="26266"/>
    <cellStyle name="Uitvoer 3 21 2 3 2" xfId="39771"/>
    <cellStyle name="Uitvoer 3 21 2 4" xfId="39772"/>
    <cellStyle name="Uitvoer 3 21 2 5" xfId="39773"/>
    <cellStyle name="Uitvoer 3 21 2 6" xfId="39774"/>
    <cellStyle name="Uitvoer 3 21 3" xfId="10240"/>
    <cellStyle name="Uitvoer 3 21 4" xfId="26267"/>
    <cellStyle name="Uitvoer 3 21 4 2" xfId="39775"/>
    <cellStyle name="Uitvoer 3 21 5" xfId="39776"/>
    <cellStyle name="Uitvoer 3 21 6" xfId="39777"/>
    <cellStyle name="Uitvoer 3 21 7" xfId="39778"/>
    <cellStyle name="Uitvoer 3 22" xfId="1711"/>
    <cellStyle name="Uitvoer 3 22 2" xfId="7601"/>
    <cellStyle name="Uitvoer 3 22 2 2" xfId="11931"/>
    <cellStyle name="Uitvoer 3 22 2 3" xfId="26268"/>
    <cellStyle name="Uitvoer 3 22 2 3 2" xfId="39779"/>
    <cellStyle name="Uitvoer 3 22 2 4" xfId="39780"/>
    <cellStyle name="Uitvoer 3 22 2 5" xfId="39781"/>
    <cellStyle name="Uitvoer 3 22 2 6" xfId="39782"/>
    <cellStyle name="Uitvoer 3 22 3" xfId="10241"/>
    <cellStyle name="Uitvoer 3 22 4" xfId="26269"/>
    <cellStyle name="Uitvoer 3 22 4 2" xfId="39783"/>
    <cellStyle name="Uitvoer 3 22 5" xfId="39784"/>
    <cellStyle name="Uitvoer 3 22 6" xfId="39785"/>
    <cellStyle name="Uitvoer 3 22 7" xfId="39786"/>
    <cellStyle name="Uitvoer 3 23" xfId="1712"/>
    <cellStyle name="Uitvoer 3 23 2" xfId="7602"/>
    <cellStyle name="Uitvoer 3 23 2 2" xfId="11932"/>
    <cellStyle name="Uitvoer 3 23 2 3" xfId="26270"/>
    <cellStyle name="Uitvoer 3 23 2 3 2" xfId="39787"/>
    <cellStyle name="Uitvoer 3 23 2 4" xfId="39788"/>
    <cellStyle name="Uitvoer 3 23 2 5" xfId="39789"/>
    <cellStyle name="Uitvoer 3 23 2 6" xfId="39790"/>
    <cellStyle name="Uitvoer 3 23 3" xfId="10242"/>
    <cellStyle name="Uitvoer 3 23 4" xfId="26271"/>
    <cellStyle name="Uitvoer 3 23 4 2" xfId="39791"/>
    <cellStyle name="Uitvoer 3 23 5" xfId="39792"/>
    <cellStyle name="Uitvoer 3 23 6" xfId="39793"/>
    <cellStyle name="Uitvoer 3 23 7" xfId="39794"/>
    <cellStyle name="Uitvoer 3 24" xfId="1713"/>
    <cellStyle name="Uitvoer 3 24 2" xfId="7603"/>
    <cellStyle name="Uitvoer 3 24 2 2" xfId="11933"/>
    <cellStyle name="Uitvoer 3 24 2 3" xfId="26272"/>
    <cellStyle name="Uitvoer 3 24 2 3 2" xfId="39795"/>
    <cellStyle name="Uitvoer 3 24 2 4" xfId="39796"/>
    <cellStyle name="Uitvoer 3 24 2 5" xfId="39797"/>
    <cellStyle name="Uitvoer 3 24 2 6" xfId="39798"/>
    <cellStyle name="Uitvoer 3 24 3" xfId="10243"/>
    <cellStyle name="Uitvoer 3 24 4" xfId="26273"/>
    <cellStyle name="Uitvoer 3 24 4 2" xfId="39799"/>
    <cellStyle name="Uitvoer 3 24 5" xfId="39800"/>
    <cellStyle name="Uitvoer 3 24 6" xfId="39801"/>
    <cellStyle name="Uitvoer 3 24 7" xfId="39802"/>
    <cellStyle name="Uitvoer 3 25" xfId="1714"/>
    <cellStyle name="Uitvoer 3 25 2" xfId="7604"/>
    <cellStyle name="Uitvoer 3 25 2 2" xfId="11934"/>
    <cellStyle name="Uitvoer 3 25 2 3" xfId="26274"/>
    <cellStyle name="Uitvoer 3 25 2 3 2" xfId="39803"/>
    <cellStyle name="Uitvoer 3 25 2 4" xfId="39804"/>
    <cellStyle name="Uitvoer 3 25 2 5" xfId="39805"/>
    <cellStyle name="Uitvoer 3 25 2 6" xfId="39806"/>
    <cellStyle name="Uitvoer 3 25 3" xfId="10244"/>
    <cellStyle name="Uitvoer 3 25 4" xfId="26275"/>
    <cellStyle name="Uitvoer 3 25 4 2" xfId="39807"/>
    <cellStyle name="Uitvoer 3 25 5" xfId="39808"/>
    <cellStyle name="Uitvoer 3 25 6" xfId="39809"/>
    <cellStyle name="Uitvoer 3 25 7" xfId="39810"/>
    <cellStyle name="Uitvoer 3 26" xfId="1715"/>
    <cellStyle name="Uitvoer 3 26 2" xfId="7605"/>
    <cellStyle name="Uitvoer 3 26 2 2" xfId="11935"/>
    <cellStyle name="Uitvoer 3 26 2 3" xfId="26276"/>
    <cellStyle name="Uitvoer 3 26 2 3 2" xfId="39811"/>
    <cellStyle name="Uitvoer 3 26 2 4" xfId="39812"/>
    <cellStyle name="Uitvoer 3 26 2 5" xfId="39813"/>
    <cellStyle name="Uitvoer 3 26 2 6" xfId="39814"/>
    <cellStyle name="Uitvoer 3 26 3" xfId="10245"/>
    <cellStyle name="Uitvoer 3 26 4" xfId="26277"/>
    <cellStyle name="Uitvoer 3 26 4 2" xfId="39815"/>
    <cellStyle name="Uitvoer 3 26 5" xfId="39816"/>
    <cellStyle name="Uitvoer 3 26 6" xfId="39817"/>
    <cellStyle name="Uitvoer 3 26 7" xfId="39818"/>
    <cellStyle name="Uitvoer 3 27" xfId="1716"/>
    <cellStyle name="Uitvoer 3 27 2" xfId="7606"/>
    <cellStyle name="Uitvoer 3 27 2 2" xfId="11936"/>
    <cellStyle name="Uitvoer 3 27 2 3" xfId="26278"/>
    <cellStyle name="Uitvoer 3 27 2 3 2" xfId="39819"/>
    <cellStyle name="Uitvoer 3 27 2 4" xfId="39820"/>
    <cellStyle name="Uitvoer 3 27 2 5" xfId="39821"/>
    <cellStyle name="Uitvoer 3 27 2 6" xfId="39822"/>
    <cellStyle name="Uitvoer 3 27 3" xfId="10246"/>
    <cellStyle name="Uitvoer 3 27 4" xfId="26279"/>
    <cellStyle name="Uitvoer 3 27 4 2" xfId="39823"/>
    <cellStyle name="Uitvoer 3 27 5" xfId="39824"/>
    <cellStyle name="Uitvoer 3 27 6" xfId="39825"/>
    <cellStyle name="Uitvoer 3 27 7" xfId="39826"/>
    <cellStyle name="Uitvoer 3 28" xfId="1717"/>
    <cellStyle name="Uitvoer 3 28 2" xfId="7607"/>
    <cellStyle name="Uitvoer 3 28 2 2" xfId="11937"/>
    <cellStyle name="Uitvoer 3 28 2 3" xfId="26280"/>
    <cellStyle name="Uitvoer 3 28 2 3 2" xfId="39827"/>
    <cellStyle name="Uitvoer 3 28 2 4" xfId="39828"/>
    <cellStyle name="Uitvoer 3 28 2 5" xfId="39829"/>
    <cellStyle name="Uitvoer 3 28 2 6" xfId="39830"/>
    <cellStyle name="Uitvoer 3 28 3" xfId="10247"/>
    <cellStyle name="Uitvoer 3 28 4" xfId="26281"/>
    <cellStyle name="Uitvoer 3 28 4 2" xfId="39831"/>
    <cellStyle name="Uitvoer 3 28 5" xfId="39832"/>
    <cellStyle name="Uitvoer 3 28 6" xfId="39833"/>
    <cellStyle name="Uitvoer 3 28 7" xfId="39834"/>
    <cellStyle name="Uitvoer 3 29" xfId="1718"/>
    <cellStyle name="Uitvoer 3 29 2" xfId="7608"/>
    <cellStyle name="Uitvoer 3 29 2 2" xfId="11938"/>
    <cellStyle name="Uitvoer 3 29 2 3" xfId="26282"/>
    <cellStyle name="Uitvoer 3 29 2 3 2" xfId="39835"/>
    <cellStyle name="Uitvoer 3 29 2 4" xfId="39836"/>
    <cellStyle name="Uitvoer 3 29 2 5" xfId="39837"/>
    <cellStyle name="Uitvoer 3 29 2 6" xfId="39838"/>
    <cellStyle name="Uitvoer 3 29 3" xfId="10248"/>
    <cellStyle name="Uitvoer 3 29 4" xfId="26283"/>
    <cellStyle name="Uitvoer 3 29 4 2" xfId="39839"/>
    <cellStyle name="Uitvoer 3 29 5" xfId="39840"/>
    <cellStyle name="Uitvoer 3 29 6" xfId="39841"/>
    <cellStyle name="Uitvoer 3 29 7" xfId="39842"/>
    <cellStyle name="Uitvoer 3 3" xfId="1719"/>
    <cellStyle name="Uitvoer 3 3 2" xfId="7609"/>
    <cellStyle name="Uitvoer 3 3 2 2" xfId="11939"/>
    <cellStyle name="Uitvoer 3 3 2 3" xfId="26284"/>
    <cellStyle name="Uitvoer 3 3 2 3 2" xfId="39843"/>
    <cellStyle name="Uitvoer 3 3 2 4" xfId="39844"/>
    <cellStyle name="Uitvoer 3 3 2 5" xfId="39845"/>
    <cellStyle name="Uitvoer 3 3 2 6" xfId="39846"/>
    <cellStyle name="Uitvoer 3 3 3" xfId="10249"/>
    <cellStyle name="Uitvoer 3 3 4" xfId="26285"/>
    <cellStyle name="Uitvoer 3 3 4 2" xfId="39847"/>
    <cellStyle name="Uitvoer 3 3 5" xfId="39848"/>
    <cellStyle name="Uitvoer 3 3 6" xfId="39849"/>
    <cellStyle name="Uitvoer 3 3 7" xfId="39850"/>
    <cellStyle name="Uitvoer 3 30" xfId="1720"/>
    <cellStyle name="Uitvoer 3 30 2" xfId="7610"/>
    <cellStyle name="Uitvoer 3 30 2 2" xfId="11940"/>
    <cellStyle name="Uitvoer 3 30 2 3" xfId="26286"/>
    <cellStyle name="Uitvoer 3 30 2 3 2" xfId="39851"/>
    <cellStyle name="Uitvoer 3 30 2 4" xfId="39852"/>
    <cellStyle name="Uitvoer 3 30 2 5" xfId="39853"/>
    <cellStyle name="Uitvoer 3 30 2 6" xfId="39854"/>
    <cellStyle name="Uitvoer 3 30 3" xfId="10250"/>
    <cellStyle name="Uitvoer 3 30 4" xfId="26287"/>
    <cellStyle name="Uitvoer 3 30 4 2" xfId="39855"/>
    <cellStyle name="Uitvoer 3 30 5" xfId="39856"/>
    <cellStyle name="Uitvoer 3 30 6" xfId="39857"/>
    <cellStyle name="Uitvoer 3 30 7" xfId="39858"/>
    <cellStyle name="Uitvoer 3 31" xfId="7611"/>
    <cellStyle name="Uitvoer 3 31 2" xfId="11838"/>
    <cellStyle name="Uitvoer 3 31 3" xfId="26288"/>
    <cellStyle name="Uitvoer 3 31 3 2" xfId="39859"/>
    <cellStyle name="Uitvoer 3 31 4" xfId="39860"/>
    <cellStyle name="Uitvoer 3 31 5" xfId="39861"/>
    <cellStyle name="Uitvoer 3 31 6" xfId="39862"/>
    <cellStyle name="Uitvoer 3 32" xfId="10148"/>
    <cellStyle name="Uitvoer 3 33" xfId="26289"/>
    <cellStyle name="Uitvoer 3 33 2" xfId="39863"/>
    <cellStyle name="Uitvoer 3 34" xfId="39864"/>
    <cellStyle name="Uitvoer 3 35" xfId="39865"/>
    <cellStyle name="Uitvoer 3 36" xfId="39866"/>
    <cellStyle name="Uitvoer 3 4" xfId="1721"/>
    <cellStyle name="Uitvoer 3 4 2" xfId="7612"/>
    <cellStyle name="Uitvoer 3 4 2 2" xfId="11941"/>
    <cellStyle name="Uitvoer 3 4 2 3" xfId="26290"/>
    <cellStyle name="Uitvoer 3 4 2 3 2" xfId="39867"/>
    <cellStyle name="Uitvoer 3 4 2 4" xfId="39868"/>
    <cellStyle name="Uitvoer 3 4 2 5" xfId="39869"/>
    <cellStyle name="Uitvoer 3 4 2 6" xfId="39870"/>
    <cellStyle name="Uitvoer 3 4 3" xfId="10251"/>
    <cellStyle name="Uitvoer 3 4 4" xfId="26291"/>
    <cellStyle name="Uitvoer 3 4 4 2" xfId="39871"/>
    <cellStyle name="Uitvoer 3 4 5" xfId="39872"/>
    <cellStyle name="Uitvoer 3 4 6" xfId="39873"/>
    <cellStyle name="Uitvoer 3 4 7" xfId="39874"/>
    <cellStyle name="Uitvoer 3 5" xfId="1722"/>
    <cellStyle name="Uitvoer 3 5 2" xfId="7613"/>
    <cellStyle name="Uitvoer 3 5 2 2" xfId="11942"/>
    <cellStyle name="Uitvoer 3 5 2 3" xfId="26292"/>
    <cellStyle name="Uitvoer 3 5 2 3 2" xfId="39875"/>
    <cellStyle name="Uitvoer 3 5 2 4" xfId="39876"/>
    <cellStyle name="Uitvoer 3 5 2 5" xfId="39877"/>
    <cellStyle name="Uitvoer 3 5 2 6" xfId="39878"/>
    <cellStyle name="Uitvoer 3 5 3" xfId="10252"/>
    <cellStyle name="Uitvoer 3 5 4" xfId="26293"/>
    <cellStyle name="Uitvoer 3 5 4 2" xfId="39879"/>
    <cellStyle name="Uitvoer 3 5 5" xfId="39880"/>
    <cellStyle name="Uitvoer 3 5 6" xfId="39881"/>
    <cellStyle name="Uitvoer 3 5 7" xfId="39882"/>
    <cellStyle name="Uitvoer 3 6" xfId="1723"/>
    <cellStyle name="Uitvoer 3 6 2" xfId="7614"/>
    <cellStyle name="Uitvoer 3 6 2 2" xfId="11943"/>
    <cellStyle name="Uitvoer 3 6 2 3" xfId="26294"/>
    <cellStyle name="Uitvoer 3 6 2 3 2" xfId="39883"/>
    <cellStyle name="Uitvoer 3 6 2 4" xfId="39884"/>
    <cellStyle name="Uitvoer 3 6 2 5" xfId="39885"/>
    <cellStyle name="Uitvoer 3 6 2 6" xfId="39886"/>
    <cellStyle name="Uitvoer 3 6 3" xfId="10253"/>
    <cellStyle name="Uitvoer 3 6 4" xfId="26295"/>
    <cellStyle name="Uitvoer 3 6 4 2" xfId="39887"/>
    <cellStyle name="Uitvoer 3 6 5" xfId="39888"/>
    <cellStyle name="Uitvoer 3 6 6" xfId="39889"/>
    <cellStyle name="Uitvoer 3 6 7" xfId="39890"/>
    <cellStyle name="Uitvoer 3 7" xfId="1724"/>
    <cellStyle name="Uitvoer 3 7 2" xfId="7615"/>
    <cellStyle name="Uitvoer 3 7 2 2" xfId="11944"/>
    <cellStyle name="Uitvoer 3 7 2 3" xfId="26296"/>
    <cellStyle name="Uitvoer 3 7 2 3 2" xfId="39891"/>
    <cellStyle name="Uitvoer 3 7 2 4" xfId="39892"/>
    <cellStyle name="Uitvoer 3 7 2 5" xfId="39893"/>
    <cellStyle name="Uitvoer 3 7 2 6" xfId="39894"/>
    <cellStyle name="Uitvoer 3 7 3" xfId="10254"/>
    <cellStyle name="Uitvoer 3 7 4" xfId="26297"/>
    <cellStyle name="Uitvoer 3 7 4 2" xfId="39895"/>
    <cellStyle name="Uitvoer 3 7 5" xfId="39896"/>
    <cellStyle name="Uitvoer 3 7 6" xfId="39897"/>
    <cellStyle name="Uitvoer 3 7 7" xfId="39898"/>
    <cellStyle name="Uitvoer 3 8" xfId="1725"/>
    <cellStyle name="Uitvoer 3 8 2" xfId="7616"/>
    <cellStyle name="Uitvoer 3 8 2 2" xfId="11945"/>
    <cellStyle name="Uitvoer 3 8 2 3" xfId="26298"/>
    <cellStyle name="Uitvoer 3 8 2 3 2" xfId="39899"/>
    <cellStyle name="Uitvoer 3 8 2 4" xfId="39900"/>
    <cellStyle name="Uitvoer 3 8 2 5" xfId="39901"/>
    <cellStyle name="Uitvoer 3 8 2 6" xfId="39902"/>
    <cellStyle name="Uitvoer 3 8 3" xfId="10255"/>
    <cellStyle name="Uitvoer 3 8 4" xfId="26299"/>
    <cellStyle name="Uitvoer 3 8 4 2" xfId="39903"/>
    <cellStyle name="Uitvoer 3 8 5" xfId="39904"/>
    <cellStyle name="Uitvoer 3 8 6" xfId="39905"/>
    <cellStyle name="Uitvoer 3 8 7" xfId="39906"/>
    <cellStyle name="Uitvoer 3 9" xfId="1726"/>
    <cellStyle name="Uitvoer 3 9 2" xfId="7617"/>
    <cellStyle name="Uitvoer 3 9 2 2" xfId="11946"/>
    <cellStyle name="Uitvoer 3 9 2 3" xfId="26300"/>
    <cellStyle name="Uitvoer 3 9 2 3 2" xfId="39907"/>
    <cellStyle name="Uitvoer 3 9 2 4" xfId="39908"/>
    <cellStyle name="Uitvoer 3 9 2 5" xfId="39909"/>
    <cellStyle name="Uitvoer 3 9 2 6" xfId="39910"/>
    <cellStyle name="Uitvoer 3 9 3" xfId="10256"/>
    <cellStyle name="Uitvoer 3 9 4" xfId="26301"/>
    <cellStyle name="Uitvoer 3 9 4 2" xfId="39911"/>
    <cellStyle name="Uitvoer 3 9 5" xfId="39912"/>
    <cellStyle name="Uitvoer 3 9 6" xfId="39913"/>
    <cellStyle name="Uitvoer 3 9 7" xfId="39914"/>
    <cellStyle name="Valuta" xfId="1727" builtinId="4"/>
    <cellStyle name="Valuta 10" xfId="7704"/>
    <cellStyle name="Valuta 11" xfId="39915"/>
    <cellStyle name="Valuta 12" xfId="39920"/>
    <cellStyle name="Valuta 13" xfId="40019"/>
    <cellStyle name="Valuta 14" xfId="40020"/>
    <cellStyle name="Valuta 2" xfId="1728"/>
    <cellStyle name="Valuta 2 2" xfId="1729"/>
    <cellStyle name="Valuta 2 2 2" xfId="1730"/>
    <cellStyle name="Valuta 2 2 3" xfId="1731"/>
    <cellStyle name="Valuta 2 2 4" xfId="1762"/>
    <cellStyle name="Valuta 2 3" xfId="7705"/>
    <cellStyle name="Valuta 3" xfId="1732"/>
    <cellStyle name="Valuta 3 2" xfId="7618"/>
    <cellStyle name="Valuta 3 3" xfId="7706"/>
    <cellStyle name="Valuta 4" xfId="1733"/>
    <cellStyle name="Valuta 4 2" xfId="1734"/>
    <cellStyle name="Valuta 4 3" xfId="1735"/>
    <cellStyle name="Valuta 4 3 10" xfId="3815"/>
    <cellStyle name="Valuta 4 3 10 2" xfId="14999"/>
    <cellStyle name="Valuta 4 3 10 2 2" xfId="26302"/>
    <cellStyle name="Valuta 4 3 10 3" xfId="26303"/>
    <cellStyle name="Valuta 4 3 11" xfId="7619"/>
    <cellStyle name="Valuta 4 3 11 2" xfId="11947"/>
    <cellStyle name="Valuta 4 3 11 2 2" xfId="26304"/>
    <cellStyle name="Valuta 4 3 11 3" xfId="26305"/>
    <cellStyle name="Valuta 4 3 12" xfId="10257"/>
    <cellStyle name="Valuta 4 3 12 2" xfId="26306"/>
    <cellStyle name="Valuta 4 3 13" xfId="26307"/>
    <cellStyle name="Valuta 4 3 2" xfId="1764"/>
    <cellStyle name="Valuta 4 3 2 10" xfId="10258"/>
    <cellStyle name="Valuta 4 3 2 10 2" xfId="26308"/>
    <cellStyle name="Valuta 4 3 2 11" xfId="26309"/>
    <cellStyle name="Valuta 4 3 2 2" xfId="1806"/>
    <cellStyle name="Valuta 4 3 2 2 2" xfId="1932"/>
    <cellStyle name="Valuta 4 3 2 2 2 2" xfId="2184"/>
    <cellStyle name="Valuta 4 3 2 2 2 2 2" xfId="2728"/>
    <cellStyle name="Valuta 4 3 2 2 2 2 2 2" xfId="3745"/>
    <cellStyle name="Valuta 4 3 2 2 2 2 2 2 2" xfId="5779"/>
    <cellStyle name="Valuta 4 3 2 2 2 2 2 2 2 2" xfId="15001"/>
    <cellStyle name="Valuta 4 3 2 2 2 2 2 2 2 2 2" xfId="26310"/>
    <cellStyle name="Valuta 4 3 2 2 2 2 2 2 2 3" xfId="26311"/>
    <cellStyle name="Valuta 4 3 2 2 2 2 2 2 3" xfId="15000"/>
    <cellStyle name="Valuta 4 3 2 2 2 2 2 2 3 2" xfId="26312"/>
    <cellStyle name="Valuta 4 3 2 2 2 2 2 2 4" xfId="26313"/>
    <cellStyle name="Valuta 4 3 2 2 2 2 2 3" xfId="4762"/>
    <cellStyle name="Valuta 4 3 2 2 2 2 2 3 2" xfId="15002"/>
    <cellStyle name="Valuta 4 3 2 2 2 2 2 3 2 2" xfId="26314"/>
    <cellStyle name="Valuta 4 3 2 2 2 2 2 3 3" xfId="26315"/>
    <cellStyle name="Valuta 4 3 2 2 2 2 2 4" xfId="7620"/>
    <cellStyle name="Valuta 4 3 2 2 2 2 2 4 2" xfId="12155"/>
    <cellStyle name="Valuta 4 3 2 2 2 2 2 4 2 2" xfId="26316"/>
    <cellStyle name="Valuta 4 3 2 2 2 2 2 4 3" xfId="26317"/>
    <cellStyle name="Valuta 4 3 2 2 2 2 2 5" xfId="10262"/>
    <cellStyle name="Valuta 4 3 2 2 2 2 2 5 2" xfId="26318"/>
    <cellStyle name="Valuta 4 3 2 2 2 2 2 6" xfId="26319"/>
    <cellStyle name="Valuta 4 3 2 2 2 2 3" xfId="3232"/>
    <cellStyle name="Valuta 4 3 2 2 2 2 3 2" xfId="5266"/>
    <cellStyle name="Valuta 4 3 2 2 2 2 3 2 2" xfId="15004"/>
    <cellStyle name="Valuta 4 3 2 2 2 2 3 2 2 2" xfId="26320"/>
    <cellStyle name="Valuta 4 3 2 2 2 2 3 2 3" xfId="26321"/>
    <cellStyle name="Valuta 4 3 2 2 2 2 3 3" xfId="15003"/>
    <cellStyle name="Valuta 4 3 2 2 2 2 3 3 2" xfId="26322"/>
    <cellStyle name="Valuta 4 3 2 2 2 2 3 4" xfId="26323"/>
    <cellStyle name="Valuta 4 3 2 2 2 2 4" xfId="4249"/>
    <cellStyle name="Valuta 4 3 2 2 2 2 4 2" xfId="15005"/>
    <cellStyle name="Valuta 4 3 2 2 2 2 4 2 2" xfId="26324"/>
    <cellStyle name="Valuta 4 3 2 2 2 2 4 3" xfId="26325"/>
    <cellStyle name="Valuta 4 3 2 2 2 2 5" xfId="7621"/>
    <cellStyle name="Valuta 4 3 2 2 2 2 5 2" xfId="12040"/>
    <cellStyle name="Valuta 4 3 2 2 2 2 5 2 2" xfId="26326"/>
    <cellStyle name="Valuta 4 3 2 2 2 2 5 3" xfId="26327"/>
    <cellStyle name="Valuta 4 3 2 2 2 2 6" xfId="10261"/>
    <cellStyle name="Valuta 4 3 2 2 2 2 6 2" xfId="26328"/>
    <cellStyle name="Valuta 4 3 2 2 2 2 7" xfId="26329"/>
    <cellStyle name="Valuta 4 3 2 2 2 3" xfId="2476"/>
    <cellStyle name="Valuta 4 3 2 2 2 3 2" xfId="3493"/>
    <cellStyle name="Valuta 4 3 2 2 2 3 2 2" xfId="5527"/>
    <cellStyle name="Valuta 4 3 2 2 2 3 2 2 2" xfId="15007"/>
    <cellStyle name="Valuta 4 3 2 2 2 3 2 2 2 2" xfId="26330"/>
    <cellStyle name="Valuta 4 3 2 2 2 3 2 2 3" xfId="26331"/>
    <cellStyle name="Valuta 4 3 2 2 2 3 2 3" xfId="15006"/>
    <cellStyle name="Valuta 4 3 2 2 2 3 2 3 2" xfId="26332"/>
    <cellStyle name="Valuta 4 3 2 2 2 3 2 4" xfId="26333"/>
    <cellStyle name="Valuta 4 3 2 2 2 3 3" xfId="4510"/>
    <cellStyle name="Valuta 4 3 2 2 2 3 3 2" xfId="15008"/>
    <cellStyle name="Valuta 4 3 2 2 2 3 3 2 2" xfId="26334"/>
    <cellStyle name="Valuta 4 3 2 2 2 3 3 3" xfId="26335"/>
    <cellStyle name="Valuta 4 3 2 2 2 3 4" xfId="7622"/>
    <cellStyle name="Valuta 4 3 2 2 2 3 4 2" xfId="12101"/>
    <cellStyle name="Valuta 4 3 2 2 2 3 4 2 2" xfId="26336"/>
    <cellStyle name="Valuta 4 3 2 2 2 3 4 3" xfId="26337"/>
    <cellStyle name="Valuta 4 3 2 2 2 3 5" xfId="10263"/>
    <cellStyle name="Valuta 4 3 2 2 2 3 5 2" xfId="26338"/>
    <cellStyle name="Valuta 4 3 2 2 2 3 6" xfId="26339"/>
    <cellStyle name="Valuta 4 3 2 2 2 4" xfId="2980"/>
    <cellStyle name="Valuta 4 3 2 2 2 4 2" xfId="5014"/>
    <cellStyle name="Valuta 4 3 2 2 2 4 2 2" xfId="15010"/>
    <cellStyle name="Valuta 4 3 2 2 2 4 2 2 2" xfId="26340"/>
    <cellStyle name="Valuta 4 3 2 2 2 4 2 3" xfId="26341"/>
    <cellStyle name="Valuta 4 3 2 2 2 4 3" xfId="15009"/>
    <cellStyle name="Valuta 4 3 2 2 2 4 3 2" xfId="26342"/>
    <cellStyle name="Valuta 4 3 2 2 2 4 4" xfId="26343"/>
    <cellStyle name="Valuta 4 3 2 2 2 5" xfId="3997"/>
    <cellStyle name="Valuta 4 3 2 2 2 5 2" xfId="15011"/>
    <cellStyle name="Valuta 4 3 2 2 2 5 2 2" xfId="26344"/>
    <cellStyle name="Valuta 4 3 2 2 2 5 3" xfId="26345"/>
    <cellStyle name="Valuta 4 3 2 2 2 6" xfId="7623"/>
    <cellStyle name="Valuta 4 3 2 2 2 6 2" xfId="11986"/>
    <cellStyle name="Valuta 4 3 2 2 2 6 2 2" xfId="26346"/>
    <cellStyle name="Valuta 4 3 2 2 2 6 3" xfId="26347"/>
    <cellStyle name="Valuta 4 3 2 2 2 7" xfId="10260"/>
    <cellStyle name="Valuta 4 3 2 2 2 7 2" xfId="26348"/>
    <cellStyle name="Valuta 4 3 2 2 2 8" xfId="26349"/>
    <cellStyle name="Valuta 4 3 2 2 3" xfId="2058"/>
    <cellStyle name="Valuta 4 3 2 2 3 2" xfId="2602"/>
    <cellStyle name="Valuta 4 3 2 2 3 2 2" xfId="3619"/>
    <cellStyle name="Valuta 4 3 2 2 3 2 2 2" xfId="5653"/>
    <cellStyle name="Valuta 4 3 2 2 3 2 2 2 2" xfId="15013"/>
    <cellStyle name="Valuta 4 3 2 2 3 2 2 2 2 2" xfId="26350"/>
    <cellStyle name="Valuta 4 3 2 2 3 2 2 2 3" xfId="26351"/>
    <cellStyle name="Valuta 4 3 2 2 3 2 2 3" xfId="15012"/>
    <cellStyle name="Valuta 4 3 2 2 3 2 2 3 2" xfId="26352"/>
    <cellStyle name="Valuta 4 3 2 2 3 2 2 4" xfId="26353"/>
    <cellStyle name="Valuta 4 3 2 2 3 2 3" xfId="4636"/>
    <cellStyle name="Valuta 4 3 2 2 3 2 3 2" xfId="15014"/>
    <cellStyle name="Valuta 4 3 2 2 3 2 3 2 2" xfId="26354"/>
    <cellStyle name="Valuta 4 3 2 2 3 2 3 3" xfId="26355"/>
    <cellStyle name="Valuta 4 3 2 2 3 2 4" xfId="7624"/>
    <cellStyle name="Valuta 4 3 2 2 3 2 4 2" xfId="12128"/>
    <cellStyle name="Valuta 4 3 2 2 3 2 4 2 2" xfId="26356"/>
    <cellStyle name="Valuta 4 3 2 2 3 2 4 3" xfId="26357"/>
    <cellStyle name="Valuta 4 3 2 2 3 2 5" xfId="10265"/>
    <cellStyle name="Valuta 4 3 2 2 3 2 5 2" xfId="26358"/>
    <cellStyle name="Valuta 4 3 2 2 3 2 6" xfId="26359"/>
    <cellStyle name="Valuta 4 3 2 2 3 3" xfId="3106"/>
    <cellStyle name="Valuta 4 3 2 2 3 3 2" xfId="5140"/>
    <cellStyle name="Valuta 4 3 2 2 3 3 2 2" xfId="15016"/>
    <cellStyle name="Valuta 4 3 2 2 3 3 2 2 2" xfId="26360"/>
    <cellStyle name="Valuta 4 3 2 2 3 3 2 3" xfId="26361"/>
    <cellStyle name="Valuta 4 3 2 2 3 3 3" xfId="15015"/>
    <cellStyle name="Valuta 4 3 2 2 3 3 3 2" xfId="26362"/>
    <cellStyle name="Valuta 4 3 2 2 3 3 4" xfId="26363"/>
    <cellStyle name="Valuta 4 3 2 2 3 4" xfId="4123"/>
    <cellStyle name="Valuta 4 3 2 2 3 4 2" xfId="15017"/>
    <cellStyle name="Valuta 4 3 2 2 3 4 2 2" xfId="26364"/>
    <cellStyle name="Valuta 4 3 2 2 3 4 3" xfId="26365"/>
    <cellStyle name="Valuta 4 3 2 2 3 5" xfId="7625"/>
    <cellStyle name="Valuta 4 3 2 2 3 5 2" xfId="12013"/>
    <cellStyle name="Valuta 4 3 2 2 3 5 2 2" xfId="26366"/>
    <cellStyle name="Valuta 4 3 2 2 3 5 3" xfId="26367"/>
    <cellStyle name="Valuta 4 3 2 2 3 6" xfId="10264"/>
    <cellStyle name="Valuta 4 3 2 2 3 6 2" xfId="26368"/>
    <cellStyle name="Valuta 4 3 2 2 3 7" xfId="26369"/>
    <cellStyle name="Valuta 4 3 2 2 4" xfId="2350"/>
    <cellStyle name="Valuta 4 3 2 2 4 2" xfId="3367"/>
    <cellStyle name="Valuta 4 3 2 2 4 2 2" xfId="5401"/>
    <cellStyle name="Valuta 4 3 2 2 4 2 2 2" xfId="15019"/>
    <cellStyle name="Valuta 4 3 2 2 4 2 2 2 2" xfId="26370"/>
    <cellStyle name="Valuta 4 3 2 2 4 2 2 3" xfId="26371"/>
    <cellStyle name="Valuta 4 3 2 2 4 2 3" xfId="15018"/>
    <cellStyle name="Valuta 4 3 2 2 4 2 3 2" xfId="26372"/>
    <cellStyle name="Valuta 4 3 2 2 4 2 4" xfId="26373"/>
    <cellStyle name="Valuta 4 3 2 2 4 3" xfId="4384"/>
    <cellStyle name="Valuta 4 3 2 2 4 3 2" xfId="15020"/>
    <cellStyle name="Valuta 4 3 2 2 4 3 2 2" xfId="26374"/>
    <cellStyle name="Valuta 4 3 2 2 4 3 3" xfId="26375"/>
    <cellStyle name="Valuta 4 3 2 2 4 4" xfId="7626"/>
    <cellStyle name="Valuta 4 3 2 2 4 4 2" xfId="12074"/>
    <cellStyle name="Valuta 4 3 2 2 4 4 2 2" xfId="26376"/>
    <cellStyle name="Valuta 4 3 2 2 4 4 3" xfId="26377"/>
    <cellStyle name="Valuta 4 3 2 2 4 5" xfId="10266"/>
    <cellStyle name="Valuta 4 3 2 2 4 5 2" xfId="26378"/>
    <cellStyle name="Valuta 4 3 2 2 4 6" xfId="26379"/>
    <cellStyle name="Valuta 4 3 2 2 5" xfId="2854"/>
    <cellStyle name="Valuta 4 3 2 2 5 2" xfId="4888"/>
    <cellStyle name="Valuta 4 3 2 2 5 2 2" xfId="15022"/>
    <cellStyle name="Valuta 4 3 2 2 5 2 2 2" xfId="26380"/>
    <cellStyle name="Valuta 4 3 2 2 5 2 3" xfId="26381"/>
    <cellStyle name="Valuta 4 3 2 2 5 3" xfId="15021"/>
    <cellStyle name="Valuta 4 3 2 2 5 3 2" xfId="26382"/>
    <cellStyle name="Valuta 4 3 2 2 5 4" xfId="26383"/>
    <cellStyle name="Valuta 4 3 2 2 6" xfId="3871"/>
    <cellStyle name="Valuta 4 3 2 2 6 2" xfId="15023"/>
    <cellStyle name="Valuta 4 3 2 2 6 2 2" xfId="26384"/>
    <cellStyle name="Valuta 4 3 2 2 6 3" xfId="26385"/>
    <cellStyle name="Valuta 4 3 2 2 7" xfId="7627"/>
    <cellStyle name="Valuta 4 3 2 2 7 2" xfId="11959"/>
    <cellStyle name="Valuta 4 3 2 2 7 2 2" xfId="26386"/>
    <cellStyle name="Valuta 4 3 2 2 7 3" xfId="26387"/>
    <cellStyle name="Valuta 4 3 2 2 8" xfId="10259"/>
    <cellStyle name="Valuta 4 3 2 2 8 2" xfId="26388"/>
    <cellStyle name="Valuta 4 3 2 2 9" xfId="26389"/>
    <cellStyle name="Valuta 4 3 2 3" xfId="1848"/>
    <cellStyle name="Valuta 4 3 2 3 2" xfId="1974"/>
    <cellStyle name="Valuta 4 3 2 3 2 2" xfId="2226"/>
    <cellStyle name="Valuta 4 3 2 3 2 2 2" xfId="2770"/>
    <cellStyle name="Valuta 4 3 2 3 2 2 2 2" xfId="3787"/>
    <cellStyle name="Valuta 4 3 2 3 2 2 2 2 2" xfId="5821"/>
    <cellStyle name="Valuta 4 3 2 3 2 2 2 2 2 2" xfId="15025"/>
    <cellStyle name="Valuta 4 3 2 3 2 2 2 2 2 2 2" xfId="26390"/>
    <cellStyle name="Valuta 4 3 2 3 2 2 2 2 2 3" xfId="26391"/>
    <cellStyle name="Valuta 4 3 2 3 2 2 2 2 3" xfId="15024"/>
    <cellStyle name="Valuta 4 3 2 3 2 2 2 2 3 2" xfId="26392"/>
    <cellStyle name="Valuta 4 3 2 3 2 2 2 2 4" xfId="26393"/>
    <cellStyle name="Valuta 4 3 2 3 2 2 2 3" xfId="4804"/>
    <cellStyle name="Valuta 4 3 2 3 2 2 2 3 2" xfId="15026"/>
    <cellStyle name="Valuta 4 3 2 3 2 2 2 3 2 2" xfId="26394"/>
    <cellStyle name="Valuta 4 3 2 3 2 2 2 3 3" xfId="26395"/>
    <cellStyle name="Valuta 4 3 2 3 2 2 2 4" xfId="7628"/>
    <cellStyle name="Valuta 4 3 2 3 2 2 2 4 2" xfId="12164"/>
    <cellStyle name="Valuta 4 3 2 3 2 2 2 4 2 2" xfId="26396"/>
    <cellStyle name="Valuta 4 3 2 3 2 2 2 4 3" xfId="26397"/>
    <cellStyle name="Valuta 4 3 2 3 2 2 2 5" xfId="10270"/>
    <cellStyle name="Valuta 4 3 2 3 2 2 2 5 2" xfId="26398"/>
    <cellStyle name="Valuta 4 3 2 3 2 2 2 6" xfId="26399"/>
    <cellStyle name="Valuta 4 3 2 3 2 2 3" xfId="3274"/>
    <cellStyle name="Valuta 4 3 2 3 2 2 3 2" xfId="5308"/>
    <cellStyle name="Valuta 4 3 2 3 2 2 3 2 2" xfId="15028"/>
    <cellStyle name="Valuta 4 3 2 3 2 2 3 2 2 2" xfId="26400"/>
    <cellStyle name="Valuta 4 3 2 3 2 2 3 2 3" xfId="26401"/>
    <cellStyle name="Valuta 4 3 2 3 2 2 3 3" xfId="15027"/>
    <cellStyle name="Valuta 4 3 2 3 2 2 3 3 2" xfId="26402"/>
    <cellStyle name="Valuta 4 3 2 3 2 2 3 4" xfId="26403"/>
    <cellStyle name="Valuta 4 3 2 3 2 2 4" xfId="4291"/>
    <cellStyle name="Valuta 4 3 2 3 2 2 4 2" xfId="15029"/>
    <cellStyle name="Valuta 4 3 2 3 2 2 4 2 2" xfId="26404"/>
    <cellStyle name="Valuta 4 3 2 3 2 2 4 3" xfId="26405"/>
    <cellStyle name="Valuta 4 3 2 3 2 2 5" xfId="7629"/>
    <cellStyle name="Valuta 4 3 2 3 2 2 5 2" xfId="12049"/>
    <cellStyle name="Valuta 4 3 2 3 2 2 5 2 2" xfId="26406"/>
    <cellStyle name="Valuta 4 3 2 3 2 2 5 3" xfId="26407"/>
    <cellStyle name="Valuta 4 3 2 3 2 2 6" xfId="10269"/>
    <cellStyle name="Valuta 4 3 2 3 2 2 6 2" xfId="26408"/>
    <cellStyle name="Valuta 4 3 2 3 2 2 7" xfId="26409"/>
    <cellStyle name="Valuta 4 3 2 3 2 3" xfId="2518"/>
    <cellStyle name="Valuta 4 3 2 3 2 3 2" xfId="3535"/>
    <cellStyle name="Valuta 4 3 2 3 2 3 2 2" xfId="5569"/>
    <cellStyle name="Valuta 4 3 2 3 2 3 2 2 2" xfId="15031"/>
    <cellStyle name="Valuta 4 3 2 3 2 3 2 2 2 2" xfId="26410"/>
    <cellStyle name="Valuta 4 3 2 3 2 3 2 2 3" xfId="26411"/>
    <cellStyle name="Valuta 4 3 2 3 2 3 2 3" xfId="15030"/>
    <cellStyle name="Valuta 4 3 2 3 2 3 2 3 2" xfId="26412"/>
    <cellStyle name="Valuta 4 3 2 3 2 3 2 4" xfId="26413"/>
    <cellStyle name="Valuta 4 3 2 3 2 3 3" xfId="4552"/>
    <cellStyle name="Valuta 4 3 2 3 2 3 3 2" xfId="15032"/>
    <cellStyle name="Valuta 4 3 2 3 2 3 3 2 2" xfId="26414"/>
    <cellStyle name="Valuta 4 3 2 3 2 3 3 3" xfId="26415"/>
    <cellStyle name="Valuta 4 3 2 3 2 3 4" xfId="7630"/>
    <cellStyle name="Valuta 4 3 2 3 2 3 4 2" xfId="12110"/>
    <cellStyle name="Valuta 4 3 2 3 2 3 4 2 2" xfId="26416"/>
    <cellStyle name="Valuta 4 3 2 3 2 3 4 3" xfId="26417"/>
    <cellStyle name="Valuta 4 3 2 3 2 3 5" xfId="10271"/>
    <cellStyle name="Valuta 4 3 2 3 2 3 5 2" xfId="26418"/>
    <cellStyle name="Valuta 4 3 2 3 2 3 6" xfId="26419"/>
    <cellStyle name="Valuta 4 3 2 3 2 4" xfId="3022"/>
    <cellStyle name="Valuta 4 3 2 3 2 4 2" xfId="5056"/>
    <cellStyle name="Valuta 4 3 2 3 2 4 2 2" xfId="15034"/>
    <cellStyle name="Valuta 4 3 2 3 2 4 2 2 2" xfId="26420"/>
    <cellStyle name="Valuta 4 3 2 3 2 4 2 3" xfId="26421"/>
    <cellStyle name="Valuta 4 3 2 3 2 4 3" xfId="15033"/>
    <cellStyle name="Valuta 4 3 2 3 2 4 3 2" xfId="26422"/>
    <cellStyle name="Valuta 4 3 2 3 2 4 4" xfId="26423"/>
    <cellStyle name="Valuta 4 3 2 3 2 5" xfId="4039"/>
    <cellStyle name="Valuta 4 3 2 3 2 5 2" xfId="15035"/>
    <cellStyle name="Valuta 4 3 2 3 2 5 2 2" xfId="26424"/>
    <cellStyle name="Valuta 4 3 2 3 2 5 3" xfId="26425"/>
    <cellStyle name="Valuta 4 3 2 3 2 6" xfId="7631"/>
    <cellStyle name="Valuta 4 3 2 3 2 6 2" xfId="11995"/>
    <cellStyle name="Valuta 4 3 2 3 2 6 2 2" xfId="26426"/>
    <cellStyle name="Valuta 4 3 2 3 2 6 3" xfId="26427"/>
    <cellStyle name="Valuta 4 3 2 3 2 7" xfId="10268"/>
    <cellStyle name="Valuta 4 3 2 3 2 7 2" xfId="26428"/>
    <cellStyle name="Valuta 4 3 2 3 2 8" xfId="26429"/>
    <cellStyle name="Valuta 4 3 2 3 3" xfId="2100"/>
    <cellStyle name="Valuta 4 3 2 3 3 2" xfId="2644"/>
    <cellStyle name="Valuta 4 3 2 3 3 2 2" xfId="3661"/>
    <cellStyle name="Valuta 4 3 2 3 3 2 2 2" xfId="5695"/>
    <cellStyle name="Valuta 4 3 2 3 3 2 2 2 2" xfId="15037"/>
    <cellStyle name="Valuta 4 3 2 3 3 2 2 2 2 2" xfId="26430"/>
    <cellStyle name="Valuta 4 3 2 3 3 2 2 2 3" xfId="26431"/>
    <cellStyle name="Valuta 4 3 2 3 3 2 2 3" xfId="15036"/>
    <cellStyle name="Valuta 4 3 2 3 3 2 2 3 2" xfId="26432"/>
    <cellStyle name="Valuta 4 3 2 3 3 2 2 4" xfId="26433"/>
    <cellStyle name="Valuta 4 3 2 3 3 2 3" xfId="4678"/>
    <cellStyle name="Valuta 4 3 2 3 3 2 3 2" xfId="15038"/>
    <cellStyle name="Valuta 4 3 2 3 3 2 3 2 2" xfId="26434"/>
    <cellStyle name="Valuta 4 3 2 3 3 2 3 3" xfId="26435"/>
    <cellStyle name="Valuta 4 3 2 3 3 2 4" xfId="7632"/>
    <cellStyle name="Valuta 4 3 2 3 3 2 4 2" xfId="12137"/>
    <cellStyle name="Valuta 4 3 2 3 3 2 4 2 2" xfId="26436"/>
    <cellStyle name="Valuta 4 3 2 3 3 2 4 3" xfId="26437"/>
    <cellStyle name="Valuta 4 3 2 3 3 2 5" xfId="10273"/>
    <cellStyle name="Valuta 4 3 2 3 3 2 5 2" xfId="26438"/>
    <cellStyle name="Valuta 4 3 2 3 3 2 6" xfId="26439"/>
    <cellStyle name="Valuta 4 3 2 3 3 3" xfId="3148"/>
    <cellStyle name="Valuta 4 3 2 3 3 3 2" xfId="5182"/>
    <cellStyle name="Valuta 4 3 2 3 3 3 2 2" xfId="15040"/>
    <cellStyle name="Valuta 4 3 2 3 3 3 2 2 2" xfId="26440"/>
    <cellStyle name="Valuta 4 3 2 3 3 3 2 3" xfId="26441"/>
    <cellStyle name="Valuta 4 3 2 3 3 3 3" xfId="15039"/>
    <cellStyle name="Valuta 4 3 2 3 3 3 3 2" xfId="26442"/>
    <cellStyle name="Valuta 4 3 2 3 3 3 4" xfId="26443"/>
    <cellStyle name="Valuta 4 3 2 3 3 4" xfId="4165"/>
    <cellStyle name="Valuta 4 3 2 3 3 4 2" xfId="15041"/>
    <cellStyle name="Valuta 4 3 2 3 3 4 2 2" xfId="26444"/>
    <cellStyle name="Valuta 4 3 2 3 3 4 3" xfId="26445"/>
    <cellStyle name="Valuta 4 3 2 3 3 5" xfId="7633"/>
    <cellStyle name="Valuta 4 3 2 3 3 5 2" xfId="12022"/>
    <cellStyle name="Valuta 4 3 2 3 3 5 2 2" xfId="26446"/>
    <cellStyle name="Valuta 4 3 2 3 3 5 3" xfId="26447"/>
    <cellStyle name="Valuta 4 3 2 3 3 6" xfId="10272"/>
    <cellStyle name="Valuta 4 3 2 3 3 6 2" xfId="26448"/>
    <cellStyle name="Valuta 4 3 2 3 3 7" xfId="26449"/>
    <cellStyle name="Valuta 4 3 2 3 4" xfId="2392"/>
    <cellStyle name="Valuta 4 3 2 3 4 2" xfId="3409"/>
    <cellStyle name="Valuta 4 3 2 3 4 2 2" xfId="5443"/>
    <cellStyle name="Valuta 4 3 2 3 4 2 2 2" xfId="15043"/>
    <cellStyle name="Valuta 4 3 2 3 4 2 2 2 2" xfId="26450"/>
    <cellStyle name="Valuta 4 3 2 3 4 2 2 3" xfId="26451"/>
    <cellStyle name="Valuta 4 3 2 3 4 2 3" xfId="15042"/>
    <cellStyle name="Valuta 4 3 2 3 4 2 3 2" xfId="26452"/>
    <cellStyle name="Valuta 4 3 2 3 4 2 4" xfId="26453"/>
    <cellStyle name="Valuta 4 3 2 3 4 3" xfId="4426"/>
    <cellStyle name="Valuta 4 3 2 3 4 3 2" xfId="15044"/>
    <cellStyle name="Valuta 4 3 2 3 4 3 2 2" xfId="26454"/>
    <cellStyle name="Valuta 4 3 2 3 4 3 3" xfId="26455"/>
    <cellStyle name="Valuta 4 3 2 3 4 4" xfId="7634"/>
    <cellStyle name="Valuta 4 3 2 3 4 4 2" xfId="12083"/>
    <cellStyle name="Valuta 4 3 2 3 4 4 2 2" xfId="26456"/>
    <cellStyle name="Valuta 4 3 2 3 4 4 3" xfId="26457"/>
    <cellStyle name="Valuta 4 3 2 3 4 5" xfId="10274"/>
    <cellStyle name="Valuta 4 3 2 3 4 5 2" xfId="26458"/>
    <cellStyle name="Valuta 4 3 2 3 4 6" xfId="26459"/>
    <cellStyle name="Valuta 4 3 2 3 5" xfId="2896"/>
    <cellStyle name="Valuta 4 3 2 3 5 2" xfId="4930"/>
    <cellStyle name="Valuta 4 3 2 3 5 2 2" xfId="15046"/>
    <cellStyle name="Valuta 4 3 2 3 5 2 2 2" xfId="26460"/>
    <cellStyle name="Valuta 4 3 2 3 5 2 3" xfId="26461"/>
    <cellStyle name="Valuta 4 3 2 3 5 3" xfId="15045"/>
    <cellStyle name="Valuta 4 3 2 3 5 3 2" xfId="26462"/>
    <cellStyle name="Valuta 4 3 2 3 5 4" xfId="26463"/>
    <cellStyle name="Valuta 4 3 2 3 6" xfId="3913"/>
    <cellStyle name="Valuta 4 3 2 3 6 2" xfId="15047"/>
    <cellStyle name="Valuta 4 3 2 3 6 2 2" xfId="26464"/>
    <cellStyle name="Valuta 4 3 2 3 6 3" xfId="26465"/>
    <cellStyle name="Valuta 4 3 2 3 7" xfId="7635"/>
    <cellStyle name="Valuta 4 3 2 3 7 2" xfId="11968"/>
    <cellStyle name="Valuta 4 3 2 3 7 2 2" xfId="26466"/>
    <cellStyle name="Valuta 4 3 2 3 7 3" xfId="26467"/>
    <cellStyle name="Valuta 4 3 2 3 8" xfId="10267"/>
    <cellStyle name="Valuta 4 3 2 3 8 2" xfId="26468"/>
    <cellStyle name="Valuta 4 3 2 3 9" xfId="26469"/>
    <cellStyle name="Valuta 4 3 2 4" xfId="1890"/>
    <cellStyle name="Valuta 4 3 2 4 2" xfId="2142"/>
    <cellStyle name="Valuta 4 3 2 4 2 2" xfId="2686"/>
    <cellStyle name="Valuta 4 3 2 4 2 2 2" xfId="3703"/>
    <cellStyle name="Valuta 4 3 2 4 2 2 2 2" xfId="5737"/>
    <cellStyle name="Valuta 4 3 2 4 2 2 2 2 2" xfId="15049"/>
    <cellStyle name="Valuta 4 3 2 4 2 2 2 2 2 2" xfId="26470"/>
    <cellStyle name="Valuta 4 3 2 4 2 2 2 2 3" xfId="26471"/>
    <cellStyle name="Valuta 4 3 2 4 2 2 2 3" xfId="15048"/>
    <cellStyle name="Valuta 4 3 2 4 2 2 2 3 2" xfId="26472"/>
    <cellStyle name="Valuta 4 3 2 4 2 2 2 4" xfId="26473"/>
    <cellStyle name="Valuta 4 3 2 4 2 2 3" xfId="4720"/>
    <cellStyle name="Valuta 4 3 2 4 2 2 3 2" xfId="15050"/>
    <cellStyle name="Valuta 4 3 2 4 2 2 3 2 2" xfId="26474"/>
    <cellStyle name="Valuta 4 3 2 4 2 2 3 3" xfId="26475"/>
    <cellStyle name="Valuta 4 3 2 4 2 2 4" xfId="7636"/>
    <cellStyle name="Valuta 4 3 2 4 2 2 4 2" xfId="12146"/>
    <cellStyle name="Valuta 4 3 2 4 2 2 4 2 2" xfId="26476"/>
    <cellStyle name="Valuta 4 3 2 4 2 2 4 3" xfId="26477"/>
    <cellStyle name="Valuta 4 3 2 4 2 2 5" xfId="10277"/>
    <cellStyle name="Valuta 4 3 2 4 2 2 5 2" xfId="26478"/>
    <cellStyle name="Valuta 4 3 2 4 2 2 6" xfId="26479"/>
    <cellStyle name="Valuta 4 3 2 4 2 3" xfId="3190"/>
    <cellStyle name="Valuta 4 3 2 4 2 3 2" xfId="5224"/>
    <cellStyle name="Valuta 4 3 2 4 2 3 2 2" xfId="15052"/>
    <cellStyle name="Valuta 4 3 2 4 2 3 2 2 2" xfId="26480"/>
    <cellStyle name="Valuta 4 3 2 4 2 3 2 3" xfId="26481"/>
    <cellStyle name="Valuta 4 3 2 4 2 3 3" xfId="15051"/>
    <cellStyle name="Valuta 4 3 2 4 2 3 3 2" xfId="26482"/>
    <cellStyle name="Valuta 4 3 2 4 2 3 4" xfId="26483"/>
    <cellStyle name="Valuta 4 3 2 4 2 4" xfId="4207"/>
    <cellStyle name="Valuta 4 3 2 4 2 4 2" xfId="15053"/>
    <cellStyle name="Valuta 4 3 2 4 2 4 2 2" xfId="26484"/>
    <cellStyle name="Valuta 4 3 2 4 2 4 3" xfId="26485"/>
    <cellStyle name="Valuta 4 3 2 4 2 5" xfId="7637"/>
    <cellStyle name="Valuta 4 3 2 4 2 5 2" xfId="12031"/>
    <cellStyle name="Valuta 4 3 2 4 2 5 2 2" xfId="26486"/>
    <cellStyle name="Valuta 4 3 2 4 2 5 3" xfId="26487"/>
    <cellStyle name="Valuta 4 3 2 4 2 6" xfId="10276"/>
    <cellStyle name="Valuta 4 3 2 4 2 6 2" xfId="26488"/>
    <cellStyle name="Valuta 4 3 2 4 2 7" xfId="26489"/>
    <cellStyle name="Valuta 4 3 2 4 3" xfId="2434"/>
    <cellStyle name="Valuta 4 3 2 4 3 2" xfId="3451"/>
    <cellStyle name="Valuta 4 3 2 4 3 2 2" xfId="5485"/>
    <cellStyle name="Valuta 4 3 2 4 3 2 2 2" xfId="15055"/>
    <cellStyle name="Valuta 4 3 2 4 3 2 2 2 2" xfId="26490"/>
    <cellStyle name="Valuta 4 3 2 4 3 2 2 3" xfId="26491"/>
    <cellStyle name="Valuta 4 3 2 4 3 2 3" xfId="15054"/>
    <cellStyle name="Valuta 4 3 2 4 3 2 3 2" xfId="26492"/>
    <cellStyle name="Valuta 4 3 2 4 3 2 4" xfId="26493"/>
    <cellStyle name="Valuta 4 3 2 4 3 3" xfId="4468"/>
    <cellStyle name="Valuta 4 3 2 4 3 3 2" xfId="15056"/>
    <cellStyle name="Valuta 4 3 2 4 3 3 2 2" xfId="26494"/>
    <cellStyle name="Valuta 4 3 2 4 3 3 3" xfId="26495"/>
    <cellStyle name="Valuta 4 3 2 4 3 4" xfId="7638"/>
    <cellStyle name="Valuta 4 3 2 4 3 4 2" xfId="12092"/>
    <cellStyle name="Valuta 4 3 2 4 3 4 2 2" xfId="26496"/>
    <cellStyle name="Valuta 4 3 2 4 3 4 3" xfId="26497"/>
    <cellStyle name="Valuta 4 3 2 4 3 5" xfId="10278"/>
    <cellStyle name="Valuta 4 3 2 4 3 5 2" xfId="26498"/>
    <cellStyle name="Valuta 4 3 2 4 3 6" xfId="26499"/>
    <cellStyle name="Valuta 4 3 2 4 4" xfId="2938"/>
    <cellStyle name="Valuta 4 3 2 4 4 2" xfId="4972"/>
    <cellStyle name="Valuta 4 3 2 4 4 2 2" xfId="15058"/>
    <cellStyle name="Valuta 4 3 2 4 4 2 2 2" xfId="26500"/>
    <cellStyle name="Valuta 4 3 2 4 4 2 3" xfId="26501"/>
    <cellStyle name="Valuta 4 3 2 4 4 3" xfId="15057"/>
    <cellStyle name="Valuta 4 3 2 4 4 3 2" xfId="26502"/>
    <cellStyle name="Valuta 4 3 2 4 4 4" xfId="26503"/>
    <cellStyle name="Valuta 4 3 2 4 5" xfId="3955"/>
    <cellStyle name="Valuta 4 3 2 4 5 2" xfId="15059"/>
    <cellStyle name="Valuta 4 3 2 4 5 2 2" xfId="26504"/>
    <cellStyle name="Valuta 4 3 2 4 5 3" xfId="26505"/>
    <cellStyle name="Valuta 4 3 2 4 6" xfId="7639"/>
    <cellStyle name="Valuta 4 3 2 4 6 2" xfId="11977"/>
    <cellStyle name="Valuta 4 3 2 4 6 2 2" xfId="26506"/>
    <cellStyle name="Valuta 4 3 2 4 6 3" xfId="26507"/>
    <cellStyle name="Valuta 4 3 2 4 7" xfId="10275"/>
    <cellStyle name="Valuta 4 3 2 4 7 2" xfId="26508"/>
    <cellStyle name="Valuta 4 3 2 4 8" xfId="26509"/>
    <cellStyle name="Valuta 4 3 2 5" xfId="2016"/>
    <cellStyle name="Valuta 4 3 2 5 2" xfId="2560"/>
    <cellStyle name="Valuta 4 3 2 5 2 2" xfId="3577"/>
    <cellStyle name="Valuta 4 3 2 5 2 2 2" xfId="5611"/>
    <cellStyle name="Valuta 4 3 2 5 2 2 2 2" xfId="15061"/>
    <cellStyle name="Valuta 4 3 2 5 2 2 2 2 2" xfId="26510"/>
    <cellStyle name="Valuta 4 3 2 5 2 2 2 3" xfId="26511"/>
    <cellStyle name="Valuta 4 3 2 5 2 2 3" xfId="15060"/>
    <cellStyle name="Valuta 4 3 2 5 2 2 3 2" xfId="26512"/>
    <cellStyle name="Valuta 4 3 2 5 2 2 4" xfId="26513"/>
    <cellStyle name="Valuta 4 3 2 5 2 3" xfId="4594"/>
    <cellStyle name="Valuta 4 3 2 5 2 3 2" xfId="15062"/>
    <cellStyle name="Valuta 4 3 2 5 2 3 2 2" xfId="26514"/>
    <cellStyle name="Valuta 4 3 2 5 2 3 3" xfId="26515"/>
    <cellStyle name="Valuta 4 3 2 5 2 4" xfId="7640"/>
    <cellStyle name="Valuta 4 3 2 5 2 4 2" xfId="12119"/>
    <cellStyle name="Valuta 4 3 2 5 2 4 2 2" xfId="26516"/>
    <cellStyle name="Valuta 4 3 2 5 2 4 3" xfId="26517"/>
    <cellStyle name="Valuta 4 3 2 5 2 5" xfId="10280"/>
    <cellStyle name="Valuta 4 3 2 5 2 5 2" xfId="26518"/>
    <cellStyle name="Valuta 4 3 2 5 2 6" xfId="26519"/>
    <cellStyle name="Valuta 4 3 2 5 3" xfId="3064"/>
    <cellStyle name="Valuta 4 3 2 5 3 2" xfId="5098"/>
    <cellStyle name="Valuta 4 3 2 5 3 2 2" xfId="15064"/>
    <cellStyle name="Valuta 4 3 2 5 3 2 2 2" xfId="26520"/>
    <cellStyle name="Valuta 4 3 2 5 3 2 3" xfId="26521"/>
    <cellStyle name="Valuta 4 3 2 5 3 3" xfId="15063"/>
    <cellStyle name="Valuta 4 3 2 5 3 3 2" xfId="26522"/>
    <cellStyle name="Valuta 4 3 2 5 3 4" xfId="26523"/>
    <cellStyle name="Valuta 4 3 2 5 4" xfId="4081"/>
    <cellStyle name="Valuta 4 3 2 5 4 2" xfId="15065"/>
    <cellStyle name="Valuta 4 3 2 5 4 2 2" xfId="26524"/>
    <cellStyle name="Valuta 4 3 2 5 4 3" xfId="26525"/>
    <cellStyle name="Valuta 4 3 2 5 5" xfId="7641"/>
    <cellStyle name="Valuta 4 3 2 5 5 2" xfId="12004"/>
    <cellStyle name="Valuta 4 3 2 5 5 2 2" xfId="26526"/>
    <cellStyle name="Valuta 4 3 2 5 5 3" xfId="26527"/>
    <cellStyle name="Valuta 4 3 2 5 6" xfId="10279"/>
    <cellStyle name="Valuta 4 3 2 5 6 2" xfId="26528"/>
    <cellStyle name="Valuta 4 3 2 5 7" xfId="26529"/>
    <cellStyle name="Valuta 4 3 2 6" xfId="2308"/>
    <cellStyle name="Valuta 4 3 2 6 2" xfId="3325"/>
    <cellStyle name="Valuta 4 3 2 6 2 2" xfId="5359"/>
    <cellStyle name="Valuta 4 3 2 6 2 2 2" xfId="15067"/>
    <cellStyle name="Valuta 4 3 2 6 2 2 2 2" xfId="26530"/>
    <cellStyle name="Valuta 4 3 2 6 2 2 3" xfId="26531"/>
    <cellStyle name="Valuta 4 3 2 6 2 3" xfId="15066"/>
    <cellStyle name="Valuta 4 3 2 6 2 3 2" xfId="26532"/>
    <cellStyle name="Valuta 4 3 2 6 2 4" xfId="26533"/>
    <cellStyle name="Valuta 4 3 2 6 3" xfId="4342"/>
    <cellStyle name="Valuta 4 3 2 6 3 2" xfId="15068"/>
    <cellStyle name="Valuta 4 3 2 6 3 2 2" xfId="26534"/>
    <cellStyle name="Valuta 4 3 2 6 3 3" xfId="26535"/>
    <cellStyle name="Valuta 4 3 2 6 4" xfId="7642"/>
    <cellStyle name="Valuta 4 3 2 6 4 2" xfId="12065"/>
    <cellStyle name="Valuta 4 3 2 6 4 2 2" xfId="26536"/>
    <cellStyle name="Valuta 4 3 2 6 4 3" xfId="26537"/>
    <cellStyle name="Valuta 4 3 2 6 5" xfId="10281"/>
    <cellStyle name="Valuta 4 3 2 6 5 2" xfId="26538"/>
    <cellStyle name="Valuta 4 3 2 6 6" xfId="26539"/>
    <cellStyle name="Valuta 4 3 2 7" xfId="2812"/>
    <cellStyle name="Valuta 4 3 2 7 2" xfId="4846"/>
    <cellStyle name="Valuta 4 3 2 7 2 2" xfId="15070"/>
    <cellStyle name="Valuta 4 3 2 7 2 2 2" xfId="26540"/>
    <cellStyle name="Valuta 4 3 2 7 2 3" xfId="26541"/>
    <cellStyle name="Valuta 4 3 2 7 3" xfId="15069"/>
    <cellStyle name="Valuta 4 3 2 7 3 2" xfId="26542"/>
    <cellStyle name="Valuta 4 3 2 7 4" xfId="26543"/>
    <cellStyle name="Valuta 4 3 2 8" xfId="3829"/>
    <cellStyle name="Valuta 4 3 2 8 2" xfId="15071"/>
    <cellStyle name="Valuta 4 3 2 8 2 2" xfId="26544"/>
    <cellStyle name="Valuta 4 3 2 8 3" xfId="26545"/>
    <cellStyle name="Valuta 4 3 2 9" xfId="7643"/>
    <cellStyle name="Valuta 4 3 2 9 2" xfId="11950"/>
    <cellStyle name="Valuta 4 3 2 9 2 2" xfId="26546"/>
    <cellStyle name="Valuta 4 3 2 9 3" xfId="26547"/>
    <cellStyle name="Valuta 4 3 3" xfId="1778"/>
    <cellStyle name="Valuta 4 3 3 10" xfId="10282"/>
    <cellStyle name="Valuta 4 3 3 10 2" xfId="26548"/>
    <cellStyle name="Valuta 4 3 3 11" xfId="26549"/>
    <cellStyle name="Valuta 4 3 3 2" xfId="1820"/>
    <cellStyle name="Valuta 4 3 3 2 2" xfId="1946"/>
    <cellStyle name="Valuta 4 3 3 2 2 2" xfId="2198"/>
    <cellStyle name="Valuta 4 3 3 2 2 2 2" xfId="2742"/>
    <cellStyle name="Valuta 4 3 3 2 2 2 2 2" xfId="3759"/>
    <cellStyle name="Valuta 4 3 3 2 2 2 2 2 2" xfId="5793"/>
    <cellStyle name="Valuta 4 3 3 2 2 2 2 2 2 2" xfId="15073"/>
    <cellStyle name="Valuta 4 3 3 2 2 2 2 2 2 2 2" xfId="26550"/>
    <cellStyle name="Valuta 4 3 3 2 2 2 2 2 2 3" xfId="26551"/>
    <cellStyle name="Valuta 4 3 3 2 2 2 2 2 3" xfId="15072"/>
    <cellStyle name="Valuta 4 3 3 2 2 2 2 2 3 2" xfId="26552"/>
    <cellStyle name="Valuta 4 3 3 2 2 2 2 2 4" xfId="26553"/>
    <cellStyle name="Valuta 4 3 3 2 2 2 2 3" xfId="4776"/>
    <cellStyle name="Valuta 4 3 3 2 2 2 2 3 2" xfId="15074"/>
    <cellStyle name="Valuta 4 3 3 2 2 2 2 3 2 2" xfId="26554"/>
    <cellStyle name="Valuta 4 3 3 2 2 2 2 3 3" xfId="26555"/>
    <cellStyle name="Valuta 4 3 3 2 2 2 2 4" xfId="7644"/>
    <cellStyle name="Valuta 4 3 3 2 2 2 2 4 2" xfId="12158"/>
    <cellStyle name="Valuta 4 3 3 2 2 2 2 4 2 2" xfId="26556"/>
    <cellStyle name="Valuta 4 3 3 2 2 2 2 4 3" xfId="26557"/>
    <cellStyle name="Valuta 4 3 3 2 2 2 2 5" xfId="10286"/>
    <cellStyle name="Valuta 4 3 3 2 2 2 2 5 2" xfId="26558"/>
    <cellStyle name="Valuta 4 3 3 2 2 2 2 6" xfId="26559"/>
    <cellStyle name="Valuta 4 3 3 2 2 2 3" xfId="3246"/>
    <cellStyle name="Valuta 4 3 3 2 2 2 3 2" xfId="5280"/>
    <cellStyle name="Valuta 4 3 3 2 2 2 3 2 2" xfId="15076"/>
    <cellStyle name="Valuta 4 3 3 2 2 2 3 2 2 2" xfId="26560"/>
    <cellStyle name="Valuta 4 3 3 2 2 2 3 2 3" xfId="26561"/>
    <cellStyle name="Valuta 4 3 3 2 2 2 3 3" xfId="15075"/>
    <cellStyle name="Valuta 4 3 3 2 2 2 3 3 2" xfId="26562"/>
    <cellStyle name="Valuta 4 3 3 2 2 2 3 4" xfId="26563"/>
    <cellStyle name="Valuta 4 3 3 2 2 2 4" xfId="4263"/>
    <cellStyle name="Valuta 4 3 3 2 2 2 4 2" xfId="15077"/>
    <cellStyle name="Valuta 4 3 3 2 2 2 4 2 2" xfId="26564"/>
    <cellStyle name="Valuta 4 3 3 2 2 2 4 3" xfId="26565"/>
    <cellStyle name="Valuta 4 3 3 2 2 2 5" xfId="7645"/>
    <cellStyle name="Valuta 4 3 3 2 2 2 5 2" xfId="12043"/>
    <cellStyle name="Valuta 4 3 3 2 2 2 5 2 2" xfId="26566"/>
    <cellStyle name="Valuta 4 3 3 2 2 2 5 3" xfId="26567"/>
    <cellStyle name="Valuta 4 3 3 2 2 2 6" xfId="10285"/>
    <cellStyle name="Valuta 4 3 3 2 2 2 6 2" xfId="26568"/>
    <cellStyle name="Valuta 4 3 3 2 2 2 7" xfId="26569"/>
    <cellStyle name="Valuta 4 3 3 2 2 3" xfId="2490"/>
    <cellStyle name="Valuta 4 3 3 2 2 3 2" xfId="3507"/>
    <cellStyle name="Valuta 4 3 3 2 2 3 2 2" xfId="5541"/>
    <cellStyle name="Valuta 4 3 3 2 2 3 2 2 2" xfId="15079"/>
    <cellStyle name="Valuta 4 3 3 2 2 3 2 2 2 2" xfId="26570"/>
    <cellStyle name="Valuta 4 3 3 2 2 3 2 2 3" xfId="26571"/>
    <cellStyle name="Valuta 4 3 3 2 2 3 2 3" xfId="15078"/>
    <cellStyle name="Valuta 4 3 3 2 2 3 2 3 2" xfId="26572"/>
    <cellStyle name="Valuta 4 3 3 2 2 3 2 4" xfId="26573"/>
    <cellStyle name="Valuta 4 3 3 2 2 3 3" xfId="4524"/>
    <cellStyle name="Valuta 4 3 3 2 2 3 3 2" xfId="15080"/>
    <cellStyle name="Valuta 4 3 3 2 2 3 3 2 2" xfId="26574"/>
    <cellStyle name="Valuta 4 3 3 2 2 3 3 3" xfId="26575"/>
    <cellStyle name="Valuta 4 3 3 2 2 3 4" xfId="7646"/>
    <cellStyle name="Valuta 4 3 3 2 2 3 4 2" xfId="12104"/>
    <cellStyle name="Valuta 4 3 3 2 2 3 4 2 2" xfId="26576"/>
    <cellStyle name="Valuta 4 3 3 2 2 3 4 3" xfId="26577"/>
    <cellStyle name="Valuta 4 3 3 2 2 3 5" xfId="10287"/>
    <cellStyle name="Valuta 4 3 3 2 2 3 5 2" xfId="26578"/>
    <cellStyle name="Valuta 4 3 3 2 2 3 6" xfId="26579"/>
    <cellStyle name="Valuta 4 3 3 2 2 4" xfId="2994"/>
    <cellStyle name="Valuta 4 3 3 2 2 4 2" xfId="5028"/>
    <cellStyle name="Valuta 4 3 3 2 2 4 2 2" xfId="15082"/>
    <cellStyle name="Valuta 4 3 3 2 2 4 2 2 2" xfId="26580"/>
    <cellStyle name="Valuta 4 3 3 2 2 4 2 3" xfId="26581"/>
    <cellStyle name="Valuta 4 3 3 2 2 4 3" xfId="15081"/>
    <cellStyle name="Valuta 4 3 3 2 2 4 3 2" xfId="26582"/>
    <cellStyle name="Valuta 4 3 3 2 2 4 4" xfId="26583"/>
    <cellStyle name="Valuta 4 3 3 2 2 5" xfId="4011"/>
    <cellStyle name="Valuta 4 3 3 2 2 5 2" xfId="15083"/>
    <cellStyle name="Valuta 4 3 3 2 2 5 2 2" xfId="26584"/>
    <cellStyle name="Valuta 4 3 3 2 2 5 3" xfId="26585"/>
    <cellStyle name="Valuta 4 3 3 2 2 6" xfId="7647"/>
    <cellStyle name="Valuta 4 3 3 2 2 6 2" xfId="11989"/>
    <cellStyle name="Valuta 4 3 3 2 2 6 2 2" xfId="26586"/>
    <cellStyle name="Valuta 4 3 3 2 2 6 3" xfId="26587"/>
    <cellStyle name="Valuta 4 3 3 2 2 7" xfId="10284"/>
    <cellStyle name="Valuta 4 3 3 2 2 7 2" xfId="26588"/>
    <cellStyle name="Valuta 4 3 3 2 2 8" xfId="26589"/>
    <cellStyle name="Valuta 4 3 3 2 3" xfId="2072"/>
    <cellStyle name="Valuta 4 3 3 2 3 2" xfId="2616"/>
    <cellStyle name="Valuta 4 3 3 2 3 2 2" xfId="3633"/>
    <cellStyle name="Valuta 4 3 3 2 3 2 2 2" xfId="5667"/>
    <cellStyle name="Valuta 4 3 3 2 3 2 2 2 2" xfId="15085"/>
    <cellStyle name="Valuta 4 3 3 2 3 2 2 2 2 2" xfId="26590"/>
    <cellStyle name="Valuta 4 3 3 2 3 2 2 2 3" xfId="26591"/>
    <cellStyle name="Valuta 4 3 3 2 3 2 2 3" xfId="15084"/>
    <cellStyle name="Valuta 4 3 3 2 3 2 2 3 2" xfId="26592"/>
    <cellStyle name="Valuta 4 3 3 2 3 2 2 4" xfId="26593"/>
    <cellStyle name="Valuta 4 3 3 2 3 2 3" xfId="4650"/>
    <cellStyle name="Valuta 4 3 3 2 3 2 3 2" xfId="15086"/>
    <cellStyle name="Valuta 4 3 3 2 3 2 3 2 2" xfId="26594"/>
    <cellStyle name="Valuta 4 3 3 2 3 2 3 3" xfId="26595"/>
    <cellStyle name="Valuta 4 3 3 2 3 2 4" xfId="7648"/>
    <cellStyle name="Valuta 4 3 3 2 3 2 4 2" xfId="12131"/>
    <cellStyle name="Valuta 4 3 3 2 3 2 4 2 2" xfId="26596"/>
    <cellStyle name="Valuta 4 3 3 2 3 2 4 3" xfId="26597"/>
    <cellStyle name="Valuta 4 3 3 2 3 2 5" xfId="10289"/>
    <cellStyle name="Valuta 4 3 3 2 3 2 5 2" xfId="26598"/>
    <cellStyle name="Valuta 4 3 3 2 3 2 6" xfId="26599"/>
    <cellStyle name="Valuta 4 3 3 2 3 3" xfId="3120"/>
    <cellStyle name="Valuta 4 3 3 2 3 3 2" xfId="5154"/>
    <cellStyle name="Valuta 4 3 3 2 3 3 2 2" xfId="15088"/>
    <cellStyle name="Valuta 4 3 3 2 3 3 2 2 2" xfId="26600"/>
    <cellStyle name="Valuta 4 3 3 2 3 3 2 3" xfId="26601"/>
    <cellStyle name="Valuta 4 3 3 2 3 3 3" xfId="15087"/>
    <cellStyle name="Valuta 4 3 3 2 3 3 3 2" xfId="26602"/>
    <cellStyle name="Valuta 4 3 3 2 3 3 4" xfId="26603"/>
    <cellStyle name="Valuta 4 3 3 2 3 4" xfId="4137"/>
    <cellStyle name="Valuta 4 3 3 2 3 4 2" xfId="15089"/>
    <cellStyle name="Valuta 4 3 3 2 3 4 2 2" xfId="26604"/>
    <cellStyle name="Valuta 4 3 3 2 3 4 3" xfId="26605"/>
    <cellStyle name="Valuta 4 3 3 2 3 5" xfId="7649"/>
    <cellStyle name="Valuta 4 3 3 2 3 5 2" xfId="12016"/>
    <cellStyle name="Valuta 4 3 3 2 3 5 2 2" xfId="26606"/>
    <cellStyle name="Valuta 4 3 3 2 3 5 3" xfId="26607"/>
    <cellStyle name="Valuta 4 3 3 2 3 6" xfId="10288"/>
    <cellStyle name="Valuta 4 3 3 2 3 6 2" xfId="26608"/>
    <cellStyle name="Valuta 4 3 3 2 3 7" xfId="26609"/>
    <cellStyle name="Valuta 4 3 3 2 4" xfId="2364"/>
    <cellStyle name="Valuta 4 3 3 2 4 2" xfId="3381"/>
    <cellStyle name="Valuta 4 3 3 2 4 2 2" xfId="5415"/>
    <cellStyle name="Valuta 4 3 3 2 4 2 2 2" xfId="15091"/>
    <cellStyle name="Valuta 4 3 3 2 4 2 2 2 2" xfId="26610"/>
    <cellStyle name="Valuta 4 3 3 2 4 2 2 3" xfId="26611"/>
    <cellStyle name="Valuta 4 3 3 2 4 2 3" xfId="15090"/>
    <cellStyle name="Valuta 4 3 3 2 4 2 3 2" xfId="26612"/>
    <cellStyle name="Valuta 4 3 3 2 4 2 4" xfId="26613"/>
    <cellStyle name="Valuta 4 3 3 2 4 3" xfId="4398"/>
    <cellStyle name="Valuta 4 3 3 2 4 3 2" xfId="15092"/>
    <cellStyle name="Valuta 4 3 3 2 4 3 2 2" xfId="26614"/>
    <cellStyle name="Valuta 4 3 3 2 4 3 3" xfId="26615"/>
    <cellStyle name="Valuta 4 3 3 2 4 4" xfId="7650"/>
    <cellStyle name="Valuta 4 3 3 2 4 4 2" xfId="12077"/>
    <cellStyle name="Valuta 4 3 3 2 4 4 2 2" xfId="26616"/>
    <cellStyle name="Valuta 4 3 3 2 4 4 3" xfId="26617"/>
    <cellStyle name="Valuta 4 3 3 2 4 5" xfId="10290"/>
    <cellStyle name="Valuta 4 3 3 2 4 5 2" xfId="26618"/>
    <cellStyle name="Valuta 4 3 3 2 4 6" xfId="26619"/>
    <cellStyle name="Valuta 4 3 3 2 5" xfId="2868"/>
    <cellStyle name="Valuta 4 3 3 2 5 2" xfId="4902"/>
    <cellStyle name="Valuta 4 3 3 2 5 2 2" xfId="15094"/>
    <cellStyle name="Valuta 4 3 3 2 5 2 2 2" xfId="26620"/>
    <cellStyle name="Valuta 4 3 3 2 5 2 3" xfId="26621"/>
    <cellStyle name="Valuta 4 3 3 2 5 3" xfId="15093"/>
    <cellStyle name="Valuta 4 3 3 2 5 3 2" xfId="26622"/>
    <cellStyle name="Valuta 4 3 3 2 5 4" xfId="26623"/>
    <cellStyle name="Valuta 4 3 3 2 6" xfId="3885"/>
    <cellStyle name="Valuta 4 3 3 2 6 2" xfId="15095"/>
    <cellStyle name="Valuta 4 3 3 2 6 2 2" xfId="26624"/>
    <cellStyle name="Valuta 4 3 3 2 6 3" xfId="26625"/>
    <cellStyle name="Valuta 4 3 3 2 7" xfId="7651"/>
    <cellStyle name="Valuta 4 3 3 2 7 2" xfId="11962"/>
    <cellStyle name="Valuta 4 3 3 2 7 2 2" xfId="26626"/>
    <cellStyle name="Valuta 4 3 3 2 7 3" xfId="26627"/>
    <cellStyle name="Valuta 4 3 3 2 8" xfId="10283"/>
    <cellStyle name="Valuta 4 3 3 2 8 2" xfId="26628"/>
    <cellStyle name="Valuta 4 3 3 2 9" xfId="26629"/>
    <cellStyle name="Valuta 4 3 3 3" xfId="1862"/>
    <cellStyle name="Valuta 4 3 3 3 2" xfId="1988"/>
    <cellStyle name="Valuta 4 3 3 3 2 2" xfId="2240"/>
    <cellStyle name="Valuta 4 3 3 3 2 2 2" xfId="2784"/>
    <cellStyle name="Valuta 4 3 3 3 2 2 2 2" xfId="3801"/>
    <cellStyle name="Valuta 4 3 3 3 2 2 2 2 2" xfId="5835"/>
    <cellStyle name="Valuta 4 3 3 3 2 2 2 2 2 2" xfId="15097"/>
    <cellStyle name="Valuta 4 3 3 3 2 2 2 2 2 2 2" xfId="26630"/>
    <cellStyle name="Valuta 4 3 3 3 2 2 2 2 2 3" xfId="26631"/>
    <cellStyle name="Valuta 4 3 3 3 2 2 2 2 3" xfId="15096"/>
    <cellStyle name="Valuta 4 3 3 3 2 2 2 2 3 2" xfId="26632"/>
    <cellStyle name="Valuta 4 3 3 3 2 2 2 2 4" xfId="26633"/>
    <cellStyle name="Valuta 4 3 3 3 2 2 2 3" xfId="4818"/>
    <cellStyle name="Valuta 4 3 3 3 2 2 2 3 2" xfId="15098"/>
    <cellStyle name="Valuta 4 3 3 3 2 2 2 3 2 2" xfId="26634"/>
    <cellStyle name="Valuta 4 3 3 3 2 2 2 3 3" xfId="26635"/>
    <cellStyle name="Valuta 4 3 3 3 2 2 2 4" xfId="7652"/>
    <cellStyle name="Valuta 4 3 3 3 2 2 2 4 2" xfId="12167"/>
    <cellStyle name="Valuta 4 3 3 3 2 2 2 4 2 2" xfId="26636"/>
    <cellStyle name="Valuta 4 3 3 3 2 2 2 4 3" xfId="26637"/>
    <cellStyle name="Valuta 4 3 3 3 2 2 2 5" xfId="10294"/>
    <cellStyle name="Valuta 4 3 3 3 2 2 2 5 2" xfId="26638"/>
    <cellStyle name="Valuta 4 3 3 3 2 2 2 6" xfId="26639"/>
    <cellStyle name="Valuta 4 3 3 3 2 2 3" xfId="3288"/>
    <cellStyle name="Valuta 4 3 3 3 2 2 3 2" xfId="5322"/>
    <cellStyle name="Valuta 4 3 3 3 2 2 3 2 2" xfId="15100"/>
    <cellStyle name="Valuta 4 3 3 3 2 2 3 2 2 2" xfId="26640"/>
    <cellStyle name="Valuta 4 3 3 3 2 2 3 2 3" xfId="26641"/>
    <cellStyle name="Valuta 4 3 3 3 2 2 3 3" xfId="15099"/>
    <cellStyle name="Valuta 4 3 3 3 2 2 3 3 2" xfId="26642"/>
    <cellStyle name="Valuta 4 3 3 3 2 2 3 4" xfId="26643"/>
    <cellStyle name="Valuta 4 3 3 3 2 2 4" xfId="4305"/>
    <cellStyle name="Valuta 4 3 3 3 2 2 4 2" xfId="15101"/>
    <cellStyle name="Valuta 4 3 3 3 2 2 4 2 2" xfId="26644"/>
    <cellStyle name="Valuta 4 3 3 3 2 2 4 3" xfId="26645"/>
    <cellStyle name="Valuta 4 3 3 3 2 2 5" xfId="7653"/>
    <cellStyle name="Valuta 4 3 3 3 2 2 5 2" xfId="12052"/>
    <cellStyle name="Valuta 4 3 3 3 2 2 5 2 2" xfId="26646"/>
    <cellStyle name="Valuta 4 3 3 3 2 2 5 3" xfId="26647"/>
    <cellStyle name="Valuta 4 3 3 3 2 2 6" xfId="10293"/>
    <cellStyle name="Valuta 4 3 3 3 2 2 6 2" xfId="26648"/>
    <cellStyle name="Valuta 4 3 3 3 2 2 7" xfId="26649"/>
    <cellStyle name="Valuta 4 3 3 3 2 3" xfId="2532"/>
    <cellStyle name="Valuta 4 3 3 3 2 3 2" xfId="3549"/>
    <cellStyle name="Valuta 4 3 3 3 2 3 2 2" xfId="5583"/>
    <cellStyle name="Valuta 4 3 3 3 2 3 2 2 2" xfId="15103"/>
    <cellStyle name="Valuta 4 3 3 3 2 3 2 2 2 2" xfId="26650"/>
    <cellStyle name="Valuta 4 3 3 3 2 3 2 2 3" xfId="26651"/>
    <cellStyle name="Valuta 4 3 3 3 2 3 2 3" xfId="15102"/>
    <cellStyle name="Valuta 4 3 3 3 2 3 2 3 2" xfId="26652"/>
    <cellStyle name="Valuta 4 3 3 3 2 3 2 4" xfId="26653"/>
    <cellStyle name="Valuta 4 3 3 3 2 3 3" xfId="4566"/>
    <cellStyle name="Valuta 4 3 3 3 2 3 3 2" xfId="15104"/>
    <cellStyle name="Valuta 4 3 3 3 2 3 3 2 2" xfId="26654"/>
    <cellStyle name="Valuta 4 3 3 3 2 3 3 3" xfId="26655"/>
    <cellStyle name="Valuta 4 3 3 3 2 3 4" xfId="7654"/>
    <cellStyle name="Valuta 4 3 3 3 2 3 4 2" xfId="12113"/>
    <cellStyle name="Valuta 4 3 3 3 2 3 4 2 2" xfId="26656"/>
    <cellStyle name="Valuta 4 3 3 3 2 3 4 3" xfId="26657"/>
    <cellStyle name="Valuta 4 3 3 3 2 3 5" xfId="10295"/>
    <cellStyle name="Valuta 4 3 3 3 2 3 5 2" xfId="26658"/>
    <cellStyle name="Valuta 4 3 3 3 2 3 6" xfId="26659"/>
    <cellStyle name="Valuta 4 3 3 3 2 4" xfId="3036"/>
    <cellStyle name="Valuta 4 3 3 3 2 4 2" xfId="5070"/>
    <cellStyle name="Valuta 4 3 3 3 2 4 2 2" xfId="15106"/>
    <cellStyle name="Valuta 4 3 3 3 2 4 2 2 2" xfId="26660"/>
    <cellStyle name="Valuta 4 3 3 3 2 4 2 3" xfId="26661"/>
    <cellStyle name="Valuta 4 3 3 3 2 4 3" xfId="15105"/>
    <cellStyle name="Valuta 4 3 3 3 2 4 3 2" xfId="26662"/>
    <cellStyle name="Valuta 4 3 3 3 2 4 4" xfId="26663"/>
    <cellStyle name="Valuta 4 3 3 3 2 5" xfId="4053"/>
    <cellStyle name="Valuta 4 3 3 3 2 5 2" xfId="15107"/>
    <cellStyle name="Valuta 4 3 3 3 2 5 2 2" xfId="26664"/>
    <cellStyle name="Valuta 4 3 3 3 2 5 3" xfId="26665"/>
    <cellStyle name="Valuta 4 3 3 3 2 6" xfId="7655"/>
    <cellStyle name="Valuta 4 3 3 3 2 6 2" xfId="11998"/>
    <cellStyle name="Valuta 4 3 3 3 2 6 2 2" xfId="26666"/>
    <cellStyle name="Valuta 4 3 3 3 2 6 3" xfId="26667"/>
    <cellStyle name="Valuta 4 3 3 3 2 7" xfId="10292"/>
    <cellStyle name="Valuta 4 3 3 3 2 7 2" xfId="26668"/>
    <cellStyle name="Valuta 4 3 3 3 2 8" xfId="26669"/>
    <cellStyle name="Valuta 4 3 3 3 3" xfId="2114"/>
    <cellStyle name="Valuta 4 3 3 3 3 2" xfId="2658"/>
    <cellStyle name="Valuta 4 3 3 3 3 2 2" xfId="3675"/>
    <cellStyle name="Valuta 4 3 3 3 3 2 2 2" xfId="5709"/>
    <cellStyle name="Valuta 4 3 3 3 3 2 2 2 2" xfId="15109"/>
    <cellStyle name="Valuta 4 3 3 3 3 2 2 2 2 2" xfId="26670"/>
    <cellStyle name="Valuta 4 3 3 3 3 2 2 2 3" xfId="26671"/>
    <cellStyle name="Valuta 4 3 3 3 3 2 2 3" xfId="15108"/>
    <cellStyle name="Valuta 4 3 3 3 3 2 2 3 2" xfId="26672"/>
    <cellStyle name="Valuta 4 3 3 3 3 2 2 4" xfId="26673"/>
    <cellStyle name="Valuta 4 3 3 3 3 2 3" xfId="4692"/>
    <cellStyle name="Valuta 4 3 3 3 3 2 3 2" xfId="15110"/>
    <cellStyle name="Valuta 4 3 3 3 3 2 3 2 2" xfId="26674"/>
    <cellStyle name="Valuta 4 3 3 3 3 2 3 3" xfId="26675"/>
    <cellStyle name="Valuta 4 3 3 3 3 2 4" xfId="7656"/>
    <cellStyle name="Valuta 4 3 3 3 3 2 4 2" xfId="12140"/>
    <cellStyle name="Valuta 4 3 3 3 3 2 4 2 2" xfId="26676"/>
    <cellStyle name="Valuta 4 3 3 3 3 2 4 3" xfId="26677"/>
    <cellStyle name="Valuta 4 3 3 3 3 2 5" xfId="10297"/>
    <cellStyle name="Valuta 4 3 3 3 3 2 5 2" xfId="26678"/>
    <cellStyle name="Valuta 4 3 3 3 3 2 6" xfId="26679"/>
    <cellStyle name="Valuta 4 3 3 3 3 3" xfId="3162"/>
    <cellStyle name="Valuta 4 3 3 3 3 3 2" xfId="5196"/>
    <cellStyle name="Valuta 4 3 3 3 3 3 2 2" xfId="15112"/>
    <cellStyle name="Valuta 4 3 3 3 3 3 2 2 2" xfId="26680"/>
    <cellStyle name="Valuta 4 3 3 3 3 3 2 3" xfId="26681"/>
    <cellStyle name="Valuta 4 3 3 3 3 3 3" xfId="15111"/>
    <cellStyle name="Valuta 4 3 3 3 3 3 3 2" xfId="26682"/>
    <cellStyle name="Valuta 4 3 3 3 3 3 4" xfId="26683"/>
    <cellStyle name="Valuta 4 3 3 3 3 4" xfId="4179"/>
    <cellStyle name="Valuta 4 3 3 3 3 4 2" xfId="15113"/>
    <cellStyle name="Valuta 4 3 3 3 3 4 2 2" xfId="26684"/>
    <cellStyle name="Valuta 4 3 3 3 3 4 3" xfId="26685"/>
    <cellStyle name="Valuta 4 3 3 3 3 5" xfId="7657"/>
    <cellStyle name="Valuta 4 3 3 3 3 5 2" xfId="12025"/>
    <cellStyle name="Valuta 4 3 3 3 3 5 2 2" xfId="26686"/>
    <cellStyle name="Valuta 4 3 3 3 3 5 3" xfId="26687"/>
    <cellStyle name="Valuta 4 3 3 3 3 6" xfId="10296"/>
    <cellStyle name="Valuta 4 3 3 3 3 6 2" xfId="26688"/>
    <cellStyle name="Valuta 4 3 3 3 3 7" xfId="26689"/>
    <cellStyle name="Valuta 4 3 3 3 4" xfId="2406"/>
    <cellStyle name="Valuta 4 3 3 3 4 2" xfId="3423"/>
    <cellStyle name="Valuta 4 3 3 3 4 2 2" xfId="5457"/>
    <cellStyle name="Valuta 4 3 3 3 4 2 2 2" xfId="15115"/>
    <cellStyle name="Valuta 4 3 3 3 4 2 2 2 2" xfId="26690"/>
    <cellStyle name="Valuta 4 3 3 3 4 2 2 3" xfId="26691"/>
    <cellStyle name="Valuta 4 3 3 3 4 2 3" xfId="15114"/>
    <cellStyle name="Valuta 4 3 3 3 4 2 3 2" xfId="26692"/>
    <cellStyle name="Valuta 4 3 3 3 4 2 4" xfId="26693"/>
    <cellStyle name="Valuta 4 3 3 3 4 3" xfId="4440"/>
    <cellStyle name="Valuta 4 3 3 3 4 3 2" xfId="15116"/>
    <cellStyle name="Valuta 4 3 3 3 4 3 2 2" xfId="26694"/>
    <cellStyle name="Valuta 4 3 3 3 4 3 3" xfId="26695"/>
    <cellStyle name="Valuta 4 3 3 3 4 4" xfId="7658"/>
    <cellStyle name="Valuta 4 3 3 3 4 4 2" xfId="12086"/>
    <cellStyle name="Valuta 4 3 3 3 4 4 2 2" xfId="26696"/>
    <cellStyle name="Valuta 4 3 3 3 4 4 3" xfId="26697"/>
    <cellStyle name="Valuta 4 3 3 3 4 5" xfId="10298"/>
    <cellStyle name="Valuta 4 3 3 3 4 5 2" xfId="26698"/>
    <cellStyle name="Valuta 4 3 3 3 4 6" xfId="26699"/>
    <cellStyle name="Valuta 4 3 3 3 5" xfId="2910"/>
    <cellStyle name="Valuta 4 3 3 3 5 2" xfId="4944"/>
    <cellStyle name="Valuta 4 3 3 3 5 2 2" xfId="15118"/>
    <cellStyle name="Valuta 4 3 3 3 5 2 2 2" xfId="26700"/>
    <cellStyle name="Valuta 4 3 3 3 5 2 3" xfId="26701"/>
    <cellStyle name="Valuta 4 3 3 3 5 3" xfId="15117"/>
    <cellStyle name="Valuta 4 3 3 3 5 3 2" xfId="26702"/>
    <cellStyle name="Valuta 4 3 3 3 5 4" xfId="26703"/>
    <cellStyle name="Valuta 4 3 3 3 6" xfId="3927"/>
    <cellStyle name="Valuta 4 3 3 3 6 2" xfId="15119"/>
    <cellStyle name="Valuta 4 3 3 3 6 2 2" xfId="26704"/>
    <cellStyle name="Valuta 4 3 3 3 6 3" xfId="26705"/>
    <cellStyle name="Valuta 4 3 3 3 7" xfId="7659"/>
    <cellStyle name="Valuta 4 3 3 3 7 2" xfId="11971"/>
    <cellStyle name="Valuta 4 3 3 3 7 2 2" xfId="26706"/>
    <cellStyle name="Valuta 4 3 3 3 7 3" xfId="26707"/>
    <cellStyle name="Valuta 4 3 3 3 8" xfId="10291"/>
    <cellStyle name="Valuta 4 3 3 3 8 2" xfId="26708"/>
    <cellStyle name="Valuta 4 3 3 3 9" xfId="26709"/>
    <cellStyle name="Valuta 4 3 3 4" xfId="1904"/>
    <cellStyle name="Valuta 4 3 3 4 2" xfId="2156"/>
    <cellStyle name="Valuta 4 3 3 4 2 2" xfId="2700"/>
    <cellStyle name="Valuta 4 3 3 4 2 2 2" xfId="3717"/>
    <cellStyle name="Valuta 4 3 3 4 2 2 2 2" xfId="5751"/>
    <cellStyle name="Valuta 4 3 3 4 2 2 2 2 2" xfId="15121"/>
    <cellStyle name="Valuta 4 3 3 4 2 2 2 2 2 2" xfId="26710"/>
    <cellStyle name="Valuta 4 3 3 4 2 2 2 2 3" xfId="26711"/>
    <cellStyle name="Valuta 4 3 3 4 2 2 2 3" xfId="15120"/>
    <cellStyle name="Valuta 4 3 3 4 2 2 2 3 2" xfId="26712"/>
    <cellStyle name="Valuta 4 3 3 4 2 2 2 4" xfId="26713"/>
    <cellStyle name="Valuta 4 3 3 4 2 2 3" xfId="4734"/>
    <cellStyle name="Valuta 4 3 3 4 2 2 3 2" xfId="15122"/>
    <cellStyle name="Valuta 4 3 3 4 2 2 3 2 2" xfId="26714"/>
    <cellStyle name="Valuta 4 3 3 4 2 2 3 3" xfId="26715"/>
    <cellStyle name="Valuta 4 3 3 4 2 2 4" xfId="7660"/>
    <cellStyle name="Valuta 4 3 3 4 2 2 4 2" xfId="12149"/>
    <cellStyle name="Valuta 4 3 3 4 2 2 4 2 2" xfId="26716"/>
    <cellStyle name="Valuta 4 3 3 4 2 2 4 3" xfId="26717"/>
    <cellStyle name="Valuta 4 3 3 4 2 2 5" xfId="10301"/>
    <cellStyle name="Valuta 4 3 3 4 2 2 5 2" xfId="26718"/>
    <cellStyle name="Valuta 4 3 3 4 2 2 6" xfId="26719"/>
    <cellStyle name="Valuta 4 3 3 4 2 3" xfId="3204"/>
    <cellStyle name="Valuta 4 3 3 4 2 3 2" xfId="5238"/>
    <cellStyle name="Valuta 4 3 3 4 2 3 2 2" xfId="15124"/>
    <cellStyle name="Valuta 4 3 3 4 2 3 2 2 2" xfId="26720"/>
    <cellStyle name="Valuta 4 3 3 4 2 3 2 3" xfId="26721"/>
    <cellStyle name="Valuta 4 3 3 4 2 3 3" xfId="15123"/>
    <cellStyle name="Valuta 4 3 3 4 2 3 3 2" xfId="26722"/>
    <cellStyle name="Valuta 4 3 3 4 2 3 4" xfId="26723"/>
    <cellStyle name="Valuta 4 3 3 4 2 4" xfId="4221"/>
    <cellStyle name="Valuta 4 3 3 4 2 4 2" xfId="15125"/>
    <cellStyle name="Valuta 4 3 3 4 2 4 2 2" xfId="26724"/>
    <cellStyle name="Valuta 4 3 3 4 2 4 3" xfId="26725"/>
    <cellStyle name="Valuta 4 3 3 4 2 5" xfId="7661"/>
    <cellStyle name="Valuta 4 3 3 4 2 5 2" xfId="12034"/>
    <cellStyle name="Valuta 4 3 3 4 2 5 2 2" xfId="26726"/>
    <cellStyle name="Valuta 4 3 3 4 2 5 3" xfId="26727"/>
    <cellStyle name="Valuta 4 3 3 4 2 6" xfId="10300"/>
    <cellStyle name="Valuta 4 3 3 4 2 6 2" xfId="26728"/>
    <cellStyle name="Valuta 4 3 3 4 2 7" xfId="26729"/>
    <cellStyle name="Valuta 4 3 3 4 3" xfId="2448"/>
    <cellStyle name="Valuta 4 3 3 4 3 2" xfId="3465"/>
    <cellStyle name="Valuta 4 3 3 4 3 2 2" xfId="5499"/>
    <cellStyle name="Valuta 4 3 3 4 3 2 2 2" xfId="15127"/>
    <cellStyle name="Valuta 4 3 3 4 3 2 2 2 2" xfId="26730"/>
    <cellStyle name="Valuta 4 3 3 4 3 2 2 3" xfId="26731"/>
    <cellStyle name="Valuta 4 3 3 4 3 2 3" xfId="15126"/>
    <cellStyle name="Valuta 4 3 3 4 3 2 3 2" xfId="26732"/>
    <cellStyle name="Valuta 4 3 3 4 3 2 4" xfId="26733"/>
    <cellStyle name="Valuta 4 3 3 4 3 3" xfId="4482"/>
    <cellStyle name="Valuta 4 3 3 4 3 3 2" xfId="15128"/>
    <cellStyle name="Valuta 4 3 3 4 3 3 2 2" xfId="26734"/>
    <cellStyle name="Valuta 4 3 3 4 3 3 3" xfId="26735"/>
    <cellStyle name="Valuta 4 3 3 4 3 4" xfId="7662"/>
    <cellStyle name="Valuta 4 3 3 4 3 4 2" xfId="12095"/>
    <cellStyle name="Valuta 4 3 3 4 3 4 2 2" xfId="26736"/>
    <cellStyle name="Valuta 4 3 3 4 3 4 3" xfId="26737"/>
    <cellStyle name="Valuta 4 3 3 4 3 5" xfId="10302"/>
    <cellStyle name="Valuta 4 3 3 4 3 5 2" xfId="26738"/>
    <cellStyle name="Valuta 4 3 3 4 3 6" xfId="26739"/>
    <cellStyle name="Valuta 4 3 3 4 4" xfId="2952"/>
    <cellStyle name="Valuta 4 3 3 4 4 2" xfId="4986"/>
    <cellStyle name="Valuta 4 3 3 4 4 2 2" xfId="15130"/>
    <cellStyle name="Valuta 4 3 3 4 4 2 2 2" xfId="26740"/>
    <cellStyle name="Valuta 4 3 3 4 4 2 3" xfId="26741"/>
    <cellStyle name="Valuta 4 3 3 4 4 3" xfId="15129"/>
    <cellStyle name="Valuta 4 3 3 4 4 3 2" xfId="26742"/>
    <cellStyle name="Valuta 4 3 3 4 4 4" xfId="26743"/>
    <cellStyle name="Valuta 4 3 3 4 5" xfId="3969"/>
    <cellStyle name="Valuta 4 3 3 4 5 2" xfId="15131"/>
    <cellStyle name="Valuta 4 3 3 4 5 2 2" xfId="26744"/>
    <cellStyle name="Valuta 4 3 3 4 5 3" xfId="26745"/>
    <cellStyle name="Valuta 4 3 3 4 6" xfId="7663"/>
    <cellStyle name="Valuta 4 3 3 4 6 2" xfId="11980"/>
    <cellStyle name="Valuta 4 3 3 4 6 2 2" xfId="26746"/>
    <cellStyle name="Valuta 4 3 3 4 6 3" xfId="26747"/>
    <cellStyle name="Valuta 4 3 3 4 7" xfId="10299"/>
    <cellStyle name="Valuta 4 3 3 4 7 2" xfId="26748"/>
    <cellStyle name="Valuta 4 3 3 4 8" xfId="26749"/>
    <cellStyle name="Valuta 4 3 3 5" xfId="2030"/>
    <cellStyle name="Valuta 4 3 3 5 2" xfId="2574"/>
    <cellStyle name="Valuta 4 3 3 5 2 2" xfId="3591"/>
    <cellStyle name="Valuta 4 3 3 5 2 2 2" xfId="5625"/>
    <cellStyle name="Valuta 4 3 3 5 2 2 2 2" xfId="15133"/>
    <cellStyle name="Valuta 4 3 3 5 2 2 2 2 2" xfId="26750"/>
    <cellStyle name="Valuta 4 3 3 5 2 2 2 3" xfId="26751"/>
    <cellStyle name="Valuta 4 3 3 5 2 2 3" xfId="15132"/>
    <cellStyle name="Valuta 4 3 3 5 2 2 3 2" xfId="26752"/>
    <cellStyle name="Valuta 4 3 3 5 2 2 4" xfId="26753"/>
    <cellStyle name="Valuta 4 3 3 5 2 3" xfId="4608"/>
    <cellStyle name="Valuta 4 3 3 5 2 3 2" xfId="15134"/>
    <cellStyle name="Valuta 4 3 3 5 2 3 2 2" xfId="26754"/>
    <cellStyle name="Valuta 4 3 3 5 2 3 3" xfId="26755"/>
    <cellStyle name="Valuta 4 3 3 5 2 4" xfId="7664"/>
    <cellStyle name="Valuta 4 3 3 5 2 4 2" xfId="12122"/>
    <cellStyle name="Valuta 4 3 3 5 2 4 2 2" xfId="26756"/>
    <cellStyle name="Valuta 4 3 3 5 2 4 3" xfId="26757"/>
    <cellStyle name="Valuta 4 3 3 5 2 5" xfId="10304"/>
    <cellStyle name="Valuta 4 3 3 5 2 5 2" xfId="26758"/>
    <cellStyle name="Valuta 4 3 3 5 2 6" xfId="26759"/>
    <cellStyle name="Valuta 4 3 3 5 3" xfId="3078"/>
    <cellStyle name="Valuta 4 3 3 5 3 2" xfId="5112"/>
    <cellStyle name="Valuta 4 3 3 5 3 2 2" xfId="15136"/>
    <cellStyle name="Valuta 4 3 3 5 3 2 2 2" xfId="26760"/>
    <cellStyle name="Valuta 4 3 3 5 3 2 3" xfId="26761"/>
    <cellStyle name="Valuta 4 3 3 5 3 3" xfId="15135"/>
    <cellStyle name="Valuta 4 3 3 5 3 3 2" xfId="26762"/>
    <cellStyle name="Valuta 4 3 3 5 3 4" xfId="26763"/>
    <cellStyle name="Valuta 4 3 3 5 4" xfId="4095"/>
    <cellStyle name="Valuta 4 3 3 5 4 2" xfId="15137"/>
    <cellStyle name="Valuta 4 3 3 5 4 2 2" xfId="26764"/>
    <cellStyle name="Valuta 4 3 3 5 4 3" xfId="26765"/>
    <cellStyle name="Valuta 4 3 3 5 5" xfId="7665"/>
    <cellStyle name="Valuta 4 3 3 5 5 2" xfId="12007"/>
    <cellStyle name="Valuta 4 3 3 5 5 2 2" xfId="26766"/>
    <cellStyle name="Valuta 4 3 3 5 5 3" xfId="26767"/>
    <cellStyle name="Valuta 4 3 3 5 6" xfId="10303"/>
    <cellStyle name="Valuta 4 3 3 5 6 2" xfId="26768"/>
    <cellStyle name="Valuta 4 3 3 5 7" xfId="26769"/>
    <cellStyle name="Valuta 4 3 3 6" xfId="2322"/>
    <cellStyle name="Valuta 4 3 3 6 2" xfId="3339"/>
    <cellStyle name="Valuta 4 3 3 6 2 2" xfId="5373"/>
    <cellStyle name="Valuta 4 3 3 6 2 2 2" xfId="15139"/>
    <cellStyle name="Valuta 4 3 3 6 2 2 2 2" xfId="26770"/>
    <cellStyle name="Valuta 4 3 3 6 2 2 3" xfId="26771"/>
    <cellStyle name="Valuta 4 3 3 6 2 3" xfId="15138"/>
    <cellStyle name="Valuta 4 3 3 6 2 3 2" xfId="26772"/>
    <cellStyle name="Valuta 4 3 3 6 2 4" xfId="26773"/>
    <cellStyle name="Valuta 4 3 3 6 3" xfId="4356"/>
    <cellStyle name="Valuta 4 3 3 6 3 2" xfId="15140"/>
    <cellStyle name="Valuta 4 3 3 6 3 2 2" xfId="26774"/>
    <cellStyle name="Valuta 4 3 3 6 3 3" xfId="26775"/>
    <cellStyle name="Valuta 4 3 3 6 4" xfId="7666"/>
    <cellStyle name="Valuta 4 3 3 6 4 2" xfId="12068"/>
    <cellStyle name="Valuta 4 3 3 6 4 2 2" xfId="26776"/>
    <cellStyle name="Valuta 4 3 3 6 4 3" xfId="26777"/>
    <cellStyle name="Valuta 4 3 3 6 5" xfId="10305"/>
    <cellStyle name="Valuta 4 3 3 6 5 2" xfId="26778"/>
    <cellStyle name="Valuta 4 3 3 6 6" xfId="26779"/>
    <cellStyle name="Valuta 4 3 3 7" xfId="2826"/>
    <cellStyle name="Valuta 4 3 3 7 2" xfId="4860"/>
    <cellStyle name="Valuta 4 3 3 7 2 2" xfId="15142"/>
    <cellStyle name="Valuta 4 3 3 7 2 2 2" xfId="26780"/>
    <cellStyle name="Valuta 4 3 3 7 2 3" xfId="26781"/>
    <cellStyle name="Valuta 4 3 3 7 3" xfId="15141"/>
    <cellStyle name="Valuta 4 3 3 7 3 2" xfId="26782"/>
    <cellStyle name="Valuta 4 3 3 7 4" xfId="26783"/>
    <cellStyle name="Valuta 4 3 3 8" xfId="3843"/>
    <cellStyle name="Valuta 4 3 3 8 2" xfId="15143"/>
    <cellStyle name="Valuta 4 3 3 8 2 2" xfId="26784"/>
    <cellStyle name="Valuta 4 3 3 8 3" xfId="26785"/>
    <cellStyle name="Valuta 4 3 3 9" xfId="7667"/>
    <cellStyle name="Valuta 4 3 3 9 2" xfId="11953"/>
    <cellStyle name="Valuta 4 3 3 9 2 2" xfId="26786"/>
    <cellStyle name="Valuta 4 3 3 9 3" xfId="26787"/>
    <cellStyle name="Valuta 4 3 4" xfId="1792"/>
    <cellStyle name="Valuta 4 3 4 2" xfId="1918"/>
    <cellStyle name="Valuta 4 3 4 2 2" xfId="2170"/>
    <cellStyle name="Valuta 4 3 4 2 2 2" xfId="2714"/>
    <cellStyle name="Valuta 4 3 4 2 2 2 2" xfId="3731"/>
    <cellStyle name="Valuta 4 3 4 2 2 2 2 2" xfId="5765"/>
    <cellStyle name="Valuta 4 3 4 2 2 2 2 2 2" xfId="15145"/>
    <cellStyle name="Valuta 4 3 4 2 2 2 2 2 2 2" xfId="26788"/>
    <cellStyle name="Valuta 4 3 4 2 2 2 2 2 3" xfId="26789"/>
    <cellStyle name="Valuta 4 3 4 2 2 2 2 3" xfId="15144"/>
    <cellStyle name="Valuta 4 3 4 2 2 2 2 3 2" xfId="26790"/>
    <cellStyle name="Valuta 4 3 4 2 2 2 2 4" xfId="26791"/>
    <cellStyle name="Valuta 4 3 4 2 2 2 3" xfId="4748"/>
    <cellStyle name="Valuta 4 3 4 2 2 2 3 2" xfId="15146"/>
    <cellStyle name="Valuta 4 3 4 2 2 2 3 2 2" xfId="26792"/>
    <cellStyle name="Valuta 4 3 4 2 2 2 3 3" xfId="26793"/>
    <cellStyle name="Valuta 4 3 4 2 2 2 4" xfId="7668"/>
    <cellStyle name="Valuta 4 3 4 2 2 2 4 2" xfId="12152"/>
    <cellStyle name="Valuta 4 3 4 2 2 2 4 2 2" xfId="26794"/>
    <cellStyle name="Valuta 4 3 4 2 2 2 4 3" xfId="26795"/>
    <cellStyle name="Valuta 4 3 4 2 2 2 5" xfId="10309"/>
    <cellStyle name="Valuta 4 3 4 2 2 2 5 2" xfId="26796"/>
    <cellStyle name="Valuta 4 3 4 2 2 2 6" xfId="26797"/>
    <cellStyle name="Valuta 4 3 4 2 2 3" xfId="3218"/>
    <cellStyle name="Valuta 4 3 4 2 2 3 2" xfId="5252"/>
    <cellStyle name="Valuta 4 3 4 2 2 3 2 2" xfId="15148"/>
    <cellStyle name="Valuta 4 3 4 2 2 3 2 2 2" xfId="26798"/>
    <cellStyle name="Valuta 4 3 4 2 2 3 2 3" xfId="26799"/>
    <cellStyle name="Valuta 4 3 4 2 2 3 3" xfId="15147"/>
    <cellStyle name="Valuta 4 3 4 2 2 3 3 2" xfId="26800"/>
    <cellStyle name="Valuta 4 3 4 2 2 3 4" xfId="26801"/>
    <cellStyle name="Valuta 4 3 4 2 2 4" xfId="4235"/>
    <cellStyle name="Valuta 4 3 4 2 2 4 2" xfId="15149"/>
    <cellStyle name="Valuta 4 3 4 2 2 4 2 2" xfId="26802"/>
    <cellStyle name="Valuta 4 3 4 2 2 4 3" xfId="26803"/>
    <cellStyle name="Valuta 4 3 4 2 2 5" xfId="7669"/>
    <cellStyle name="Valuta 4 3 4 2 2 5 2" xfId="12037"/>
    <cellStyle name="Valuta 4 3 4 2 2 5 2 2" xfId="26804"/>
    <cellStyle name="Valuta 4 3 4 2 2 5 3" xfId="26805"/>
    <cellStyle name="Valuta 4 3 4 2 2 6" xfId="10308"/>
    <cellStyle name="Valuta 4 3 4 2 2 6 2" xfId="26806"/>
    <cellStyle name="Valuta 4 3 4 2 2 7" xfId="26807"/>
    <cellStyle name="Valuta 4 3 4 2 3" xfId="2462"/>
    <cellStyle name="Valuta 4 3 4 2 3 2" xfId="3479"/>
    <cellStyle name="Valuta 4 3 4 2 3 2 2" xfId="5513"/>
    <cellStyle name="Valuta 4 3 4 2 3 2 2 2" xfId="15151"/>
    <cellStyle name="Valuta 4 3 4 2 3 2 2 2 2" xfId="26808"/>
    <cellStyle name="Valuta 4 3 4 2 3 2 2 3" xfId="26809"/>
    <cellStyle name="Valuta 4 3 4 2 3 2 3" xfId="15150"/>
    <cellStyle name="Valuta 4 3 4 2 3 2 3 2" xfId="26810"/>
    <cellStyle name="Valuta 4 3 4 2 3 2 4" xfId="26811"/>
    <cellStyle name="Valuta 4 3 4 2 3 3" xfId="4496"/>
    <cellStyle name="Valuta 4 3 4 2 3 3 2" xfId="15152"/>
    <cellStyle name="Valuta 4 3 4 2 3 3 2 2" xfId="26812"/>
    <cellStyle name="Valuta 4 3 4 2 3 3 3" xfId="26813"/>
    <cellStyle name="Valuta 4 3 4 2 3 4" xfId="7670"/>
    <cellStyle name="Valuta 4 3 4 2 3 4 2" xfId="12098"/>
    <cellStyle name="Valuta 4 3 4 2 3 4 2 2" xfId="26814"/>
    <cellStyle name="Valuta 4 3 4 2 3 4 3" xfId="26815"/>
    <cellStyle name="Valuta 4 3 4 2 3 5" xfId="10310"/>
    <cellStyle name="Valuta 4 3 4 2 3 5 2" xfId="26816"/>
    <cellStyle name="Valuta 4 3 4 2 3 6" xfId="26817"/>
    <cellStyle name="Valuta 4 3 4 2 4" xfId="2966"/>
    <cellStyle name="Valuta 4 3 4 2 4 2" xfId="5000"/>
    <cellStyle name="Valuta 4 3 4 2 4 2 2" xfId="15154"/>
    <cellStyle name="Valuta 4 3 4 2 4 2 2 2" xfId="26818"/>
    <cellStyle name="Valuta 4 3 4 2 4 2 3" xfId="26819"/>
    <cellStyle name="Valuta 4 3 4 2 4 3" xfId="15153"/>
    <cellStyle name="Valuta 4 3 4 2 4 3 2" xfId="26820"/>
    <cellStyle name="Valuta 4 3 4 2 4 4" xfId="26821"/>
    <cellStyle name="Valuta 4 3 4 2 5" xfId="3983"/>
    <cellStyle name="Valuta 4 3 4 2 5 2" xfId="15155"/>
    <cellStyle name="Valuta 4 3 4 2 5 2 2" xfId="26822"/>
    <cellStyle name="Valuta 4 3 4 2 5 3" xfId="26823"/>
    <cellStyle name="Valuta 4 3 4 2 6" xfId="7671"/>
    <cellStyle name="Valuta 4 3 4 2 6 2" xfId="11983"/>
    <cellStyle name="Valuta 4 3 4 2 6 2 2" xfId="26824"/>
    <cellStyle name="Valuta 4 3 4 2 6 3" xfId="26825"/>
    <cellStyle name="Valuta 4 3 4 2 7" xfId="10307"/>
    <cellStyle name="Valuta 4 3 4 2 7 2" xfId="26826"/>
    <cellStyle name="Valuta 4 3 4 2 8" xfId="26827"/>
    <cellStyle name="Valuta 4 3 4 3" xfId="2044"/>
    <cellStyle name="Valuta 4 3 4 3 2" xfId="2588"/>
    <cellStyle name="Valuta 4 3 4 3 2 2" xfId="3605"/>
    <cellStyle name="Valuta 4 3 4 3 2 2 2" xfId="5639"/>
    <cellStyle name="Valuta 4 3 4 3 2 2 2 2" xfId="15157"/>
    <cellStyle name="Valuta 4 3 4 3 2 2 2 2 2" xfId="26828"/>
    <cellStyle name="Valuta 4 3 4 3 2 2 2 3" xfId="26829"/>
    <cellStyle name="Valuta 4 3 4 3 2 2 3" xfId="15156"/>
    <cellStyle name="Valuta 4 3 4 3 2 2 3 2" xfId="26830"/>
    <cellStyle name="Valuta 4 3 4 3 2 2 4" xfId="26831"/>
    <cellStyle name="Valuta 4 3 4 3 2 3" xfId="4622"/>
    <cellStyle name="Valuta 4 3 4 3 2 3 2" xfId="15158"/>
    <cellStyle name="Valuta 4 3 4 3 2 3 2 2" xfId="26832"/>
    <cellStyle name="Valuta 4 3 4 3 2 3 3" xfId="26833"/>
    <cellStyle name="Valuta 4 3 4 3 2 4" xfId="7672"/>
    <cellStyle name="Valuta 4 3 4 3 2 4 2" xfId="12125"/>
    <cellStyle name="Valuta 4 3 4 3 2 4 2 2" xfId="26834"/>
    <cellStyle name="Valuta 4 3 4 3 2 4 3" xfId="26835"/>
    <cellStyle name="Valuta 4 3 4 3 2 5" xfId="10312"/>
    <cellStyle name="Valuta 4 3 4 3 2 5 2" xfId="26836"/>
    <cellStyle name="Valuta 4 3 4 3 2 6" xfId="26837"/>
    <cellStyle name="Valuta 4 3 4 3 3" xfId="3092"/>
    <cellStyle name="Valuta 4 3 4 3 3 2" xfId="5126"/>
    <cellStyle name="Valuta 4 3 4 3 3 2 2" xfId="15160"/>
    <cellStyle name="Valuta 4 3 4 3 3 2 2 2" xfId="26838"/>
    <cellStyle name="Valuta 4 3 4 3 3 2 3" xfId="26839"/>
    <cellStyle name="Valuta 4 3 4 3 3 3" xfId="15159"/>
    <cellStyle name="Valuta 4 3 4 3 3 3 2" xfId="26840"/>
    <cellStyle name="Valuta 4 3 4 3 3 4" xfId="26841"/>
    <cellStyle name="Valuta 4 3 4 3 4" xfId="4109"/>
    <cellStyle name="Valuta 4 3 4 3 4 2" xfId="15161"/>
    <cellStyle name="Valuta 4 3 4 3 4 2 2" xfId="26842"/>
    <cellStyle name="Valuta 4 3 4 3 4 3" xfId="26843"/>
    <cellStyle name="Valuta 4 3 4 3 5" xfId="7673"/>
    <cellStyle name="Valuta 4 3 4 3 5 2" xfId="12010"/>
    <cellStyle name="Valuta 4 3 4 3 5 2 2" xfId="26844"/>
    <cellStyle name="Valuta 4 3 4 3 5 3" xfId="26845"/>
    <cellStyle name="Valuta 4 3 4 3 6" xfId="10311"/>
    <cellStyle name="Valuta 4 3 4 3 6 2" xfId="26846"/>
    <cellStyle name="Valuta 4 3 4 3 7" xfId="26847"/>
    <cellStyle name="Valuta 4 3 4 4" xfId="2336"/>
    <cellStyle name="Valuta 4 3 4 4 2" xfId="3353"/>
    <cellStyle name="Valuta 4 3 4 4 2 2" xfId="5387"/>
    <cellStyle name="Valuta 4 3 4 4 2 2 2" xfId="15163"/>
    <cellStyle name="Valuta 4 3 4 4 2 2 2 2" xfId="26848"/>
    <cellStyle name="Valuta 4 3 4 4 2 2 3" xfId="26849"/>
    <cellStyle name="Valuta 4 3 4 4 2 3" xfId="15162"/>
    <cellStyle name="Valuta 4 3 4 4 2 3 2" xfId="26850"/>
    <cellStyle name="Valuta 4 3 4 4 2 4" xfId="26851"/>
    <cellStyle name="Valuta 4 3 4 4 3" xfId="4370"/>
    <cellStyle name="Valuta 4 3 4 4 3 2" xfId="15164"/>
    <cellStyle name="Valuta 4 3 4 4 3 2 2" xfId="26852"/>
    <cellStyle name="Valuta 4 3 4 4 3 3" xfId="26853"/>
    <cellStyle name="Valuta 4 3 4 4 4" xfId="7674"/>
    <cellStyle name="Valuta 4 3 4 4 4 2" xfId="12071"/>
    <cellStyle name="Valuta 4 3 4 4 4 2 2" xfId="26854"/>
    <cellStyle name="Valuta 4 3 4 4 4 3" xfId="26855"/>
    <cellStyle name="Valuta 4 3 4 4 5" xfId="10313"/>
    <cellStyle name="Valuta 4 3 4 4 5 2" xfId="26856"/>
    <cellStyle name="Valuta 4 3 4 4 6" xfId="26857"/>
    <cellStyle name="Valuta 4 3 4 5" xfId="2840"/>
    <cellStyle name="Valuta 4 3 4 5 2" xfId="4874"/>
    <cellStyle name="Valuta 4 3 4 5 2 2" xfId="15166"/>
    <cellStyle name="Valuta 4 3 4 5 2 2 2" xfId="26858"/>
    <cellStyle name="Valuta 4 3 4 5 2 3" xfId="26859"/>
    <cellStyle name="Valuta 4 3 4 5 3" xfId="15165"/>
    <cellStyle name="Valuta 4 3 4 5 3 2" xfId="26860"/>
    <cellStyle name="Valuta 4 3 4 5 4" xfId="26861"/>
    <cellStyle name="Valuta 4 3 4 6" xfId="3857"/>
    <cellStyle name="Valuta 4 3 4 6 2" xfId="15167"/>
    <cellStyle name="Valuta 4 3 4 6 2 2" xfId="26862"/>
    <cellStyle name="Valuta 4 3 4 6 3" xfId="26863"/>
    <cellStyle name="Valuta 4 3 4 7" xfId="7675"/>
    <cellStyle name="Valuta 4 3 4 7 2" xfId="11956"/>
    <cellStyle name="Valuta 4 3 4 7 2 2" xfId="26864"/>
    <cellStyle name="Valuta 4 3 4 7 3" xfId="26865"/>
    <cellStyle name="Valuta 4 3 4 8" xfId="10306"/>
    <cellStyle name="Valuta 4 3 4 8 2" xfId="26866"/>
    <cellStyle name="Valuta 4 3 4 9" xfId="26867"/>
    <cellStyle name="Valuta 4 3 5" xfId="1834"/>
    <cellStyle name="Valuta 4 3 5 2" xfId="1960"/>
    <cellStyle name="Valuta 4 3 5 2 2" xfId="2212"/>
    <cellStyle name="Valuta 4 3 5 2 2 2" xfId="2756"/>
    <cellStyle name="Valuta 4 3 5 2 2 2 2" xfId="3773"/>
    <cellStyle name="Valuta 4 3 5 2 2 2 2 2" xfId="5807"/>
    <cellStyle name="Valuta 4 3 5 2 2 2 2 2 2" xfId="15169"/>
    <cellStyle name="Valuta 4 3 5 2 2 2 2 2 2 2" xfId="26868"/>
    <cellStyle name="Valuta 4 3 5 2 2 2 2 2 3" xfId="26869"/>
    <cellStyle name="Valuta 4 3 5 2 2 2 2 3" xfId="15168"/>
    <cellStyle name="Valuta 4 3 5 2 2 2 2 3 2" xfId="26870"/>
    <cellStyle name="Valuta 4 3 5 2 2 2 2 4" xfId="26871"/>
    <cellStyle name="Valuta 4 3 5 2 2 2 3" xfId="4790"/>
    <cellStyle name="Valuta 4 3 5 2 2 2 3 2" xfId="15170"/>
    <cellStyle name="Valuta 4 3 5 2 2 2 3 2 2" xfId="26872"/>
    <cellStyle name="Valuta 4 3 5 2 2 2 3 3" xfId="26873"/>
    <cellStyle name="Valuta 4 3 5 2 2 2 4" xfId="7676"/>
    <cellStyle name="Valuta 4 3 5 2 2 2 4 2" xfId="12161"/>
    <cellStyle name="Valuta 4 3 5 2 2 2 4 2 2" xfId="26874"/>
    <cellStyle name="Valuta 4 3 5 2 2 2 4 3" xfId="26875"/>
    <cellStyle name="Valuta 4 3 5 2 2 2 5" xfId="10317"/>
    <cellStyle name="Valuta 4 3 5 2 2 2 5 2" xfId="26876"/>
    <cellStyle name="Valuta 4 3 5 2 2 2 6" xfId="26877"/>
    <cellStyle name="Valuta 4 3 5 2 2 3" xfId="3260"/>
    <cellStyle name="Valuta 4 3 5 2 2 3 2" xfId="5294"/>
    <cellStyle name="Valuta 4 3 5 2 2 3 2 2" xfId="15172"/>
    <cellStyle name="Valuta 4 3 5 2 2 3 2 2 2" xfId="26878"/>
    <cellStyle name="Valuta 4 3 5 2 2 3 2 3" xfId="26879"/>
    <cellStyle name="Valuta 4 3 5 2 2 3 3" xfId="15171"/>
    <cellStyle name="Valuta 4 3 5 2 2 3 3 2" xfId="26880"/>
    <cellStyle name="Valuta 4 3 5 2 2 3 4" xfId="26881"/>
    <cellStyle name="Valuta 4 3 5 2 2 4" xfId="4277"/>
    <cellStyle name="Valuta 4 3 5 2 2 4 2" xfId="15173"/>
    <cellStyle name="Valuta 4 3 5 2 2 4 2 2" xfId="26882"/>
    <cellStyle name="Valuta 4 3 5 2 2 4 3" xfId="26883"/>
    <cellStyle name="Valuta 4 3 5 2 2 5" xfId="7677"/>
    <cellStyle name="Valuta 4 3 5 2 2 5 2" xfId="12046"/>
    <cellStyle name="Valuta 4 3 5 2 2 5 2 2" xfId="26884"/>
    <cellStyle name="Valuta 4 3 5 2 2 5 3" xfId="26885"/>
    <cellStyle name="Valuta 4 3 5 2 2 6" xfId="10316"/>
    <cellStyle name="Valuta 4 3 5 2 2 6 2" xfId="26886"/>
    <cellStyle name="Valuta 4 3 5 2 2 7" xfId="26887"/>
    <cellStyle name="Valuta 4 3 5 2 3" xfId="2504"/>
    <cellStyle name="Valuta 4 3 5 2 3 2" xfId="3521"/>
    <cellStyle name="Valuta 4 3 5 2 3 2 2" xfId="5555"/>
    <cellStyle name="Valuta 4 3 5 2 3 2 2 2" xfId="15175"/>
    <cellStyle name="Valuta 4 3 5 2 3 2 2 2 2" xfId="26888"/>
    <cellStyle name="Valuta 4 3 5 2 3 2 2 3" xfId="26889"/>
    <cellStyle name="Valuta 4 3 5 2 3 2 3" xfId="15174"/>
    <cellStyle name="Valuta 4 3 5 2 3 2 3 2" xfId="26890"/>
    <cellStyle name="Valuta 4 3 5 2 3 2 4" xfId="26891"/>
    <cellStyle name="Valuta 4 3 5 2 3 3" xfId="4538"/>
    <cellStyle name="Valuta 4 3 5 2 3 3 2" xfId="15176"/>
    <cellStyle name="Valuta 4 3 5 2 3 3 2 2" xfId="26892"/>
    <cellStyle name="Valuta 4 3 5 2 3 3 3" xfId="26893"/>
    <cellStyle name="Valuta 4 3 5 2 3 4" xfId="7678"/>
    <cellStyle name="Valuta 4 3 5 2 3 4 2" xfId="12107"/>
    <cellStyle name="Valuta 4 3 5 2 3 4 2 2" xfId="26894"/>
    <cellStyle name="Valuta 4 3 5 2 3 4 3" xfId="26895"/>
    <cellStyle name="Valuta 4 3 5 2 3 5" xfId="10318"/>
    <cellStyle name="Valuta 4 3 5 2 3 5 2" xfId="26896"/>
    <cellStyle name="Valuta 4 3 5 2 3 6" xfId="26897"/>
    <cellStyle name="Valuta 4 3 5 2 4" xfId="3008"/>
    <cellStyle name="Valuta 4 3 5 2 4 2" xfId="5042"/>
    <cellStyle name="Valuta 4 3 5 2 4 2 2" xfId="15178"/>
    <cellStyle name="Valuta 4 3 5 2 4 2 2 2" xfId="26898"/>
    <cellStyle name="Valuta 4 3 5 2 4 2 3" xfId="26899"/>
    <cellStyle name="Valuta 4 3 5 2 4 3" xfId="15177"/>
    <cellStyle name="Valuta 4 3 5 2 4 3 2" xfId="26900"/>
    <cellStyle name="Valuta 4 3 5 2 4 4" xfId="26901"/>
    <cellStyle name="Valuta 4 3 5 2 5" xfId="4025"/>
    <cellStyle name="Valuta 4 3 5 2 5 2" xfId="15179"/>
    <cellStyle name="Valuta 4 3 5 2 5 2 2" xfId="26902"/>
    <cellStyle name="Valuta 4 3 5 2 5 3" xfId="26903"/>
    <cellStyle name="Valuta 4 3 5 2 6" xfId="7679"/>
    <cellStyle name="Valuta 4 3 5 2 6 2" xfId="11992"/>
    <cellStyle name="Valuta 4 3 5 2 6 2 2" xfId="26904"/>
    <cellStyle name="Valuta 4 3 5 2 6 3" xfId="26905"/>
    <cellStyle name="Valuta 4 3 5 2 7" xfId="10315"/>
    <cellStyle name="Valuta 4 3 5 2 7 2" xfId="26906"/>
    <cellStyle name="Valuta 4 3 5 2 8" xfId="26907"/>
    <cellStyle name="Valuta 4 3 5 3" xfId="2086"/>
    <cellStyle name="Valuta 4 3 5 3 2" xfId="2630"/>
    <cellStyle name="Valuta 4 3 5 3 2 2" xfId="3647"/>
    <cellStyle name="Valuta 4 3 5 3 2 2 2" xfId="5681"/>
    <cellStyle name="Valuta 4 3 5 3 2 2 2 2" xfId="15181"/>
    <cellStyle name="Valuta 4 3 5 3 2 2 2 2 2" xfId="26908"/>
    <cellStyle name="Valuta 4 3 5 3 2 2 2 3" xfId="26909"/>
    <cellStyle name="Valuta 4 3 5 3 2 2 3" xfId="15180"/>
    <cellStyle name="Valuta 4 3 5 3 2 2 3 2" xfId="26910"/>
    <cellStyle name="Valuta 4 3 5 3 2 2 4" xfId="26911"/>
    <cellStyle name="Valuta 4 3 5 3 2 3" xfId="4664"/>
    <cellStyle name="Valuta 4 3 5 3 2 3 2" xfId="15182"/>
    <cellStyle name="Valuta 4 3 5 3 2 3 2 2" xfId="26912"/>
    <cellStyle name="Valuta 4 3 5 3 2 3 3" xfId="26913"/>
    <cellStyle name="Valuta 4 3 5 3 2 4" xfId="7680"/>
    <cellStyle name="Valuta 4 3 5 3 2 4 2" xfId="12134"/>
    <cellStyle name="Valuta 4 3 5 3 2 4 2 2" xfId="26914"/>
    <cellStyle name="Valuta 4 3 5 3 2 4 3" xfId="26915"/>
    <cellStyle name="Valuta 4 3 5 3 2 5" xfId="10320"/>
    <cellStyle name="Valuta 4 3 5 3 2 5 2" xfId="26916"/>
    <cellStyle name="Valuta 4 3 5 3 2 6" xfId="26917"/>
    <cellStyle name="Valuta 4 3 5 3 3" xfId="3134"/>
    <cellStyle name="Valuta 4 3 5 3 3 2" xfId="5168"/>
    <cellStyle name="Valuta 4 3 5 3 3 2 2" xfId="15184"/>
    <cellStyle name="Valuta 4 3 5 3 3 2 2 2" xfId="26918"/>
    <cellStyle name="Valuta 4 3 5 3 3 2 3" xfId="26919"/>
    <cellStyle name="Valuta 4 3 5 3 3 3" xfId="15183"/>
    <cellStyle name="Valuta 4 3 5 3 3 3 2" xfId="26920"/>
    <cellStyle name="Valuta 4 3 5 3 3 4" xfId="26921"/>
    <cellStyle name="Valuta 4 3 5 3 4" xfId="4151"/>
    <cellStyle name="Valuta 4 3 5 3 4 2" xfId="15185"/>
    <cellStyle name="Valuta 4 3 5 3 4 2 2" xfId="26922"/>
    <cellStyle name="Valuta 4 3 5 3 4 3" xfId="26923"/>
    <cellStyle name="Valuta 4 3 5 3 5" xfId="7681"/>
    <cellStyle name="Valuta 4 3 5 3 5 2" xfId="12019"/>
    <cellStyle name="Valuta 4 3 5 3 5 2 2" xfId="26924"/>
    <cellStyle name="Valuta 4 3 5 3 5 3" xfId="26925"/>
    <cellStyle name="Valuta 4 3 5 3 6" xfId="10319"/>
    <cellStyle name="Valuta 4 3 5 3 6 2" xfId="26926"/>
    <cellStyle name="Valuta 4 3 5 3 7" xfId="26927"/>
    <cellStyle name="Valuta 4 3 5 4" xfId="2378"/>
    <cellStyle name="Valuta 4 3 5 4 2" xfId="3395"/>
    <cellStyle name="Valuta 4 3 5 4 2 2" xfId="5429"/>
    <cellStyle name="Valuta 4 3 5 4 2 2 2" xfId="15187"/>
    <cellStyle name="Valuta 4 3 5 4 2 2 2 2" xfId="26928"/>
    <cellStyle name="Valuta 4 3 5 4 2 2 3" xfId="26929"/>
    <cellStyle name="Valuta 4 3 5 4 2 3" xfId="15186"/>
    <cellStyle name="Valuta 4 3 5 4 2 3 2" xfId="26930"/>
    <cellStyle name="Valuta 4 3 5 4 2 4" xfId="26931"/>
    <cellStyle name="Valuta 4 3 5 4 3" xfId="4412"/>
    <cellStyle name="Valuta 4 3 5 4 3 2" xfId="15188"/>
    <cellStyle name="Valuta 4 3 5 4 3 2 2" xfId="26932"/>
    <cellStyle name="Valuta 4 3 5 4 3 3" xfId="26933"/>
    <cellStyle name="Valuta 4 3 5 4 4" xfId="7682"/>
    <cellStyle name="Valuta 4 3 5 4 4 2" xfId="12080"/>
    <cellStyle name="Valuta 4 3 5 4 4 2 2" xfId="26934"/>
    <cellStyle name="Valuta 4 3 5 4 4 3" xfId="26935"/>
    <cellStyle name="Valuta 4 3 5 4 5" xfId="10321"/>
    <cellStyle name="Valuta 4 3 5 4 5 2" xfId="26936"/>
    <cellStyle name="Valuta 4 3 5 4 6" xfId="26937"/>
    <cellStyle name="Valuta 4 3 5 5" xfId="2882"/>
    <cellStyle name="Valuta 4 3 5 5 2" xfId="4916"/>
    <cellStyle name="Valuta 4 3 5 5 2 2" xfId="15190"/>
    <cellStyle name="Valuta 4 3 5 5 2 2 2" xfId="26938"/>
    <cellStyle name="Valuta 4 3 5 5 2 3" xfId="26939"/>
    <cellStyle name="Valuta 4 3 5 5 3" xfId="15189"/>
    <cellStyle name="Valuta 4 3 5 5 3 2" xfId="26940"/>
    <cellStyle name="Valuta 4 3 5 5 4" xfId="26941"/>
    <cellStyle name="Valuta 4 3 5 6" xfId="3899"/>
    <cellStyle name="Valuta 4 3 5 6 2" xfId="15191"/>
    <cellStyle name="Valuta 4 3 5 6 2 2" xfId="26942"/>
    <cellStyle name="Valuta 4 3 5 6 3" xfId="26943"/>
    <cellStyle name="Valuta 4 3 5 7" xfId="7683"/>
    <cellStyle name="Valuta 4 3 5 7 2" xfId="11965"/>
    <cellStyle name="Valuta 4 3 5 7 2 2" xfId="26944"/>
    <cellStyle name="Valuta 4 3 5 7 3" xfId="26945"/>
    <cellStyle name="Valuta 4 3 5 8" xfId="10314"/>
    <cellStyle name="Valuta 4 3 5 8 2" xfId="26946"/>
    <cellStyle name="Valuta 4 3 5 9" xfId="26947"/>
    <cellStyle name="Valuta 4 3 6" xfId="1876"/>
    <cellStyle name="Valuta 4 3 6 2" xfId="2128"/>
    <cellStyle name="Valuta 4 3 6 2 2" xfId="2672"/>
    <cellStyle name="Valuta 4 3 6 2 2 2" xfId="3689"/>
    <cellStyle name="Valuta 4 3 6 2 2 2 2" xfId="5723"/>
    <cellStyle name="Valuta 4 3 6 2 2 2 2 2" xfId="15193"/>
    <cellStyle name="Valuta 4 3 6 2 2 2 2 2 2" xfId="26948"/>
    <cellStyle name="Valuta 4 3 6 2 2 2 2 3" xfId="26949"/>
    <cellStyle name="Valuta 4 3 6 2 2 2 3" xfId="15192"/>
    <cellStyle name="Valuta 4 3 6 2 2 2 3 2" xfId="26950"/>
    <cellStyle name="Valuta 4 3 6 2 2 2 4" xfId="26951"/>
    <cellStyle name="Valuta 4 3 6 2 2 3" xfId="4706"/>
    <cellStyle name="Valuta 4 3 6 2 2 3 2" xfId="15194"/>
    <cellStyle name="Valuta 4 3 6 2 2 3 2 2" xfId="26952"/>
    <cellStyle name="Valuta 4 3 6 2 2 3 3" xfId="26953"/>
    <cellStyle name="Valuta 4 3 6 2 2 4" xfId="7684"/>
    <cellStyle name="Valuta 4 3 6 2 2 4 2" xfId="12143"/>
    <cellStyle name="Valuta 4 3 6 2 2 4 2 2" xfId="26954"/>
    <cellStyle name="Valuta 4 3 6 2 2 4 3" xfId="26955"/>
    <cellStyle name="Valuta 4 3 6 2 2 5" xfId="10324"/>
    <cellStyle name="Valuta 4 3 6 2 2 5 2" xfId="26956"/>
    <cellStyle name="Valuta 4 3 6 2 2 6" xfId="26957"/>
    <cellStyle name="Valuta 4 3 6 2 3" xfId="3176"/>
    <cellStyle name="Valuta 4 3 6 2 3 2" xfId="5210"/>
    <cellStyle name="Valuta 4 3 6 2 3 2 2" xfId="15196"/>
    <cellStyle name="Valuta 4 3 6 2 3 2 2 2" xfId="26958"/>
    <cellStyle name="Valuta 4 3 6 2 3 2 3" xfId="26959"/>
    <cellStyle name="Valuta 4 3 6 2 3 3" xfId="15195"/>
    <cellStyle name="Valuta 4 3 6 2 3 3 2" xfId="26960"/>
    <cellStyle name="Valuta 4 3 6 2 3 4" xfId="26961"/>
    <cellStyle name="Valuta 4 3 6 2 4" xfId="4193"/>
    <cellStyle name="Valuta 4 3 6 2 4 2" xfId="15197"/>
    <cellStyle name="Valuta 4 3 6 2 4 2 2" xfId="26962"/>
    <cellStyle name="Valuta 4 3 6 2 4 3" xfId="26963"/>
    <cellStyle name="Valuta 4 3 6 2 5" xfId="7685"/>
    <cellStyle name="Valuta 4 3 6 2 5 2" xfId="12028"/>
    <cellStyle name="Valuta 4 3 6 2 5 2 2" xfId="26964"/>
    <cellStyle name="Valuta 4 3 6 2 5 3" xfId="26965"/>
    <cellStyle name="Valuta 4 3 6 2 6" xfId="10323"/>
    <cellStyle name="Valuta 4 3 6 2 6 2" xfId="26966"/>
    <cellStyle name="Valuta 4 3 6 2 7" xfId="26967"/>
    <cellStyle name="Valuta 4 3 6 3" xfId="2420"/>
    <cellStyle name="Valuta 4 3 6 3 2" xfId="3437"/>
    <cellStyle name="Valuta 4 3 6 3 2 2" xfId="5471"/>
    <cellStyle name="Valuta 4 3 6 3 2 2 2" xfId="15199"/>
    <cellStyle name="Valuta 4 3 6 3 2 2 2 2" xfId="26968"/>
    <cellStyle name="Valuta 4 3 6 3 2 2 3" xfId="26969"/>
    <cellStyle name="Valuta 4 3 6 3 2 3" xfId="15198"/>
    <cellStyle name="Valuta 4 3 6 3 2 3 2" xfId="26970"/>
    <cellStyle name="Valuta 4 3 6 3 2 4" xfId="26971"/>
    <cellStyle name="Valuta 4 3 6 3 3" xfId="4454"/>
    <cellStyle name="Valuta 4 3 6 3 3 2" xfId="15200"/>
    <cellStyle name="Valuta 4 3 6 3 3 2 2" xfId="26972"/>
    <cellStyle name="Valuta 4 3 6 3 3 3" xfId="26973"/>
    <cellStyle name="Valuta 4 3 6 3 4" xfId="7686"/>
    <cellStyle name="Valuta 4 3 6 3 4 2" xfId="12089"/>
    <cellStyle name="Valuta 4 3 6 3 4 2 2" xfId="26974"/>
    <cellStyle name="Valuta 4 3 6 3 4 3" xfId="26975"/>
    <cellStyle name="Valuta 4 3 6 3 5" xfId="10325"/>
    <cellStyle name="Valuta 4 3 6 3 5 2" xfId="26976"/>
    <cellStyle name="Valuta 4 3 6 3 6" xfId="26977"/>
    <cellStyle name="Valuta 4 3 6 4" xfId="2924"/>
    <cellStyle name="Valuta 4 3 6 4 2" xfId="4958"/>
    <cellStyle name="Valuta 4 3 6 4 2 2" xfId="15202"/>
    <cellStyle name="Valuta 4 3 6 4 2 2 2" xfId="26978"/>
    <cellStyle name="Valuta 4 3 6 4 2 3" xfId="26979"/>
    <cellStyle name="Valuta 4 3 6 4 3" xfId="15201"/>
    <cellStyle name="Valuta 4 3 6 4 3 2" xfId="26980"/>
    <cellStyle name="Valuta 4 3 6 4 4" xfId="26981"/>
    <cellStyle name="Valuta 4 3 6 5" xfId="3941"/>
    <cellStyle name="Valuta 4 3 6 5 2" xfId="15203"/>
    <cellStyle name="Valuta 4 3 6 5 2 2" xfId="26982"/>
    <cellStyle name="Valuta 4 3 6 5 3" xfId="26983"/>
    <cellStyle name="Valuta 4 3 6 6" xfId="7687"/>
    <cellStyle name="Valuta 4 3 6 6 2" xfId="11974"/>
    <cellStyle name="Valuta 4 3 6 6 2 2" xfId="26984"/>
    <cellStyle name="Valuta 4 3 6 6 3" xfId="26985"/>
    <cellStyle name="Valuta 4 3 6 7" xfId="10322"/>
    <cellStyle name="Valuta 4 3 6 7 2" xfId="26986"/>
    <cellStyle name="Valuta 4 3 6 8" xfId="26987"/>
    <cellStyle name="Valuta 4 3 7" xfId="2002"/>
    <cellStyle name="Valuta 4 3 7 2" xfId="2546"/>
    <cellStyle name="Valuta 4 3 7 2 2" xfId="3563"/>
    <cellStyle name="Valuta 4 3 7 2 2 2" xfId="5597"/>
    <cellStyle name="Valuta 4 3 7 2 2 2 2" xfId="15205"/>
    <cellStyle name="Valuta 4 3 7 2 2 2 2 2" xfId="26988"/>
    <cellStyle name="Valuta 4 3 7 2 2 2 3" xfId="26989"/>
    <cellStyle name="Valuta 4 3 7 2 2 3" xfId="15204"/>
    <cellStyle name="Valuta 4 3 7 2 2 3 2" xfId="26990"/>
    <cellStyle name="Valuta 4 3 7 2 2 4" xfId="26991"/>
    <cellStyle name="Valuta 4 3 7 2 3" xfId="4580"/>
    <cellStyle name="Valuta 4 3 7 2 3 2" xfId="15206"/>
    <cellStyle name="Valuta 4 3 7 2 3 2 2" xfId="26992"/>
    <cellStyle name="Valuta 4 3 7 2 3 3" xfId="26993"/>
    <cellStyle name="Valuta 4 3 7 2 4" xfId="7688"/>
    <cellStyle name="Valuta 4 3 7 2 4 2" xfId="12116"/>
    <cellStyle name="Valuta 4 3 7 2 4 2 2" xfId="26994"/>
    <cellStyle name="Valuta 4 3 7 2 4 3" xfId="26995"/>
    <cellStyle name="Valuta 4 3 7 2 5" xfId="10327"/>
    <cellStyle name="Valuta 4 3 7 2 5 2" xfId="26996"/>
    <cellStyle name="Valuta 4 3 7 2 6" xfId="26997"/>
    <cellStyle name="Valuta 4 3 7 3" xfId="3050"/>
    <cellStyle name="Valuta 4 3 7 3 2" xfId="5084"/>
    <cellStyle name="Valuta 4 3 7 3 2 2" xfId="15208"/>
    <cellStyle name="Valuta 4 3 7 3 2 2 2" xfId="26998"/>
    <cellStyle name="Valuta 4 3 7 3 2 3" xfId="26999"/>
    <cellStyle name="Valuta 4 3 7 3 3" xfId="15207"/>
    <cellStyle name="Valuta 4 3 7 3 3 2" xfId="27000"/>
    <cellStyle name="Valuta 4 3 7 3 4" xfId="27001"/>
    <cellStyle name="Valuta 4 3 7 4" xfId="4067"/>
    <cellStyle name="Valuta 4 3 7 4 2" xfId="15209"/>
    <cellStyle name="Valuta 4 3 7 4 2 2" xfId="27002"/>
    <cellStyle name="Valuta 4 3 7 4 3" xfId="27003"/>
    <cellStyle name="Valuta 4 3 7 5" xfId="7689"/>
    <cellStyle name="Valuta 4 3 7 5 2" xfId="12001"/>
    <cellStyle name="Valuta 4 3 7 5 2 2" xfId="27004"/>
    <cellStyle name="Valuta 4 3 7 5 3" xfId="27005"/>
    <cellStyle name="Valuta 4 3 7 6" xfId="10326"/>
    <cellStyle name="Valuta 4 3 7 6 2" xfId="27006"/>
    <cellStyle name="Valuta 4 3 7 7" xfId="27007"/>
    <cellStyle name="Valuta 4 3 8" xfId="2294"/>
    <cellStyle name="Valuta 4 3 8 2" xfId="3311"/>
    <cellStyle name="Valuta 4 3 8 2 2" xfId="5345"/>
    <cellStyle name="Valuta 4 3 8 2 2 2" xfId="15211"/>
    <cellStyle name="Valuta 4 3 8 2 2 2 2" xfId="27008"/>
    <cellStyle name="Valuta 4 3 8 2 2 3" xfId="27009"/>
    <cellStyle name="Valuta 4 3 8 2 3" xfId="15210"/>
    <cellStyle name="Valuta 4 3 8 2 3 2" xfId="27010"/>
    <cellStyle name="Valuta 4 3 8 2 4" xfId="27011"/>
    <cellStyle name="Valuta 4 3 8 3" xfId="4328"/>
    <cellStyle name="Valuta 4 3 8 3 2" xfId="15212"/>
    <cellStyle name="Valuta 4 3 8 3 2 2" xfId="27012"/>
    <cellStyle name="Valuta 4 3 8 3 3" xfId="27013"/>
    <cellStyle name="Valuta 4 3 8 4" xfId="7690"/>
    <cellStyle name="Valuta 4 3 8 4 2" xfId="12062"/>
    <cellStyle name="Valuta 4 3 8 4 2 2" xfId="27014"/>
    <cellStyle name="Valuta 4 3 8 4 3" xfId="27015"/>
    <cellStyle name="Valuta 4 3 8 5" xfId="10328"/>
    <cellStyle name="Valuta 4 3 8 5 2" xfId="27016"/>
    <cellStyle name="Valuta 4 3 8 6" xfId="27017"/>
    <cellStyle name="Valuta 4 3 9" xfId="2798"/>
    <cellStyle name="Valuta 4 3 9 2" xfId="4832"/>
    <cellStyle name="Valuta 4 3 9 2 2" xfId="15214"/>
    <cellStyle name="Valuta 4 3 9 2 2 2" xfId="27018"/>
    <cellStyle name="Valuta 4 3 9 2 3" xfId="27019"/>
    <cellStyle name="Valuta 4 3 9 3" xfId="15213"/>
    <cellStyle name="Valuta 4 3 9 3 2" xfId="27020"/>
    <cellStyle name="Valuta 4 3 9 4" xfId="27021"/>
    <cellStyle name="Valuta 4 4" xfId="1763"/>
    <cellStyle name="Valuta 5" xfId="1736"/>
    <cellStyle name="Valuta 5 2" xfId="1737"/>
    <cellStyle name="Valuta 5 2 2" xfId="1738"/>
    <cellStyle name="Valuta 5 2 3" xfId="2277"/>
    <cellStyle name="Valuta 5 2 3 2" xfId="3296"/>
    <cellStyle name="Valuta 5 2 3 2 2" xfId="5330"/>
    <cellStyle name="Valuta 5 2 3 2 2 2" xfId="15216"/>
    <cellStyle name="Valuta 5 2 3 2 2 2 2" xfId="27022"/>
    <cellStyle name="Valuta 5 2 3 2 2 3" xfId="27023"/>
    <cellStyle name="Valuta 5 2 3 2 3" xfId="15215"/>
    <cellStyle name="Valuta 5 2 3 2 3 2" xfId="27024"/>
    <cellStyle name="Valuta 5 2 3 2 4" xfId="27025"/>
    <cellStyle name="Valuta 5 2 3 3" xfId="4313"/>
    <cellStyle name="Valuta 5 2 3 3 2" xfId="15217"/>
    <cellStyle name="Valuta 5 2 3 3 2 2" xfId="27026"/>
    <cellStyle name="Valuta 5 2 3 3 3" xfId="27027"/>
    <cellStyle name="Valuta 5 2 3 4" xfId="7691"/>
    <cellStyle name="Valuta 5 2 3 4 2" xfId="12059"/>
    <cellStyle name="Valuta 5 2 3 4 2 2" xfId="27028"/>
    <cellStyle name="Valuta 5 2 3 4 3" xfId="27029"/>
    <cellStyle name="Valuta 5 2 3 5" xfId="10329"/>
    <cellStyle name="Valuta 5 2 3 5 2" xfId="27030"/>
    <cellStyle name="Valuta 5 2 3 6" xfId="27031"/>
    <cellStyle name="Valuta 5 3" xfId="2245"/>
    <cellStyle name="Valuta 5 3 2" xfId="3291"/>
    <cellStyle name="Valuta 5 3 2 2" xfId="5325"/>
    <cellStyle name="Valuta 5 3 2 2 2" xfId="15219"/>
    <cellStyle name="Valuta 5 3 2 2 2 2" xfId="27032"/>
    <cellStyle name="Valuta 5 3 2 2 3" xfId="27033"/>
    <cellStyle name="Valuta 5 3 2 3" xfId="15218"/>
    <cellStyle name="Valuta 5 3 2 3 2" xfId="27034"/>
    <cellStyle name="Valuta 5 3 2 4" xfId="27035"/>
    <cellStyle name="Valuta 5 3 3" xfId="4308"/>
    <cellStyle name="Valuta 5 3 3 2" xfId="15220"/>
    <cellStyle name="Valuta 5 3 3 2 2" xfId="27036"/>
    <cellStyle name="Valuta 5 3 3 3" xfId="27037"/>
    <cellStyle name="Valuta 5 3 4" xfId="7692"/>
    <cellStyle name="Valuta 5 3 4 2" xfId="12054"/>
    <cellStyle name="Valuta 5 3 4 2 2" xfId="27038"/>
    <cellStyle name="Valuta 5 3 4 3" xfId="27039"/>
    <cellStyle name="Valuta 5 3 5" xfId="10330"/>
    <cellStyle name="Valuta 5 3 5 2" xfId="27040"/>
    <cellStyle name="Valuta 5 3 6" xfId="27041"/>
    <cellStyle name="Valuta 6" xfId="2262"/>
    <cellStyle name="Valuta 7" xfId="5837"/>
    <cellStyle name="Valuta 7 2" xfId="7693"/>
    <cellStyle name="Valuta 7 2 2" xfId="12169"/>
    <cellStyle name="Valuta 7 2 2 2" xfId="27042"/>
    <cellStyle name="Valuta 7 2 3" xfId="27043"/>
    <cellStyle name="Valuta 7 3" xfId="10331"/>
    <cellStyle name="Valuta 7 3 2" xfId="27044"/>
    <cellStyle name="Valuta 7 4" xfId="27045"/>
    <cellStyle name="Valuta 8" xfId="7694"/>
    <cellStyle name="Valuta 9" xfId="7695"/>
    <cellStyle name="Verklarende tekst 2" xfId="1739"/>
    <cellStyle name="Verklarende tekst 3" xfId="1740"/>
    <cellStyle name="Waarschuwingstekst 2" xfId="1741"/>
    <cellStyle name="Waarschuwingstekst 3" xfId="1742"/>
    <cellStyle name="Warning Text" xfId="1743"/>
    <cellStyle name="Валута 10" xfId="39946"/>
    <cellStyle name="Валута 2" xfId="39947"/>
    <cellStyle name="Валута 2 2" xfId="39948"/>
    <cellStyle name="Валута 3" xfId="39949"/>
    <cellStyle name="Валута 4" xfId="39950"/>
    <cellStyle name="Валута 5" xfId="39951"/>
    <cellStyle name="Валута 6" xfId="39952"/>
    <cellStyle name="Валута 7" xfId="39953"/>
    <cellStyle name="Валута 8" xfId="39954"/>
    <cellStyle name="Валута 9" xfId="39955"/>
    <cellStyle name="Запетая 10" xfId="39956"/>
    <cellStyle name="Запетая 2" xfId="39957"/>
    <cellStyle name="Запетая 2 2" xfId="39958"/>
    <cellStyle name="Запетая 3" xfId="39959"/>
    <cellStyle name="Запетая 4" xfId="39960"/>
    <cellStyle name="Запетая 5" xfId="39961"/>
    <cellStyle name="Запетая 6" xfId="39962"/>
    <cellStyle name="Запетая 7" xfId="39963"/>
    <cellStyle name="Запетая 8" xfId="39964"/>
    <cellStyle name="Запетая 9" xfId="39965"/>
    <cellStyle name="Нормален 10" xfId="39966"/>
    <cellStyle name="Нормален 10 2" xfId="39967"/>
    <cellStyle name="Нормален 10 2 2" xfId="39968"/>
    <cellStyle name="Нормален 10 3" xfId="39969"/>
    <cellStyle name="Нормален 10 3 2" xfId="39970"/>
    <cellStyle name="Нормален 10 4" xfId="39971"/>
    <cellStyle name="Нормален 11" xfId="39972"/>
    <cellStyle name="Нормален 11 2" xfId="39973"/>
    <cellStyle name="Нормален 12" xfId="39974"/>
    <cellStyle name="Нормален 12 2" xfId="39975"/>
    <cellStyle name="Нормален 2" xfId="39976"/>
    <cellStyle name="Нормален 2 2" xfId="39977"/>
    <cellStyle name="Нормален 2 3" xfId="39978"/>
    <cellStyle name="Нормален 2 4" xfId="39979"/>
    <cellStyle name="Нормален 3" xfId="39980"/>
    <cellStyle name="Нормален 3 2" xfId="39981"/>
    <cellStyle name="Нормален 4" xfId="39982"/>
    <cellStyle name="Нормален 4 2" xfId="39983"/>
    <cellStyle name="Нормален 4 2 2" xfId="39984"/>
    <cellStyle name="Нормален 4 3" xfId="39985"/>
    <cellStyle name="Нормален 4 3 2" xfId="39986"/>
    <cellStyle name="Нормален 4 4" xfId="39987"/>
    <cellStyle name="Нормален 5" xfId="39988"/>
    <cellStyle name="Нормален 5 2" xfId="39989"/>
    <cellStyle name="Нормален 6" xfId="39990"/>
    <cellStyle name="Нормален 6 2" xfId="39991"/>
    <cellStyle name="Нормален 7" xfId="39992"/>
    <cellStyle name="Нормален 7 2" xfId="39993"/>
    <cellStyle name="Процент 2" xfId="39994"/>
    <cellStyle name="Процент 2 2" xfId="39995"/>
  </cellStyles>
  <dxfs count="124">
    <dxf>
      <font>
        <color theme="0"/>
      </font>
    </dxf>
    <dxf>
      <font>
        <color theme="0"/>
      </font>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theme="0"/>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dxf>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color rgb="FF9C0006"/>
      </font>
      <fill>
        <patternFill>
          <bgColor rgb="FFFFC7CE"/>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ill>
        <patternFill patternType="none">
          <bgColor auto="1"/>
        </patternFill>
      </fill>
      <border>
        <vertical/>
        <horizontal/>
      </border>
    </dxf>
    <dxf>
      <font>
        <color theme="1" tint="0.14996795556505021"/>
      </font>
    </dxf>
    <dxf>
      <border diagonalUp="0" diagonalDown="0">
        <left style="dotted">
          <color theme="0" tint="-0.34998626667073579"/>
        </left>
        <right style="dotted">
          <color theme="0" tint="-0.34998626667073579"/>
        </right>
        <top style="thin">
          <color theme="0" tint="-0.34998626667073579"/>
        </top>
        <bottom style="dotted">
          <color theme="0" tint="-0.34998626667073579"/>
        </bottom>
        <vertical/>
        <horizontal/>
      </border>
    </dxf>
    <dxf>
      <font>
        <b val="0"/>
        <i val="0"/>
        <color theme="1" tint="0.34998626667073579"/>
      </font>
    </dxf>
    <dxf>
      <font>
        <b val="0"/>
        <i val="0"/>
        <color theme="1" tint="0.14996795556505021"/>
      </font>
      <fill>
        <patternFill patternType="solid">
          <bgColor theme="4" tint="0.79998168889431442"/>
        </patternFill>
      </fill>
      <border>
        <top/>
        <bottom style="medium">
          <color theme="4" tint="0.39994506668294322"/>
        </bottom>
      </border>
    </dxf>
    <dxf>
      <font>
        <b val="0"/>
        <i val="0"/>
        <color theme="1" tint="0.14996795556505021"/>
      </font>
    </dxf>
    <dxf>
      <font>
        <color theme="1" tint="0.499984740745262"/>
      </font>
      <border>
        <left/>
        <right style="thin">
          <color theme="0" tint="-0.34998626667073579"/>
        </right>
        <top style="thin">
          <color theme="0" tint="-0.34998626667073579"/>
        </top>
        <bottom style="thin">
          <color theme="0" tint="-0.34998626667073579"/>
        </bottom>
        <vertical style="dotted">
          <color theme="0" tint="-0.34998626667073579"/>
        </vertical>
        <horizontal style="thin">
          <color theme="0" tint="-0.34998626667073579"/>
        </horizontal>
      </border>
    </dxf>
  </dxfs>
  <tableStyles count="1" defaultTableStyle="TableStyleMedium2" defaultPivotStyle="PivotStyleLight16">
    <tableStyle name="Cash Receipts" pivot="0" count="7">
      <tableStyleElement type="wholeTable" dxfId="123"/>
      <tableStyleElement type="headerRow" dxfId="122"/>
      <tableStyleElement type="totalRow" dxfId="121"/>
      <tableStyleElement type="firstColumn" dxfId="120"/>
      <tableStyleElement type="lastColumn" dxfId="119"/>
      <tableStyleElement type="firstTotalCell" dxfId="118"/>
      <tableStyleElement type="lastTotalCell" dxfId="117"/>
    </tableStyle>
  </tableStyles>
  <colors>
    <mruColors>
      <color rgb="FFFFFF99"/>
      <color rgb="FF8D090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666750</xdr:colOff>
      <xdr:row>12</xdr:row>
      <xdr:rowOff>9525</xdr:rowOff>
    </xdr:from>
    <xdr:to>
      <xdr:col>1</xdr:col>
      <xdr:colOff>666750</xdr:colOff>
      <xdr:row>16</xdr:row>
      <xdr:rowOff>104775</xdr:rowOff>
    </xdr:to>
    <xdr:cxnSp macro="">
      <xdr:nvCxnSpPr>
        <xdr:cNvPr id="2" name="Rechte verbindingslijn 1">
          <a:extLst>
            <a:ext uri="{FF2B5EF4-FFF2-40B4-BE49-F238E27FC236}">
              <a16:creationId xmlns="" xmlns:a16="http://schemas.microsoft.com/office/drawing/2014/main" id="{00000000-0008-0000-0000-000002000000}"/>
            </a:ext>
          </a:extLst>
        </xdr:cNvPr>
        <xdr:cNvCxnSpPr/>
      </xdr:nvCxnSpPr>
      <xdr:spPr>
        <a:xfrm>
          <a:off x="1076325" y="2057400"/>
          <a:ext cx="0" cy="771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666750</xdr:colOff>
      <xdr:row>14</xdr:row>
      <xdr:rowOff>95250</xdr:rowOff>
    </xdr:from>
    <xdr:to>
      <xdr:col>1</xdr:col>
      <xdr:colOff>2057401</xdr:colOff>
      <xdr:row>14</xdr:row>
      <xdr:rowOff>95250</xdr:rowOff>
    </xdr:to>
    <xdr:cxnSp macro="">
      <xdr:nvCxnSpPr>
        <xdr:cNvPr id="3" name="Rechte verbindingslijn 2">
          <a:extLst>
            <a:ext uri="{FF2B5EF4-FFF2-40B4-BE49-F238E27FC236}">
              <a16:creationId xmlns="" xmlns:a16="http://schemas.microsoft.com/office/drawing/2014/main" id="{00000000-0008-0000-0000-000003000000}"/>
            </a:ext>
          </a:extLst>
        </xdr:cNvPr>
        <xdr:cNvCxnSpPr/>
      </xdr:nvCxnSpPr>
      <xdr:spPr>
        <a:xfrm flipH="1">
          <a:off x="1076325" y="2476500"/>
          <a:ext cx="139065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685800</xdr:colOff>
      <xdr:row>16</xdr:row>
      <xdr:rowOff>95250</xdr:rowOff>
    </xdr:from>
    <xdr:to>
      <xdr:col>2</xdr:col>
      <xdr:colOff>0</xdr:colOff>
      <xdr:row>16</xdr:row>
      <xdr:rowOff>95250</xdr:rowOff>
    </xdr:to>
    <xdr:cxnSp macro="">
      <xdr:nvCxnSpPr>
        <xdr:cNvPr id="6" name="Rechte verbindingslijn 5">
          <a:extLst>
            <a:ext uri="{FF2B5EF4-FFF2-40B4-BE49-F238E27FC236}">
              <a16:creationId xmlns="" xmlns:a16="http://schemas.microsoft.com/office/drawing/2014/main" id="{00000000-0008-0000-0000-000006000000}"/>
            </a:ext>
          </a:extLst>
        </xdr:cNvPr>
        <xdr:cNvCxnSpPr/>
      </xdr:nvCxnSpPr>
      <xdr:spPr>
        <a:xfrm flipH="1">
          <a:off x="1095375" y="281940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2057401</xdr:colOff>
      <xdr:row>7</xdr:row>
      <xdr:rowOff>66675</xdr:rowOff>
    </xdr:from>
    <xdr:to>
      <xdr:col>2</xdr:col>
      <xdr:colOff>1628775</xdr:colOff>
      <xdr:row>7</xdr:row>
      <xdr:rowOff>66675</xdr:rowOff>
    </xdr:to>
    <xdr:cxnSp macro="">
      <xdr:nvCxnSpPr>
        <xdr:cNvPr id="7" name="Rechte verbindingslijn 6">
          <a:extLst>
            <a:ext uri="{FF2B5EF4-FFF2-40B4-BE49-F238E27FC236}">
              <a16:creationId xmlns="" xmlns:a16="http://schemas.microsoft.com/office/drawing/2014/main" id="{00000000-0008-0000-0000-000007000000}"/>
            </a:ext>
          </a:extLst>
        </xdr:cNvPr>
        <xdr:cNvCxnSpPr/>
      </xdr:nvCxnSpPr>
      <xdr:spPr>
        <a:xfrm flipH="1">
          <a:off x="2466976" y="1276350"/>
          <a:ext cx="1647824" cy="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1619250</xdr:colOff>
      <xdr:row>8</xdr:row>
      <xdr:rowOff>0</xdr:rowOff>
    </xdr:from>
    <xdr:to>
      <xdr:col>1</xdr:col>
      <xdr:colOff>1619250</xdr:colOff>
      <xdr:row>10</xdr:row>
      <xdr:rowOff>152400</xdr:rowOff>
    </xdr:to>
    <xdr:cxnSp macro="">
      <xdr:nvCxnSpPr>
        <xdr:cNvPr id="10" name="Rechte verbindingslijn 9">
          <a:extLst>
            <a:ext uri="{FF2B5EF4-FFF2-40B4-BE49-F238E27FC236}">
              <a16:creationId xmlns="" xmlns:a16="http://schemas.microsoft.com/office/drawing/2014/main" id="{00000000-0008-0000-0000-00000A000000}"/>
            </a:ext>
          </a:extLst>
        </xdr:cNvPr>
        <xdr:cNvCxnSpPr/>
      </xdr:nvCxnSpPr>
      <xdr:spPr>
        <a:xfrm>
          <a:off x="2028825" y="1381125"/>
          <a:ext cx="0" cy="47625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1009650</xdr:colOff>
      <xdr:row>3</xdr:row>
      <xdr:rowOff>142875</xdr:rowOff>
    </xdr:from>
    <xdr:to>
      <xdr:col>3</xdr:col>
      <xdr:colOff>1019175</xdr:colOff>
      <xdr:row>6</xdr:row>
      <xdr:rowOff>161925</xdr:rowOff>
    </xdr:to>
    <xdr:cxnSp macro="">
      <xdr:nvCxnSpPr>
        <xdr:cNvPr id="11" name="Rechte verbindingslijn 10">
          <a:extLst>
            <a:ext uri="{FF2B5EF4-FFF2-40B4-BE49-F238E27FC236}">
              <a16:creationId xmlns="" xmlns:a16="http://schemas.microsoft.com/office/drawing/2014/main" id="{00000000-0008-0000-0000-00000B000000}"/>
            </a:ext>
          </a:extLst>
        </xdr:cNvPr>
        <xdr:cNvCxnSpPr/>
      </xdr:nvCxnSpPr>
      <xdr:spPr>
        <a:xfrm>
          <a:off x="6715125" y="2867025"/>
          <a:ext cx="9525" cy="504825"/>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1019175</xdr:colOff>
      <xdr:row>4</xdr:row>
      <xdr:rowOff>9525</xdr:rowOff>
    </xdr:from>
    <xdr:to>
      <xdr:col>1</xdr:col>
      <xdr:colOff>1019175</xdr:colOff>
      <xdr:row>6</xdr:row>
      <xdr:rowOff>161925</xdr:rowOff>
    </xdr:to>
    <xdr:cxnSp macro="">
      <xdr:nvCxnSpPr>
        <xdr:cNvPr id="12" name="Rechte verbindingslijn 11">
          <a:extLst>
            <a:ext uri="{FF2B5EF4-FFF2-40B4-BE49-F238E27FC236}">
              <a16:creationId xmlns="" xmlns:a16="http://schemas.microsoft.com/office/drawing/2014/main" id="{00000000-0008-0000-0000-00000C000000}"/>
            </a:ext>
          </a:extLst>
        </xdr:cNvPr>
        <xdr:cNvCxnSpPr/>
      </xdr:nvCxnSpPr>
      <xdr:spPr>
        <a:xfrm>
          <a:off x="1428750" y="723900"/>
          <a:ext cx="0" cy="476250"/>
        </a:xfrm>
        <a:prstGeom prst="line">
          <a:avLst/>
        </a:prstGeom>
        <a:ln>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333375</xdr:colOff>
      <xdr:row>12</xdr:row>
      <xdr:rowOff>0</xdr:rowOff>
    </xdr:from>
    <xdr:to>
      <xdr:col>1</xdr:col>
      <xdr:colOff>333375</xdr:colOff>
      <xdr:row>19</xdr:row>
      <xdr:rowOff>161925</xdr:rowOff>
    </xdr:to>
    <xdr:cxnSp macro="">
      <xdr:nvCxnSpPr>
        <xdr:cNvPr id="9" name="Rechte verbindingslijn 8">
          <a:extLst>
            <a:ext uri="{FF2B5EF4-FFF2-40B4-BE49-F238E27FC236}">
              <a16:creationId xmlns="" xmlns:a16="http://schemas.microsoft.com/office/drawing/2014/main" id="{00000000-0008-0000-0000-000009000000}"/>
            </a:ext>
          </a:extLst>
        </xdr:cNvPr>
        <xdr:cNvCxnSpPr/>
      </xdr:nvCxnSpPr>
      <xdr:spPr>
        <a:xfrm>
          <a:off x="742950" y="2047875"/>
          <a:ext cx="0" cy="133350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rtburg/AppData/Local/Microsoft/Windows/Temporary%20Internet%20Files/Content.Outlook/UW10WTN7/2.%20Black%20Box/5.%20Assets/0.%20Oud/Belsma/Rekenmodel/Kopie%20van%20VanDutch%202.0%20Budget%202017-2021%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artburg/AppData/Local/Microsoft/Windows/Temporary%20Internet%20Files/Content.Outlook/UW10WTN7/Kopie%20van%20VanDutch%202.0%20Budget%202017-2021%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rtburg/AppData/Local/Microsoft/Windows/Temporary%20Internet%20Files/Content.Outlook/UW10WTN7/2.%20Black%20Box/5.%20Assets/6.%20Shurgard/Kopie%20van%20VanDutch%202.0%20Budget%202017-2021%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20Hartburg\03.%20Red%20Church\02.%20Red%20Church%20Finance%20B.V\3.%20Bond\06.%20Forecast%20model\Red%20church\RC%20-%20Forecast%20model%204.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2017-2021"/>
      <sheetName val="Budget 2.0 Sales Numbers"/>
      <sheetName val="Monthly 2.0 Budget Group"/>
      <sheetName val="Production Plan 2017-2021"/>
      <sheetName val="2.0 Investment Plan &gt; 2017"/>
      <sheetName val="Production + Sales 2017"/>
      <sheetName val="Cashflow 2017"/>
      <sheetName val="Production + Sales 2018"/>
      <sheetName val="Cashflow 2018"/>
      <sheetName val="Production + Sales 2019"/>
      <sheetName val="Cashflow 2019"/>
      <sheetName val="Production + Sales 2020"/>
      <sheetName val="Cashflow 2020"/>
      <sheetName val="Production + Sales 2021"/>
      <sheetName val="Cashflow 2021"/>
      <sheetName val="Production"/>
      <sheetName val="Cashflow"/>
      <sheetName val="Compatibiliteitsrapport"/>
    </sheetNames>
    <sheetDataSet>
      <sheetData sheetId="0"/>
      <sheetData sheetId="1"/>
      <sheetData sheetId="2"/>
      <sheetData sheetId="3"/>
      <sheetData sheetId="4"/>
      <sheetData sheetId="5"/>
      <sheetData sheetId="6">
        <row r="4">
          <cell r="B4">
            <v>42736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2017-2021"/>
      <sheetName val="Budget 2.0 Sales Numbers"/>
      <sheetName val="Monthly 2.0 Budget Group"/>
      <sheetName val="Production Plan 2017-2021"/>
      <sheetName val="2.0 Investment Plan &gt; 2017"/>
      <sheetName val="Production + Sales 2017"/>
      <sheetName val="Cashflow 2017"/>
      <sheetName val="Production + Sales 2018"/>
      <sheetName val="Cashflow 2018"/>
      <sheetName val="Production + Sales 2019"/>
      <sheetName val="Cashflow 2019"/>
      <sheetName val="Production + Sales 2020"/>
      <sheetName val="Cashflow 2020"/>
      <sheetName val="Production + Sales 2021"/>
      <sheetName val="Cashflow 2021"/>
      <sheetName val="Production"/>
      <sheetName val="Cashflow"/>
      <sheetName val="Compatibiliteitsrapport"/>
    </sheetNames>
    <sheetDataSet>
      <sheetData sheetId="0"/>
      <sheetData sheetId="1"/>
      <sheetData sheetId="2"/>
      <sheetData sheetId="3"/>
      <sheetData sheetId="4"/>
      <sheetData sheetId="5"/>
      <sheetData sheetId="6">
        <row r="4">
          <cell r="B4">
            <v>42736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2017-2021"/>
      <sheetName val="Budget 2.0 Sales Numbers"/>
      <sheetName val="Monthly 2.0 Budget Group"/>
      <sheetName val="Production Plan 2017-2021"/>
      <sheetName val="2.0 Investment Plan &gt; 2017"/>
      <sheetName val="Production + Sales 2017"/>
      <sheetName val="Cashflow 2017"/>
      <sheetName val="Production + Sales 2018"/>
      <sheetName val="Cashflow 2018"/>
      <sheetName val="Production + Sales 2019"/>
      <sheetName val="Cashflow 2019"/>
      <sheetName val="Production + Sales 2020"/>
      <sheetName val="Cashflow 2020"/>
      <sheetName val="Production + Sales 2021"/>
      <sheetName val="Cashflow 2021"/>
      <sheetName val="Production"/>
      <sheetName val="Cashflow"/>
      <sheetName val="Compatibiliteitsrapport"/>
    </sheetNames>
    <sheetDataSet>
      <sheetData sheetId="0"/>
      <sheetData sheetId="1"/>
      <sheetData sheetId="2"/>
      <sheetData sheetId="3"/>
      <sheetData sheetId="4"/>
      <sheetData sheetId="5"/>
      <sheetData sheetId="6">
        <row r="4">
          <cell r="B4">
            <v>42736</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
    </sheetNames>
    <sheetDataSet>
      <sheetData sheetId="0"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B2:D21"/>
  <sheetViews>
    <sheetView tabSelected="1" workbookViewId="0">
      <selection activeCell="C39" sqref="C39"/>
    </sheetView>
  </sheetViews>
  <sheetFormatPr defaultRowHeight="12.75"/>
  <cols>
    <col min="1" max="1" width="6.140625" style="425" customWidth="1"/>
    <col min="2" max="2" width="31.140625" style="425" customWidth="1"/>
    <col min="3" max="3" width="24.5703125" style="425" customWidth="1"/>
    <col min="4" max="4" width="30.140625" style="425" bestFit="1" customWidth="1"/>
    <col min="5" max="255" width="9.140625" style="425"/>
    <col min="256" max="256" width="6.140625" style="425" customWidth="1"/>
    <col min="257" max="257" width="29.85546875" style="425" bestFit="1" customWidth="1"/>
    <col min="258" max="258" width="31.140625" style="425" customWidth="1"/>
    <col min="259" max="259" width="18.42578125" style="425" customWidth="1"/>
    <col min="260" max="260" width="30.140625" style="425" bestFit="1" customWidth="1"/>
    <col min="261" max="511" width="9.140625" style="425"/>
    <col min="512" max="512" width="6.140625" style="425" customWidth="1"/>
    <col min="513" max="513" width="29.85546875" style="425" bestFit="1" customWidth="1"/>
    <col min="514" max="514" width="31.140625" style="425" customWidth="1"/>
    <col min="515" max="515" width="18.42578125" style="425" customWidth="1"/>
    <col min="516" max="516" width="30.140625" style="425" bestFit="1" customWidth="1"/>
    <col min="517" max="767" width="9.140625" style="425"/>
    <col min="768" max="768" width="6.140625" style="425" customWidth="1"/>
    <col min="769" max="769" width="29.85546875" style="425" bestFit="1" customWidth="1"/>
    <col min="770" max="770" width="31.140625" style="425" customWidth="1"/>
    <col min="771" max="771" width="18.42578125" style="425" customWidth="1"/>
    <col min="772" max="772" width="30.140625" style="425" bestFit="1" customWidth="1"/>
    <col min="773" max="1023" width="9.140625" style="425"/>
    <col min="1024" max="1024" width="6.140625" style="425" customWidth="1"/>
    <col min="1025" max="1025" width="29.85546875" style="425" bestFit="1" customWidth="1"/>
    <col min="1026" max="1026" width="31.140625" style="425" customWidth="1"/>
    <col min="1027" max="1027" width="18.42578125" style="425" customWidth="1"/>
    <col min="1028" max="1028" width="30.140625" style="425" bestFit="1" customWidth="1"/>
    <col min="1029" max="1279" width="9.140625" style="425"/>
    <col min="1280" max="1280" width="6.140625" style="425" customWidth="1"/>
    <col min="1281" max="1281" width="29.85546875" style="425" bestFit="1" customWidth="1"/>
    <col min="1282" max="1282" width="31.140625" style="425" customWidth="1"/>
    <col min="1283" max="1283" width="18.42578125" style="425" customWidth="1"/>
    <col min="1284" max="1284" width="30.140625" style="425" bestFit="1" customWidth="1"/>
    <col min="1285" max="1535" width="9.140625" style="425"/>
    <col min="1536" max="1536" width="6.140625" style="425" customWidth="1"/>
    <col min="1537" max="1537" width="29.85546875" style="425" bestFit="1" customWidth="1"/>
    <col min="1538" max="1538" width="31.140625" style="425" customWidth="1"/>
    <col min="1539" max="1539" width="18.42578125" style="425" customWidth="1"/>
    <col min="1540" max="1540" width="30.140625" style="425" bestFit="1" customWidth="1"/>
    <col min="1541" max="1791" width="9.140625" style="425"/>
    <col min="1792" max="1792" width="6.140625" style="425" customWidth="1"/>
    <col min="1793" max="1793" width="29.85546875" style="425" bestFit="1" customWidth="1"/>
    <col min="1794" max="1794" width="31.140625" style="425" customWidth="1"/>
    <col min="1795" max="1795" width="18.42578125" style="425" customWidth="1"/>
    <col min="1796" max="1796" width="30.140625" style="425" bestFit="1" customWidth="1"/>
    <col min="1797" max="2047" width="9.140625" style="425"/>
    <col min="2048" max="2048" width="6.140625" style="425" customWidth="1"/>
    <col min="2049" max="2049" width="29.85546875" style="425" bestFit="1" customWidth="1"/>
    <col min="2050" max="2050" width="31.140625" style="425" customWidth="1"/>
    <col min="2051" max="2051" width="18.42578125" style="425" customWidth="1"/>
    <col min="2052" max="2052" width="30.140625" style="425" bestFit="1" customWidth="1"/>
    <col min="2053" max="2303" width="9.140625" style="425"/>
    <col min="2304" max="2304" width="6.140625" style="425" customWidth="1"/>
    <col min="2305" max="2305" width="29.85546875" style="425" bestFit="1" customWidth="1"/>
    <col min="2306" max="2306" width="31.140625" style="425" customWidth="1"/>
    <col min="2307" max="2307" width="18.42578125" style="425" customWidth="1"/>
    <col min="2308" max="2308" width="30.140625" style="425" bestFit="1" customWidth="1"/>
    <col min="2309" max="2559" width="9.140625" style="425"/>
    <col min="2560" max="2560" width="6.140625" style="425" customWidth="1"/>
    <col min="2561" max="2561" width="29.85546875" style="425" bestFit="1" customWidth="1"/>
    <col min="2562" max="2562" width="31.140625" style="425" customWidth="1"/>
    <col min="2563" max="2563" width="18.42578125" style="425" customWidth="1"/>
    <col min="2564" max="2564" width="30.140625" style="425" bestFit="1" customWidth="1"/>
    <col min="2565" max="2815" width="9.140625" style="425"/>
    <col min="2816" max="2816" width="6.140625" style="425" customWidth="1"/>
    <col min="2817" max="2817" width="29.85546875" style="425" bestFit="1" customWidth="1"/>
    <col min="2818" max="2818" width="31.140625" style="425" customWidth="1"/>
    <col min="2819" max="2819" width="18.42578125" style="425" customWidth="1"/>
    <col min="2820" max="2820" width="30.140625" style="425" bestFit="1" customWidth="1"/>
    <col min="2821" max="3071" width="9.140625" style="425"/>
    <col min="3072" max="3072" width="6.140625" style="425" customWidth="1"/>
    <col min="3073" max="3073" width="29.85546875" style="425" bestFit="1" customWidth="1"/>
    <col min="3074" max="3074" width="31.140625" style="425" customWidth="1"/>
    <col min="3075" max="3075" width="18.42578125" style="425" customWidth="1"/>
    <col min="3076" max="3076" width="30.140625" style="425" bestFit="1" customWidth="1"/>
    <col min="3077" max="3327" width="9.140625" style="425"/>
    <col min="3328" max="3328" width="6.140625" style="425" customWidth="1"/>
    <col min="3329" max="3329" width="29.85546875" style="425" bestFit="1" customWidth="1"/>
    <col min="3330" max="3330" width="31.140625" style="425" customWidth="1"/>
    <col min="3331" max="3331" width="18.42578125" style="425" customWidth="1"/>
    <col min="3332" max="3332" width="30.140625" style="425" bestFit="1" customWidth="1"/>
    <col min="3333" max="3583" width="9.140625" style="425"/>
    <col min="3584" max="3584" width="6.140625" style="425" customWidth="1"/>
    <col min="3585" max="3585" width="29.85546875" style="425" bestFit="1" customWidth="1"/>
    <col min="3586" max="3586" width="31.140625" style="425" customWidth="1"/>
    <col min="3587" max="3587" width="18.42578125" style="425" customWidth="1"/>
    <col min="3588" max="3588" width="30.140625" style="425" bestFit="1" customWidth="1"/>
    <col min="3589" max="3839" width="9.140625" style="425"/>
    <col min="3840" max="3840" width="6.140625" style="425" customWidth="1"/>
    <col min="3841" max="3841" width="29.85546875" style="425" bestFit="1" customWidth="1"/>
    <col min="3842" max="3842" width="31.140625" style="425" customWidth="1"/>
    <col min="3843" max="3843" width="18.42578125" style="425" customWidth="1"/>
    <col min="3844" max="3844" width="30.140625" style="425" bestFit="1" customWidth="1"/>
    <col min="3845" max="4095" width="9.140625" style="425"/>
    <col min="4096" max="4096" width="6.140625" style="425" customWidth="1"/>
    <col min="4097" max="4097" width="29.85546875" style="425" bestFit="1" customWidth="1"/>
    <col min="4098" max="4098" width="31.140625" style="425" customWidth="1"/>
    <col min="4099" max="4099" width="18.42578125" style="425" customWidth="1"/>
    <col min="4100" max="4100" width="30.140625" style="425" bestFit="1" customWidth="1"/>
    <col min="4101" max="4351" width="9.140625" style="425"/>
    <col min="4352" max="4352" width="6.140625" style="425" customWidth="1"/>
    <col min="4353" max="4353" width="29.85546875" style="425" bestFit="1" customWidth="1"/>
    <col min="4354" max="4354" width="31.140625" style="425" customWidth="1"/>
    <col min="4355" max="4355" width="18.42578125" style="425" customWidth="1"/>
    <col min="4356" max="4356" width="30.140625" style="425" bestFit="1" customWidth="1"/>
    <col min="4357" max="4607" width="9.140625" style="425"/>
    <col min="4608" max="4608" width="6.140625" style="425" customWidth="1"/>
    <col min="4609" max="4609" width="29.85546875" style="425" bestFit="1" customWidth="1"/>
    <col min="4610" max="4610" width="31.140625" style="425" customWidth="1"/>
    <col min="4611" max="4611" width="18.42578125" style="425" customWidth="1"/>
    <col min="4612" max="4612" width="30.140625" style="425" bestFit="1" customWidth="1"/>
    <col min="4613" max="4863" width="9.140625" style="425"/>
    <col min="4864" max="4864" width="6.140625" style="425" customWidth="1"/>
    <col min="4865" max="4865" width="29.85546875" style="425" bestFit="1" customWidth="1"/>
    <col min="4866" max="4866" width="31.140625" style="425" customWidth="1"/>
    <col min="4867" max="4867" width="18.42578125" style="425" customWidth="1"/>
    <col min="4868" max="4868" width="30.140625" style="425" bestFit="1" customWidth="1"/>
    <col min="4869" max="5119" width="9.140625" style="425"/>
    <col min="5120" max="5120" width="6.140625" style="425" customWidth="1"/>
    <col min="5121" max="5121" width="29.85546875" style="425" bestFit="1" customWidth="1"/>
    <col min="5122" max="5122" width="31.140625" style="425" customWidth="1"/>
    <col min="5123" max="5123" width="18.42578125" style="425" customWidth="1"/>
    <col min="5124" max="5124" width="30.140625" style="425" bestFit="1" customWidth="1"/>
    <col min="5125" max="5375" width="9.140625" style="425"/>
    <col min="5376" max="5376" width="6.140625" style="425" customWidth="1"/>
    <col min="5377" max="5377" width="29.85546875" style="425" bestFit="1" customWidth="1"/>
    <col min="5378" max="5378" width="31.140625" style="425" customWidth="1"/>
    <col min="5379" max="5379" width="18.42578125" style="425" customWidth="1"/>
    <col min="5380" max="5380" width="30.140625" style="425" bestFit="1" customWidth="1"/>
    <col min="5381" max="5631" width="9.140625" style="425"/>
    <col min="5632" max="5632" width="6.140625" style="425" customWidth="1"/>
    <col min="5633" max="5633" width="29.85546875" style="425" bestFit="1" customWidth="1"/>
    <col min="5634" max="5634" width="31.140625" style="425" customWidth="1"/>
    <col min="5635" max="5635" width="18.42578125" style="425" customWidth="1"/>
    <col min="5636" max="5636" width="30.140625" style="425" bestFit="1" customWidth="1"/>
    <col min="5637" max="5887" width="9.140625" style="425"/>
    <col min="5888" max="5888" width="6.140625" style="425" customWidth="1"/>
    <col min="5889" max="5889" width="29.85546875" style="425" bestFit="1" customWidth="1"/>
    <col min="5890" max="5890" width="31.140625" style="425" customWidth="1"/>
    <col min="5891" max="5891" width="18.42578125" style="425" customWidth="1"/>
    <col min="5892" max="5892" width="30.140625" style="425" bestFit="1" customWidth="1"/>
    <col min="5893" max="6143" width="9.140625" style="425"/>
    <col min="6144" max="6144" width="6.140625" style="425" customWidth="1"/>
    <col min="6145" max="6145" width="29.85546875" style="425" bestFit="1" customWidth="1"/>
    <col min="6146" max="6146" width="31.140625" style="425" customWidth="1"/>
    <col min="6147" max="6147" width="18.42578125" style="425" customWidth="1"/>
    <col min="6148" max="6148" width="30.140625" style="425" bestFit="1" customWidth="1"/>
    <col min="6149" max="6399" width="9.140625" style="425"/>
    <col min="6400" max="6400" width="6.140625" style="425" customWidth="1"/>
    <col min="6401" max="6401" width="29.85546875" style="425" bestFit="1" customWidth="1"/>
    <col min="6402" max="6402" width="31.140625" style="425" customWidth="1"/>
    <col min="6403" max="6403" width="18.42578125" style="425" customWidth="1"/>
    <col min="6404" max="6404" width="30.140625" style="425" bestFit="1" customWidth="1"/>
    <col min="6405" max="6655" width="9.140625" style="425"/>
    <col min="6656" max="6656" width="6.140625" style="425" customWidth="1"/>
    <col min="6657" max="6657" width="29.85546875" style="425" bestFit="1" customWidth="1"/>
    <col min="6658" max="6658" width="31.140625" style="425" customWidth="1"/>
    <col min="6659" max="6659" width="18.42578125" style="425" customWidth="1"/>
    <col min="6660" max="6660" width="30.140625" style="425" bestFit="1" customWidth="1"/>
    <col min="6661" max="6911" width="9.140625" style="425"/>
    <col min="6912" max="6912" width="6.140625" style="425" customWidth="1"/>
    <col min="6913" max="6913" width="29.85546875" style="425" bestFit="1" customWidth="1"/>
    <col min="6914" max="6914" width="31.140625" style="425" customWidth="1"/>
    <col min="6915" max="6915" width="18.42578125" style="425" customWidth="1"/>
    <col min="6916" max="6916" width="30.140625" style="425" bestFit="1" customWidth="1"/>
    <col min="6917" max="7167" width="9.140625" style="425"/>
    <col min="7168" max="7168" width="6.140625" style="425" customWidth="1"/>
    <col min="7169" max="7169" width="29.85546875" style="425" bestFit="1" customWidth="1"/>
    <col min="7170" max="7170" width="31.140625" style="425" customWidth="1"/>
    <col min="7171" max="7171" width="18.42578125" style="425" customWidth="1"/>
    <col min="7172" max="7172" width="30.140625" style="425" bestFit="1" customWidth="1"/>
    <col min="7173" max="7423" width="9.140625" style="425"/>
    <col min="7424" max="7424" width="6.140625" style="425" customWidth="1"/>
    <col min="7425" max="7425" width="29.85546875" style="425" bestFit="1" customWidth="1"/>
    <col min="7426" max="7426" width="31.140625" style="425" customWidth="1"/>
    <col min="7427" max="7427" width="18.42578125" style="425" customWidth="1"/>
    <col min="7428" max="7428" width="30.140625" style="425" bestFit="1" customWidth="1"/>
    <col min="7429" max="7679" width="9.140625" style="425"/>
    <col min="7680" max="7680" width="6.140625" style="425" customWidth="1"/>
    <col min="7681" max="7681" width="29.85546875" style="425" bestFit="1" customWidth="1"/>
    <col min="7682" max="7682" width="31.140625" style="425" customWidth="1"/>
    <col min="7683" max="7683" width="18.42578125" style="425" customWidth="1"/>
    <col min="7684" max="7684" width="30.140625" style="425" bestFit="1" customWidth="1"/>
    <col min="7685" max="7935" width="9.140625" style="425"/>
    <col min="7936" max="7936" width="6.140625" style="425" customWidth="1"/>
    <col min="7937" max="7937" width="29.85546875" style="425" bestFit="1" customWidth="1"/>
    <col min="7938" max="7938" width="31.140625" style="425" customWidth="1"/>
    <col min="7939" max="7939" width="18.42578125" style="425" customWidth="1"/>
    <col min="7940" max="7940" width="30.140625" style="425" bestFit="1" customWidth="1"/>
    <col min="7941" max="8191" width="9.140625" style="425"/>
    <col min="8192" max="8192" width="6.140625" style="425" customWidth="1"/>
    <col min="8193" max="8193" width="29.85546875" style="425" bestFit="1" customWidth="1"/>
    <col min="8194" max="8194" width="31.140625" style="425" customWidth="1"/>
    <col min="8195" max="8195" width="18.42578125" style="425" customWidth="1"/>
    <col min="8196" max="8196" width="30.140625" style="425" bestFit="1" customWidth="1"/>
    <col min="8197" max="8447" width="9.140625" style="425"/>
    <col min="8448" max="8448" width="6.140625" style="425" customWidth="1"/>
    <col min="8449" max="8449" width="29.85546875" style="425" bestFit="1" customWidth="1"/>
    <col min="8450" max="8450" width="31.140625" style="425" customWidth="1"/>
    <col min="8451" max="8451" width="18.42578125" style="425" customWidth="1"/>
    <col min="8452" max="8452" width="30.140625" style="425" bestFit="1" customWidth="1"/>
    <col min="8453" max="8703" width="9.140625" style="425"/>
    <col min="8704" max="8704" width="6.140625" style="425" customWidth="1"/>
    <col min="8705" max="8705" width="29.85546875" style="425" bestFit="1" customWidth="1"/>
    <col min="8706" max="8706" width="31.140625" style="425" customWidth="1"/>
    <col min="8707" max="8707" width="18.42578125" style="425" customWidth="1"/>
    <col min="8708" max="8708" width="30.140625" style="425" bestFit="1" customWidth="1"/>
    <col min="8709" max="8959" width="9.140625" style="425"/>
    <col min="8960" max="8960" width="6.140625" style="425" customWidth="1"/>
    <col min="8961" max="8961" width="29.85546875" style="425" bestFit="1" customWidth="1"/>
    <col min="8962" max="8962" width="31.140625" style="425" customWidth="1"/>
    <col min="8963" max="8963" width="18.42578125" style="425" customWidth="1"/>
    <col min="8964" max="8964" width="30.140625" style="425" bestFit="1" customWidth="1"/>
    <col min="8965" max="9215" width="9.140625" style="425"/>
    <col min="9216" max="9216" width="6.140625" style="425" customWidth="1"/>
    <col min="9217" max="9217" width="29.85546875" style="425" bestFit="1" customWidth="1"/>
    <col min="9218" max="9218" width="31.140625" style="425" customWidth="1"/>
    <col min="9219" max="9219" width="18.42578125" style="425" customWidth="1"/>
    <col min="9220" max="9220" width="30.140625" style="425" bestFit="1" customWidth="1"/>
    <col min="9221" max="9471" width="9.140625" style="425"/>
    <col min="9472" max="9472" width="6.140625" style="425" customWidth="1"/>
    <col min="9473" max="9473" width="29.85546875" style="425" bestFit="1" customWidth="1"/>
    <col min="9474" max="9474" width="31.140625" style="425" customWidth="1"/>
    <col min="9475" max="9475" width="18.42578125" style="425" customWidth="1"/>
    <col min="9476" max="9476" width="30.140625" style="425" bestFit="1" customWidth="1"/>
    <col min="9477" max="9727" width="9.140625" style="425"/>
    <col min="9728" max="9728" width="6.140625" style="425" customWidth="1"/>
    <col min="9729" max="9729" width="29.85546875" style="425" bestFit="1" customWidth="1"/>
    <col min="9730" max="9730" width="31.140625" style="425" customWidth="1"/>
    <col min="9731" max="9731" width="18.42578125" style="425" customWidth="1"/>
    <col min="9732" max="9732" width="30.140625" style="425" bestFit="1" customWidth="1"/>
    <col min="9733" max="9983" width="9.140625" style="425"/>
    <col min="9984" max="9984" width="6.140625" style="425" customWidth="1"/>
    <col min="9985" max="9985" width="29.85546875" style="425" bestFit="1" customWidth="1"/>
    <col min="9986" max="9986" width="31.140625" style="425" customWidth="1"/>
    <col min="9987" max="9987" width="18.42578125" style="425" customWidth="1"/>
    <col min="9988" max="9988" width="30.140625" style="425" bestFit="1" customWidth="1"/>
    <col min="9989" max="10239" width="9.140625" style="425"/>
    <col min="10240" max="10240" width="6.140625" style="425" customWidth="1"/>
    <col min="10241" max="10241" width="29.85546875" style="425" bestFit="1" customWidth="1"/>
    <col min="10242" max="10242" width="31.140625" style="425" customWidth="1"/>
    <col min="10243" max="10243" width="18.42578125" style="425" customWidth="1"/>
    <col min="10244" max="10244" width="30.140625" style="425" bestFit="1" customWidth="1"/>
    <col min="10245" max="10495" width="9.140625" style="425"/>
    <col min="10496" max="10496" width="6.140625" style="425" customWidth="1"/>
    <col min="10497" max="10497" width="29.85546875" style="425" bestFit="1" customWidth="1"/>
    <col min="10498" max="10498" width="31.140625" style="425" customWidth="1"/>
    <col min="10499" max="10499" width="18.42578125" style="425" customWidth="1"/>
    <col min="10500" max="10500" width="30.140625" style="425" bestFit="1" customWidth="1"/>
    <col min="10501" max="10751" width="9.140625" style="425"/>
    <col min="10752" max="10752" width="6.140625" style="425" customWidth="1"/>
    <col min="10753" max="10753" width="29.85546875" style="425" bestFit="1" customWidth="1"/>
    <col min="10754" max="10754" width="31.140625" style="425" customWidth="1"/>
    <col min="10755" max="10755" width="18.42578125" style="425" customWidth="1"/>
    <col min="10756" max="10756" width="30.140625" style="425" bestFit="1" customWidth="1"/>
    <col min="10757" max="11007" width="9.140625" style="425"/>
    <col min="11008" max="11008" width="6.140625" style="425" customWidth="1"/>
    <col min="11009" max="11009" width="29.85546875" style="425" bestFit="1" customWidth="1"/>
    <col min="11010" max="11010" width="31.140625" style="425" customWidth="1"/>
    <col min="11011" max="11011" width="18.42578125" style="425" customWidth="1"/>
    <col min="11012" max="11012" width="30.140625" style="425" bestFit="1" customWidth="1"/>
    <col min="11013" max="11263" width="9.140625" style="425"/>
    <col min="11264" max="11264" width="6.140625" style="425" customWidth="1"/>
    <col min="11265" max="11265" width="29.85546875" style="425" bestFit="1" customWidth="1"/>
    <col min="11266" max="11266" width="31.140625" style="425" customWidth="1"/>
    <col min="11267" max="11267" width="18.42578125" style="425" customWidth="1"/>
    <col min="11268" max="11268" width="30.140625" style="425" bestFit="1" customWidth="1"/>
    <col min="11269" max="11519" width="9.140625" style="425"/>
    <col min="11520" max="11520" width="6.140625" style="425" customWidth="1"/>
    <col min="11521" max="11521" width="29.85546875" style="425" bestFit="1" customWidth="1"/>
    <col min="11522" max="11522" width="31.140625" style="425" customWidth="1"/>
    <col min="11523" max="11523" width="18.42578125" style="425" customWidth="1"/>
    <col min="11524" max="11524" width="30.140625" style="425" bestFit="1" customWidth="1"/>
    <col min="11525" max="11775" width="9.140625" style="425"/>
    <col min="11776" max="11776" width="6.140625" style="425" customWidth="1"/>
    <col min="11777" max="11777" width="29.85546875" style="425" bestFit="1" customWidth="1"/>
    <col min="11778" max="11778" width="31.140625" style="425" customWidth="1"/>
    <col min="11779" max="11779" width="18.42578125" style="425" customWidth="1"/>
    <col min="11780" max="11780" width="30.140625" style="425" bestFit="1" customWidth="1"/>
    <col min="11781" max="12031" width="9.140625" style="425"/>
    <col min="12032" max="12032" width="6.140625" style="425" customWidth="1"/>
    <col min="12033" max="12033" width="29.85546875" style="425" bestFit="1" customWidth="1"/>
    <col min="12034" max="12034" width="31.140625" style="425" customWidth="1"/>
    <col min="12035" max="12035" width="18.42578125" style="425" customWidth="1"/>
    <col min="12036" max="12036" width="30.140625" style="425" bestFit="1" customWidth="1"/>
    <col min="12037" max="12287" width="9.140625" style="425"/>
    <col min="12288" max="12288" width="6.140625" style="425" customWidth="1"/>
    <col min="12289" max="12289" width="29.85546875" style="425" bestFit="1" customWidth="1"/>
    <col min="12290" max="12290" width="31.140625" style="425" customWidth="1"/>
    <col min="12291" max="12291" width="18.42578125" style="425" customWidth="1"/>
    <col min="12292" max="12292" width="30.140625" style="425" bestFit="1" customWidth="1"/>
    <col min="12293" max="12543" width="9.140625" style="425"/>
    <col min="12544" max="12544" width="6.140625" style="425" customWidth="1"/>
    <col min="12545" max="12545" width="29.85546875" style="425" bestFit="1" customWidth="1"/>
    <col min="12546" max="12546" width="31.140625" style="425" customWidth="1"/>
    <col min="12547" max="12547" width="18.42578125" style="425" customWidth="1"/>
    <col min="12548" max="12548" width="30.140625" style="425" bestFit="1" customWidth="1"/>
    <col min="12549" max="12799" width="9.140625" style="425"/>
    <col min="12800" max="12800" width="6.140625" style="425" customWidth="1"/>
    <col min="12801" max="12801" width="29.85546875" style="425" bestFit="1" customWidth="1"/>
    <col min="12802" max="12802" width="31.140625" style="425" customWidth="1"/>
    <col min="12803" max="12803" width="18.42578125" style="425" customWidth="1"/>
    <col min="12804" max="12804" width="30.140625" style="425" bestFit="1" customWidth="1"/>
    <col min="12805" max="13055" width="9.140625" style="425"/>
    <col min="13056" max="13056" width="6.140625" style="425" customWidth="1"/>
    <col min="13057" max="13057" width="29.85546875" style="425" bestFit="1" customWidth="1"/>
    <col min="13058" max="13058" width="31.140625" style="425" customWidth="1"/>
    <col min="13059" max="13059" width="18.42578125" style="425" customWidth="1"/>
    <col min="13060" max="13060" width="30.140625" style="425" bestFit="1" customWidth="1"/>
    <col min="13061" max="13311" width="9.140625" style="425"/>
    <col min="13312" max="13312" width="6.140625" style="425" customWidth="1"/>
    <col min="13313" max="13313" width="29.85546875" style="425" bestFit="1" customWidth="1"/>
    <col min="13314" max="13314" width="31.140625" style="425" customWidth="1"/>
    <col min="13315" max="13315" width="18.42578125" style="425" customWidth="1"/>
    <col min="13316" max="13316" width="30.140625" style="425" bestFit="1" customWidth="1"/>
    <col min="13317" max="13567" width="9.140625" style="425"/>
    <col min="13568" max="13568" width="6.140625" style="425" customWidth="1"/>
    <col min="13569" max="13569" width="29.85546875" style="425" bestFit="1" customWidth="1"/>
    <col min="13570" max="13570" width="31.140625" style="425" customWidth="1"/>
    <col min="13571" max="13571" width="18.42578125" style="425" customWidth="1"/>
    <col min="13572" max="13572" width="30.140625" style="425" bestFit="1" customWidth="1"/>
    <col min="13573" max="13823" width="9.140625" style="425"/>
    <col min="13824" max="13824" width="6.140625" style="425" customWidth="1"/>
    <col min="13825" max="13825" width="29.85546875" style="425" bestFit="1" customWidth="1"/>
    <col min="13826" max="13826" width="31.140625" style="425" customWidth="1"/>
    <col min="13827" max="13827" width="18.42578125" style="425" customWidth="1"/>
    <col min="13828" max="13828" width="30.140625" style="425" bestFit="1" customWidth="1"/>
    <col min="13829" max="14079" width="9.140625" style="425"/>
    <col min="14080" max="14080" width="6.140625" style="425" customWidth="1"/>
    <col min="14081" max="14081" width="29.85546875" style="425" bestFit="1" customWidth="1"/>
    <col min="14082" max="14082" width="31.140625" style="425" customWidth="1"/>
    <col min="14083" max="14083" width="18.42578125" style="425" customWidth="1"/>
    <col min="14084" max="14084" width="30.140625" style="425" bestFit="1" customWidth="1"/>
    <col min="14085" max="14335" width="9.140625" style="425"/>
    <col min="14336" max="14336" width="6.140625" style="425" customWidth="1"/>
    <col min="14337" max="14337" width="29.85546875" style="425" bestFit="1" customWidth="1"/>
    <col min="14338" max="14338" width="31.140625" style="425" customWidth="1"/>
    <col min="14339" max="14339" width="18.42578125" style="425" customWidth="1"/>
    <col min="14340" max="14340" width="30.140625" style="425" bestFit="1" customWidth="1"/>
    <col min="14341" max="14591" width="9.140625" style="425"/>
    <col min="14592" max="14592" width="6.140625" style="425" customWidth="1"/>
    <col min="14593" max="14593" width="29.85546875" style="425" bestFit="1" customWidth="1"/>
    <col min="14594" max="14594" width="31.140625" style="425" customWidth="1"/>
    <col min="14595" max="14595" width="18.42578125" style="425" customWidth="1"/>
    <col min="14596" max="14596" width="30.140625" style="425" bestFit="1" customWidth="1"/>
    <col min="14597" max="14847" width="9.140625" style="425"/>
    <col min="14848" max="14848" width="6.140625" style="425" customWidth="1"/>
    <col min="14849" max="14849" width="29.85546875" style="425" bestFit="1" customWidth="1"/>
    <col min="14850" max="14850" width="31.140625" style="425" customWidth="1"/>
    <col min="14851" max="14851" width="18.42578125" style="425" customWidth="1"/>
    <col min="14852" max="14852" width="30.140625" style="425" bestFit="1" customWidth="1"/>
    <col min="14853" max="15103" width="9.140625" style="425"/>
    <col min="15104" max="15104" width="6.140625" style="425" customWidth="1"/>
    <col min="15105" max="15105" width="29.85546875" style="425" bestFit="1" customWidth="1"/>
    <col min="15106" max="15106" width="31.140625" style="425" customWidth="1"/>
    <col min="15107" max="15107" width="18.42578125" style="425" customWidth="1"/>
    <col min="15108" max="15108" width="30.140625" style="425" bestFit="1" customWidth="1"/>
    <col min="15109" max="15359" width="9.140625" style="425"/>
    <col min="15360" max="15360" width="6.140625" style="425" customWidth="1"/>
    <col min="15361" max="15361" width="29.85546875" style="425" bestFit="1" customWidth="1"/>
    <col min="15362" max="15362" width="31.140625" style="425" customWidth="1"/>
    <col min="15363" max="15363" width="18.42578125" style="425" customWidth="1"/>
    <col min="15364" max="15364" width="30.140625" style="425" bestFit="1" customWidth="1"/>
    <col min="15365" max="15615" width="9.140625" style="425"/>
    <col min="15616" max="15616" width="6.140625" style="425" customWidth="1"/>
    <col min="15617" max="15617" width="29.85546875" style="425" bestFit="1" customWidth="1"/>
    <col min="15618" max="15618" width="31.140625" style="425" customWidth="1"/>
    <col min="15619" max="15619" width="18.42578125" style="425" customWidth="1"/>
    <col min="15620" max="15620" width="30.140625" style="425" bestFit="1" customWidth="1"/>
    <col min="15621" max="15871" width="9.140625" style="425"/>
    <col min="15872" max="15872" width="6.140625" style="425" customWidth="1"/>
    <col min="15873" max="15873" width="29.85546875" style="425" bestFit="1" customWidth="1"/>
    <col min="15874" max="15874" width="31.140625" style="425" customWidth="1"/>
    <col min="15875" max="15875" width="18.42578125" style="425" customWidth="1"/>
    <col min="15876" max="15876" width="30.140625" style="425" bestFit="1" customWidth="1"/>
    <col min="15877" max="16127" width="9.140625" style="425"/>
    <col min="16128" max="16128" width="6.140625" style="425" customWidth="1"/>
    <col min="16129" max="16129" width="29.85546875" style="425" bestFit="1" customWidth="1"/>
    <col min="16130" max="16130" width="31.140625" style="425" customWidth="1"/>
    <col min="16131" max="16131" width="18.42578125" style="425" customWidth="1"/>
    <col min="16132" max="16132" width="30.140625" style="425" bestFit="1" customWidth="1"/>
    <col min="16133" max="16384" width="9.140625" style="425"/>
  </cols>
  <sheetData>
    <row r="2" spans="2:4">
      <c r="B2" s="428" t="s">
        <v>398</v>
      </c>
    </row>
    <row r="3" spans="2:4" ht="17.25" customHeight="1" thickBot="1"/>
    <row r="4" spans="2:4" ht="13.5" thickBot="1">
      <c r="B4" s="427" t="s">
        <v>947</v>
      </c>
      <c r="D4" s="427" t="s">
        <v>396</v>
      </c>
    </row>
    <row r="6" spans="2:4">
      <c r="B6" s="484" t="s">
        <v>538</v>
      </c>
      <c r="D6" s="484" t="s">
        <v>537</v>
      </c>
    </row>
    <row r="7" spans="2:4" ht="13.5" thickBot="1"/>
    <row r="8" spans="2:4" ht="13.5" thickBot="1">
      <c r="B8" s="427" t="s">
        <v>534</v>
      </c>
      <c r="D8" s="427" t="s">
        <v>397</v>
      </c>
    </row>
    <row r="9" spans="2:4">
      <c r="C9" s="485" t="s">
        <v>531</v>
      </c>
    </row>
    <row r="10" spans="2:4">
      <c r="B10" s="486" t="s">
        <v>536</v>
      </c>
    </row>
    <row r="11" spans="2:4" ht="13.5" thickBot="1"/>
    <row r="12" spans="2:4" ht="13.5" thickBot="1">
      <c r="B12" s="427" t="s">
        <v>535</v>
      </c>
    </row>
    <row r="14" spans="2:4" ht="13.5" thickBot="1">
      <c r="B14" s="487" t="s">
        <v>533</v>
      </c>
    </row>
    <row r="15" spans="2:4" ht="13.5" thickBot="1">
      <c r="B15" s="484"/>
      <c r="C15" s="427" t="s">
        <v>399</v>
      </c>
    </row>
    <row r="16" spans="2:4" ht="13.5" thickBot="1">
      <c r="B16" s="487" t="s">
        <v>533</v>
      </c>
    </row>
    <row r="17" spans="2:3" ht="13.5" thickBot="1">
      <c r="C17" s="427" t="s">
        <v>539</v>
      </c>
    </row>
    <row r="18" spans="2:3">
      <c r="B18" s="426"/>
    </row>
    <row r="19" spans="2:3">
      <c r="B19" s="484" t="s">
        <v>1013</v>
      </c>
    </row>
    <row r="20" spans="2:3" ht="13.5" thickBot="1"/>
    <row r="21" spans="2:3" ht="13.5" thickBot="1">
      <c r="B21" s="427" t="s">
        <v>532</v>
      </c>
    </row>
  </sheetData>
  <sheetProtection password="CD53" sheet="1" objects="1" scenarios="1" selectLockedCells="1"/>
  <pageMargins left="0.7" right="0.7" top="0.75" bottom="0.75" header="0.3" footer="0.3"/>
  <pageSetup paperSize="9" scale="9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5" tint="0.59999389629810485"/>
    <pageSetUpPr fitToPage="1"/>
  </sheetPr>
  <dimension ref="A1:Z104"/>
  <sheetViews>
    <sheetView zoomScale="60" zoomScaleNormal="60" workbookViewId="0">
      <selection activeCell="K75" sqref="K75"/>
    </sheetView>
  </sheetViews>
  <sheetFormatPr defaultRowHeight="12.75"/>
  <cols>
    <col min="1" max="1" width="0.85546875" style="1174" customWidth="1"/>
    <col min="2" max="2" width="22.42578125" style="1174" customWidth="1"/>
    <col min="3" max="3" width="8.7109375" style="1174" customWidth="1"/>
    <col min="4" max="4" width="4.42578125" style="1174" customWidth="1"/>
    <col min="5" max="5" width="13.42578125" style="1174" bestFit="1" customWidth="1"/>
    <col min="6" max="6" width="12.28515625" style="1174" bestFit="1" customWidth="1"/>
    <col min="7" max="7" width="14.85546875" style="1174" bestFit="1" customWidth="1"/>
    <col min="8" max="8" width="13.42578125" style="1174" bestFit="1" customWidth="1"/>
    <col min="9" max="10" width="14.42578125" style="1174" bestFit="1" customWidth="1"/>
    <col min="11" max="11" width="16.28515625" style="1174" bestFit="1" customWidth="1"/>
    <col min="12" max="12" width="17.28515625" style="1174" bestFit="1" customWidth="1"/>
    <col min="13" max="13" width="1" style="1174" customWidth="1"/>
    <col min="14" max="14" width="13.140625" style="1174" customWidth="1"/>
    <col min="15" max="15" width="23.140625" style="1174" customWidth="1"/>
    <col min="16" max="16" width="13.28515625" style="1174" customWidth="1"/>
    <col min="17" max="17" width="13.5703125" style="1174" customWidth="1"/>
    <col min="18" max="18" width="12.5703125" style="1174" customWidth="1"/>
    <col min="19" max="19" width="14" style="1174" customWidth="1"/>
    <col min="20" max="20" width="12.5703125" style="1174" customWidth="1"/>
    <col min="21" max="21" width="13" style="1174" customWidth="1"/>
    <col min="22" max="22" width="14.7109375" style="1174" bestFit="1" customWidth="1"/>
    <col min="23" max="23" width="14.7109375" style="1174" customWidth="1"/>
    <col min="24" max="24" width="11.140625" style="1174" bestFit="1" customWidth="1"/>
    <col min="25" max="26" width="9.140625" style="1174"/>
    <col min="27" max="27" width="9.140625" style="1174" customWidth="1"/>
    <col min="28" max="255" width="9.140625" style="1174"/>
    <col min="256" max="256" width="2.28515625" style="1174" customWidth="1"/>
    <col min="257" max="257" width="10.42578125" style="1174" customWidth="1"/>
    <col min="258" max="258" width="28.42578125" style="1174" customWidth="1"/>
    <col min="259" max="259" width="12" style="1174" customWidth="1"/>
    <col min="260" max="260" width="12.7109375" style="1174" customWidth="1"/>
    <col min="261" max="261" width="11.5703125" style="1174" customWidth="1"/>
    <col min="262" max="262" width="11.140625" style="1174" customWidth="1"/>
    <col min="263" max="263" width="9.7109375" style="1174" bestFit="1" customWidth="1"/>
    <col min="264" max="264" width="1" style="1174" customWidth="1"/>
    <col min="265" max="265" width="9.140625" style="1174"/>
    <col min="266" max="266" width="30.5703125" style="1174" customWidth="1"/>
    <col min="267" max="267" width="11" style="1174" customWidth="1"/>
    <col min="268" max="268" width="10.5703125" style="1174" customWidth="1"/>
    <col min="269" max="269" width="10.85546875" style="1174" customWidth="1"/>
    <col min="270" max="270" width="9" style="1174" bestFit="1" customWidth="1"/>
    <col min="271" max="271" width="8.140625" style="1174" bestFit="1" customWidth="1"/>
    <col min="272" max="511" width="9.140625" style="1174"/>
    <col min="512" max="512" width="2.28515625" style="1174" customWidth="1"/>
    <col min="513" max="513" width="10.42578125" style="1174" customWidth="1"/>
    <col min="514" max="514" width="28.42578125" style="1174" customWidth="1"/>
    <col min="515" max="515" width="12" style="1174" customWidth="1"/>
    <col min="516" max="516" width="12.7109375" style="1174" customWidth="1"/>
    <col min="517" max="517" width="11.5703125" style="1174" customWidth="1"/>
    <col min="518" max="518" width="11.140625" style="1174" customWidth="1"/>
    <col min="519" max="519" width="9.7109375" style="1174" bestFit="1" customWidth="1"/>
    <col min="520" max="520" width="1" style="1174" customWidth="1"/>
    <col min="521" max="521" width="9.140625" style="1174"/>
    <col min="522" max="522" width="30.5703125" style="1174" customWidth="1"/>
    <col min="523" max="523" width="11" style="1174" customWidth="1"/>
    <col min="524" max="524" width="10.5703125" style="1174" customWidth="1"/>
    <col min="525" max="525" width="10.85546875" style="1174" customWidth="1"/>
    <col min="526" max="526" width="9" style="1174" bestFit="1" customWidth="1"/>
    <col min="527" max="527" width="8.140625" style="1174" bestFit="1" customWidth="1"/>
    <col min="528" max="767" width="9.140625" style="1174"/>
    <col min="768" max="768" width="2.28515625" style="1174" customWidth="1"/>
    <col min="769" max="769" width="10.42578125" style="1174" customWidth="1"/>
    <col min="770" max="770" width="28.42578125" style="1174" customWidth="1"/>
    <col min="771" max="771" width="12" style="1174" customWidth="1"/>
    <col min="772" max="772" width="12.7109375" style="1174" customWidth="1"/>
    <col min="773" max="773" width="11.5703125" style="1174" customWidth="1"/>
    <col min="774" max="774" width="11.140625" style="1174" customWidth="1"/>
    <col min="775" max="775" width="9.7109375" style="1174" bestFit="1" customWidth="1"/>
    <col min="776" max="776" width="1" style="1174" customWidth="1"/>
    <col min="777" max="777" width="9.140625" style="1174"/>
    <col min="778" max="778" width="30.5703125" style="1174" customWidth="1"/>
    <col min="779" max="779" width="11" style="1174" customWidth="1"/>
    <col min="780" max="780" width="10.5703125" style="1174" customWidth="1"/>
    <col min="781" max="781" width="10.85546875" style="1174" customWidth="1"/>
    <col min="782" max="782" width="9" style="1174" bestFit="1" customWidth="1"/>
    <col min="783" max="783" width="8.140625" style="1174" bestFit="1" customWidth="1"/>
    <col min="784" max="1023" width="9.140625" style="1174"/>
    <col min="1024" max="1024" width="2.28515625" style="1174" customWidth="1"/>
    <col min="1025" max="1025" width="10.42578125" style="1174" customWidth="1"/>
    <col min="1026" max="1026" width="28.42578125" style="1174" customWidth="1"/>
    <col min="1027" max="1027" width="12" style="1174" customWidth="1"/>
    <col min="1028" max="1028" width="12.7109375" style="1174" customWidth="1"/>
    <col min="1029" max="1029" width="11.5703125" style="1174" customWidth="1"/>
    <col min="1030" max="1030" width="11.140625" style="1174" customWidth="1"/>
    <col min="1031" max="1031" width="9.7109375" style="1174" bestFit="1" customWidth="1"/>
    <col min="1032" max="1032" width="1" style="1174" customWidth="1"/>
    <col min="1033" max="1033" width="9.140625" style="1174"/>
    <col min="1034" max="1034" width="30.5703125" style="1174" customWidth="1"/>
    <col min="1035" max="1035" width="11" style="1174" customWidth="1"/>
    <col min="1036" max="1036" width="10.5703125" style="1174" customWidth="1"/>
    <col min="1037" max="1037" width="10.85546875" style="1174" customWidth="1"/>
    <col min="1038" max="1038" width="9" style="1174" bestFit="1" customWidth="1"/>
    <col min="1039" max="1039" width="8.140625" style="1174" bestFit="1" customWidth="1"/>
    <col min="1040" max="1279" width="9.140625" style="1174"/>
    <col min="1280" max="1280" width="2.28515625" style="1174" customWidth="1"/>
    <col min="1281" max="1281" width="10.42578125" style="1174" customWidth="1"/>
    <col min="1282" max="1282" width="28.42578125" style="1174" customWidth="1"/>
    <col min="1283" max="1283" width="12" style="1174" customWidth="1"/>
    <col min="1284" max="1284" width="12.7109375" style="1174" customWidth="1"/>
    <col min="1285" max="1285" width="11.5703125" style="1174" customWidth="1"/>
    <col min="1286" max="1286" width="11.140625" style="1174" customWidth="1"/>
    <col min="1287" max="1287" width="9.7109375" style="1174" bestFit="1" customWidth="1"/>
    <col min="1288" max="1288" width="1" style="1174" customWidth="1"/>
    <col min="1289" max="1289" width="9.140625" style="1174"/>
    <col min="1290" max="1290" width="30.5703125" style="1174" customWidth="1"/>
    <col min="1291" max="1291" width="11" style="1174" customWidth="1"/>
    <col min="1292" max="1292" width="10.5703125" style="1174" customWidth="1"/>
    <col min="1293" max="1293" width="10.85546875" style="1174" customWidth="1"/>
    <col min="1294" max="1294" width="9" style="1174" bestFit="1" customWidth="1"/>
    <col min="1295" max="1295" width="8.140625" style="1174" bestFit="1" customWidth="1"/>
    <col min="1296" max="1535" width="9.140625" style="1174"/>
    <col min="1536" max="1536" width="2.28515625" style="1174" customWidth="1"/>
    <col min="1537" max="1537" width="10.42578125" style="1174" customWidth="1"/>
    <col min="1538" max="1538" width="28.42578125" style="1174" customWidth="1"/>
    <col min="1539" max="1539" width="12" style="1174" customWidth="1"/>
    <col min="1540" max="1540" width="12.7109375" style="1174" customWidth="1"/>
    <col min="1541" max="1541" width="11.5703125" style="1174" customWidth="1"/>
    <col min="1542" max="1542" width="11.140625" style="1174" customWidth="1"/>
    <col min="1543" max="1543" width="9.7109375" style="1174" bestFit="1" customWidth="1"/>
    <col min="1544" max="1544" width="1" style="1174" customWidth="1"/>
    <col min="1545" max="1545" width="9.140625" style="1174"/>
    <col min="1546" max="1546" width="30.5703125" style="1174" customWidth="1"/>
    <col min="1547" max="1547" width="11" style="1174" customWidth="1"/>
    <col min="1548" max="1548" width="10.5703125" style="1174" customWidth="1"/>
    <col min="1549" max="1549" width="10.85546875" style="1174" customWidth="1"/>
    <col min="1550" max="1550" width="9" style="1174" bestFit="1" customWidth="1"/>
    <col min="1551" max="1551" width="8.140625" style="1174" bestFit="1" customWidth="1"/>
    <col min="1552" max="1791" width="9.140625" style="1174"/>
    <col min="1792" max="1792" width="2.28515625" style="1174" customWidth="1"/>
    <col min="1793" max="1793" width="10.42578125" style="1174" customWidth="1"/>
    <col min="1794" max="1794" width="28.42578125" style="1174" customWidth="1"/>
    <col min="1795" max="1795" width="12" style="1174" customWidth="1"/>
    <col min="1796" max="1796" width="12.7109375" style="1174" customWidth="1"/>
    <col min="1797" max="1797" width="11.5703125" style="1174" customWidth="1"/>
    <col min="1798" max="1798" width="11.140625" style="1174" customWidth="1"/>
    <col min="1799" max="1799" width="9.7109375" style="1174" bestFit="1" customWidth="1"/>
    <col min="1800" max="1800" width="1" style="1174" customWidth="1"/>
    <col min="1801" max="1801" width="9.140625" style="1174"/>
    <col min="1802" max="1802" width="30.5703125" style="1174" customWidth="1"/>
    <col min="1803" max="1803" width="11" style="1174" customWidth="1"/>
    <col min="1804" max="1804" width="10.5703125" style="1174" customWidth="1"/>
    <col min="1805" max="1805" width="10.85546875" style="1174" customWidth="1"/>
    <col min="1806" max="1806" width="9" style="1174" bestFit="1" customWidth="1"/>
    <col min="1807" max="1807" width="8.140625" style="1174" bestFit="1" customWidth="1"/>
    <col min="1808" max="2047" width="9.140625" style="1174"/>
    <col min="2048" max="2048" width="2.28515625" style="1174" customWidth="1"/>
    <col min="2049" max="2049" width="10.42578125" style="1174" customWidth="1"/>
    <col min="2050" max="2050" width="28.42578125" style="1174" customWidth="1"/>
    <col min="2051" max="2051" width="12" style="1174" customWidth="1"/>
    <col min="2052" max="2052" width="12.7109375" style="1174" customWidth="1"/>
    <col min="2053" max="2053" width="11.5703125" style="1174" customWidth="1"/>
    <col min="2054" max="2054" width="11.140625" style="1174" customWidth="1"/>
    <col min="2055" max="2055" width="9.7109375" style="1174" bestFit="1" customWidth="1"/>
    <col min="2056" max="2056" width="1" style="1174" customWidth="1"/>
    <col min="2057" max="2057" width="9.140625" style="1174"/>
    <col min="2058" max="2058" width="30.5703125" style="1174" customWidth="1"/>
    <col min="2059" max="2059" width="11" style="1174" customWidth="1"/>
    <col min="2060" max="2060" width="10.5703125" style="1174" customWidth="1"/>
    <col min="2061" max="2061" width="10.85546875" style="1174" customWidth="1"/>
    <col min="2062" max="2062" width="9" style="1174" bestFit="1" customWidth="1"/>
    <col min="2063" max="2063" width="8.140625" style="1174" bestFit="1" customWidth="1"/>
    <col min="2064" max="2303" width="9.140625" style="1174"/>
    <col min="2304" max="2304" width="2.28515625" style="1174" customWidth="1"/>
    <col min="2305" max="2305" width="10.42578125" style="1174" customWidth="1"/>
    <col min="2306" max="2306" width="28.42578125" style="1174" customWidth="1"/>
    <col min="2307" max="2307" width="12" style="1174" customWidth="1"/>
    <col min="2308" max="2308" width="12.7109375" style="1174" customWidth="1"/>
    <col min="2309" max="2309" width="11.5703125" style="1174" customWidth="1"/>
    <col min="2310" max="2310" width="11.140625" style="1174" customWidth="1"/>
    <col min="2311" max="2311" width="9.7109375" style="1174" bestFit="1" customWidth="1"/>
    <col min="2312" max="2312" width="1" style="1174" customWidth="1"/>
    <col min="2313" max="2313" width="9.140625" style="1174"/>
    <col min="2314" max="2314" width="30.5703125" style="1174" customWidth="1"/>
    <col min="2315" max="2315" width="11" style="1174" customWidth="1"/>
    <col min="2316" max="2316" width="10.5703125" style="1174" customWidth="1"/>
    <col min="2317" max="2317" width="10.85546875" style="1174" customWidth="1"/>
    <col min="2318" max="2318" width="9" style="1174" bestFit="1" customWidth="1"/>
    <col min="2319" max="2319" width="8.140625" style="1174" bestFit="1" customWidth="1"/>
    <col min="2320" max="2559" width="9.140625" style="1174"/>
    <col min="2560" max="2560" width="2.28515625" style="1174" customWidth="1"/>
    <col min="2561" max="2561" width="10.42578125" style="1174" customWidth="1"/>
    <col min="2562" max="2562" width="28.42578125" style="1174" customWidth="1"/>
    <col min="2563" max="2563" width="12" style="1174" customWidth="1"/>
    <col min="2564" max="2564" width="12.7109375" style="1174" customWidth="1"/>
    <col min="2565" max="2565" width="11.5703125" style="1174" customWidth="1"/>
    <col min="2566" max="2566" width="11.140625" style="1174" customWidth="1"/>
    <col min="2567" max="2567" width="9.7109375" style="1174" bestFit="1" customWidth="1"/>
    <col min="2568" max="2568" width="1" style="1174" customWidth="1"/>
    <col min="2569" max="2569" width="9.140625" style="1174"/>
    <col min="2570" max="2570" width="30.5703125" style="1174" customWidth="1"/>
    <col min="2571" max="2571" width="11" style="1174" customWidth="1"/>
    <col min="2572" max="2572" width="10.5703125" style="1174" customWidth="1"/>
    <col min="2573" max="2573" width="10.85546875" style="1174" customWidth="1"/>
    <col min="2574" max="2574" width="9" style="1174" bestFit="1" customWidth="1"/>
    <col min="2575" max="2575" width="8.140625" style="1174" bestFit="1" customWidth="1"/>
    <col min="2576" max="2815" width="9.140625" style="1174"/>
    <col min="2816" max="2816" width="2.28515625" style="1174" customWidth="1"/>
    <col min="2817" max="2817" width="10.42578125" style="1174" customWidth="1"/>
    <col min="2818" max="2818" width="28.42578125" style="1174" customWidth="1"/>
    <col min="2819" max="2819" width="12" style="1174" customWidth="1"/>
    <col min="2820" max="2820" width="12.7109375" style="1174" customWidth="1"/>
    <col min="2821" max="2821" width="11.5703125" style="1174" customWidth="1"/>
    <col min="2822" max="2822" width="11.140625" style="1174" customWidth="1"/>
    <col min="2823" max="2823" width="9.7109375" style="1174" bestFit="1" customWidth="1"/>
    <col min="2824" max="2824" width="1" style="1174" customWidth="1"/>
    <col min="2825" max="2825" width="9.140625" style="1174"/>
    <col min="2826" max="2826" width="30.5703125" style="1174" customWidth="1"/>
    <col min="2827" max="2827" width="11" style="1174" customWidth="1"/>
    <col min="2828" max="2828" width="10.5703125" style="1174" customWidth="1"/>
    <col min="2829" max="2829" width="10.85546875" style="1174" customWidth="1"/>
    <col min="2830" max="2830" width="9" style="1174" bestFit="1" customWidth="1"/>
    <col min="2831" max="2831" width="8.140625" style="1174" bestFit="1" customWidth="1"/>
    <col min="2832" max="3071" width="9.140625" style="1174"/>
    <col min="3072" max="3072" width="2.28515625" style="1174" customWidth="1"/>
    <col min="3073" max="3073" width="10.42578125" style="1174" customWidth="1"/>
    <col min="3074" max="3074" width="28.42578125" style="1174" customWidth="1"/>
    <col min="3075" max="3075" width="12" style="1174" customWidth="1"/>
    <col min="3076" max="3076" width="12.7109375" style="1174" customWidth="1"/>
    <col min="3077" max="3077" width="11.5703125" style="1174" customWidth="1"/>
    <col min="3078" max="3078" width="11.140625" style="1174" customWidth="1"/>
    <col min="3079" max="3079" width="9.7109375" style="1174" bestFit="1" customWidth="1"/>
    <col min="3080" max="3080" width="1" style="1174" customWidth="1"/>
    <col min="3081" max="3081" width="9.140625" style="1174"/>
    <col min="3082" max="3082" width="30.5703125" style="1174" customWidth="1"/>
    <col min="3083" max="3083" width="11" style="1174" customWidth="1"/>
    <col min="3084" max="3084" width="10.5703125" style="1174" customWidth="1"/>
    <col min="3085" max="3085" width="10.85546875" style="1174" customWidth="1"/>
    <col min="3086" max="3086" width="9" style="1174" bestFit="1" customWidth="1"/>
    <col min="3087" max="3087" width="8.140625" style="1174" bestFit="1" customWidth="1"/>
    <col min="3088" max="3327" width="9.140625" style="1174"/>
    <col min="3328" max="3328" width="2.28515625" style="1174" customWidth="1"/>
    <col min="3329" max="3329" width="10.42578125" style="1174" customWidth="1"/>
    <col min="3330" max="3330" width="28.42578125" style="1174" customWidth="1"/>
    <col min="3331" max="3331" width="12" style="1174" customWidth="1"/>
    <col min="3332" max="3332" width="12.7109375" style="1174" customWidth="1"/>
    <col min="3333" max="3333" width="11.5703125" style="1174" customWidth="1"/>
    <col min="3334" max="3334" width="11.140625" style="1174" customWidth="1"/>
    <col min="3335" max="3335" width="9.7109375" style="1174" bestFit="1" customWidth="1"/>
    <col min="3336" max="3336" width="1" style="1174" customWidth="1"/>
    <col min="3337" max="3337" width="9.140625" style="1174"/>
    <col min="3338" max="3338" width="30.5703125" style="1174" customWidth="1"/>
    <col min="3339" max="3339" width="11" style="1174" customWidth="1"/>
    <col min="3340" max="3340" width="10.5703125" style="1174" customWidth="1"/>
    <col min="3341" max="3341" width="10.85546875" style="1174" customWidth="1"/>
    <col min="3342" max="3342" width="9" style="1174" bestFit="1" customWidth="1"/>
    <col min="3343" max="3343" width="8.140625" style="1174" bestFit="1" customWidth="1"/>
    <col min="3344" max="3583" width="9.140625" style="1174"/>
    <col min="3584" max="3584" width="2.28515625" style="1174" customWidth="1"/>
    <col min="3585" max="3585" width="10.42578125" style="1174" customWidth="1"/>
    <col min="3586" max="3586" width="28.42578125" style="1174" customWidth="1"/>
    <col min="3587" max="3587" width="12" style="1174" customWidth="1"/>
    <col min="3588" max="3588" width="12.7109375" style="1174" customWidth="1"/>
    <col min="3589" max="3589" width="11.5703125" style="1174" customWidth="1"/>
    <col min="3590" max="3590" width="11.140625" style="1174" customWidth="1"/>
    <col min="3591" max="3591" width="9.7109375" style="1174" bestFit="1" customWidth="1"/>
    <col min="3592" max="3592" width="1" style="1174" customWidth="1"/>
    <col min="3593" max="3593" width="9.140625" style="1174"/>
    <col min="3594" max="3594" width="30.5703125" style="1174" customWidth="1"/>
    <col min="3595" max="3595" width="11" style="1174" customWidth="1"/>
    <col min="3596" max="3596" width="10.5703125" style="1174" customWidth="1"/>
    <col min="3597" max="3597" width="10.85546875" style="1174" customWidth="1"/>
    <col min="3598" max="3598" width="9" style="1174" bestFit="1" customWidth="1"/>
    <col min="3599" max="3599" width="8.140625" style="1174" bestFit="1" customWidth="1"/>
    <col min="3600" max="3839" width="9.140625" style="1174"/>
    <col min="3840" max="3840" width="2.28515625" style="1174" customWidth="1"/>
    <col min="3841" max="3841" width="10.42578125" style="1174" customWidth="1"/>
    <col min="3842" max="3842" width="28.42578125" style="1174" customWidth="1"/>
    <col min="3843" max="3843" width="12" style="1174" customWidth="1"/>
    <col min="3844" max="3844" width="12.7109375" style="1174" customWidth="1"/>
    <col min="3845" max="3845" width="11.5703125" style="1174" customWidth="1"/>
    <col min="3846" max="3846" width="11.140625" style="1174" customWidth="1"/>
    <col min="3847" max="3847" width="9.7109375" style="1174" bestFit="1" customWidth="1"/>
    <col min="3848" max="3848" width="1" style="1174" customWidth="1"/>
    <col min="3849" max="3849" width="9.140625" style="1174"/>
    <col min="3850" max="3850" width="30.5703125" style="1174" customWidth="1"/>
    <col min="3851" max="3851" width="11" style="1174" customWidth="1"/>
    <col min="3852" max="3852" width="10.5703125" style="1174" customWidth="1"/>
    <col min="3853" max="3853" width="10.85546875" style="1174" customWidth="1"/>
    <col min="3854" max="3854" width="9" style="1174" bestFit="1" customWidth="1"/>
    <col min="3855" max="3855" width="8.140625" style="1174" bestFit="1" customWidth="1"/>
    <col min="3856" max="4095" width="9.140625" style="1174"/>
    <col min="4096" max="4096" width="2.28515625" style="1174" customWidth="1"/>
    <col min="4097" max="4097" width="10.42578125" style="1174" customWidth="1"/>
    <col min="4098" max="4098" width="28.42578125" style="1174" customWidth="1"/>
    <col min="4099" max="4099" width="12" style="1174" customWidth="1"/>
    <col min="4100" max="4100" width="12.7109375" style="1174" customWidth="1"/>
    <col min="4101" max="4101" width="11.5703125" style="1174" customWidth="1"/>
    <col min="4102" max="4102" width="11.140625" style="1174" customWidth="1"/>
    <col min="4103" max="4103" width="9.7109375" style="1174" bestFit="1" customWidth="1"/>
    <col min="4104" max="4104" width="1" style="1174" customWidth="1"/>
    <col min="4105" max="4105" width="9.140625" style="1174"/>
    <col min="4106" max="4106" width="30.5703125" style="1174" customWidth="1"/>
    <col min="4107" max="4107" width="11" style="1174" customWidth="1"/>
    <col min="4108" max="4108" width="10.5703125" style="1174" customWidth="1"/>
    <col min="4109" max="4109" width="10.85546875" style="1174" customWidth="1"/>
    <col min="4110" max="4110" width="9" style="1174" bestFit="1" customWidth="1"/>
    <col min="4111" max="4111" width="8.140625" style="1174" bestFit="1" customWidth="1"/>
    <col min="4112" max="4351" width="9.140625" style="1174"/>
    <col min="4352" max="4352" width="2.28515625" style="1174" customWidth="1"/>
    <col min="4353" max="4353" width="10.42578125" style="1174" customWidth="1"/>
    <col min="4354" max="4354" width="28.42578125" style="1174" customWidth="1"/>
    <col min="4355" max="4355" width="12" style="1174" customWidth="1"/>
    <col min="4356" max="4356" width="12.7109375" style="1174" customWidth="1"/>
    <col min="4357" max="4357" width="11.5703125" style="1174" customWidth="1"/>
    <col min="4358" max="4358" width="11.140625" style="1174" customWidth="1"/>
    <col min="4359" max="4359" width="9.7109375" style="1174" bestFit="1" customWidth="1"/>
    <col min="4360" max="4360" width="1" style="1174" customWidth="1"/>
    <col min="4361" max="4361" width="9.140625" style="1174"/>
    <col min="4362" max="4362" width="30.5703125" style="1174" customWidth="1"/>
    <col min="4363" max="4363" width="11" style="1174" customWidth="1"/>
    <col min="4364" max="4364" width="10.5703125" style="1174" customWidth="1"/>
    <col min="4365" max="4365" width="10.85546875" style="1174" customWidth="1"/>
    <col min="4366" max="4366" width="9" style="1174" bestFit="1" customWidth="1"/>
    <col min="4367" max="4367" width="8.140625" style="1174" bestFit="1" customWidth="1"/>
    <col min="4368" max="4607" width="9.140625" style="1174"/>
    <col min="4608" max="4608" width="2.28515625" style="1174" customWidth="1"/>
    <col min="4609" max="4609" width="10.42578125" style="1174" customWidth="1"/>
    <col min="4610" max="4610" width="28.42578125" style="1174" customWidth="1"/>
    <col min="4611" max="4611" width="12" style="1174" customWidth="1"/>
    <col min="4612" max="4612" width="12.7109375" style="1174" customWidth="1"/>
    <col min="4613" max="4613" width="11.5703125" style="1174" customWidth="1"/>
    <col min="4614" max="4614" width="11.140625" style="1174" customWidth="1"/>
    <col min="4615" max="4615" width="9.7109375" style="1174" bestFit="1" customWidth="1"/>
    <col min="4616" max="4616" width="1" style="1174" customWidth="1"/>
    <col min="4617" max="4617" width="9.140625" style="1174"/>
    <col min="4618" max="4618" width="30.5703125" style="1174" customWidth="1"/>
    <col min="4619" max="4619" width="11" style="1174" customWidth="1"/>
    <col min="4620" max="4620" width="10.5703125" style="1174" customWidth="1"/>
    <col min="4621" max="4621" width="10.85546875" style="1174" customWidth="1"/>
    <col min="4622" max="4622" width="9" style="1174" bestFit="1" customWidth="1"/>
    <col min="4623" max="4623" width="8.140625" style="1174" bestFit="1" customWidth="1"/>
    <col min="4624" max="4863" width="9.140625" style="1174"/>
    <col min="4864" max="4864" width="2.28515625" style="1174" customWidth="1"/>
    <col min="4865" max="4865" width="10.42578125" style="1174" customWidth="1"/>
    <col min="4866" max="4866" width="28.42578125" style="1174" customWidth="1"/>
    <col min="4867" max="4867" width="12" style="1174" customWidth="1"/>
    <col min="4868" max="4868" width="12.7109375" style="1174" customWidth="1"/>
    <col min="4869" max="4869" width="11.5703125" style="1174" customWidth="1"/>
    <col min="4870" max="4870" width="11.140625" style="1174" customWidth="1"/>
    <col min="4871" max="4871" width="9.7109375" style="1174" bestFit="1" customWidth="1"/>
    <col min="4872" max="4872" width="1" style="1174" customWidth="1"/>
    <col min="4873" max="4873" width="9.140625" style="1174"/>
    <col min="4874" max="4874" width="30.5703125" style="1174" customWidth="1"/>
    <col min="4875" max="4875" width="11" style="1174" customWidth="1"/>
    <col min="4876" max="4876" width="10.5703125" style="1174" customWidth="1"/>
    <col min="4877" max="4877" width="10.85546875" style="1174" customWidth="1"/>
    <col min="4878" max="4878" width="9" style="1174" bestFit="1" customWidth="1"/>
    <col min="4879" max="4879" width="8.140625" style="1174" bestFit="1" customWidth="1"/>
    <col min="4880" max="5119" width="9.140625" style="1174"/>
    <col min="5120" max="5120" width="2.28515625" style="1174" customWidth="1"/>
    <col min="5121" max="5121" width="10.42578125" style="1174" customWidth="1"/>
    <col min="5122" max="5122" width="28.42578125" style="1174" customWidth="1"/>
    <col min="5123" max="5123" width="12" style="1174" customWidth="1"/>
    <col min="5124" max="5124" width="12.7109375" style="1174" customWidth="1"/>
    <col min="5125" max="5125" width="11.5703125" style="1174" customWidth="1"/>
    <col min="5126" max="5126" width="11.140625" style="1174" customWidth="1"/>
    <col min="5127" max="5127" width="9.7109375" style="1174" bestFit="1" customWidth="1"/>
    <col min="5128" max="5128" width="1" style="1174" customWidth="1"/>
    <col min="5129" max="5129" width="9.140625" style="1174"/>
    <col min="5130" max="5130" width="30.5703125" style="1174" customWidth="1"/>
    <col min="5131" max="5131" width="11" style="1174" customWidth="1"/>
    <col min="5132" max="5132" width="10.5703125" style="1174" customWidth="1"/>
    <col min="5133" max="5133" width="10.85546875" style="1174" customWidth="1"/>
    <col min="5134" max="5134" width="9" style="1174" bestFit="1" customWidth="1"/>
    <col min="5135" max="5135" width="8.140625" style="1174" bestFit="1" customWidth="1"/>
    <col min="5136" max="5375" width="9.140625" style="1174"/>
    <col min="5376" max="5376" width="2.28515625" style="1174" customWidth="1"/>
    <col min="5377" max="5377" width="10.42578125" style="1174" customWidth="1"/>
    <col min="5378" max="5378" width="28.42578125" style="1174" customWidth="1"/>
    <col min="5379" max="5379" width="12" style="1174" customWidth="1"/>
    <col min="5380" max="5380" width="12.7109375" style="1174" customWidth="1"/>
    <col min="5381" max="5381" width="11.5703125" style="1174" customWidth="1"/>
    <col min="5382" max="5382" width="11.140625" style="1174" customWidth="1"/>
    <col min="5383" max="5383" width="9.7109375" style="1174" bestFit="1" customWidth="1"/>
    <col min="5384" max="5384" width="1" style="1174" customWidth="1"/>
    <col min="5385" max="5385" width="9.140625" style="1174"/>
    <col min="5386" max="5386" width="30.5703125" style="1174" customWidth="1"/>
    <col min="5387" max="5387" width="11" style="1174" customWidth="1"/>
    <col min="5388" max="5388" width="10.5703125" style="1174" customWidth="1"/>
    <col min="5389" max="5389" width="10.85546875" style="1174" customWidth="1"/>
    <col min="5390" max="5390" width="9" style="1174" bestFit="1" customWidth="1"/>
    <col min="5391" max="5391" width="8.140625" style="1174" bestFit="1" customWidth="1"/>
    <col min="5392" max="5631" width="9.140625" style="1174"/>
    <col min="5632" max="5632" width="2.28515625" style="1174" customWidth="1"/>
    <col min="5633" max="5633" width="10.42578125" style="1174" customWidth="1"/>
    <col min="5634" max="5634" width="28.42578125" style="1174" customWidth="1"/>
    <col min="5635" max="5635" width="12" style="1174" customWidth="1"/>
    <col min="5636" max="5636" width="12.7109375" style="1174" customWidth="1"/>
    <col min="5637" max="5637" width="11.5703125" style="1174" customWidth="1"/>
    <col min="5638" max="5638" width="11.140625" style="1174" customWidth="1"/>
    <col min="5639" max="5639" width="9.7109375" style="1174" bestFit="1" customWidth="1"/>
    <col min="5640" max="5640" width="1" style="1174" customWidth="1"/>
    <col min="5641" max="5641" width="9.140625" style="1174"/>
    <col min="5642" max="5642" width="30.5703125" style="1174" customWidth="1"/>
    <col min="5643" max="5643" width="11" style="1174" customWidth="1"/>
    <col min="5644" max="5644" width="10.5703125" style="1174" customWidth="1"/>
    <col min="5645" max="5645" width="10.85546875" style="1174" customWidth="1"/>
    <col min="5646" max="5646" width="9" style="1174" bestFit="1" customWidth="1"/>
    <col min="5647" max="5647" width="8.140625" style="1174" bestFit="1" customWidth="1"/>
    <col min="5648" max="5887" width="9.140625" style="1174"/>
    <col min="5888" max="5888" width="2.28515625" style="1174" customWidth="1"/>
    <col min="5889" max="5889" width="10.42578125" style="1174" customWidth="1"/>
    <col min="5890" max="5890" width="28.42578125" style="1174" customWidth="1"/>
    <col min="5891" max="5891" width="12" style="1174" customWidth="1"/>
    <col min="5892" max="5892" width="12.7109375" style="1174" customWidth="1"/>
    <col min="5893" max="5893" width="11.5703125" style="1174" customWidth="1"/>
    <col min="5894" max="5894" width="11.140625" style="1174" customWidth="1"/>
    <col min="5895" max="5895" width="9.7109375" style="1174" bestFit="1" customWidth="1"/>
    <col min="5896" max="5896" width="1" style="1174" customWidth="1"/>
    <col min="5897" max="5897" width="9.140625" style="1174"/>
    <col min="5898" max="5898" width="30.5703125" style="1174" customWidth="1"/>
    <col min="5899" max="5899" width="11" style="1174" customWidth="1"/>
    <col min="5900" max="5900" width="10.5703125" style="1174" customWidth="1"/>
    <col min="5901" max="5901" width="10.85546875" style="1174" customWidth="1"/>
    <col min="5902" max="5902" width="9" style="1174" bestFit="1" customWidth="1"/>
    <col min="5903" max="5903" width="8.140625" style="1174" bestFit="1" customWidth="1"/>
    <col min="5904" max="6143" width="9.140625" style="1174"/>
    <col min="6144" max="6144" width="2.28515625" style="1174" customWidth="1"/>
    <col min="6145" max="6145" width="10.42578125" style="1174" customWidth="1"/>
    <col min="6146" max="6146" width="28.42578125" style="1174" customWidth="1"/>
    <col min="6147" max="6147" width="12" style="1174" customWidth="1"/>
    <col min="6148" max="6148" width="12.7109375" style="1174" customWidth="1"/>
    <col min="6149" max="6149" width="11.5703125" style="1174" customWidth="1"/>
    <col min="6150" max="6150" width="11.140625" style="1174" customWidth="1"/>
    <col min="6151" max="6151" width="9.7109375" style="1174" bestFit="1" customWidth="1"/>
    <col min="6152" max="6152" width="1" style="1174" customWidth="1"/>
    <col min="6153" max="6153" width="9.140625" style="1174"/>
    <col min="6154" max="6154" width="30.5703125" style="1174" customWidth="1"/>
    <col min="6155" max="6155" width="11" style="1174" customWidth="1"/>
    <col min="6156" max="6156" width="10.5703125" style="1174" customWidth="1"/>
    <col min="6157" max="6157" width="10.85546875" style="1174" customWidth="1"/>
    <col min="6158" max="6158" width="9" style="1174" bestFit="1" customWidth="1"/>
    <col min="6159" max="6159" width="8.140625" style="1174" bestFit="1" customWidth="1"/>
    <col min="6160" max="6399" width="9.140625" style="1174"/>
    <col min="6400" max="6400" width="2.28515625" style="1174" customWidth="1"/>
    <col min="6401" max="6401" width="10.42578125" style="1174" customWidth="1"/>
    <col min="6402" max="6402" width="28.42578125" style="1174" customWidth="1"/>
    <col min="6403" max="6403" width="12" style="1174" customWidth="1"/>
    <col min="6404" max="6404" width="12.7109375" style="1174" customWidth="1"/>
    <col min="6405" max="6405" width="11.5703125" style="1174" customWidth="1"/>
    <col min="6406" max="6406" width="11.140625" style="1174" customWidth="1"/>
    <col min="6407" max="6407" width="9.7109375" style="1174" bestFit="1" customWidth="1"/>
    <col min="6408" max="6408" width="1" style="1174" customWidth="1"/>
    <col min="6409" max="6409" width="9.140625" style="1174"/>
    <col min="6410" max="6410" width="30.5703125" style="1174" customWidth="1"/>
    <col min="6411" max="6411" width="11" style="1174" customWidth="1"/>
    <col min="6412" max="6412" width="10.5703125" style="1174" customWidth="1"/>
    <col min="6413" max="6413" width="10.85546875" style="1174" customWidth="1"/>
    <col min="6414" max="6414" width="9" style="1174" bestFit="1" customWidth="1"/>
    <col min="6415" max="6415" width="8.140625" style="1174" bestFit="1" customWidth="1"/>
    <col min="6416" max="6655" width="9.140625" style="1174"/>
    <col min="6656" max="6656" width="2.28515625" style="1174" customWidth="1"/>
    <col min="6657" max="6657" width="10.42578125" style="1174" customWidth="1"/>
    <col min="6658" max="6658" width="28.42578125" style="1174" customWidth="1"/>
    <col min="6659" max="6659" width="12" style="1174" customWidth="1"/>
    <col min="6660" max="6660" width="12.7109375" style="1174" customWidth="1"/>
    <col min="6661" max="6661" width="11.5703125" style="1174" customWidth="1"/>
    <col min="6662" max="6662" width="11.140625" style="1174" customWidth="1"/>
    <col min="6663" max="6663" width="9.7109375" style="1174" bestFit="1" customWidth="1"/>
    <col min="6664" max="6664" width="1" style="1174" customWidth="1"/>
    <col min="6665" max="6665" width="9.140625" style="1174"/>
    <col min="6666" max="6666" width="30.5703125" style="1174" customWidth="1"/>
    <col min="6667" max="6667" width="11" style="1174" customWidth="1"/>
    <col min="6668" max="6668" width="10.5703125" style="1174" customWidth="1"/>
    <col min="6669" max="6669" width="10.85546875" style="1174" customWidth="1"/>
    <col min="6670" max="6670" width="9" style="1174" bestFit="1" customWidth="1"/>
    <col min="6671" max="6671" width="8.140625" style="1174" bestFit="1" customWidth="1"/>
    <col min="6672" max="6911" width="9.140625" style="1174"/>
    <col min="6912" max="6912" width="2.28515625" style="1174" customWidth="1"/>
    <col min="6913" max="6913" width="10.42578125" style="1174" customWidth="1"/>
    <col min="6914" max="6914" width="28.42578125" style="1174" customWidth="1"/>
    <col min="6915" max="6915" width="12" style="1174" customWidth="1"/>
    <col min="6916" max="6916" width="12.7109375" style="1174" customWidth="1"/>
    <col min="6917" max="6917" width="11.5703125" style="1174" customWidth="1"/>
    <col min="6918" max="6918" width="11.140625" style="1174" customWidth="1"/>
    <col min="6919" max="6919" width="9.7109375" style="1174" bestFit="1" customWidth="1"/>
    <col min="6920" max="6920" width="1" style="1174" customWidth="1"/>
    <col min="6921" max="6921" width="9.140625" style="1174"/>
    <col min="6922" max="6922" width="30.5703125" style="1174" customWidth="1"/>
    <col min="6923" max="6923" width="11" style="1174" customWidth="1"/>
    <col min="6924" max="6924" width="10.5703125" style="1174" customWidth="1"/>
    <col min="6925" max="6925" width="10.85546875" style="1174" customWidth="1"/>
    <col min="6926" max="6926" width="9" style="1174" bestFit="1" customWidth="1"/>
    <col min="6927" max="6927" width="8.140625" style="1174" bestFit="1" customWidth="1"/>
    <col min="6928" max="7167" width="9.140625" style="1174"/>
    <col min="7168" max="7168" width="2.28515625" style="1174" customWidth="1"/>
    <col min="7169" max="7169" width="10.42578125" style="1174" customWidth="1"/>
    <col min="7170" max="7170" width="28.42578125" style="1174" customWidth="1"/>
    <col min="7171" max="7171" width="12" style="1174" customWidth="1"/>
    <col min="7172" max="7172" width="12.7109375" style="1174" customWidth="1"/>
    <col min="7173" max="7173" width="11.5703125" style="1174" customWidth="1"/>
    <col min="7174" max="7174" width="11.140625" style="1174" customWidth="1"/>
    <col min="7175" max="7175" width="9.7109375" style="1174" bestFit="1" customWidth="1"/>
    <col min="7176" max="7176" width="1" style="1174" customWidth="1"/>
    <col min="7177" max="7177" width="9.140625" style="1174"/>
    <col min="7178" max="7178" width="30.5703125" style="1174" customWidth="1"/>
    <col min="7179" max="7179" width="11" style="1174" customWidth="1"/>
    <col min="7180" max="7180" width="10.5703125" style="1174" customWidth="1"/>
    <col min="7181" max="7181" width="10.85546875" style="1174" customWidth="1"/>
    <col min="7182" max="7182" width="9" style="1174" bestFit="1" customWidth="1"/>
    <col min="7183" max="7183" width="8.140625" style="1174" bestFit="1" customWidth="1"/>
    <col min="7184" max="7423" width="9.140625" style="1174"/>
    <col min="7424" max="7424" width="2.28515625" style="1174" customWidth="1"/>
    <col min="7425" max="7425" width="10.42578125" style="1174" customWidth="1"/>
    <col min="7426" max="7426" width="28.42578125" style="1174" customWidth="1"/>
    <col min="7427" max="7427" width="12" style="1174" customWidth="1"/>
    <col min="7428" max="7428" width="12.7109375" style="1174" customWidth="1"/>
    <col min="7429" max="7429" width="11.5703125" style="1174" customWidth="1"/>
    <col min="7430" max="7430" width="11.140625" style="1174" customWidth="1"/>
    <col min="7431" max="7431" width="9.7109375" style="1174" bestFit="1" customWidth="1"/>
    <col min="7432" max="7432" width="1" style="1174" customWidth="1"/>
    <col min="7433" max="7433" width="9.140625" style="1174"/>
    <col min="7434" max="7434" width="30.5703125" style="1174" customWidth="1"/>
    <col min="7435" max="7435" width="11" style="1174" customWidth="1"/>
    <col min="7436" max="7436" width="10.5703125" style="1174" customWidth="1"/>
    <col min="7437" max="7437" width="10.85546875" style="1174" customWidth="1"/>
    <col min="7438" max="7438" width="9" style="1174" bestFit="1" customWidth="1"/>
    <col min="7439" max="7439" width="8.140625" style="1174" bestFit="1" customWidth="1"/>
    <col min="7440" max="7679" width="9.140625" style="1174"/>
    <col min="7680" max="7680" width="2.28515625" style="1174" customWidth="1"/>
    <col min="7681" max="7681" width="10.42578125" style="1174" customWidth="1"/>
    <col min="7682" max="7682" width="28.42578125" style="1174" customWidth="1"/>
    <col min="7683" max="7683" width="12" style="1174" customWidth="1"/>
    <col min="7684" max="7684" width="12.7109375" style="1174" customWidth="1"/>
    <col min="7685" max="7685" width="11.5703125" style="1174" customWidth="1"/>
    <col min="7686" max="7686" width="11.140625" style="1174" customWidth="1"/>
    <col min="7687" max="7687" width="9.7109375" style="1174" bestFit="1" customWidth="1"/>
    <col min="7688" max="7688" width="1" style="1174" customWidth="1"/>
    <col min="7689" max="7689" width="9.140625" style="1174"/>
    <col min="7690" max="7690" width="30.5703125" style="1174" customWidth="1"/>
    <col min="7691" max="7691" width="11" style="1174" customWidth="1"/>
    <col min="7692" max="7692" width="10.5703125" style="1174" customWidth="1"/>
    <col min="7693" max="7693" width="10.85546875" style="1174" customWidth="1"/>
    <col min="7694" max="7694" width="9" style="1174" bestFit="1" customWidth="1"/>
    <col min="7695" max="7695" width="8.140625" style="1174" bestFit="1" customWidth="1"/>
    <col min="7696" max="7935" width="9.140625" style="1174"/>
    <col min="7936" max="7936" width="2.28515625" style="1174" customWidth="1"/>
    <col min="7937" max="7937" width="10.42578125" style="1174" customWidth="1"/>
    <col min="7938" max="7938" width="28.42578125" style="1174" customWidth="1"/>
    <col min="7939" max="7939" width="12" style="1174" customWidth="1"/>
    <col min="7940" max="7940" width="12.7109375" style="1174" customWidth="1"/>
    <col min="7941" max="7941" width="11.5703125" style="1174" customWidth="1"/>
    <col min="7942" max="7942" width="11.140625" style="1174" customWidth="1"/>
    <col min="7943" max="7943" width="9.7109375" style="1174" bestFit="1" customWidth="1"/>
    <col min="7944" max="7944" width="1" style="1174" customWidth="1"/>
    <col min="7945" max="7945" width="9.140625" style="1174"/>
    <col min="7946" max="7946" width="30.5703125" style="1174" customWidth="1"/>
    <col min="7947" max="7947" width="11" style="1174" customWidth="1"/>
    <col min="7948" max="7948" width="10.5703125" style="1174" customWidth="1"/>
    <col min="7949" max="7949" width="10.85546875" style="1174" customWidth="1"/>
    <col min="7950" max="7950" width="9" style="1174" bestFit="1" customWidth="1"/>
    <col min="7951" max="7951" width="8.140625" style="1174" bestFit="1" customWidth="1"/>
    <col min="7952" max="8191" width="9.140625" style="1174"/>
    <col min="8192" max="8192" width="2.28515625" style="1174" customWidth="1"/>
    <col min="8193" max="8193" width="10.42578125" style="1174" customWidth="1"/>
    <col min="8194" max="8194" width="28.42578125" style="1174" customWidth="1"/>
    <col min="8195" max="8195" width="12" style="1174" customWidth="1"/>
    <col min="8196" max="8196" width="12.7109375" style="1174" customWidth="1"/>
    <col min="8197" max="8197" width="11.5703125" style="1174" customWidth="1"/>
    <col min="8198" max="8198" width="11.140625" style="1174" customWidth="1"/>
    <col min="8199" max="8199" width="9.7109375" style="1174" bestFit="1" customWidth="1"/>
    <col min="8200" max="8200" width="1" style="1174" customWidth="1"/>
    <col min="8201" max="8201" width="9.140625" style="1174"/>
    <col min="8202" max="8202" width="30.5703125" style="1174" customWidth="1"/>
    <col min="8203" max="8203" width="11" style="1174" customWidth="1"/>
    <col min="8204" max="8204" width="10.5703125" style="1174" customWidth="1"/>
    <col min="8205" max="8205" width="10.85546875" style="1174" customWidth="1"/>
    <col min="8206" max="8206" width="9" style="1174" bestFit="1" customWidth="1"/>
    <col min="8207" max="8207" width="8.140625" style="1174" bestFit="1" customWidth="1"/>
    <col min="8208" max="8447" width="9.140625" style="1174"/>
    <col min="8448" max="8448" width="2.28515625" style="1174" customWidth="1"/>
    <col min="8449" max="8449" width="10.42578125" style="1174" customWidth="1"/>
    <col min="8450" max="8450" width="28.42578125" style="1174" customWidth="1"/>
    <col min="8451" max="8451" width="12" style="1174" customWidth="1"/>
    <col min="8452" max="8452" width="12.7109375" style="1174" customWidth="1"/>
    <col min="8453" max="8453" width="11.5703125" style="1174" customWidth="1"/>
    <col min="8454" max="8454" width="11.140625" style="1174" customWidth="1"/>
    <col min="8455" max="8455" width="9.7109375" style="1174" bestFit="1" customWidth="1"/>
    <col min="8456" max="8456" width="1" style="1174" customWidth="1"/>
    <col min="8457" max="8457" width="9.140625" style="1174"/>
    <col min="8458" max="8458" width="30.5703125" style="1174" customWidth="1"/>
    <col min="8459" max="8459" width="11" style="1174" customWidth="1"/>
    <col min="8460" max="8460" width="10.5703125" style="1174" customWidth="1"/>
    <col min="8461" max="8461" width="10.85546875" style="1174" customWidth="1"/>
    <col min="8462" max="8462" width="9" style="1174" bestFit="1" customWidth="1"/>
    <col min="8463" max="8463" width="8.140625" style="1174" bestFit="1" customWidth="1"/>
    <col min="8464" max="8703" width="9.140625" style="1174"/>
    <col min="8704" max="8704" width="2.28515625" style="1174" customWidth="1"/>
    <col min="8705" max="8705" width="10.42578125" style="1174" customWidth="1"/>
    <col min="8706" max="8706" width="28.42578125" style="1174" customWidth="1"/>
    <col min="8707" max="8707" width="12" style="1174" customWidth="1"/>
    <col min="8708" max="8708" width="12.7109375" style="1174" customWidth="1"/>
    <col min="8709" max="8709" width="11.5703125" style="1174" customWidth="1"/>
    <col min="8710" max="8710" width="11.140625" style="1174" customWidth="1"/>
    <col min="8711" max="8711" width="9.7109375" style="1174" bestFit="1" customWidth="1"/>
    <col min="8712" max="8712" width="1" style="1174" customWidth="1"/>
    <col min="8713" max="8713" width="9.140625" style="1174"/>
    <col min="8714" max="8714" width="30.5703125" style="1174" customWidth="1"/>
    <col min="8715" max="8715" width="11" style="1174" customWidth="1"/>
    <col min="8716" max="8716" width="10.5703125" style="1174" customWidth="1"/>
    <col min="8717" max="8717" width="10.85546875" style="1174" customWidth="1"/>
    <col min="8718" max="8718" width="9" style="1174" bestFit="1" customWidth="1"/>
    <col min="8719" max="8719" width="8.140625" style="1174" bestFit="1" customWidth="1"/>
    <col min="8720" max="8959" width="9.140625" style="1174"/>
    <col min="8960" max="8960" width="2.28515625" style="1174" customWidth="1"/>
    <col min="8961" max="8961" width="10.42578125" style="1174" customWidth="1"/>
    <col min="8962" max="8962" width="28.42578125" style="1174" customWidth="1"/>
    <col min="8963" max="8963" width="12" style="1174" customWidth="1"/>
    <col min="8964" max="8964" width="12.7109375" style="1174" customWidth="1"/>
    <col min="8965" max="8965" width="11.5703125" style="1174" customWidth="1"/>
    <col min="8966" max="8966" width="11.140625" style="1174" customWidth="1"/>
    <col min="8967" max="8967" width="9.7109375" style="1174" bestFit="1" customWidth="1"/>
    <col min="8968" max="8968" width="1" style="1174" customWidth="1"/>
    <col min="8969" max="8969" width="9.140625" style="1174"/>
    <col min="8970" max="8970" width="30.5703125" style="1174" customWidth="1"/>
    <col min="8971" max="8971" width="11" style="1174" customWidth="1"/>
    <col min="8972" max="8972" width="10.5703125" style="1174" customWidth="1"/>
    <col min="8973" max="8973" width="10.85546875" style="1174" customWidth="1"/>
    <col min="8974" max="8974" width="9" style="1174" bestFit="1" customWidth="1"/>
    <col min="8975" max="8975" width="8.140625" style="1174" bestFit="1" customWidth="1"/>
    <col min="8976" max="9215" width="9.140625" style="1174"/>
    <col min="9216" max="9216" width="2.28515625" style="1174" customWidth="1"/>
    <col min="9217" max="9217" width="10.42578125" style="1174" customWidth="1"/>
    <col min="9218" max="9218" width="28.42578125" style="1174" customWidth="1"/>
    <col min="9219" max="9219" width="12" style="1174" customWidth="1"/>
    <col min="9220" max="9220" width="12.7109375" style="1174" customWidth="1"/>
    <col min="9221" max="9221" width="11.5703125" style="1174" customWidth="1"/>
    <col min="9222" max="9222" width="11.140625" style="1174" customWidth="1"/>
    <col min="9223" max="9223" width="9.7109375" style="1174" bestFit="1" customWidth="1"/>
    <col min="9224" max="9224" width="1" style="1174" customWidth="1"/>
    <col min="9225" max="9225" width="9.140625" style="1174"/>
    <col min="9226" max="9226" width="30.5703125" style="1174" customWidth="1"/>
    <col min="9227" max="9227" width="11" style="1174" customWidth="1"/>
    <col min="9228" max="9228" width="10.5703125" style="1174" customWidth="1"/>
    <col min="9229" max="9229" width="10.85546875" style="1174" customWidth="1"/>
    <col min="9230" max="9230" width="9" style="1174" bestFit="1" customWidth="1"/>
    <col min="9231" max="9231" width="8.140625" style="1174" bestFit="1" customWidth="1"/>
    <col min="9232" max="9471" width="9.140625" style="1174"/>
    <col min="9472" max="9472" width="2.28515625" style="1174" customWidth="1"/>
    <col min="9473" max="9473" width="10.42578125" style="1174" customWidth="1"/>
    <col min="9474" max="9474" width="28.42578125" style="1174" customWidth="1"/>
    <col min="9475" max="9475" width="12" style="1174" customWidth="1"/>
    <col min="9476" max="9476" width="12.7109375" style="1174" customWidth="1"/>
    <col min="9477" max="9477" width="11.5703125" style="1174" customWidth="1"/>
    <col min="9478" max="9478" width="11.140625" style="1174" customWidth="1"/>
    <col min="9479" max="9479" width="9.7109375" style="1174" bestFit="1" customWidth="1"/>
    <col min="9480" max="9480" width="1" style="1174" customWidth="1"/>
    <col min="9481" max="9481" width="9.140625" style="1174"/>
    <col min="9482" max="9482" width="30.5703125" style="1174" customWidth="1"/>
    <col min="9483" max="9483" width="11" style="1174" customWidth="1"/>
    <col min="9484" max="9484" width="10.5703125" style="1174" customWidth="1"/>
    <col min="9485" max="9485" width="10.85546875" style="1174" customWidth="1"/>
    <col min="9486" max="9486" width="9" style="1174" bestFit="1" customWidth="1"/>
    <col min="9487" max="9487" width="8.140625" style="1174" bestFit="1" customWidth="1"/>
    <col min="9488" max="9727" width="9.140625" style="1174"/>
    <col min="9728" max="9728" width="2.28515625" style="1174" customWidth="1"/>
    <col min="9729" max="9729" width="10.42578125" style="1174" customWidth="1"/>
    <col min="9730" max="9730" width="28.42578125" style="1174" customWidth="1"/>
    <col min="9731" max="9731" width="12" style="1174" customWidth="1"/>
    <col min="9732" max="9732" width="12.7109375" style="1174" customWidth="1"/>
    <col min="9733" max="9733" width="11.5703125" style="1174" customWidth="1"/>
    <col min="9734" max="9734" width="11.140625" style="1174" customWidth="1"/>
    <col min="9735" max="9735" width="9.7109375" style="1174" bestFit="1" customWidth="1"/>
    <col min="9736" max="9736" width="1" style="1174" customWidth="1"/>
    <col min="9737" max="9737" width="9.140625" style="1174"/>
    <col min="9738" max="9738" width="30.5703125" style="1174" customWidth="1"/>
    <col min="9739" max="9739" width="11" style="1174" customWidth="1"/>
    <col min="9740" max="9740" width="10.5703125" style="1174" customWidth="1"/>
    <col min="9741" max="9741" width="10.85546875" style="1174" customWidth="1"/>
    <col min="9742" max="9742" width="9" style="1174" bestFit="1" customWidth="1"/>
    <col min="9743" max="9743" width="8.140625" style="1174" bestFit="1" customWidth="1"/>
    <col min="9744" max="9983" width="9.140625" style="1174"/>
    <col min="9984" max="9984" width="2.28515625" style="1174" customWidth="1"/>
    <col min="9985" max="9985" width="10.42578125" style="1174" customWidth="1"/>
    <col min="9986" max="9986" width="28.42578125" style="1174" customWidth="1"/>
    <col min="9987" max="9987" width="12" style="1174" customWidth="1"/>
    <col min="9988" max="9988" width="12.7109375" style="1174" customWidth="1"/>
    <col min="9989" max="9989" width="11.5703125" style="1174" customWidth="1"/>
    <col min="9990" max="9990" width="11.140625" style="1174" customWidth="1"/>
    <col min="9991" max="9991" width="9.7109375" style="1174" bestFit="1" customWidth="1"/>
    <col min="9992" max="9992" width="1" style="1174" customWidth="1"/>
    <col min="9993" max="9993" width="9.140625" style="1174"/>
    <col min="9994" max="9994" width="30.5703125" style="1174" customWidth="1"/>
    <col min="9995" max="9995" width="11" style="1174" customWidth="1"/>
    <col min="9996" max="9996" width="10.5703125" style="1174" customWidth="1"/>
    <col min="9997" max="9997" width="10.85546875" style="1174" customWidth="1"/>
    <col min="9998" max="9998" width="9" style="1174" bestFit="1" customWidth="1"/>
    <col min="9999" max="9999" width="8.140625" style="1174" bestFit="1" customWidth="1"/>
    <col min="10000" max="10239" width="9.140625" style="1174"/>
    <col min="10240" max="10240" width="2.28515625" style="1174" customWidth="1"/>
    <col min="10241" max="10241" width="10.42578125" style="1174" customWidth="1"/>
    <col min="10242" max="10242" width="28.42578125" style="1174" customWidth="1"/>
    <col min="10243" max="10243" width="12" style="1174" customWidth="1"/>
    <col min="10244" max="10244" width="12.7109375" style="1174" customWidth="1"/>
    <col min="10245" max="10245" width="11.5703125" style="1174" customWidth="1"/>
    <col min="10246" max="10246" width="11.140625" style="1174" customWidth="1"/>
    <col min="10247" max="10247" width="9.7109375" style="1174" bestFit="1" customWidth="1"/>
    <col min="10248" max="10248" width="1" style="1174" customWidth="1"/>
    <col min="10249" max="10249" width="9.140625" style="1174"/>
    <col min="10250" max="10250" width="30.5703125" style="1174" customWidth="1"/>
    <col min="10251" max="10251" width="11" style="1174" customWidth="1"/>
    <col min="10252" max="10252" width="10.5703125" style="1174" customWidth="1"/>
    <col min="10253" max="10253" width="10.85546875" style="1174" customWidth="1"/>
    <col min="10254" max="10254" width="9" style="1174" bestFit="1" customWidth="1"/>
    <col min="10255" max="10255" width="8.140625" style="1174" bestFit="1" customWidth="1"/>
    <col min="10256" max="10495" width="9.140625" style="1174"/>
    <col min="10496" max="10496" width="2.28515625" style="1174" customWidth="1"/>
    <col min="10497" max="10497" width="10.42578125" style="1174" customWidth="1"/>
    <col min="10498" max="10498" width="28.42578125" style="1174" customWidth="1"/>
    <col min="10499" max="10499" width="12" style="1174" customWidth="1"/>
    <col min="10500" max="10500" width="12.7109375" style="1174" customWidth="1"/>
    <col min="10501" max="10501" width="11.5703125" style="1174" customWidth="1"/>
    <col min="10502" max="10502" width="11.140625" style="1174" customWidth="1"/>
    <col min="10503" max="10503" width="9.7109375" style="1174" bestFit="1" customWidth="1"/>
    <col min="10504" max="10504" width="1" style="1174" customWidth="1"/>
    <col min="10505" max="10505" width="9.140625" style="1174"/>
    <col min="10506" max="10506" width="30.5703125" style="1174" customWidth="1"/>
    <col min="10507" max="10507" width="11" style="1174" customWidth="1"/>
    <col min="10508" max="10508" width="10.5703125" style="1174" customWidth="1"/>
    <col min="10509" max="10509" width="10.85546875" style="1174" customWidth="1"/>
    <col min="10510" max="10510" width="9" style="1174" bestFit="1" customWidth="1"/>
    <col min="10511" max="10511" width="8.140625" style="1174" bestFit="1" customWidth="1"/>
    <col min="10512" max="10751" width="9.140625" style="1174"/>
    <col min="10752" max="10752" width="2.28515625" style="1174" customWidth="1"/>
    <col min="10753" max="10753" width="10.42578125" style="1174" customWidth="1"/>
    <col min="10754" max="10754" width="28.42578125" style="1174" customWidth="1"/>
    <col min="10755" max="10755" width="12" style="1174" customWidth="1"/>
    <col min="10756" max="10756" width="12.7109375" style="1174" customWidth="1"/>
    <col min="10757" max="10757" width="11.5703125" style="1174" customWidth="1"/>
    <col min="10758" max="10758" width="11.140625" style="1174" customWidth="1"/>
    <col min="10759" max="10759" width="9.7109375" style="1174" bestFit="1" customWidth="1"/>
    <col min="10760" max="10760" width="1" style="1174" customWidth="1"/>
    <col min="10761" max="10761" width="9.140625" style="1174"/>
    <col min="10762" max="10762" width="30.5703125" style="1174" customWidth="1"/>
    <col min="10763" max="10763" width="11" style="1174" customWidth="1"/>
    <col min="10764" max="10764" width="10.5703125" style="1174" customWidth="1"/>
    <col min="10765" max="10765" width="10.85546875" style="1174" customWidth="1"/>
    <col min="10766" max="10766" width="9" style="1174" bestFit="1" customWidth="1"/>
    <col min="10767" max="10767" width="8.140625" style="1174" bestFit="1" customWidth="1"/>
    <col min="10768" max="11007" width="9.140625" style="1174"/>
    <col min="11008" max="11008" width="2.28515625" style="1174" customWidth="1"/>
    <col min="11009" max="11009" width="10.42578125" style="1174" customWidth="1"/>
    <col min="11010" max="11010" width="28.42578125" style="1174" customWidth="1"/>
    <col min="11011" max="11011" width="12" style="1174" customWidth="1"/>
    <col min="11012" max="11012" width="12.7109375" style="1174" customWidth="1"/>
    <col min="11013" max="11013" width="11.5703125" style="1174" customWidth="1"/>
    <col min="11014" max="11014" width="11.140625" style="1174" customWidth="1"/>
    <col min="11015" max="11015" width="9.7109375" style="1174" bestFit="1" customWidth="1"/>
    <col min="11016" max="11016" width="1" style="1174" customWidth="1"/>
    <col min="11017" max="11017" width="9.140625" style="1174"/>
    <col min="11018" max="11018" width="30.5703125" style="1174" customWidth="1"/>
    <col min="11019" max="11019" width="11" style="1174" customWidth="1"/>
    <col min="11020" max="11020" width="10.5703125" style="1174" customWidth="1"/>
    <col min="11021" max="11021" width="10.85546875" style="1174" customWidth="1"/>
    <col min="11022" max="11022" width="9" style="1174" bestFit="1" customWidth="1"/>
    <col min="11023" max="11023" width="8.140625" style="1174" bestFit="1" customWidth="1"/>
    <col min="11024" max="11263" width="9.140625" style="1174"/>
    <col min="11264" max="11264" width="2.28515625" style="1174" customWidth="1"/>
    <col min="11265" max="11265" width="10.42578125" style="1174" customWidth="1"/>
    <col min="11266" max="11266" width="28.42578125" style="1174" customWidth="1"/>
    <col min="11267" max="11267" width="12" style="1174" customWidth="1"/>
    <col min="11268" max="11268" width="12.7109375" style="1174" customWidth="1"/>
    <col min="11269" max="11269" width="11.5703125" style="1174" customWidth="1"/>
    <col min="11270" max="11270" width="11.140625" style="1174" customWidth="1"/>
    <col min="11271" max="11271" width="9.7109375" style="1174" bestFit="1" customWidth="1"/>
    <col min="11272" max="11272" width="1" style="1174" customWidth="1"/>
    <col min="11273" max="11273" width="9.140625" style="1174"/>
    <col min="11274" max="11274" width="30.5703125" style="1174" customWidth="1"/>
    <col min="11275" max="11275" width="11" style="1174" customWidth="1"/>
    <col min="11276" max="11276" width="10.5703125" style="1174" customWidth="1"/>
    <col min="11277" max="11277" width="10.85546875" style="1174" customWidth="1"/>
    <col min="11278" max="11278" width="9" style="1174" bestFit="1" customWidth="1"/>
    <col min="11279" max="11279" width="8.140625" style="1174" bestFit="1" customWidth="1"/>
    <col min="11280" max="11519" width="9.140625" style="1174"/>
    <col min="11520" max="11520" width="2.28515625" style="1174" customWidth="1"/>
    <col min="11521" max="11521" width="10.42578125" style="1174" customWidth="1"/>
    <col min="11522" max="11522" width="28.42578125" style="1174" customWidth="1"/>
    <col min="11523" max="11523" width="12" style="1174" customWidth="1"/>
    <col min="11524" max="11524" width="12.7109375" style="1174" customWidth="1"/>
    <col min="11525" max="11525" width="11.5703125" style="1174" customWidth="1"/>
    <col min="11526" max="11526" width="11.140625" style="1174" customWidth="1"/>
    <col min="11527" max="11527" width="9.7109375" style="1174" bestFit="1" customWidth="1"/>
    <col min="11528" max="11528" width="1" style="1174" customWidth="1"/>
    <col min="11529" max="11529" width="9.140625" style="1174"/>
    <col min="11530" max="11530" width="30.5703125" style="1174" customWidth="1"/>
    <col min="11531" max="11531" width="11" style="1174" customWidth="1"/>
    <col min="11532" max="11532" width="10.5703125" style="1174" customWidth="1"/>
    <col min="11533" max="11533" width="10.85546875" style="1174" customWidth="1"/>
    <col min="11534" max="11534" width="9" style="1174" bestFit="1" customWidth="1"/>
    <col min="11535" max="11535" width="8.140625" style="1174" bestFit="1" customWidth="1"/>
    <col min="11536" max="11775" width="9.140625" style="1174"/>
    <col min="11776" max="11776" width="2.28515625" style="1174" customWidth="1"/>
    <col min="11777" max="11777" width="10.42578125" style="1174" customWidth="1"/>
    <col min="11778" max="11778" width="28.42578125" style="1174" customWidth="1"/>
    <col min="11779" max="11779" width="12" style="1174" customWidth="1"/>
    <col min="11780" max="11780" width="12.7109375" style="1174" customWidth="1"/>
    <col min="11781" max="11781" width="11.5703125" style="1174" customWidth="1"/>
    <col min="11782" max="11782" width="11.140625" style="1174" customWidth="1"/>
    <col min="11783" max="11783" width="9.7109375" style="1174" bestFit="1" customWidth="1"/>
    <col min="11784" max="11784" width="1" style="1174" customWidth="1"/>
    <col min="11785" max="11785" width="9.140625" style="1174"/>
    <col min="11786" max="11786" width="30.5703125" style="1174" customWidth="1"/>
    <col min="11787" max="11787" width="11" style="1174" customWidth="1"/>
    <col min="11788" max="11788" width="10.5703125" style="1174" customWidth="1"/>
    <col min="11789" max="11789" width="10.85546875" style="1174" customWidth="1"/>
    <col min="11790" max="11790" width="9" style="1174" bestFit="1" customWidth="1"/>
    <col min="11791" max="11791" width="8.140625" style="1174" bestFit="1" customWidth="1"/>
    <col min="11792" max="12031" width="9.140625" style="1174"/>
    <col min="12032" max="12032" width="2.28515625" style="1174" customWidth="1"/>
    <col min="12033" max="12033" width="10.42578125" style="1174" customWidth="1"/>
    <col min="12034" max="12034" width="28.42578125" style="1174" customWidth="1"/>
    <col min="12035" max="12035" width="12" style="1174" customWidth="1"/>
    <col min="12036" max="12036" width="12.7109375" style="1174" customWidth="1"/>
    <col min="12037" max="12037" width="11.5703125" style="1174" customWidth="1"/>
    <col min="12038" max="12038" width="11.140625" style="1174" customWidth="1"/>
    <col min="12039" max="12039" width="9.7109375" style="1174" bestFit="1" customWidth="1"/>
    <col min="12040" max="12040" width="1" style="1174" customWidth="1"/>
    <col min="12041" max="12041" width="9.140625" style="1174"/>
    <col min="12042" max="12042" width="30.5703125" style="1174" customWidth="1"/>
    <col min="12043" max="12043" width="11" style="1174" customWidth="1"/>
    <col min="12044" max="12044" width="10.5703125" style="1174" customWidth="1"/>
    <col min="12045" max="12045" width="10.85546875" style="1174" customWidth="1"/>
    <col min="12046" max="12046" width="9" style="1174" bestFit="1" customWidth="1"/>
    <col min="12047" max="12047" width="8.140625" style="1174" bestFit="1" customWidth="1"/>
    <col min="12048" max="12287" width="9.140625" style="1174"/>
    <col min="12288" max="12288" width="2.28515625" style="1174" customWidth="1"/>
    <col min="12289" max="12289" width="10.42578125" style="1174" customWidth="1"/>
    <col min="12290" max="12290" width="28.42578125" style="1174" customWidth="1"/>
    <col min="12291" max="12291" width="12" style="1174" customWidth="1"/>
    <col min="12292" max="12292" width="12.7109375" style="1174" customWidth="1"/>
    <col min="12293" max="12293" width="11.5703125" style="1174" customWidth="1"/>
    <col min="12294" max="12294" width="11.140625" style="1174" customWidth="1"/>
    <col min="12295" max="12295" width="9.7109375" style="1174" bestFit="1" customWidth="1"/>
    <col min="12296" max="12296" width="1" style="1174" customWidth="1"/>
    <col min="12297" max="12297" width="9.140625" style="1174"/>
    <col min="12298" max="12298" width="30.5703125" style="1174" customWidth="1"/>
    <col min="12299" max="12299" width="11" style="1174" customWidth="1"/>
    <col min="12300" max="12300" width="10.5703125" style="1174" customWidth="1"/>
    <col min="12301" max="12301" width="10.85546875" style="1174" customWidth="1"/>
    <col min="12302" max="12302" width="9" style="1174" bestFit="1" customWidth="1"/>
    <col min="12303" max="12303" width="8.140625" style="1174" bestFit="1" customWidth="1"/>
    <col min="12304" max="12543" width="9.140625" style="1174"/>
    <col min="12544" max="12544" width="2.28515625" style="1174" customWidth="1"/>
    <col min="12545" max="12545" width="10.42578125" style="1174" customWidth="1"/>
    <col min="12546" max="12546" width="28.42578125" style="1174" customWidth="1"/>
    <col min="12547" max="12547" width="12" style="1174" customWidth="1"/>
    <col min="12548" max="12548" width="12.7109375" style="1174" customWidth="1"/>
    <col min="12549" max="12549" width="11.5703125" style="1174" customWidth="1"/>
    <col min="12550" max="12550" width="11.140625" style="1174" customWidth="1"/>
    <col min="12551" max="12551" width="9.7109375" style="1174" bestFit="1" customWidth="1"/>
    <col min="12552" max="12552" width="1" style="1174" customWidth="1"/>
    <col min="12553" max="12553" width="9.140625" style="1174"/>
    <col min="12554" max="12554" width="30.5703125" style="1174" customWidth="1"/>
    <col min="12555" max="12555" width="11" style="1174" customWidth="1"/>
    <col min="12556" max="12556" width="10.5703125" style="1174" customWidth="1"/>
    <col min="12557" max="12557" width="10.85546875" style="1174" customWidth="1"/>
    <col min="12558" max="12558" width="9" style="1174" bestFit="1" customWidth="1"/>
    <col min="12559" max="12559" width="8.140625" style="1174" bestFit="1" customWidth="1"/>
    <col min="12560" max="12799" width="9.140625" style="1174"/>
    <col min="12800" max="12800" width="2.28515625" style="1174" customWidth="1"/>
    <col min="12801" max="12801" width="10.42578125" style="1174" customWidth="1"/>
    <col min="12802" max="12802" width="28.42578125" style="1174" customWidth="1"/>
    <col min="12803" max="12803" width="12" style="1174" customWidth="1"/>
    <col min="12804" max="12804" width="12.7109375" style="1174" customWidth="1"/>
    <col min="12805" max="12805" width="11.5703125" style="1174" customWidth="1"/>
    <col min="12806" max="12806" width="11.140625" style="1174" customWidth="1"/>
    <col min="12807" max="12807" width="9.7109375" style="1174" bestFit="1" customWidth="1"/>
    <col min="12808" max="12808" width="1" style="1174" customWidth="1"/>
    <col min="12809" max="12809" width="9.140625" style="1174"/>
    <col min="12810" max="12810" width="30.5703125" style="1174" customWidth="1"/>
    <col min="12811" max="12811" width="11" style="1174" customWidth="1"/>
    <col min="12812" max="12812" width="10.5703125" style="1174" customWidth="1"/>
    <col min="12813" max="12813" width="10.85546875" style="1174" customWidth="1"/>
    <col min="12814" max="12814" width="9" style="1174" bestFit="1" customWidth="1"/>
    <col min="12815" max="12815" width="8.140625" style="1174" bestFit="1" customWidth="1"/>
    <col min="12816" max="13055" width="9.140625" style="1174"/>
    <col min="13056" max="13056" width="2.28515625" style="1174" customWidth="1"/>
    <col min="13057" max="13057" width="10.42578125" style="1174" customWidth="1"/>
    <col min="13058" max="13058" width="28.42578125" style="1174" customWidth="1"/>
    <col min="13059" max="13059" width="12" style="1174" customWidth="1"/>
    <col min="13060" max="13060" width="12.7109375" style="1174" customWidth="1"/>
    <col min="13061" max="13061" width="11.5703125" style="1174" customWidth="1"/>
    <col min="13062" max="13062" width="11.140625" style="1174" customWidth="1"/>
    <col min="13063" max="13063" width="9.7109375" style="1174" bestFit="1" customWidth="1"/>
    <col min="13064" max="13064" width="1" style="1174" customWidth="1"/>
    <col min="13065" max="13065" width="9.140625" style="1174"/>
    <col min="13066" max="13066" width="30.5703125" style="1174" customWidth="1"/>
    <col min="13067" max="13067" width="11" style="1174" customWidth="1"/>
    <col min="13068" max="13068" width="10.5703125" style="1174" customWidth="1"/>
    <col min="13069" max="13069" width="10.85546875" style="1174" customWidth="1"/>
    <col min="13070" max="13070" width="9" style="1174" bestFit="1" customWidth="1"/>
    <col min="13071" max="13071" width="8.140625" style="1174" bestFit="1" customWidth="1"/>
    <col min="13072" max="13311" width="9.140625" style="1174"/>
    <col min="13312" max="13312" width="2.28515625" style="1174" customWidth="1"/>
    <col min="13313" max="13313" width="10.42578125" style="1174" customWidth="1"/>
    <col min="13314" max="13314" width="28.42578125" style="1174" customWidth="1"/>
    <col min="13315" max="13315" width="12" style="1174" customWidth="1"/>
    <col min="13316" max="13316" width="12.7109375" style="1174" customWidth="1"/>
    <col min="13317" max="13317" width="11.5703125" style="1174" customWidth="1"/>
    <col min="13318" max="13318" width="11.140625" style="1174" customWidth="1"/>
    <col min="13319" max="13319" width="9.7109375" style="1174" bestFit="1" customWidth="1"/>
    <col min="13320" max="13320" width="1" style="1174" customWidth="1"/>
    <col min="13321" max="13321" width="9.140625" style="1174"/>
    <col min="13322" max="13322" width="30.5703125" style="1174" customWidth="1"/>
    <col min="13323" max="13323" width="11" style="1174" customWidth="1"/>
    <col min="13324" max="13324" width="10.5703125" style="1174" customWidth="1"/>
    <col min="13325" max="13325" width="10.85546875" style="1174" customWidth="1"/>
    <col min="13326" max="13326" width="9" style="1174" bestFit="1" customWidth="1"/>
    <col min="13327" max="13327" width="8.140625" style="1174" bestFit="1" customWidth="1"/>
    <col min="13328" max="13567" width="9.140625" style="1174"/>
    <col min="13568" max="13568" width="2.28515625" style="1174" customWidth="1"/>
    <col min="13569" max="13569" width="10.42578125" style="1174" customWidth="1"/>
    <col min="13570" max="13570" width="28.42578125" style="1174" customWidth="1"/>
    <col min="13571" max="13571" width="12" style="1174" customWidth="1"/>
    <col min="13572" max="13572" width="12.7109375" style="1174" customWidth="1"/>
    <col min="13573" max="13573" width="11.5703125" style="1174" customWidth="1"/>
    <col min="13574" max="13574" width="11.140625" style="1174" customWidth="1"/>
    <col min="13575" max="13575" width="9.7109375" style="1174" bestFit="1" customWidth="1"/>
    <col min="13576" max="13576" width="1" style="1174" customWidth="1"/>
    <col min="13577" max="13577" width="9.140625" style="1174"/>
    <col min="13578" max="13578" width="30.5703125" style="1174" customWidth="1"/>
    <col min="13579" max="13579" width="11" style="1174" customWidth="1"/>
    <col min="13580" max="13580" width="10.5703125" style="1174" customWidth="1"/>
    <col min="13581" max="13581" width="10.85546875" style="1174" customWidth="1"/>
    <col min="13582" max="13582" width="9" style="1174" bestFit="1" customWidth="1"/>
    <col min="13583" max="13583" width="8.140625" style="1174" bestFit="1" customWidth="1"/>
    <col min="13584" max="13823" width="9.140625" style="1174"/>
    <col min="13824" max="13824" width="2.28515625" style="1174" customWidth="1"/>
    <col min="13825" max="13825" width="10.42578125" style="1174" customWidth="1"/>
    <col min="13826" max="13826" width="28.42578125" style="1174" customWidth="1"/>
    <col min="13827" max="13827" width="12" style="1174" customWidth="1"/>
    <col min="13828" max="13828" width="12.7109375" style="1174" customWidth="1"/>
    <col min="13829" max="13829" width="11.5703125" style="1174" customWidth="1"/>
    <col min="13830" max="13830" width="11.140625" style="1174" customWidth="1"/>
    <col min="13831" max="13831" width="9.7109375" style="1174" bestFit="1" customWidth="1"/>
    <col min="13832" max="13832" width="1" style="1174" customWidth="1"/>
    <col min="13833" max="13833" width="9.140625" style="1174"/>
    <col min="13834" max="13834" width="30.5703125" style="1174" customWidth="1"/>
    <col min="13835" max="13835" width="11" style="1174" customWidth="1"/>
    <col min="13836" max="13836" width="10.5703125" style="1174" customWidth="1"/>
    <col min="13837" max="13837" width="10.85546875" style="1174" customWidth="1"/>
    <col min="13838" max="13838" width="9" style="1174" bestFit="1" customWidth="1"/>
    <col min="13839" max="13839" width="8.140625" style="1174" bestFit="1" customWidth="1"/>
    <col min="13840" max="14079" width="9.140625" style="1174"/>
    <col min="14080" max="14080" width="2.28515625" style="1174" customWidth="1"/>
    <col min="14081" max="14081" width="10.42578125" style="1174" customWidth="1"/>
    <col min="14082" max="14082" width="28.42578125" style="1174" customWidth="1"/>
    <col min="14083" max="14083" width="12" style="1174" customWidth="1"/>
    <col min="14084" max="14084" width="12.7109375" style="1174" customWidth="1"/>
    <col min="14085" max="14085" width="11.5703125" style="1174" customWidth="1"/>
    <col min="14086" max="14086" width="11.140625" style="1174" customWidth="1"/>
    <col min="14087" max="14087" width="9.7109375" style="1174" bestFit="1" customWidth="1"/>
    <col min="14088" max="14088" width="1" style="1174" customWidth="1"/>
    <col min="14089" max="14089" width="9.140625" style="1174"/>
    <col min="14090" max="14090" width="30.5703125" style="1174" customWidth="1"/>
    <col min="14091" max="14091" width="11" style="1174" customWidth="1"/>
    <col min="14092" max="14092" width="10.5703125" style="1174" customWidth="1"/>
    <col min="14093" max="14093" width="10.85546875" style="1174" customWidth="1"/>
    <col min="14094" max="14094" width="9" style="1174" bestFit="1" customWidth="1"/>
    <col min="14095" max="14095" width="8.140625" style="1174" bestFit="1" customWidth="1"/>
    <col min="14096" max="14335" width="9.140625" style="1174"/>
    <col min="14336" max="14336" width="2.28515625" style="1174" customWidth="1"/>
    <col min="14337" max="14337" width="10.42578125" style="1174" customWidth="1"/>
    <col min="14338" max="14338" width="28.42578125" style="1174" customWidth="1"/>
    <col min="14339" max="14339" width="12" style="1174" customWidth="1"/>
    <col min="14340" max="14340" width="12.7109375" style="1174" customWidth="1"/>
    <col min="14341" max="14341" width="11.5703125" style="1174" customWidth="1"/>
    <col min="14342" max="14342" width="11.140625" style="1174" customWidth="1"/>
    <col min="14343" max="14343" width="9.7109375" style="1174" bestFit="1" customWidth="1"/>
    <col min="14344" max="14344" width="1" style="1174" customWidth="1"/>
    <col min="14345" max="14345" width="9.140625" style="1174"/>
    <col min="14346" max="14346" width="30.5703125" style="1174" customWidth="1"/>
    <col min="14347" max="14347" width="11" style="1174" customWidth="1"/>
    <col min="14348" max="14348" width="10.5703125" style="1174" customWidth="1"/>
    <col min="14349" max="14349" width="10.85546875" style="1174" customWidth="1"/>
    <col min="14350" max="14350" width="9" style="1174" bestFit="1" customWidth="1"/>
    <col min="14351" max="14351" width="8.140625" style="1174" bestFit="1" customWidth="1"/>
    <col min="14352" max="14591" width="9.140625" style="1174"/>
    <col min="14592" max="14592" width="2.28515625" style="1174" customWidth="1"/>
    <col min="14593" max="14593" width="10.42578125" style="1174" customWidth="1"/>
    <col min="14594" max="14594" width="28.42578125" style="1174" customWidth="1"/>
    <col min="14595" max="14595" width="12" style="1174" customWidth="1"/>
    <col min="14596" max="14596" width="12.7109375" style="1174" customWidth="1"/>
    <col min="14597" max="14597" width="11.5703125" style="1174" customWidth="1"/>
    <col min="14598" max="14598" width="11.140625" style="1174" customWidth="1"/>
    <col min="14599" max="14599" width="9.7109375" style="1174" bestFit="1" customWidth="1"/>
    <col min="14600" max="14600" width="1" style="1174" customWidth="1"/>
    <col min="14601" max="14601" width="9.140625" style="1174"/>
    <col min="14602" max="14602" width="30.5703125" style="1174" customWidth="1"/>
    <col min="14603" max="14603" width="11" style="1174" customWidth="1"/>
    <col min="14604" max="14604" width="10.5703125" style="1174" customWidth="1"/>
    <col min="14605" max="14605" width="10.85546875" style="1174" customWidth="1"/>
    <col min="14606" max="14606" width="9" style="1174" bestFit="1" customWidth="1"/>
    <col min="14607" max="14607" width="8.140625" style="1174" bestFit="1" customWidth="1"/>
    <col min="14608" max="14847" width="9.140625" style="1174"/>
    <col min="14848" max="14848" width="2.28515625" style="1174" customWidth="1"/>
    <col min="14849" max="14849" width="10.42578125" style="1174" customWidth="1"/>
    <col min="14850" max="14850" width="28.42578125" style="1174" customWidth="1"/>
    <col min="14851" max="14851" width="12" style="1174" customWidth="1"/>
    <col min="14852" max="14852" width="12.7109375" style="1174" customWidth="1"/>
    <col min="14853" max="14853" width="11.5703125" style="1174" customWidth="1"/>
    <col min="14854" max="14854" width="11.140625" style="1174" customWidth="1"/>
    <col min="14855" max="14855" width="9.7109375" style="1174" bestFit="1" customWidth="1"/>
    <col min="14856" max="14856" width="1" style="1174" customWidth="1"/>
    <col min="14857" max="14857" width="9.140625" style="1174"/>
    <col min="14858" max="14858" width="30.5703125" style="1174" customWidth="1"/>
    <col min="14859" max="14859" width="11" style="1174" customWidth="1"/>
    <col min="14860" max="14860" width="10.5703125" style="1174" customWidth="1"/>
    <col min="14861" max="14861" width="10.85546875" style="1174" customWidth="1"/>
    <col min="14862" max="14862" width="9" style="1174" bestFit="1" customWidth="1"/>
    <col min="14863" max="14863" width="8.140625" style="1174" bestFit="1" customWidth="1"/>
    <col min="14864" max="15103" width="9.140625" style="1174"/>
    <col min="15104" max="15104" width="2.28515625" style="1174" customWidth="1"/>
    <col min="15105" max="15105" width="10.42578125" style="1174" customWidth="1"/>
    <col min="15106" max="15106" width="28.42578125" style="1174" customWidth="1"/>
    <col min="15107" max="15107" width="12" style="1174" customWidth="1"/>
    <col min="15108" max="15108" width="12.7109375" style="1174" customWidth="1"/>
    <col min="15109" max="15109" width="11.5703125" style="1174" customWidth="1"/>
    <col min="15110" max="15110" width="11.140625" style="1174" customWidth="1"/>
    <col min="15111" max="15111" width="9.7109375" style="1174" bestFit="1" customWidth="1"/>
    <col min="15112" max="15112" width="1" style="1174" customWidth="1"/>
    <col min="15113" max="15113" width="9.140625" style="1174"/>
    <col min="15114" max="15114" width="30.5703125" style="1174" customWidth="1"/>
    <col min="15115" max="15115" width="11" style="1174" customWidth="1"/>
    <col min="15116" max="15116" width="10.5703125" style="1174" customWidth="1"/>
    <col min="15117" max="15117" width="10.85546875" style="1174" customWidth="1"/>
    <col min="15118" max="15118" width="9" style="1174" bestFit="1" customWidth="1"/>
    <col min="15119" max="15119" width="8.140625" style="1174" bestFit="1" customWidth="1"/>
    <col min="15120" max="15359" width="9.140625" style="1174"/>
    <col min="15360" max="15360" width="2.28515625" style="1174" customWidth="1"/>
    <col min="15361" max="15361" width="10.42578125" style="1174" customWidth="1"/>
    <col min="15362" max="15362" width="28.42578125" style="1174" customWidth="1"/>
    <col min="15363" max="15363" width="12" style="1174" customWidth="1"/>
    <col min="15364" max="15364" width="12.7109375" style="1174" customWidth="1"/>
    <col min="15365" max="15365" width="11.5703125" style="1174" customWidth="1"/>
    <col min="15366" max="15366" width="11.140625" style="1174" customWidth="1"/>
    <col min="15367" max="15367" width="9.7109375" style="1174" bestFit="1" customWidth="1"/>
    <col min="15368" max="15368" width="1" style="1174" customWidth="1"/>
    <col min="15369" max="15369" width="9.140625" style="1174"/>
    <col min="15370" max="15370" width="30.5703125" style="1174" customWidth="1"/>
    <col min="15371" max="15371" width="11" style="1174" customWidth="1"/>
    <col min="15372" max="15372" width="10.5703125" style="1174" customWidth="1"/>
    <col min="15373" max="15373" width="10.85546875" style="1174" customWidth="1"/>
    <col min="15374" max="15374" width="9" style="1174" bestFit="1" customWidth="1"/>
    <col min="15375" max="15375" width="8.140625" style="1174" bestFit="1" customWidth="1"/>
    <col min="15376" max="15615" width="9.140625" style="1174"/>
    <col min="15616" max="15616" width="2.28515625" style="1174" customWidth="1"/>
    <col min="15617" max="15617" width="10.42578125" style="1174" customWidth="1"/>
    <col min="15618" max="15618" width="28.42578125" style="1174" customWidth="1"/>
    <col min="15619" max="15619" width="12" style="1174" customWidth="1"/>
    <col min="15620" max="15620" width="12.7109375" style="1174" customWidth="1"/>
    <col min="15621" max="15621" width="11.5703125" style="1174" customWidth="1"/>
    <col min="15622" max="15622" width="11.140625" style="1174" customWidth="1"/>
    <col min="15623" max="15623" width="9.7109375" style="1174" bestFit="1" customWidth="1"/>
    <col min="15624" max="15624" width="1" style="1174" customWidth="1"/>
    <col min="15625" max="15625" width="9.140625" style="1174"/>
    <col min="15626" max="15626" width="30.5703125" style="1174" customWidth="1"/>
    <col min="15627" max="15627" width="11" style="1174" customWidth="1"/>
    <col min="15628" max="15628" width="10.5703125" style="1174" customWidth="1"/>
    <col min="15629" max="15629" width="10.85546875" style="1174" customWidth="1"/>
    <col min="15630" max="15630" width="9" style="1174" bestFit="1" customWidth="1"/>
    <col min="15631" max="15631" width="8.140625" style="1174" bestFit="1" customWidth="1"/>
    <col min="15632" max="15871" width="9.140625" style="1174"/>
    <col min="15872" max="15872" width="2.28515625" style="1174" customWidth="1"/>
    <col min="15873" max="15873" width="10.42578125" style="1174" customWidth="1"/>
    <col min="15874" max="15874" width="28.42578125" style="1174" customWidth="1"/>
    <col min="15875" max="15875" width="12" style="1174" customWidth="1"/>
    <col min="15876" max="15876" width="12.7109375" style="1174" customWidth="1"/>
    <col min="15877" max="15877" width="11.5703125" style="1174" customWidth="1"/>
    <col min="15878" max="15878" width="11.140625" style="1174" customWidth="1"/>
    <col min="15879" max="15879" width="9.7109375" style="1174" bestFit="1" customWidth="1"/>
    <col min="15880" max="15880" width="1" style="1174" customWidth="1"/>
    <col min="15881" max="15881" width="9.140625" style="1174"/>
    <col min="15882" max="15882" width="30.5703125" style="1174" customWidth="1"/>
    <col min="15883" max="15883" width="11" style="1174" customWidth="1"/>
    <col min="15884" max="15884" width="10.5703125" style="1174" customWidth="1"/>
    <col min="15885" max="15885" width="10.85546875" style="1174" customWidth="1"/>
    <col min="15886" max="15886" width="9" style="1174" bestFit="1" customWidth="1"/>
    <col min="15887" max="15887" width="8.140625" style="1174" bestFit="1" customWidth="1"/>
    <col min="15888" max="16127" width="9.140625" style="1174"/>
    <col min="16128" max="16128" width="2.28515625" style="1174" customWidth="1"/>
    <col min="16129" max="16129" width="10.42578125" style="1174" customWidth="1"/>
    <col min="16130" max="16130" width="28.42578125" style="1174" customWidth="1"/>
    <col min="16131" max="16131" width="12" style="1174" customWidth="1"/>
    <col min="16132" max="16132" width="12.7109375" style="1174" customWidth="1"/>
    <col min="16133" max="16133" width="11.5703125" style="1174" customWidth="1"/>
    <col min="16134" max="16134" width="11.140625" style="1174" customWidth="1"/>
    <col min="16135" max="16135" width="9.7109375" style="1174" bestFit="1" customWidth="1"/>
    <col min="16136" max="16136" width="1" style="1174" customWidth="1"/>
    <col min="16137" max="16137" width="9.140625" style="1174"/>
    <col min="16138" max="16138" width="30.5703125" style="1174" customWidth="1"/>
    <col min="16139" max="16139" width="11" style="1174" customWidth="1"/>
    <col min="16140" max="16140" width="10.5703125" style="1174" customWidth="1"/>
    <col min="16141" max="16141" width="10.85546875" style="1174" customWidth="1"/>
    <col min="16142" max="16142" width="9" style="1174" bestFit="1" customWidth="1"/>
    <col min="16143" max="16143" width="8.140625" style="1174" bestFit="1" customWidth="1"/>
    <col min="16144" max="16384" width="9.140625" style="1174"/>
  </cols>
  <sheetData>
    <row r="1" spans="1:26" ht="6.75" customHeight="1" thickBot="1">
      <c r="A1" s="1173"/>
      <c r="B1" s="1173"/>
      <c r="C1" s="1173"/>
      <c r="D1" s="1173"/>
      <c r="E1" s="1173"/>
      <c r="F1" s="1173"/>
      <c r="G1" s="1173"/>
      <c r="H1" s="1173"/>
      <c r="I1" s="1173"/>
      <c r="J1" s="1173"/>
      <c r="K1" s="1173"/>
      <c r="L1" s="1173"/>
      <c r="M1" s="1173"/>
      <c r="N1" s="1173"/>
      <c r="O1" s="1173"/>
      <c r="P1" s="1173"/>
      <c r="Q1" s="1173"/>
      <c r="S1" s="1173"/>
      <c r="T1" s="1173"/>
      <c r="U1" s="1173"/>
      <c r="V1" s="1173"/>
      <c r="W1" s="1173"/>
    </row>
    <row r="2" spans="1:26" ht="13.5" thickBot="1">
      <c r="A2" s="1175"/>
      <c r="B2" s="1176" t="s">
        <v>45</v>
      </c>
      <c r="C2" s="2938" t="s">
        <v>46</v>
      </c>
      <c r="D2" s="2938"/>
      <c r="E2" s="2938"/>
      <c r="F2" s="2938"/>
      <c r="G2" s="2938"/>
      <c r="H2" s="2938"/>
      <c r="I2" s="2938"/>
      <c r="J2" s="2938"/>
      <c r="K2" s="2938"/>
      <c r="L2" s="2939"/>
      <c r="M2" s="1177"/>
      <c r="N2" s="2937" t="s">
        <v>47</v>
      </c>
      <c r="O2" s="2938"/>
      <c r="P2" s="2938"/>
      <c r="Q2" s="2938"/>
      <c r="R2" s="2938"/>
      <c r="S2" s="2938"/>
      <c r="T2" s="2938"/>
      <c r="U2" s="2938"/>
      <c r="V2" s="2938"/>
      <c r="W2" s="2939"/>
    </row>
    <row r="3" spans="1:26">
      <c r="A3" s="1173"/>
      <c r="B3" s="1178"/>
      <c r="C3" s="1179"/>
      <c r="D3" s="1179"/>
      <c r="E3" s="1180" t="s">
        <v>557</v>
      </c>
      <c r="F3" s="1180">
        <f>'RCF-FS'!E3</f>
        <v>2023</v>
      </c>
      <c r="G3" s="1180">
        <f t="shared" ref="G3:L3" si="0">F3+1</f>
        <v>2024</v>
      </c>
      <c r="H3" s="1180">
        <f t="shared" si="0"/>
        <v>2025</v>
      </c>
      <c r="I3" s="1180">
        <f t="shared" si="0"/>
        <v>2026</v>
      </c>
      <c r="J3" s="1180">
        <f t="shared" si="0"/>
        <v>2027</v>
      </c>
      <c r="K3" s="1180">
        <f t="shared" si="0"/>
        <v>2028</v>
      </c>
      <c r="L3" s="1181">
        <f t="shared" si="0"/>
        <v>2029</v>
      </c>
      <c r="M3" s="1177"/>
      <c r="N3" s="1182"/>
      <c r="O3" s="1183"/>
      <c r="P3" s="1180" t="str">
        <f t="shared" ref="P3:W3" si="1">E3</f>
        <v>Opening</v>
      </c>
      <c r="Q3" s="1180">
        <f t="shared" si="1"/>
        <v>2023</v>
      </c>
      <c r="R3" s="1180">
        <f t="shared" si="1"/>
        <v>2024</v>
      </c>
      <c r="S3" s="1180">
        <f t="shared" si="1"/>
        <v>2025</v>
      </c>
      <c r="T3" s="1180">
        <f t="shared" si="1"/>
        <v>2026</v>
      </c>
      <c r="U3" s="1180">
        <f t="shared" si="1"/>
        <v>2027</v>
      </c>
      <c r="V3" s="1180">
        <f t="shared" si="1"/>
        <v>2028</v>
      </c>
      <c r="W3" s="1181">
        <f t="shared" si="1"/>
        <v>2029</v>
      </c>
      <c r="Z3" s="20"/>
    </row>
    <row r="4" spans="1:26">
      <c r="A4" s="1184"/>
      <c r="B4" s="1185"/>
      <c r="C4" s="1186"/>
      <c r="D4" s="1186"/>
      <c r="E4" s="1186"/>
      <c r="F4" s="1186"/>
      <c r="G4" s="1187"/>
      <c r="H4" s="1187"/>
      <c r="I4" s="1187"/>
      <c r="J4" s="1187"/>
      <c r="K4" s="1188"/>
      <c r="L4" s="1189"/>
      <c r="M4" s="1177"/>
      <c r="N4" s="1190"/>
      <c r="O4" s="1187"/>
      <c r="P4" s="1187"/>
      <c r="Q4" s="1187"/>
      <c r="R4" s="1187"/>
      <c r="S4" s="1187"/>
      <c r="T4" s="1187"/>
      <c r="U4" s="1187"/>
      <c r="V4" s="1187"/>
      <c r="W4" s="1191"/>
      <c r="Z4" s="20"/>
    </row>
    <row r="5" spans="1:26">
      <c r="A5" s="1192"/>
      <c r="B5" s="1193" t="s">
        <v>457</v>
      </c>
      <c r="C5" s="1194"/>
      <c r="D5" s="1194"/>
      <c r="E5" s="41">
        <f>58523.7/O24</f>
        <v>29922.692667563129</v>
      </c>
      <c r="F5" s="1195">
        <f t="shared" ref="F5:L5" si="2">E5+Q54</f>
        <v>29922.692667563129</v>
      </c>
      <c r="G5" s="1195">
        <f t="shared" si="2"/>
        <v>124922.69266756313</v>
      </c>
      <c r="H5" s="1195">
        <f t="shared" si="2"/>
        <v>124922.69266756313</v>
      </c>
      <c r="I5" s="1195">
        <f t="shared" si="2"/>
        <v>124922.69266756313</v>
      </c>
      <c r="J5" s="1195">
        <f t="shared" si="2"/>
        <v>124922.69266756313</v>
      </c>
      <c r="K5" s="1195">
        <f t="shared" si="2"/>
        <v>124922.69266756313</v>
      </c>
      <c r="L5" s="1196">
        <f t="shared" si="2"/>
        <v>124922.69266756313</v>
      </c>
      <c r="M5" s="1177"/>
      <c r="N5" s="1197" t="s">
        <v>90</v>
      </c>
      <c r="O5" s="1198"/>
      <c r="P5" s="449">
        <f>65400/O24</f>
        <v>33438.489030232689</v>
      </c>
      <c r="Q5" s="1195">
        <f>P5</f>
        <v>33438.489030232689</v>
      </c>
      <c r="R5" s="1195">
        <f t="shared" ref="R5:W5" si="3">Q5+0</f>
        <v>33438.489030232689</v>
      </c>
      <c r="S5" s="1195">
        <f t="shared" si="3"/>
        <v>33438.489030232689</v>
      </c>
      <c r="T5" s="1195">
        <f t="shared" si="3"/>
        <v>33438.489030232689</v>
      </c>
      <c r="U5" s="1195">
        <f t="shared" si="3"/>
        <v>33438.489030232689</v>
      </c>
      <c r="V5" s="1195">
        <f t="shared" si="3"/>
        <v>33438.489030232689</v>
      </c>
      <c r="W5" s="1196">
        <f t="shared" si="3"/>
        <v>33438.489030232689</v>
      </c>
      <c r="Z5" s="20"/>
    </row>
    <row r="6" spans="1:26">
      <c r="A6" s="1192"/>
      <c r="B6" s="1197"/>
      <c r="E6" s="55"/>
      <c r="L6" s="1199"/>
      <c r="M6" s="1177"/>
      <c r="N6" s="1200" t="s">
        <v>91</v>
      </c>
      <c r="O6" s="1198"/>
      <c r="P6" s="1201">
        <v>0</v>
      </c>
      <c r="Q6" s="1202">
        <f t="shared" ref="Q6:W6" si="4">P6+F83-F54+F84</f>
        <v>-3164.8353047043988</v>
      </c>
      <c r="R6" s="1202">
        <f t="shared" si="4"/>
        <v>96835.164695295607</v>
      </c>
      <c r="S6" s="1202">
        <f t="shared" si="4"/>
        <v>92018.681164825161</v>
      </c>
      <c r="T6" s="1202">
        <f t="shared" si="4"/>
        <v>91537.032811778117</v>
      </c>
      <c r="U6" s="1202">
        <f t="shared" si="4"/>
        <v>91488.867976473412</v>
      </c>
      <c r="V6" s="1202">
        <f t="shared" si="4"/>
        <v>91484.051492942948</v>
      </c>
      <c r="W6" s="1203">
        <f t="shared" si="4"/>
        <v>91483.569844589903</v>
      </c>
      <c r="Z6" s="20"/>
    </row>
    <row r="7" spans="1:26">
      <c r="A7" s="1192"/>
      <c r="B7" s="1197" t="s">
        <v>458</v>
      </c>
      <c r="E7" s="55">
        <f>R72</f>
        <v>70.86505473379583</v>
      </c>
      <c r="F7" s="1204">
        <f>0</f>
        <v>0</v>
      </c>
      <c r="G7" s="1204">
        <f>F7+G32</f>
        <v>0</v>
      </c>
      <c r="H7" s="1204">
        <f>G7+H32</f>
        <v>0</v>
      </c>
      <c r="I7" s="1204">
        <f>H7+I32</f>
        <v>0</v>
      </c>
      <c r="J7" s="55"/>
      <c r="K7" s="55"/>
      <c r="L7" s="56"/>
      <c r="M7" s="1177"/>
      <c r="N7" s="1200" t="s">
        <v>92</v>
      </c>
      <c r="O7" s="1198"/>
      <c r="P7" s="1202">
        <f>(288.6+127609.64)/O24</f>
        <v>65393.331731285441</v>
      </c>
      <c r="Q7" s="1202">
        <f>P7+P8+P91</f>
        <v>0.33173128544149222</v>
      </c>
      <c r="R7" s="1202">
        <f>Q7+Q8</f>
        <v>0.33173128544149222</v>
      </c>
      <c r="S7" s="1202">
        <f>R7+R8</f>
        <v>0.33173128544149222</v>
      </c>
      <c r="T7" s="1202">
        <f>S7+S8</f>
        <v>0.33173128544149222</v>
      </c>
      <c r="U7" s="1202">
        <f>T7+T8</f>
        <v>0.33173128544149222</v>
      </c>
      <c r="V7" s="1202">
        <f>U7+U8</f>
        <v>0.33173128544149222</v>
      </c>
      <c r="W7" s="1203">
        <f>V7+V8-K45</f>
        <v>0.33173128544149222</v>
      </c>
      <c r="Z7" s="20"/>
    </row>
    <row r="8" spans="1:26">
      <c r="A8" s="1205"/>
      <c r="B8" s="1197"/>
      <c r="E8" s="55"/>
      <c r="L8" s="1199"/>
      <c r="M8" s="1177"/>
      <c r="N8" s="1197" t="s">
        <v>392</v>
      </c>
      <c r="O8" s="1198"/>
      <c r="P8" s="171">
        <v>-47615</v>
      </c>
      <c r="Q8" s="171">
        <f t="shared" ref="Q8:W8" si="5">F49</f>
        <v>0</v>
      </c>
      <c r="R8" s="171">
        <f t="shared" si="5"/>
        <v>0</v>
      </c>
      <c r="S8" s="171">
        <f t="shared" si="5"/>
        <v>0</v>
      </c>
      <c r="T8" s="171">
        <f t="shared" si="5"/>
        <v>0</v>
      </c>
      <c r="U8" s="171">
        <f t="shared" si="5"/>
        <v>0</v>
      </c>
      <c r="V8" s="171">
        <f t="shared" si="5"/>
        <v>0</v>
      </c>
      <c r="W8" s="172">
        <f t="shared" si="5"/>
        <v>0</v>
      </c>
    </row>
    <row r="9" spans="1:26">
      <c r="A9" s="1206"/>
      <c r="B9" s="1207"/>
      <c r="E9" s="55"/>
      <c r="L9" s="1199"/>
      <c r="M9" s="1177"/>
      <c r="N9" s="1208" t="s">
        <v>48</v>
      </c>
      <c r="P9" s="1204">
        <f t="shared" ref="P9:W9" si="6">SUM(P5:P8)</f>
        <v>51216.820761518131</v>
      </c>
      <c r="Q9" s="1204">
        <f t="shared" si="6"/>
        <v>30273.985456813731</v>
      </c>
      <c r="R9" s="1204">
        <f t="shared" si="6"/>
        <v>130273.98545681374</v>
      </c>
      <c r="S9" s="1204">
        <f t="shared" si="6"/>
        <v>125457.50192634328</v>
      </c>
      <c r="T9" s="1204">
        <f t="shared" si="6"/>
        <v>124975.85357329625</v>
      </c>
      <c r="U9" s="1204">
        <f t="shared" si="6"/>
        <v>124927.68873799153</v>
      </c>
      <c r="V9" s="1204">
        <f t="shared" si="6"/>
        <v>124922.87225446108</v>
      </c>
      <c r="W9" s="1209">
        <f t="shared" si="6"/>
        <v>124922.39060610803</v>
      </c>
    </row>
    <row r="10" spans="1:26">
      <c r="A10" s="1210"/>
      <c r="B10" s="1197"/>
      <c r="E10" s="55"/>
      <c r="G10" s="55"/>
      <c r="H10" s="55"/>
      <c r="I10" s="55"/>
      <c r="J10" s="55"/>
      <c r="K10" s="55"/>
      <c r="L10" s="56"/>
      <c r="M10" s="1177"/>
      <c r="N10" s="1197"/>
      <c r="Q10" s="1204"/>
      <c r="R10" s="1204"/>
      <c r="S10" s="1204"/>
      <c r="T10" s="1204"/>
      <c r="U10" s="1204"/>
      <c r="V10" s="1204"/>
      <c r="W10" s="1209"/>
    </row>
    <row r="11" spans="1:26">
      <c r="A11" s="1210"/>
      <c r="B11" s="1197" t="s">
        <v>468</v>
      </c>
      <c r="E11" s="55">
        <f>Q77/O24+Q76/O24</f>
        <v>17794.941278127444</v>
      </c>
      <c r="F11" s="1174">
        <v>0</v>
      </c>
      <c r="G11" s="55"/>
      <c r="H11" s="55"/>
      <c r="I11" s="55"/>
      <c r="J11" s="55"/>
      <c r="K11" s="55"/>
      <c r="L11" s="56"/>
      <c r="M11" s="1177"/>
      <c r="N11" s="1208" t="s">
        <v>49</v>
      </c>
      <c r="O11" s="1198"/>
      <c r="P11" s="1198"/>
      <c r="Q11" s="1198"/>
      <c r="R11" s="1198"/>
      <c r="S11" s="1198"/>
      <c r="T11" s="1198"/>
      <c r="U11" s="1198"/>
      <c r="V11" s="1198"/>
      <c r="W11" s="1196"/>
    </row>
    <row r="12" spans="1:26">
      <c r="A12" s="1210"/>
      <c r="B12" s="1193" t="s">
        <v>53</v>
      </c>
      <c r="E12" s="55">
        <f>Q82/O24</f>
        <v>204.7468338250257</v>
      </c>
      <c r="F12" s="1211">
        <v>0</v>
      </c>
      <c r="G12" s="55"/>
      <c r="H12" s="55"/>
      <c r="I12" s="55"/>
      <c r="J12" s="55"/>
      <c r="K12" s="55"/>
      <c r="L12" s="56"/>
      <c r="M12" s="1177"/>
      <c r="N12" s="1197"/>
      <c r="W12" s="1199"/>
    </row>
    <row r="13" spans="1:26">
      <c r="A13" s="1210"/>
      <c r="B13" s="1207" t="s">
        <v>55</v>
      </c>
      <c r="C13" s="1212"/>
      <c r="D13" s="1212"/>
      <c r="E13" s="445">
        <f>SUM(E11:E12)</f>
        <v>17999.68811195247</v>
      </c>
      <c r="F13" s="445">
        <f>SUM(F11:F12)</f>
        <v>0</v>
      </c>
      <c r="G13" s="1213">
        <f t="shared" ref="G13:L13" si="7">SUM(G11:G12)</f>
        <v>0</v>
      </c>
      <c r="H13" s="1213">
        <f t="shared" si="7"/>
        <v>0</v>
      </c>
      <c r="I13" s="1213">
        <f t="shared" si="7"/>
        <v>0</v>
      </c>
      <c r="J13" s="1213">
        <f t="shared" si="7"/>
        <v>0</v>
      </c>
      <c r="K13" s="1213">
        <f t="shared" si="7"/>
        <v>0</v>
      </c>
      <c r="L13" s="1214">
        <f t="shared" si="7"/>
        <v>0</v>
      </c>
      <c r="M13" s="1177"/>
      <c r="N13" s="1208"/>
      <c r="O13" s="1198"/>
      <c r="P13" s="1198"/>
      <c r="Q13" s="1195"/>
      <c r="R13" s="1195"/>
      <c r="S13" s="1195"/>
      <c r="T13" s="1195"/>
      <c r="U13" s="1195"/>
      <c r="V13" s="1195"/>
      <c r="W13" s="1196"/>
    </row>
    <row r="14" spans="1:26">
      <c r="A14" s="1210"/>
      <c r="B14" s="1197"/>
      <c r="E14" s="55"/>
      <c r="G14" s="55"/>
      <c r="H14" s="55"/>
      <c r="I14" s="55"/>
      <c r="J14" s="55"/>
      <c r="K14" s="55"/>
      <c r="L14" s="56"/>
      <c r="M14" s="1177"/>
      <c r="N14" s="1197"/>
      <c r="P14" s="55"/>
      <c r="W14" s="1199"/>
    </row>
    <row r="15" spans="1:26">
      <c r="A15" s="1210"/>
      <c r="B15" s="1197"/>
      <c r="E15" s="55"/>
      <c r="L15" s="1199"/>
      <c r="M15" s="1177"/>
      <c r="N15" s="1200" t="s">
        <v>73</v>
      </c>
      <c r="O15" s="1215"/>
      <c r="P15" s="449"/>
      <c r="Q15" s="1195"/>
      <c r="R15" s="1195"/>
      <c r="S15" s="1195"/>
      <c r="T15" s="1195"/>
      <c r="U15" s="1195"/>
      <c r="V15" s="1195"/>
      <c r="W15" s="1196"/>
    </row>
    <row r="16" spans="1:26">
      <c r="A16" s="1210"/>
      <c r="B16" s="1197"/>
      <c r="C16" s="1194"/>
      <c r="D16" s="1216"/>
      <c r="E16" s="41"/>
      <c r="G16" s="1195"/>
      <c r="H16" s="1195"/>
      <c r="I16" s="1195"/>
      <c r="J16" s="1195"/>
      <c r="K16" s="1195"/>
      <c r="L16" s="1196"/>
      <c r="M16" s="1177"/>
      <c r="N16" s="1200" t="s">
        <v>50</v>
      </c>
      <c r="O16" s="1215"/>
      <c r="P16" s="450">
        <f>(198.41+190.64)/O24</f>
        <v>198.91810637938877</v>
      </c>
      <c r="Q16" s="1195">
        <f t="shared" ref="Q16:W16" si="8">F27*5%</f>
        <v>0</v>
      </c>
      <c r="R16" s="1195">
        <f t="shared" si="8"/>
        <v>0</v>
      </c>
      <c r="S16" s="1195">
        <f t="shared" si="8"/>
        <v>0</v>
      </c>
      <c r="T16" s="1195">
        <f t="shared" si="8"/>
        <v>0</v>
      </c>
      <c r="U16" s="1195">
        <f t="shared" si="8"/>
        <v>0</v>
      </c>
      <c r="V16" s="1195">
        <f t="shared" si="8"/>
        <v>0</v>
      </c>
      <c r="W16" s="1196">
        <f t="shared" si="8"/>
        <v>0</v>
      </c>
    </row>
    <row r="17" spans="1:25">
      <c r="A17" s="1210"/>
      <c r="B17" s="1197"/>
      <c r="E17" s="55"/>
      <c r="L17" s="1199"/>
      <c r="M17" s="1177"/>
      <c r="N17" s="1200" t="s">
        <v>51</v>
      </c>
      <c r="O17" s="1215"/>
      <c r="P17" s="449"/>
      <c r="Q17" s="1195">
        <f t="shared" ref="Q17:W17" si="9">F45</f>
        <v>0</v>
      </c>
      <c r="R17" s="1195">
        <f t="shared" si="9"/>
        <v>0</v>
      </c>
      <c r="S17" s="1195">
        <f t="shared" si="9"/>
        <v>0</v>
      </c>
      <c r="T17" s="1195">
        <f t="shared" si="9"/>
        <v>0</v>
      </c>
      <c r="U17" s="1195">
        <f t="shared" si="9"/>
        <v>0</v>
      </c>
      <c r="V17" s="1195">
        <f t="shared" si="9"/>
        <v>0</v>
      </c>
      <c r="W17" s="1196">
        <f t="shared" si="9"/>
        <v>0</v>
      </c>
      <c r="Y17" s="1217"/>
    </row>
    <row r="18" spans="1:25">
      <c r="A18" s="1210"/>
      <c r="B18" s="1197" t="s">
        <v>476</v>
      </c>
      <c r="E18" s="55">
        <f>73.36/O24</f>
        <v>37.508372404554592</v>
      </c>
      <c r="L18" s="1199"/>
      <c r="M18" s="1177"/>
      <c r="N18" s="1200" t="s">
        <v>52</v>
      </c>
      <c r="O18" s="1215"/>
      <c r="P18" s="171">
        <f>4334.24/O24</f>
        <v>2216.0617231558981</v>
      </c>
      <c r="Q18" s="1218">
        <f t="shared" ref="Q18:W18" si="10">-F39</f>
        <v>0</v>
      </c>
      <c r="R18" s="1218">
        <f t="shared" si="10"/>
        <v>0</v>
      </c>
      <c r="S18" s="1218">
        <f t="shared" si="10"/>
        <v>0</v>
      </c>
      <c r="T18" s="1218">
        <f t="shared" si="10"/>
        <v>0</v>
      </c>
      <c r="U18" s="1218">
        <f t="shared" si="10"/>
        <v>0</v>
      </c>
      <c r="V18" s="1218">
        <f t="shared" si="10"/>
        <v>0</v>
      </c>
      <c r="W18" s="1219">
        <f t="shared" si="10"/>
        <v>0</v>
      </c>
    </row>
    <row r="19" spans="1:25">
      <c r="A19" s="1210"/>
      <c r="B19" s="1193" t="s">
        <v>477</v>
      </c>
      <c r="C19" s="1212"/>
      <c r="D19" s="1212"/>
      <c r="E19" s="41">
        <f>10955.39/O24</f>
        <v>5601.4019623382401</v>
      </c>
      <c r="F19" s="1204">
        <f t="shared" ref="F19:L19" si="11">F85</f>
        <v>351.6483671893775</v>
      </c>
      <c r="G19" s="1204">
        <f t="shared" si="11"/>
        <v>5351.6483671893802</v>
      </c>
      <c r="H19" s="1204">
        <f t="shared" si="11"/>
        <v>535.1648367189382</v>
      </c>
      <c r="I19" s="1204">
        <f t="shared" si="11"/>
        <v>53.516483671893809</v>
      </c>
      <c r="J19" s="1204">
        <f t="shared" si="11"/>
        <v>5.3516483671893766</v>
      </c>
      <c r="K19" s="1204">
        <f t="shared" si="11"/>
        <v>0.53516483671893766</v>
      </c>
      <c r="L19" s="1209">
        <f t="shared" si="11"/>
        <v>5.3516483671893766E-2</v>
      </c>
      <c r="M19" s="1177"/>
      <c r="N19" s="1208" t="s">
        <v>54</v>
      </c>
      <c r="O19" s="1198"/>
      <c r="P19" s="41">
        <f t="shared" ref="P19:W19" si="12">SUM(P15:P18)</f>
        <v>2414.9798295352871</v>
      </c>
      <c r="Q19" s="1195">
        <f t="shared" si="12"/>
        <v>0</v>
      </c>
      <c r="R19" s="1195">
        <f t="shared" si="12"/>
        <v>0</v>
      </c>
      <c r="S19" s="1195">
        <f t="shared" si="12"/>
        <v>0</v>
      </c>
      <c r="T19" s="1195">
        <f t="shared" si="12"/>
        <v>0</v>
      </c>
      <c r="U19" s="1195">
        <f t="shared" si="12"/>
        <v>0</v>
      </c>
      <c r="V19" s="1195">
        <f t="shared" si="12"/>
        <v>0</v>
      </c>
      <c r="W19" s="1196">
        <f t="shared" si="12"/>
        <v>0</v>
      </c>
    </row>
    <row r="20" spans="1:25">
      <c r="A20" s="1210"/>
      <c r="B20" s="1193"/>
      <c r="C20" s="1194"/>
      <c r="D20" s="1212"/>
      <c r="E20" s="41"/>
      <c r="G20" s="1195"/>
      <c r="H20" s="1195"/>
      <c r="I20" s="1195"/>
      <c r="J20" s="1195"/>
      <c r="K20" s="1195"/>
      <c r="L20" s="1196"/>
      <c r="M20" s="1177"/>
      <c r="N20" s="1208"/>
      <c r="O20" s="1220"/>
      <c r="P20" s="448"/>
      <c r="Q20" s="1221"/>
      <c r="R20" s="1195"/>
      <c r="S20" s="1195"/>
      <c r="T20" s="1195"/>
      <c r="U20" s="1195"/>
      <c r="V20" s="1221"/>
      <c r="W20" s="1222"/>
    </row>
    <row r="21" spans="1:25" ht="13.5" thickBot="1">
      <c r="A21" s="1210"/>
      <c r="B21" s="1207" t="s">
        <v>57</v>
      </c>
      <c r="C21" s="1212"/>
      <c r="D21" s="1212"/>
      <c r="E21" s="446">
        <f>E5+E13+E19+E7+E18</f>
        <v>53632.156168992195</v>
      </c>
      <c r="F21" s="1223">
        <f>F5+F13+F19+F7+F18</f>
        <v>30274.341034752506</v>
      </c>
      <c r="G21" s="1223">
        <f t="shared" ref="G21:L21" si="13">G5+G13+G19+G7+G18</f>
        <v>130274.34103475251</v>
      </c>
      <c r="H21" s="1223">
        <f t="shared" si="13"/>
        <v>125457.85750428206</v>
      </c>
      <c r="I21" s="1223">
        <f t="shared" si="13"/>
        <v>124976.20915123502</v>
      </c>
      <c r="J21" s="1223">
        <f t="shared" si="13"/>
        <v>124928.04431593031</v>
      </c>
      <c r="K21" s="1223">
        <f t="shared" si="13"/>
        <v>124923.22783239985</v>
      </c>
      <c r="L21" s="1224">
        <f t="shared" si="13"/>
        <v>124922.7461840468</v>
      </c>
      <c r="M21" s="1177"/>
      <c r="N21" s="1208" t="s">
        <v>58</v>
      </c>
      <c r="O21" s="1198"/>
      <c r="P21" s="1223">
        <f>P9+P11+P19+P13</f>
        <v>53631.800591053419</v>
      </c>
      <c r="Q21" s="1223">
        <f>Q9+Q11+Q19+Q13</f>
        <v>30273.985456813731</v>
      </c>
      <c r="R21" s="1223">
        <f t="shared" ref="R21:W21" si="14">R9+R11+R19+R13</f>
        <v>130273.98545681374</v>
      </c>
      <c r="S21" s="1223">
        <f t="shared" si="14"/>
        <v>125457.50192634328</v>
      </c>
      <c r="T21" s="1223">
        <f t="shared" si="14"/>
        <v>124975.85357329625</v>
      </c>
      <c r="U21" s="1223">
        <f t="shared" si="14"/>
        <v>124927.68873799153</v>
      </c>
      <c r="V21" s="1223">
        <f t="shared" si="14"/>
        <v>124922.87225446108</v>
      </c>
      <c r="W21" s="1224">
        <f t="shared" si="14"/>
        <v>124922.39060610803</v>
      </c>
    </row>
    <row r="22" spans="1:25" ht="14.25" thickTop="1" thickBot="1">
      <c r="B22" s="1225"/>
      <c r="C22" s="1226"/>
      <c r="D22" s="1226"/>
      <c r="E22" s="1227">
        <f t="shared" ref="E22:L22" si="15">E21-P21</f>
        <v>0.35557793877524091</v>
      </c>
      <c r="F22" s="1227">
        <f t="shared" si="15"/>
        <v>0.35557793877524091</v>
      </c>
      <c r="G22" s="1227">
        <f t="shared" si="15"/>
        <v>0.35557793876796495</v>
      </c>
      <c r="H22" s="1227">
        <f t="shared" si="15"/>
        <v>0.35557793878251687</v>
      </c>
      <c r="I22" s="1227">
        <f t="shared" si="15"/>
        <v>0.35557793876796495</v>
      </c>
      <c r="J22" s="1227">
        <f t="shared" si="15"/>
        <v>0.35557793878251687</v>
      </c>
      <c r="K22" s="1227">
        <f t="shared" si="15"/>
        <v>0.35557793876796495</v>
      </c>
      <c r="L22" s="1228">
        <f t="shared" si="15"/>
        <v>0.35557793876796495</v>
      </c>
      <c r="M22" s="1177"/>
      <c r="N22" s="1229"/>
      <c r="O22" s="1230"/>
      <c r="P22" s="1230"/>
      <c r="Q22" s="1230"/>
      <c r="R22" s="1231"/>
      <c r="S22" s="1231"/>
      <c r="T22" s="1231"/>
      <c r="U22" s="1231"/>
      <c r="V22" s="1231"/>
      <c r="W22" s="1232"/>
    </row>
    <row r="23" spans="1:25" ht="8.25" customHeight="1" thickBot="1">
      <c r="A23" s="1210"/>
      <c r="M23" s="1177"/>
    </row>
    <row r="24" spans="1:25" ht="13.5" thickBot="1">
      <c r="A24" s="1210"/>
      <c r="B24" s="1233" t="s">
        <v>72</v>
      </c>
      <c r="C24" s="1234"/>
      <c r="D24" s="1234"/>
      <c r="E24" s="1235">
        <v>2021</v>
      </c>
      <c r="F24" s="1235">
        <f>G24-1</f>
        <v>2023</v>
      </c>
      <c r="G24" s="1235">
        <f t="shared" ref="G24:L24" si="16">G3</f>
        <v>2024</v>
      </c>
      <c r="H24" s="1235">
        <f t="shared" si="16"/>
        <v>2025</v>
      </c>
      <c r="I24" s="1235">
        <f t="shared" si="16"/>
        <v>2026</v>
      </c>
      <c r="J24" s="1235">
        <f t="shared" si="16"/>
        <v>2027</v>
      </c>
      <c r="K24" s="1235">
        <f t="shared" si="16"/>
        <v>2028</v>
      </c>
      <c r="L24" s="1236">
        <f t="shared" si="16"/>
        <v>2029</v>
      </c>
      <c r="M24" s="1177"/>
      <c r="N24" s="1237" t="s">
        <v>478</v>
      </c>
      <c r="O24" s="1238">
        <v>1.95583</v>
      </c>
      <c r="P24" s="1239"/>
      <c r="Q24" s="1240"/>
      <c r="R24" s="1240"/>
      <c r="S24" s="1240"/>
      <c r="T24" s="1240"/>
      <c r="U24" s="1240"/>
      <c r="V24" s="1240"/>
      <c r="W24" s="1241"/>
    </row>
    <row r="25" spans="1:25">
      <c r="A25" s="1210"/>
      <c r="B25" s="1242"/>
      <c r="C25" s="1243"/>
      <c r="D25" s="1243"/>
      <c r="E25" s="1243"/>
      <c r="F25" s="1243"/>
      <c r="H25" s="1206"/>
      <c r="I25" s="1206"/>
      <c r="J25" s="1206"/>
      <c r="K25" s="1206"/>
      <c r="L25" s="1244"/>
      <c r="M25" s="1173"/>
      <c r="N25" s="1245"/>
      <c r="O25" s="1246"/>
      <c r="P25" s="1246"/>
      <c r="Q25" s="1246"/>
      <c r="R25" s="1246"/>
      <c r="S25" s="1246"/>
      <c r="T25" s="1246"/>
      <c r="U25" s="1246"/>
      <c r="V25" s="1246"/>
      <c r="W25" s="1247"/>
    </row>
    <row r="26" spans="1:25">
      <c r="A26" s="1210"/>
      <c r="B26" s="1248" t="str">
        <f>N51</f>
        <v>Settlement</v>
      </c>
      <c r="C26" s="1249"/>
      <c r="D26" s="1249"/>
      <c r="E26" s="451">
        <f>26920/O24</f>
        <v>13763.977441802203</v>
      </c>
      <c r="F26" s="33">
        <f>P51</f>
        <v>3685.2099926885285</v>
      </c>
      <c r="G26" s="33">
        <f t="shared" ref="G26:L26" si="17">Q51</f>
        <v>168.7263207947521</v>
      </c>
      <c r="H26" s="33">
        <f t="shared" si="17"/>
        <v>168.7263207947521</v>
      </c>
      <c r="I26" s="33">
        <f t="shared" si="17"/>
        <v>168.7263207947521</v>
      </c>
      <c r="J26" s="33">
        <f t="shared" si="17"/>
        <v>168.7263207947521</v>
      </c>
      <c r="K26" s="33">
        <f t="shared" si="17"/>
        <v>168.7263207947521</v>
      </c>
      <c r="L26" s="40">
        <f t="shared" si="17"/>
        <v>168.7263207947521</v>
      </c>
      <c r="M26" s="1173"/>
      <c r="N26" s="1250" t="s">
        <v>666</v>
      </c>
      <c r="W26" s="1199"/>
    </row>
    <row r="27" spans="1:25">
      <c r="A27" s="1210"/>
      <c r="B27" s="1251" t="s">
        <v>60</v>
      </c>
      <c r="E27" s="444">
        <f>-13473/O24</f>
        <v>-6888.6355153566519</v>
      </c>
      <c r="F27" s="41"/>
      <c r="G27" s="41"/>
      <c r="H27" s="41"/>
      <c r="I27" s="41"/>
      <c r="J27" s="41"/>
      <c r="K27" s="41"/>
      <c r="L27" s="42"/>
      <c r="M27" s="1173"/>
      <c r="N27" s="1197"/>
      <c r="W27" s="1199"/>
    </row>
    <row r="28" spans="1:25">
      <c r="A28" s="1210"/>
      <c r="B28" s="1252"/>
      <c r="C28" s="1206"/>
      <c r="D28" s="1206"/>
      <c r="E28" s="47"/>
      <c r="F28" s="47"/>
      <c r="G28" s="47"/>
      <c r="H28" s="47"/>
      <c r="I28" s="47"/>
      <c r="J28" s="47"/>
      <c r="K28" s="47"/>
      <c r="L28" s="48"/>
      <c r="M28" s="1173"/>
      <c r="N28" s="1197"/>
      <c r="P28" s="1253"/>
      <c r="W28" s="1199"/>
    </row>
    <row r="29" spans="1:25">
      <c r="A29" s="1210"/>
      <c r="B29" s="1242" t="s">
        <v>182</v>
      </c>
      <c r="C29" s="1206"/>
      <c r="D29" s="1192"/>
      <c r="E29" s="1254">
        <f t="shared" ref="E29:L29" si="18">E26+E27+E28</f>
        <v>6875.3419264455506</v>
      </c>
      <c r="F29" s="1254">
        <f t="shared" si="18"/>
        <v>3685.2099926885285</v>
      </c>
      <c r="G29" s="1254">
        <f t="shared" si="18"/>
        <v>168.7263207947521</v>
      </c>
      <c r="H29" s="1254">
        <f t="shared" si="18"/>
        <v>168.7263207947521</v>
      </c>
      <c r="I29" s="1254">
        <f t="shared" si="18"/>
        <v>168.7263207947521</v>
      </c>
      <c r="J29" s="1254">
        <f t="shared" si="18"/>
        <v>168.7263207947521</v>
      </c>
      <c r="K29" s="1254">
        <f t="shared" si="18"/>
        <v>168.7263207947521</v>
      </c>
      <c r="L29" s="1255">
        <f t="shared" si="18"/>
        <v>168.7263207947521</v>
      </c>
      <c r="M29" s="1173"/>
      <c r="N29" s="1197"/>
      <c r="P29" s="1253"/>
      <c r="W29" s="1199"/>
    </row>
    <row r="30" spans="1:25">
      <c r="A30" s="1210"/>
      <c r="B30" s="1197"/>
      <c r="L30" s="1199"/>
      <c r="M30" s="1173"/>
      <c r="N30" s="1197"/>
      <c r="P30" s="1253"/>
      <c r="W30" s="1199"/>
    </row>
    <row r="31" spans="1:25">
      <c r="A31" s="1210"/>
      <c r="B31" s="1242" t="s">
        <v>530</v>
      </c>
      <c r="C31" s="1206"/>
      <c r="D31" s="1206"/>
      <c r="E31" s="41">
        <f>-(1090)/O24</f>
        <v>-557.30815050387821</v>
      </c>
      <c r="F31" s="41">
        <v>0</v>
      </c>
      <c r="G31" s="41">
        <v>0</v>
      </c>
      <c r="H31" s="41">
        <v>0</v>
      </c>
      <c r="I31" s="41">
        <v>0</v>
      </c>
      <c r="J31" s="41">
        <v>0</v>
      </c>
      <c r="K31" s="41">
        <v>0</v>
      </c>
      <c r="L31" s="42">
        <v>0</v>
      </c>
      <c r="M31" s="1173"/>
      <c r="N31" s="1197"/>
      <c r="P31" s="1253"/>
      <c r="W31" s="1199"/>
    </row>
    <row r="32" spans="1:25">
      <c r="A32" s="1210"/>
      <c r="B32" s="1197" t="s">
        <v>30</v>
      </c>
      <c r="E32" s="55">
        <v>-63936</v>
      </c>
      <c r="F32" s="55">
        <f>-E7-E12+P93</f>
        <v>-3516.4836718937763</v>
      </c>
      <c r="G32" s="55">
        <f>IF(F7=0,0,IF(F7-#REF!&lt;0,-F7,-#REF!))</f>
        <v>0</v>
      </c>
      <c r="H32" s="55">
        <f>IF(G7=0,0,IF(G7-#REF!&lt;0,-G7,-#REF!))</f>
        <v>0</v>
      </c>
      <c r="I32" s="55">
        <f>IF(H7=0,0,IF(H7-#REF!&lt;0,-H7,-#REF!))</f>
        <v>0</v>
      </c>
      <c r="J32" s="55">
        <f>IF(I7=0,0,IF(I7-#REF!&lt;0,-I7,-#REF!))</f>
        <v>0</v>
      </c>
      <c r="K32" s="55">
        <f>IF(J7=0,0,IF(J7-#REF!&lt;0,-J7,-#REF!))</f>
        <v>0</v>
      </c>
      <c r="L32" s="56">
        <f>IF(K7=0,0,IF(K7-#REF!&lt;0,-K7,-#REF!))</f>
        <v>0</v>
      </c>
      <c r="M32" s="55">
        <f>IF(L7=0,0,IF(L7-Z40&lt;0,-L7,-#REF!))</f>
        <v>0</v>
      </c>
      <c r="N32" s="1197"/>
      <c r="P32" s="1256"/>
      <c r="W32" s="1199"/>
      <c r="X32" s="1217"/>
    </row>
    <row r="33" spans="1:23" ht="13.5" thickBot="1">
      <c r="A33" s="1210"/>
      <c r="B33" s="1257" t="s">
        <v>61</v>
      </c>
      <c r="C33" s="1258"/>
      <c r="D33" s="1258"/>
      <c r="E33" s="1259">
        <f>E29+E31+E32</f>
        <v>-57617.966224058327</v>
      </c>
      <c r="F33" s="1259">
        <f>F29+F31+F32</f>
        <v>168.72632079475216</v>
      </c>
      <c r="G33" s="1259">
        <f t="shared" ref="G33:L33" si="19">G29+G31+G32</f>
        <v>168.7263207947521</v>
      </c>
      <c r="H33" s="1259">
        <f t="shared" si="19"/>
        <v>168.7263207947521</v>
      </c>
      <c r="I33" s="1259">
        <f t="shared" si="19"/>
        <v>168.7263207947521</v>
      </c>
      <c r="J33" s="1259">
        <f t="shared" si="19"/>
        <v>168.7263207947521</v>
      </c>
      <c r="K33" s="1259">
        <f t="shared" si="19"/>
        <v>168.7263207947521</v>
      </c>
      <c r="L33" s="1260">
        <f t="shared" si="19"/>
        <v>168.7263207947521</v>
      </c>
      <c r="M33" s="1173"/>
      <c r="N33" s="1250" t="s">
        <v>667</v>
      </c>
      <c r="P33" s="1253">
        <f>SUM(P28:P32)</f>
        <v>0</v>
      </c>
      <c r="W33" s="1199"/>
    </row>
    <row r="34" spans="1:23">
      <c r="A34" s="1210"/>
      <c r="B34" s="1242"/>
      <c r="C34" s="1206"/>
      <c r="D34" s="1206"/>
      <c r="E34" s="1261"/>
      <c r="F34" s="1261"/>
      <c r="G34" s="1261"/>
      <c r="H34" s="1261"/>
      <c r="I34" s="1261"/>
      <c r="J34" s="1261"/>
      <c r="K34" s="1261"/>
      <c r="L34" s="1262"/>
      <c r="M34" s="1173"/>
      <c r="N34" s="1197"/>
      <c r="W34" s="1199"/>
    </row>
    <row r="35" spans="1:23">
      <c r="A35" s="1210"/>
      <c r="B35" s="1242" t="s">
        <v>62</v>
      </c>
      <c r="C35" s="1206"/>
      <c r="D35" s="1206"/>
      <c r="E35" s="41">
        <f>(20180-616)/O24</f>
        <v>10002.914363722819</v>
      </c>
      <c r="F35" s="41">
        <f>-330/$O$24</f>
        <v>-168.7263207947521</v>
      </c>
      <c r="G35" s="41">
        <f t="shared" ref="G35:L35" si="20">-330/$O$24</f>
        <v>-168.7263207947521</v>
      </c>
      <c r="H35" s="41">
        <f t="shared" si="20"/>
        <v>-168.7263207947521</v>
      </c>
      <c r="I35" s="41">
        <f t="shared" si="20"/>
        <v>-168.7263207947521</v>
      </c>
      <c r="J35" s="41">
        <f t="shared" si="20"/>
        <v>-168.7263207947521</v>
      </c>
      <c r="K35" s="41">
        <f t="shared" si="20"/>
        <v>-168.7263207947521</v>
      </c>
      <c r="L35" s="42">
        <f t="shared" si="20"/>
        <v>-168.7263207947521</v>
      </c>
      <c r="M35" s="1173"/>
      <c r="N35" s="1197" t="s">
        <v>671</v>
      </c>
      <c r="P35" s="1253">
        <f>P33</f>
        <v>0</v>
      </c>
      <c r="W35" s="1199"/>
    </row>
    <row r="36" spans="1:23">
      <c r="A36" s="1210"/>
      <c r="B36" s="1242"/>
      <c r="C36" s="1206"/>
      <c r="D36" s="1206"/>
      <c r="E36" s="41"/>
      <c r="F36" s="41"/>
      <c r="G36" s="41"/>
      <c r="H36" s="41"/>
      <c r="I36" s="41"/>
      <c r="J36" s="41"/>
      <c r="K36" s="41"/>
      <c r="L36" s="42"/>
      <c r="M36" s="1173"/>
      <c r="N36" s="1197"/>
      <c r="W36" s="1199"/>
    </row>
    <row r="37" spans="1:23" ht="13.5" thickBot="1">
      <c r="A37" s="1210"/>
      <c r="B37" s="1263" t="s">
        <v>63</v>
      </c>
      <c r="C37" s="1264"/>
      <c r="D37" s="1264"/>
      <c r="E37" s="1259">
        <f t="shared" ref="E37:L37" si="21">SUM(E33:E36)</f>
        <v>-47615.051860335509</v>
      </c>
      <c r="F37" s="1259">
        <f t="shared" si="21"/>
        <v>0</v>
      </c>
      <c r="G37" s="1259">
        <f t="shared" si="21"/>
        <v>0</v>
      </c>
      <c r="H37" s="1259">
        <f t="shared" si="21"/>
        <v>0</v>
      </c>
      <c r="I37" s="1259">
        <f t="shared" si="21"/>
        <v>0</v>
      </c>
      <c r="J37" s="1259">
        <f t="shared" si="21"/>
        <v>0</v>
      </c>
      <c r="K37" s="1259">
        <f t="shared" si="21"/>
        <v>0</v>
      </c>
      <c r="L37" s="1260">
        <f t="shared" si="21"/>
        <v>0</v>
      </c>
      <c r="M37" s="1173"/>
      <c r="N37" s="1250" t="s">
        <v>668</v>
      </c>
      <c r="P37" s="1265">
        <f>P33-P35</f>
        <v>0</v>
      </c>
      <c r="W37" s="1199"/>
    </row>
    <row r="38" spans="1:23">
      <c r="A38" s="1210"/>
      <c r="B38" s="1257"/>
      <c r="C38" s="1258"/>
      <c r="D38" s="1258"/>
      <c r="E38" s="1254"/>
      <c r="F38" s="1254"/>
      <c r="G38" s="1254"/>
      <c r="H38" s="1261"/>
      <c r="I38" s="1261"/>
      <c r="J38" s="1261"/>
      <c r="K38" s="1261"/>
      <c r="L38" s="1262"/>
      <c r="M38" s="1173"/>
      <c r="N38" s="1197"/>
      <c r="W38" s="1199"/>
    </row>
    <row r="39" spans="1:23" ht="13.5" thickBot="1">
      <c r="A39" s="1210"/>
      <c r="B39" s="1242" t="s">
        <v>64</v>
      </c>
      <c r="C39" s="1206"/>
      <c r="D39" s="1206"/>
      <c r="E39" s="41"/>
      <c r="F39" s="41">
        <f t="shared" ref="F39:L39" si="22">F94</f>
        <v>0</v>
      </c>
      <c r="G39" s="41">
        <f t="shared" si="22"/>
        <v>0</v>
      </c>
      <c r="H39" s="41">
        <f t="shared" si="22"/>
        <v>0</v>
      </c>
      <c r="I39" s="41">
        <f t="shared" si="22"/>
        <v>0</v>
      </c>
      <c r="J39" s="41">
        <f t="shared" si="22"/>
        <v>0</v>
      </c>
      <c r="K39" s="41">
        <f t="shared" si="22"/>
        <v>0</v>
      </c>
      <c r="L39" s="42">
        <f t="shared" si="22"/>
        <v>0</v>
      </c>
      <c r="M39" s="1173"/>
      <c r="N39" s="1266"/>
      <c r="O39" s="1267"/>
      <c r="P39" s="1267"/>
      <c r="Q39" s="1267"/>
      <c r="R39" s="1267"/>
      <c r="S39" s="1267"/>
      <c r="T39" s="1267"/>
      <c r="U39" s="1267"/>
      <c r="V39" s="1267"/>
      <c r="W39" s="1268"/>
    </row>
    <row r="40" spans="1:23">
      <c r="A40" s="1210"/>
      <c r="B40" s="1242" t="s">
        <v>98</v>
      </c>
      <c r="C40" s="1206"/>
      <c r="D40" s="1206"/>
      <c r="E40" s="41"/>
      <c r="F40" s="41"/>
      <c r="G40" s="41"/>
      <c r="H40" s="41"/>
      <c r="I40" s="41"/>
      <c r="J40" s="41"/>
      <c r="K40" s="41"/>
      <c r="L40" s="42"/>
      <c r="M40" s="1173"/>
      <c r="N40" s="1269" t="s">
        <v>669</v>
      </c>
      <c r="O40" s="1246"/>
      <c r="P40" s="1246"/>
      <c r="Q40" s="1246"/>
      <c r="R40" s="1246"/>
      <c r="S40" s="1246"/>
      <c r="T40" s="1246"/>
      <c r="U40" s="1246"/>
      <c r="V40" s="1246"/>
      <c r="W40" s="1247"/>
    </row>
    <row r="41" spans="1:23" ht="13.5" thickBot="1">
      <c r="A41" s="1210"/>
      <c r="B41" s="1257" t="s">
        <v>65</v>
      </c>
      <c r="C41" s="1206"/>
      <c r="D41" s="1259"/>
      <c r="E41" s="1259">
        <f t="shared" ref="E41:L41" si="23">E37+E39+E40</f>
        <v>-47615.051860335509</v>
      </c>
      <c r="F41" s="1259">
        <f t="shared" si="23"/>
        <v>0</v>
      </c>
      <c r="G41" s="1259">
        <f t="shared" si="23"/>
        <v>0</v>
      </c>
      <c r="H41" s="1259">
        <f t="shared" si="23"/>
        <v>0</v>
      </c>
      <c r="I41" s="1259">
        <f t="shared" si="23"/>
        <v>0</v>
      </c>
      <c r="J41" s="1259">
        <f t="shared" si="23"/>
        <v>0</v>
      </c>
      <c r="K41" s="1259">
        <f t="shared" si="23"/>
        <v>0</v>
      </c>
      <c r="L41" s="1260">
        <f t="shared" si="23"/>
        <v>0</v>
      </c>
      <c r="M41" s="1173"/>
      <c r="N41" s="1197"/>
      <c r="W41" s="1199"/>
    </row>
    <row r="42" spans="1:23">
      <c r="A42" s="1210"/>
      <c r="B42" s="1270"/>
      <c r="C42" s="1271"/>
      <c r="D42" s="1271"/>
      <c r="E42" s="1272"/>
      <c r="F42" s="1272"/>
      <c r="G42" s="1272"/>
      <c r="H42" s="1272"/>
      <c r="I42" s="1272"/>
      <c r="J42" s="1272"/>
      <c r="K42" s="1272"/>
      <c r="L42" s="1273"/>
      <c r="M42" s="1173"/>
      <c r="N42" s="1274" t="str">
        <f>B27</f>
        <v>Operating costs</v>
      </c>
      <c r="P42" s="55">
        <f t="shared" ref="P42:W42" si="24">-F27</f>
        <v>0</v>
      </c>
      <c r="Q42" s="55">
        <f t="shared" si="24"/>
        <v>0</v>
      </c>
      <c r="R42" s="55">
        <f t="shared" si="24"/>
        <v>0</v>
      </c>
      <c r="S42" s="55">
        <f t="shared" si="24"/>
        <v>0</v>
      </c>
      <c r="T42" s="55">
        <f t="shared" si="24"/>
        <v>0</v>
      </c>
      <c r="U42" s="55">
        <f t="shared" si="24"/>
        <v>0</v>
      </c>
      <c r="V42" s="55">
        <f t="shared" si="24"/>
        <v>0</v>
      </c>
      <c r="W42" s="56">
        <f t="shared" si="24"/>
        <v>0</v>
      </c>
    </row>
    <row r="43" spans="1:23">
      <c r="A43" s="1210"/>
      <c r="B43" s="1242" t="s">
        <v>66</v>
      </c>
      <c r="C43" s="1275">
        <v>0.6</v>
      </c>
      <c r="D43" s="1275"/>
      <c r="E43" s="1261"/>
      <c r="F43" s="1261"/>
      <c r="G43" s="1261"/>
      <c r="H43" s="1261"/>
      <c r="I43" s="1261"/>
      <c r="J43" s="1261"/>
      <c r="K43" s="1261"/>
      <c r="L43" s="1262"/>
      <c r="M43" s="1173"/>
      <c r="N43" s="1197" t="str">
        <f>B31</f>
        <v>Other costs</v>
      </c>
      <c r="P43" s="55">
        <f t="shared" ref="P43:W44" si="25">-F31</f>
        <v>0</v>
      </c>
      <c r="Q43" s="55">
        <f t="shared" si="25"/>
        <v>0</v>
      </c>
      <c r="R43" s="55">
        <f t="shared" si="25"/>
        <v>0</v>
      </c>
      <c r="S43" s="55">
        <f t="shared" si="25"/>
        <v>0</v>
      </c>
      <c r="T43" s="55">
        <f t="shared" si="25"/>
        <v>0</v>
      </c>
      <c r="U43" s="55">
        <f t="shared" si="25"/>
        <v>0</v>
      </c>
      <c r="V43" s="55">
        <f t="shared" si="25"/>
        <v>0</v>
      </c>
      <c r="W43" s="56">
        <f t="shared" si="25"/>
        <v>0</v>
      </c>
    </row>
    <row r="44" spans="1:23">
      <c r="A44" s="1210"/>
      <c r="B44" s="1242"/>
      <c r="C44" s="1276"/>
      <c r="D44" s="1276"/>
      <c r="E44" s="1277"/>
      <c r="F44" s="1277"/>
      <c r="G44" s="1204"/>
      <c r="H44" s="1204"/>
      <c r="I44" s="1204"/>
      <c r="J44" s="1204"/>
      <c r="K44" s="1204"/>
      <c r="L44" s="1209"/>
      <c r="M44" s="1173"/>
      <c r="N44" s="1197" t="str">
        <f>B32</f>
        <v>Depreciation</v>
      </c>
      <c r="P44" s="55">
        <f t="shared" si="25"/>
        <v>3516.4836718937763</v>
      </c>
      <c r="Q44" s="55">
        <f t="shared" si="25"/>
        <v>0</v>
      </c>
      <c r="R44" s="55">
        <f t="shared" si="25"/>
        <v>0</v>
      </c>
      <c r="S44" s="55">
        <f t="shared" si="25"/>
        <v>0</v>
      </c>
      <c r="T44" s="55">
        <f t="shared" si="25"/>
        <v>0</v>
      </c>
      <c r="U44" s="55">
        <f t="shared" si="25"/>
        <v>0</v>
      </c>
      <c r="V44" s="55">
        <f t="shared" si="25"/>
        <v>0</v>
      </c>
      <c r="W44" s="56">
        <f t="shared" si="25"/>
        <v>0</v>
      </c>
    </row>
    <row r="45" spans="1:23">
      <c r="A45" s="1210"/>
      <c r="B45" s="1242" t="s">
        <v>35</v>
      </c>
      <c r="C45" s="1275">
        <f>1-C43</f>
        <v>0.4</v>
      </c>
      <c r="D45" s="1275"/>
      <c r="E45" s="1261"/>
      <c r="F45" s="1261"/>
      <c r="G45" s="1261"/>
      <c r="H45" s="1261"/>
      <c r="I45" s="1261"/>
      <c r="J45" s="1261"/>
      <c r="K45" s="1261"/>
      <c r="L45" s="1262"/>
      <c r="M45" s="1173"/>
      <c r="N45" s="1197" t="str">
        <f>B35</f>
        <v>Financial income and expenses</v>
      </c>
      <c r="P45" s="55">
        <f t="shared" ref="P45:W45" si="26">-F35</f>
        <v>168.7263207947521</v>
      </c>
      <c r="Q45" s="55">
        <f t="shared" si="26"/>
        <v>168.7263207947521</v>
      </c>
      <c r="R45" s="55">
        <f t="shared" si="26"/>
        <v>168.7263207947521</v>
      </c>
      <c r="S45" s="55">
        <f t="shared" si="26"/>
        <v>168.7263207947521</v>
      </c>
      <c r="T45" s="55">
        <f t="shared" si="26"/>
        <v>168.7263207947521</v>
      </c>
      <c r="U45" s="55">
        <f t="shared" si="26"/>
        <v>168.7263207947521</v>
      </c>
      <c r="V45" s="55">
        <f t="shared" si="26"/>
        <v>168.7263207947521</v>
      </c>
      <c r="W45" s="56">
        <f t="shared" si="26"/>
        <v>0</v>
      </c>
    </row>
    <row r="46" spans="1:23">
      <c r="A46" s="1210"/>
      <c r="B46" s="1197"/>
      <c r="E46" s="1261"/>
      <c r="F46" s="1261"/>
      <c r="G46" s="1204"/>
      <c r="H46" s="1204"/>
      <c r="I46" s="1204"/>
      <c r="J46" s="1204"/>
      <c r="K46" s="1204"/>
      <c r="L46" s="1209"/>
      <c r="M46" s="1173"/>
      <c r="N46" s="1197"/>
      <c r="P46" s="169">
        <f t="shared" ref="P46:V46" si="27">-F66</f>
        <v>0</v>
      </c>
      <c r="Q46" s="169">
        <f t="shared" si="27"/>
        <v>0</v>
      </c>
      <c r="R46" s="169">
        <f t="shared" si="27"/>
        <v>0</v>
      </c>
      <c r="S46" s="169">
        <f t="shared" si="27"/>
        <v>0</v>
      </c>
      <c r="T46" s="169">
        <f t="shared" si="27"/>
        <v>0</v>
      </c>
      <c r="U46" s="169">
        <f t="shared" si="27"/>
        <v>0</v>
      </c>
      <c r="V46" s="169">
        <f t="shared" si="27"/>
        <v>0</v>
      </c>
      <c r="W46" s="1278">
        <f>-M70</f>
        <v>0</v>
      </c>
    </row>
    <row r="47" spans="1:23">
      <c r="A47" s="1210"/>
      <c r="B47" s="1197" t="s">
        <v>480</v>
      </c>
      <c r="E47" s="1261"/>
      <c r="F47" s="1261"/>
      <c r="G47" s="1261"/>
      <c r="H47" s="1261"/>
      <c r="I47" s="1261"/>
      <c r="J47" s="1261"/>
      <c r="K47" s="1261"/>
      <c r="L47" s="1262"/>
      <c r="M47" s="1173"/>
      <c r="N47" s="1250" t="s">
        <v>5</v>
      </c>
      <c r="P47" s="571">
        <f>SUM(P42:P46)</f>
        <v>3685.2099926885285</v>
      </c>
      <c r="Q47" s="571">
        <f t="shared" ref="Q47:W47" si="28">SUM(Q42:Q46)</f>
        <v>168.7263207947521</v>
      </c>
      <c r="R47" s="571">
        <f t="shared" si="28"/>
        <v>168.7263207947521</v>
      </c>
      <c r="S47" s="571">
        <f t="shared" si="28"/>
        <v>168.7263207947521</v>
      </c>
      <c r="T47" s="571">
        <f t="shared" si="28"/>
        <v>168.7263207947521</v>
      </c>
      <c r="U47" s="571">
        <f t="shared" si="28"/>
        <v>168.7263207947521</v>
      </c>
      <c r="V47" s="571">
        <f t="shared" si="28"/>
        <v>168.7263207947521</v>
      </c>
      <c r="W47" s="572">
        <f t="shared" si="28"/>
        <v>0</v>
      </c>
    </row>
    <row r="48" spans="1:23">
      <c r="A48" s="1210"/>
      <c r="B48" s="1197"/>
      <c r="E48" s="1261"/>
      <c r="F48" s="1261"/>
      <c r="G48" s="1204"/>
      <c r="H48" s="1204"/>
      <c r="I48" s="1204"/>
      <c r="J48" s="1204"/>
      <c r="K48" s="1204"/>
      <c r="L48" s="1209"/>
      <c r="M48" s="1173"/>
      <c r="N48" s="1197"/>
      <c r="P48" s="55"/>
      <c r="Q48" s="55"/>
      <c r="R48" s="55"/>
      <c r="S48" s="55"/>
      <c r="T48" s="55"/>
      <c r="U48" s="55"/>
      <c r="V48" s="55"/>
      <c r="W48" s="1199"/>
    </row>
    <row r="49" spans="1:25" ht="13.5" thickBot="1">
      <c r="A49" s="1210"/>
      <c r="B49" s="1279" t="s">
        <v>95</v>
      </c>
      <c r="C49" s="1267"/>
      <c r="D49" s="1267"/>
      <c r="E49" s="1259">
        <f t="shared" ref="E49:L49" si="29">E41-E43-E45-E47</f>
        <v>-47615.051860335509</v>
      </c>
      <c r="F49" s="1259">
        <f t="shared" si="29"/>
        <v>0</v>
      </c>
      <c r="G49" s="1259">
        <f t="shared" si="29"/>
        <v>0</v>
      </c>
      <c r="H49" s="1259">
        <f t="shared" si="29"/>
        <v>0</v>
      </c>
      <c r="I49" s="1259">
        <f t="shared" si="29"/>
        <v>0</v>
      </c>
      <c r="J49" s="1259">
        <f t="shared" si="29"/>
        <v>0</v>
      </c>
      <c r="K49" s="1259">
        <f t="shared" si="29"/>
        <v>0</v>
      </c>
      <c r="L49" s="1260">
        <f t="shared" si="29"/>
        <v>0</v>
      </c>
      <c r="M49" s="1173"/>
      <c r="N49" s="1197" t="s">
        <v>670</v>
      </c>
      <c r="P49" s="459">
        <v>1</v>
      </c>
      <c r="Q49" s="459">
        <f>P49</f>
        <v>1</v>
      </c>
      <c r="R49" s="459">
        <f t="shared" ref="R49:W49" si="30">Q49</f>
        <v>1</v>
      </c>
      <c r="S49" s="459">
        <f t="shared" si="30"/>
        <v>1</v>
      </c>
      <c r="T49" s="459">
        <f t="shared" si="30"/>
        <v>1</v>
      </c>
      <c r="U49" s="459">
        <f t="shared" si="30"/>
        <v>1</v>
      </c>
      <c r="V49" s="459">
        <f t="shared" si="30"/>
        <v>1</v>
      </c>
      <c r="W49" s="592">
        <f t="shared" si="30"/>
        <v>1</v>
      </c>
      <c r="X49" s="1217"/>
    </row>
    <row r="50" spans="1:25" ht="13.5" thickBot="1">
      <c r="A50" s="1210"/>
      <c r="D50" s="1217"/>
      <c r="E50" s="1217"/>
      <c r="F50" s="1217"/>
      <c r="G50" s="1217"/>
      <c r="H50" s="1217"/>
      <c r="I50" s="1217"/>
      <c r="J50" s="1217"/>
      <c r="K50" s="1217"/>
      <c r="L50" s="1217"/>
      <c r="M50" s="1217"/>
      <c r="N50" s="1266"/>
      <c r="O50" s="1267"/>
      <c r="P50" s="680"/>
      <c r="Q50" s="680"/>
      <c r="R50" s="680"/>
      <c r="S50" s="680"/>
      <c r="T50" s="680"/>
      <c r="U50" s="680"/>
      <c r="V50" s="680"/>
      <c r="W50" s="1268"/>
      <c r="Y50" s="1217"/>
    </row>
    <row r="51" spans="1:25" ht="13.5" thickBot="1">
      <c r="A51" s="1210"/>
      <c r="B51" s="1269" t="s">
        <v>379</v>
      </c>
      <c r="C51" s="1246"/>
      <c r="D51" s="1246"/>
      <c r="E51" s="1246"/>
      <c r="F51" s="1246"/>
      <c r="G51" s="1246"/>
      <c r="H51" s="1246"/>
      <c r="I51" s="1246"/>
      <c r="J51" s="1246"/>
      <c r="K51" s="1246"/>
      <c r="L51" s="1247"/>
      <c r="M51" s="1173"/>
      <c r="N51" s="1280" t="s">
        <v>758</v>
      </c>
      <c r="O51" s="1267"/>
      <c r="P51" s="593">
        <f t="shared" ref="P51:W51" si="31">P47*(P49)</f>
        <v>3685.2099926885285</v>
      </c>
      <c r="Q51" s="593">
        <f t="shared" si="31"/>
        <v>168.7263207947521</v>
      </c>
      <c r="R51" s="593">
        <f t="shared" si="31"/>
        <v>168.7263207947521</v>
      </c>
      <c r="S51" s="593">
        <f t="shared" si="31"/>
        <v>168.7263207947521</v>
      </c>
      <c r="T51" s="593">
        <f t="shared" si="31"/>
        <v>168.7263207947521</v>
      </c>
      <c r="U51" s="593">
        <f t="shared" si="31"/>
        <v>168.7263207947521</v>
      </c>
      <c r="V51" s="593">
        <f t="shared" si="31"/>
        <v>168.7263207947521</v>
      </c>
      <c r="W51" s="1281">
        <f t="shared" si="31"/>
        <v>0</v>
      </c>
    </row>
    <row r="52" spans="1:25" ht="13.5" thickBot="1">
      <c r="A52" s="1210"/>
      <c r="B52" s="1197"/>
      <c r="L52" s="1199"/>
      <c r="M52" s="1173"/>
      <c r="N52" s="1197"/>
      <c r="W52" s="1199"/>
    </row>
    <row r="53" spans="1:25">
      <c r="A53" s="1210"/>
      <c r="B53" s="1250" t="str">
        <f>B41</f>
        <v>Result after taks</v>
      </c>
      <c r="F53" s="1282">
        <f t="shared" ref="F53:L53" si="32">F41</f>
        <v>0</v>
      </c>
      <c r="G53" s="1282">
        <f t="shared" si="32"/>
        <v>0</v>
      </c>
      <c r="H53" s="1282">
        <f t="shared" si="32"/>
        <v>0</v>
      </c>
      <c r="I53" s="1282">
        <f t="shared" si="32"/>
        <v>0</v>
      </c>
      <c r="J53" s="1282">
        <f t="shared" si="32"/>
        <v>0</v>
      </c>
      <c r="K53" s="1282">
        <f t="shared" si="32"/>
        <v>0</v>
      </c>
      <c r="L53" s="1283">
        <f t="shared" si="32"/>
        <v>0</v>
      </c>
      <c r="M53" s="1173"/>
      <c r="N53" s="1269" t="s">
        <v>134</v>
      </c>
      <c r="O53" s="1246"/>
      <c r="P53" s="1246"/>
      <c r="Q53" s="1246">
        <f t="shared" ref="Q53:W53" si="33">Q3</f>
        <v>2023</v>
      </c>
      <c r="R53" s="1246">
        <f t="shared" si="33"/>
        <v>2024</v>
      </c>
      <c r="S53" s="1246">
        <f t="shared" si="33"/>
        <v>2025</v>
      </c>
      <c r="T53" s="1246">
        <f t="shared" si="33"/>
        <v>2026</v>
      </c>
      <c r="U53" s="1246">
        <f t="shared" si="33"/>
        <v>2027</v>
      </c>
      <c r="V53" s="1246">
        <f t="shared" si="33"/>
        <v>2028</v>
      </c>
      <c r="W53" s="1247">
        <f t="shared" si="33"/>
        <v>2029</v>
      </c>
    </row>
    <row r="54" spans="1:25" ht="13.5" thickBot="1">
      <c r="A54" s="1210"/>
      <c r="B54" s="1197"/>
      <c r="L54" s="1199"/>
      <c r="M54" s="1173"/>
      <c r="N54" s="1266" t="str">
        <f>Capex!B21</f>
        <v xml:space="preserve">Purchasing additional plots </v>
      </c>
      <c r="O54" s="1267"/>
      <c r="P54" s="1267"/>
      <c r="Q54" s="1284">
        <f>Capex!G21</f>
        <v>0</v>
      </c>
      <c r="R54" s="1284">
        <f>Capex!H21</f>
        <v>95000</v>
      </c>
      <c r="S54" s="1284">
        <f>Capex!I21</f>
        <v>0</v>
      </c>
      <c r="T54" s="1284">
        <f>Capex!J21</f>
        <v>0</v>
      </c>
      <c r="U54" s="1284">
        <f>Capex!K21</f>
        <v>0</v>
      </c>
      <c r="V54" s="1284">
        <f>Capex!L21</f>
        <v>0</v>
      </c>
      <c r="W54" s="1285">
        <f>Capex!M21</f>
        <v>0</v>
      </c>
      <c r="X54" s="1217"/>
    </row>
    <row r="55" spans="1:25" ht="13.5" thickBot="1">
      <c r="A55" s="1210"/>
      <c r="B55" s="1286" t="s">
        <v>134</v>
      </c>
      <c r="C55" s="1287"/>
      <c r="F55" s="1288">
        <f t="shared" ref="F55:L55" si="34">-Q54</f>
        <v>0</v>
      </c>
      <c r="G55" s="1288">
        <f t="shared" si="34"/>
        <v>-95000</v>
      </c>
      <c r="H55" s="1288">
        <f t="shared" si="34"/>
        <v>0</v>
      </c>
      <c r="I55" s="1288">
        <f t="shared" si="34"/>
        <v>0</v>
      </c>
      <c r="J55" s="1288">
        <f t="shared" si="34"/>
        <v>0</v>
      </c>
      <c r="K55" s="1288">
        <f t="shared" si="34"/>
        <v>0</v>
      </c>
      <c r="L55" s="1289">
        <f t="shared" si="34"/>
        <v>0</v>
      </c>
      <c r="M55" s="1173"/>
      <c r="N55" s="1197"/>
      <c r="W55" s="1199"/>
    </row>
    <row r="56" spans="1:25">
      <c r="A56" s="1210"/>
      <c r="B56" s="1037" t="str">
        <f>B32</f>
        <v>Depreciation</v>
      </c>
      <c r="C56" s="1288"/>
      <c r="F56" s="1288">
        <f t="shared" ref="F56:L56" si="35">-F32</f>
        <v>3516.4836718937763</v>
      </c>
      <c r="G56" s="1288">
        <f t="shared" si="35"/>
        <v>0</v>
      </c>
      <c r="H56" s="1288">
        <f t="shared" si="35"/>
        <v>0</v>
      </c>
      <c r="I56" s="1288">
        <f t="shared" si="35"/>
        <v>0</v>
      </c>
      <c r="J56" s="1288">
        <f t="shared" si="35"/>
        <v>0</v>
      </c>
      <c r="K56" s="1288">
        <f t="shared" si="35"/>
        <v>0</v>
      </c>
      <c r="L56" s="1289">
        <f t="shared" si="35"/>
        <v>0</v>
      </c>
      <c r="M56" s="1173"/>
      <c r="N56" s="1269" t="s">
        <v>458</v>
      </c>
      <c r="O56" s="1246"/>
      <c r="P56" s="1246"/>
      <c r="Q56" s="1246"/>
      <c r="R56" s="1246"/>
      <c r="S56" s="1246"/>
      <c r="T56" s="1245"/>
      <c r="U56" s="1246"/>
      <c r="V56" s="1246"/>
      <c r="W56" s="1247"/>
    </row>
    <row r="57" spans="1:25" ht="13.5" thickBot="1">
      <c r="A57" s="1210"/>
      <c r="B57" s="1290" t="s">
        <v>40</v>
      </c>
      <c r="C57" s="1288"/>
      <c r="F57" s="1291">
        <f t="shared" ref="F57:L57" si="36">SUM(F53:F56)</f>
        <v>3516.4836718937763</v>
      </c>
      <c r="G57" s="1291">
        <f t="shared" si="36"/>
        <v>-95000</v>
      </c>
      <c r="H57" s="1291">
        <f t="shared" si="36"/>
        <v>0</v>
      </c>
      <c r="I57" s="1291">
        <f t="shared" si="36"/>
        <v>0</v>
      </c>
      <c r="J57" s="1291">
        <f t="shared" si="36"/>
        <v>0</v>
      </c>
      <c r="K57" s="1291">
        <f t="shared" si="36"/>
        <v>0</v>
      </c>
      <c r="L57" s="1292">
        <f t="shared" si="36"/>
        <v>0</v>
      </c>
      <c r="N57" s="1197"/>
      <c r="P57" s="1174" t="s">
        <v>357</v>
      </c>
      <c r="Q57" s="1174" t="s">
        <v>30</v>
      </c>
      <c r="R57" s="1174" t="s">
        <v>467</v>
      </c>
      <c r="T57" s="1293" t="s">
        <v>100</v>
      </c>
      <c r="V57" s="1294" t="s">
        <v>317</v>
      </c>
      <c r="W57" s="1295" t="s">
        <v>318</v>
      </c>
    </row>
    <row r="58" spans="1:25" ht="13.5" thickTop="1">
      <c r="A58" s="1210"/>
      <c r="B58" s="1037"/>
      <c r="C58" s="1287"/>
      <c r="F58" s="1287"/>
      <c r="G58" s="1287"/>
      <c r="H58" s="1287"/>
      <c r="I58" s="1287"/>
      <c r="J58" s="1296"/>
      <c r="K58" s="1296"/>
      <c r="L58" s="1297"/>
      <c r="N58" s="1197" t="s">
        <v>479</v>
      </c>
      <c r="P58" s="1298">
        <v>1080</v>
      </c>
      <c r="Q58" s="1253">
        <v>1080</v>
      </c>
      <c r="R58" s="1253">
        <f t="shared" ref="R58:R68" si="37">P58-Q58</f>
        <v>0</v>
      </c>
      <c r="S58" s="459">
        <v>0.15</v>
      </c>
      <c r="T58" s="1299" t="s">
        <v>576</v>
      </c>
      <c r="V58" s="436">
        <v>58523.7</v>
      </c>
      <c r="W58" s="1300">
        <f>V58/'RCE PP&amp;E'!$E$3</f>
        <v>29922.692667563129</v>
      </c>
    </row>
    <row r="59" spans="1:25">
      <c r="A59" s="1210"/>
      <c r="B59" s="1301" t="s">
        <v>616</v>
      </c>
      <c r="C59" s="1287"/>
      <c r="F59" s="1287"/>
      <c r="G59" s="1287"/>
      <c r="H59" s="1287"/>
      <c r="I59" s="1287"/>
      <c r="J59" s="1296"/>
      <c r="K59" s="1296"/>
      <c r="L59" s="1297"/>
      <c r="N59" s="1302" t="s">
        <v>459</v>
      </c>
      <c r="P59" s="1298">
        <v>7569.06</v>
      </c>
      <c r="Q59" s="1253">
        <v>7569.06</v>
      </c>
      <c r="R59" s="1253">
        <f t="shared" si="37"/>
        <v>0</v>
      </c>
      <c r="S59" s="459">
        <v>0.15</v>
      </c>
      <c r="T59" s="1303"/>
      <c r="V59" s="1304"/>
      <c r="W59" s="1305"/>
    </row>
    <row r="60" spans="1:25">
      <c r="A60" s="1210"/>
      <c r="B60" s="1037" t="s">
        <v>33</v>
      </c>
      <c r="C60" s="1287"/>
      <c r="F60" s="1288"/>
      <c r="G60" s="1288"/>
      <c r="H60" s="1288"/>
      <c r="I60" s="1288"/>
      <c r="J60" s="1288"/>
      <c r="K60" s="1288"/>
      <c r="L60" s="1289"/>
      <c r="N60" s="1306" t="s">
        <v>460</v>
      </c>
      <c r="P60" s="1298">
        <v>24749.08</v>
      </c>
      <c r="Q60" s="1253">
        <v>24749.08</v>
      </c>
      <c r="R60" s="1253">
        <f t="shared" si="37"/>
        <v>0</v>
      </c>
      <c r="S60" s="459">
        <v>0.15</v>
      </c>
      <c r="T60" s="1293" t="s">
        <v>114</v>
      </c>
      <c r="V60" s="1304"/>
      <c r="W60" s="1305"/>
    </row>
    <row r="61" spans="1:25">
      <c r="A61" s="1210"/>
      <c r="B61" s="1037" t="s">
        <v>16</v>
      </c>
      <c r="C61" s="1288"/>
      <c r="F61" s="1288"/>
      <c r="G61" s="1288"/>
      <c r="H61" s="1288"/>
      <c r="I61" s="1288"/>
      <c r="J61" s="1288"/>
      <c r="K61" s="1288"/>
      <c r="L61" s="1289"/>
      <c r="N61" s="1306" t="s">
        <v>461</v>
      </c>
      <c r="P61" s="1298">
        <v>2250</v>
      </c>
      <c r="Q61" s="1253">
        <v>2111.4</v>
      </c>
      <c r="R61" s="1253">
        <f t="shared" si="37"/>
        <v>138.59999999999991</v>
      </c>
      <c r="S61" s="459">
        <v>0.15</v>
      </c>
      <c r="T61" s="1299" t="s">
        <v>577</v>
      </c>
      <c r="V61" s="2">
        <v>2250</v>
      </c>
      <c r="W61" s="1300">
        <f>V61/'RCE PP&amp;E'!$E$3</f>
        <v>1150.4067326914917</v>
      </c>
    </row>
    <row r="62" spans="1:25">
      <c r="A62" s="1210"/>
      <c r="B62" s="1037" t="s">
        <v>17</v>
      </c>
      <c r="C62" s="1287"/>
      <c r="F62" s="1307"/>
      <c r="G62" s="1307"/>
      <c r="H62" s="1307"/>
      <c r="I62" s="1307"/>
      <c r="J62" s="1307"/>
      <c r="K62" s="1307"/>
      <c r="L62" s="1308"/>
      <c r="N62" s="1306" t="s">
        <v>462</v>
      </c>
      <c r="P62" s="1298">
        <v>5632.79</v>
      </c>
      <c r="Q62" s="1253">
        <v>5632.79</v>
      </c>
      <c r="R62" s="1253">
        <f t="shared" si="37"/>
        <v>0</v>
      </c>
      <c r="S62" s="459">
        <v>0.15</v>
      </c>
      <c r="T62" s="1299"/>
      <c r="V62" s="1304"/>
      <c r="W62" s="1305"/>
    </row>
    <row r="63" spans="1:25" ht="13.5" thickBot="1">
      <c r="A63" s="1210"/>
      <c r="B63" s="1037"/>
      <c r="C63" s="1287"/>
      <c r="F63" s="1309">
        <f>SUM(F60:F62)</f>
        <v>0</v>
      </c>
      <c r="G63" s="1309">
        <f t="shared" ref="G63:L63" si="38">SUM(G60:G62)</f>
        <v>0</v>
      </c>
      <c r="H63" s="1309">
        <f t="shared" si="38"/>
        <v>0</v>
      </c>
      <c r="I63" s="1309">
        <f t="shared" si="38"/>
        <v>0</v>
      </c>
      <c r="J63" s="1309">
        <f t="shared" si="38"/>
        <v>0</v>
      </c>
      <c r="K63" s="1309">
        <f t="shared" si="38"/>
        <v>0</v>
      </c>
      <c r="L63" s="1310">
        <f t="shared" si="38"/>
        <v>0</v>
      </c>
      <c r="N63" s="1306" t="s">
        <v>463</v>
      </c>
      <c r="P63" s="1298">
        <v>231844.46</v>
      </c>
      <c r="Q63" s="1253">
        <v>231844.46</v>
      </c>
      <c r="R63" s="1253">
        <f t="shared" si="37"/>
        <v>0</v>
      </c>
      <c r="S63" s="459">
        <v>0.1</v>
      </c>
      <c r="T63" s="1299" t="s">
        <v>123</v>
      </c>
      <c r="V63" s="1311">
        <f>'RCE PP&amp;E'!O44+'RCE PP&amp;E'!O48+V58+V61</f>
        <v>63923.7</v>
      </c>
      <c r="W63" s="1312">
        <f>'RCE PP&amp;E'!P44+'RCE PP&amp;E'!P48+W58+W61</f>
        <v>32683.668826022709</v>
      </c>
    </row>
    <row r="64" spans="1:25" ht="13.5" thickTop="1">
      <c r="A64" s="1210"/>
      <c r="B64" s="1301" t="s">
        <v>677</v>
      </c>
      <c r="C64" s="1287"/>
      <c r="F64" s="1288"/>
      <c r="G64" s="1288"/>
      <c r="H64" s="1288"/>
      <c r="I64" s="1288"/>
      <c r="J64" s="1288"/>
      <c r="K64" s="1288"/>
      <c r="L64" s="1289"/>
      <c r="N64" s="1306" t="s">
        <v>464</v>
      </c>
      <c r="P64" s="1298">
        <v>49521.62</v>
      </c>
      <c r="Q64" s="1253">
        <v>49521.62</v>
      </c>
      <c r="R64" s="1253">
        <f t="shared" si="37"/>
        <v>0</v>
      </c>
      <c r="S64" s="459">
        <v>0.15</v>
      </c>
      <c r="T64" s="1299"/>
      <c r="V64" s="1304"/>
      <c r="W64" s="1305"/>
    </row>
    <row r="65" spans="1:23">
      <c r="A65" s="1210"/>
      <c r="B65" s="1037" t="s">
        <v>33</v>
      </c>
      <c r="C65" s="1287"/>
      <c r="F65" s="1288"/>
      <c r="G65" s="1288"/>
      <c r="H65" s="1288"/>
      <c r="I65" s="1288"/>
      <c r="J65" s="1288"/>
      <c r="K65" s="1288"/>
      <c r="L65" s="1289"/>
      <c r="N65" s="1306" t="s">
        <v>465</v>
      </c>
      <c r="P65" s="1298">
        <v>3618</v>
      </c>
      <c r="Q65" s="1253">
        <v>3618</v>
      </c>
      <c r="R65" s="1253">
        <f t="shared" si="37"/>
        <v>0</v>
      </c>
      <c r="S65" s="459">
        <v>0.15</v>
      </c>
      <c r="T65" s="1293" t="str">
        <f>'RCE PP&amp;E'!N51</f>
        <v>Current Book value</v>
      </c>
      <c r="V65" s="1304"/>
      <c r="W65" s="1305"/>
    </row>
    <row r="66" spans="1:23">
      <c r="A66" s="1210"/>
      <c r="B66" s="1037" t="s">
        <v>618</v>
      </c>
      <c r="C66" s="1287"/>
      <c r="F66" s="1288"/>
      <c r="G66" s="1288"/>
      <c r="H66" s="1288"/>
      <c r="I66" s="1288"/>
      <c r="J66" s="1288"/>
      <c r="K66" s="1288"/>
      <c r="L66" s="1289"/>
      <c r="N66" s="1306" t="s">
        <v>220</v>
      </c>
      <c r="P66" s="1298">
        <v>17804</v>
      </c>
      <c r="Q66" s="1253">
        <v>17804</v>
      </c>
      <c r="R66" s="1253">
        <f t="shared" si="37"/>
        <v>0</v>
      </c>
      <c r="S66" s="459">
        <v>0.1</v>
      </c>
      <c r="T66" s="1299" t="str">
        <f>'RCE PP&amp;E'!N56</f>
        <v>Machinery</v>
      </c>
      <c r="V66" s="2">
        <f>V61</f>
        <v>2250</v>
      </c>
      <c r="W66" s="3">
        <f>V66/'RCE PP&amp;E'!$E$3</f>
        <v>1150.4067326914917</v>
      </c>
    </row>
    <row r="67" spans="1:23">
      <c r="A67" s="1210"/>
      <c r="B67" s="1037" t="s">
        <v>16</v>
      </c>
      <c r="C67" s="1287"/>
      <c r="F67" s="1288"/>
      <c r="G67" s="1288"/>
      <c r="H67" s="1288"/>
      <c r="I67" s="1288"/>
      <c r="J67" s="1288"/>
      <c r="K67" s="1288"/>
      <c r="L67" s="1289"/>
      <c r="N67" s="1306" t="s">
        <v>466</v>
      </c>
      <c r="P67" s="1298">
        <v>16035.95</v>
      </c>
      <c r="Q67" s="1253">
        <v>16035.95</v>
      </c>
      <c r="R67" s="1253">
        <f t="shared" si="37"/>
        <v>0</v>
      </c>
      <c r="S67" s="459">
        <v>0.1</v>
      </c>
      <c r="T67" s="1299" t="str">
        <f>'RCE PP&amp;E'!N57</f>
        <v>Depreciation of machines and equipment</v>
      </c>
      <c r="V67" s="107">
        <f>2111.4</f>
        <v>2111.4</v>
      </c>
      <c r="W67" s="108">
        <f>V67/'RCE PP&amp;E'!$E$3</f>
        <v>1079.5416779576958</v>
      </c>
    </row>
    <row r="68" spans="1:23">
      <c r="A68" s="1210"/>
      <c r="B68" s="1037" t="s">
        <v>619</v>
      </c>
      <c r="C68" s="1287"/>
      <c r="F68" s="1307"/>
      <c r="G68" s="1307"/>
      <c r="H68" s="1307"/>
      <c r="I68" s="1307"/>
      <c r="J68" s="1307"/>
      <c r="K68" s="1307"/>
      <c r="L68" s="1308"/>
      <c r="N68" s="1306" t="s">
        <v>481</v>
      </c>
      <c r="P68" s="1298">
        <v>20783.37</v>
      </c>
      <c r="Q68" s="1253">
        <v>20783.37</v>
      </c>
      <c r="R68" s="1253">
        <f t="shared" si="37"/>
        <v>0</v>
      </c>
      <c r="S68" s="459">
        <v>0.1</v>
      </c>
      <c r="T68" s="1299"/>
      <c r="V68" s="1313">
        <f>V66-V67</f>
        <v>138.59999999999991</v>
      </c>
      <c r="W68" s="1314">
        <f>W66-W67</f>
        <v>70.865054733795887</v>
      </c>
    </row>
    <row r="69" spans="1:23" ht="13.5" thickBot="1">
      <c r="A69" s="1210"/>
      <c r="B69" s="1037"/>
      <c r="C69" s="1287"/>
      <c r="F69" s="1309">
        <v>0</v>
      </c>
      <c r="G69" s="1309">
        <v>0</v>
      </c>
      <c r="H69" s="1309">
        <v>0</v>
      </c>
      <c r="I69" s="1309">
        <v>0</v>
      </c>
      <c r="J69" s="1309">
        <v>0</v>
      </c>
      <c r="K69" s="1309">
        <v>0</v>
      </c>
      <c r="L69" s="1310">
        <v>0</v>
      </c>
      <c r="N69" s="1197"/>
      <c r="T69" s="1299"/>
      <c r="V69" s="1304"/>
      <c r="W69" s="1305"/>
    </row>
    <row r="70" spans="1:23" ht="13.5" thickTop="1">
      <c r="A70" s="1210"/>
      <c r="B70" s="1037"/>
      <c r="C70" s="1287"/>
      <c r="F70" s="1288"/>
      <c r="G70" s="1288"/>
      <c r="H70" s="1288"/>
      <c r="I70" s="1288"/>
      <c r="J70" s="1288"/>
      <c r="K70" s="1288"/>
      <c r="L70" s="1289"/>
      <c r="N70" s="1250" t="s">
        <v>26</v>
      </c>
      <c r="T70" s="1293" t="s">
        <v>128</v>
      </c>
      <c r="V70" s="1304"/>
      <c r="W70" s="1305"/>
    </row>
    <row r="71" spans="1:23" ht="13.5" thickBot="1">
      <c r="A71" s="1210"/>
      <c r="B71" s="1290" t="s">
        <v>39</v>
      </c>
      <c r="C71" s="1288"/>
      <c r="F71" s="1291">
        <f>F57+F69+F63</f>
        <v>3516.4836718937763</v>
      </c>
      <c r="G71" s="1291">
        <f t="shared" ref="G71:L71" si="39">G57+G69+G63</f>
        <v>-95000</v>
      </c>
      <c r="H71" s="1291">
        <f t="shared" si="39"/>
        <v>0</v>
      </c>
      <c r="I71" s="1291">
        <f t="shared" si="39"/>
        <v>0</v>
      </c>
      <c r="J71" s="1291">
        <f t="shared" si="39"/>
        <v>0</v>
      </c>
      <c r="K71" s="1291">
        <f t="shared" si="39"/>
        <v>0</v>
      </c>
      <c r="L71" s="1292">
        <f t="shared" si="39"/>
        <v>0</v>
      </c>
      <c r="N71" s="1197" t="s">
        <v>317</v>
      </c>
      <c r="P71" s="169">
        <f>SUM(P58:P69)</f>
        <v>380888.33</v>
      </c>
      <c r="Q71" s="1315">
        <f>SUM(Q58:Q70)</f>
        <v>380749.73</v>
      </c>
      <c r="R71" s="1315">
        <f>SUM(R58:R68)</f>
        <v>138.59999999999991</v>
      </c>
      <c r="T71" s="1299" t="str">
        <f>T57</f>
        <v>Land</v>
      </c>
      <c r="V71" s="1316">
        <f>'RCE PP&amp;E'!O49*'RCE PP&amp;E'!B71</f>
        <v>0</v>
      </c>
      <c r="W71" s="1300">
        <f>V71/'RCE PP&amp;E'!E18</f>
        <v>0</v>
      </c>
    </row>
    <row r="72" spans="1:23" ht="14.25" thickTop="1" thickBot="1">
      <c r="B72" s="1290"/>
      <c r="C72" s="1288"/>
      <c r="F72" s="1317"/>
      <c r="G72" s="1317"/>
      <c r="H72" s="1317"/>
      <c r="I72" s="1318"/>
      <c r="J72" s="1296"/>
      <c r="K72" s="1296"/>
      <c r="L72" s="1297"/>
      <c r="N72" s="1197" t="s">
        <v>318</v>
      </c>
      <c r="P72" s="1204">
        <f>P71/$O$24</f>
        <v>194745.11077138607</v>
      </c>
      <c r="Q72" s="1204">
        <f>Q71/$O$24</f>
        <v>194674.24571665225</v>
      </c>
      <c r="R72" s="1204">
        <f>R71/$O$24</f>
        <v>70.86505473379583</v>
      </c>
      <c r="T72" s="1319" t="str">
        <f>T61</f>
        <v>Sprayer ММАТР400</v>
      </c>
      <c r="U72" s="1267"/>
      <c r="V72" s="1320">
        <f>V68</f>
        <v>138.59999999999991</v>
      </c>
      <c r="W72" s="1321">
        <f>W68</f>
        <v>70.865054733795887</v>
      </c>
    </row>
    <row r="73" spans="1:23" ht="13.5" thickBot="1">
      <c r="B73" s="1322" t="s">
        <v>67</v>
      </c>
      <c r="C73" s="1296"/>
      <c r="F73" s="1323"/>
      <c r="G73" s="1323"/>
      <c r="H73" s="1323"/>
      <c r="I73" s="1323"/>
      <c r="J73" s="1323"/>
      <c r="K73" s="1323"/>
      <c r="L73" s="1324"/>
      <c r="N73" s="1266"/>
      <c r="O73" s="1267"/>
      <c r="P73" s="1267"/>
      <c r="Q73" s="1267"/>
      <c r="R73" s="1267"/>
      <c r="S73" s="1267"/>
      <c r="T73" s="1267"/>
      <c r="U73" s="1267"/>
      <c r="V73" s="1267"/>
      <c r="W73" s="1268"/>
    </row>
    <row r="74" spans="1:23" ht="13.5" thickBot="1">
      <c r="B74" s="1325" t="s">
        <v>53</v>
      </c>
      <c r="C74" s="1296"/>
      <c r="F74" s="1323">
        <f>-F12</f>
        <v>0</v>
      </c>
      <c r="G74" s="1323">
        <f t="shared" ref="G74:L74" si="40">-G12+F12</f>
        <v>0</v>
      </c>
      <c r="H74" s="1323">
        <f t="shared" si="40"/>
        <v>0</v>
      </c>
      <c r="I74" s="1323">
        <f t="shared" si="40"/>
        <v>0</v>
      </c>
      <c r="J74" s="1323">
        <f t="shared" si="40"/>
        <v>0</v>
      </c>
      <c r="K74" s="1323">
        <f t="shared" si="40"/>
        <v>0</v>
      </c>
      <c r="L74" s="1324">
        <f t="shared" si="40"/>
        <v>0</v>
      </c>
      <c r="N74" s="1197"/>
      <c r="W74" s="1199"/>
    </row>
    <row r="75" spans="1:23">
      <c r="B75" s="1325" t="s">
        <v>50</v>
      </c>
      <c r="C75" s="1296"/>
      <c r="F75" s="1323">
        <f>+Q16</f>
        <v>0</v>
      </c>
      <c r="G75" s="1323">
        <f>+R16-Q16</f>
        <v>0</v>
      </c>
      <c r="H75" s="1323">
        <f t="shared" ref="H75:M75" si="41">+S16-R16</f>
        <v>0</v>
      </c>
      <c r="I75" s="1323">
        <f t="shared" si="41"/>
        <v>0</v>
      </c>
      <c r="J75" s="1323">
        <f t="shared" si="41"/>
        <v>0</v>
      </c>
      <c r="K75" s="1323">
        <f t="shared" si="41"/>
        <v>0</v>
      </c>
      <c r="L75" s="1324">
        <f t="shared" si="41"/>
        <v>0</v>
      </c>
      <c r="M75" s="1323">
        <f t="shared" si="41"/>
        <v>0</v>
      </c>
      <c r="N75" s="1269" t="s">
        <v>469</v>
      </c>
      <c r="O75" s="1246"/>
      <c r="P75" s="1246"/>
      <c r="Q75" s="1246"/>
      <c r="R75" s="1246"/>
      <c r="S75" s="1246"/>
      <c r="T75" s="1246"/>
      <c r="U75" s="1246"/>
      <c r="V75" s="1246"/>
      <c r="W75" s="1247"/>
    </row>
    <row r="76" spans="1:23">
      <c r="B76" s="1325" t="s">
        <v>368</v>
      </c>
      <c r="C76" s="1296"/>
      <c r="F76" s="1323">
        <f>+Q18</f>
        <v>0</v>
      </c>
      <c r="G76" s="1323">
        <f t="shared" ref="G76:L76" si="42">+R18-Q18</f>
        <v>0</v>
      </c>
      <c r="H76" s="1323">
        <f t="shared" si="42"/>
        <v>0</v>
      </c>
      <c r="I76" s="1323">
        <f t="shared" si="42"/>
        <v>0</v>
      </c>
      <c r="J76" s="1323">
        <f t="shared" si="42"/>
        <v>0</v>
      </c>
      <c r="K76" s="1323">
        <f t="shared" si="42"/>
        <v>0</v>
      </c>
      <c r="L76" s="1324">
        <f t="shared" si="42"/>
        <v>0</v>
      </c>
      <c r="N76" s="1302" t="s">
        <v>470</v>
      </c>
      <c r="Q76" s="1298">
        <v>32303.88</v>
      </c>
      <c r="W76" s="1199"/>
    </row>
    <row r="77" spans="1:23">
      <c r="B77" s="1325" t="s">
        <v>674</v>
      </c>
      <c r="C77" s="1296"/>
      <c r="F77" s="1326">
        <f t="shared" ref="F77:L77" si="43">-F43-E45</f>
        <v>0</v>
      </c>
      <c r="G77" s="1326">
        <f t="shared" si="43"/>
        <v>0</v>
      </c>
      <c r="H77" s="1326">
        <f t="shared" si="43"/>
        <v>0</v>
      </c>
      <c r="I77" s="1326">
        <f t="shared" si="43"/>
        <v>0</v>
      </c>
      <c r="J77" s="1326">
        <f t="shared" si="43"/>
        <v>0</v>
      </c>
      <c r="K77" s="1326">
        <f t="shared" si="43"/>
        <v>0</v>
      </c>
      <c r="L77" s="1327">
        <f t="shared" si="43"/>
        <v>0</v>
      </c>
      <c r="N77" s="1302" t="s">
        <v>471</v>
      </c>
      <c r="Q77" s="1328">
        <v>2500</v>
      </c>
      <c r="W77" s="1199"/>
    </row>
    <row r="78" spans="1:23" ht="13.5" thickBot="1">
      <c r="B78" s="1322" t="s">
        <v>69</v>
      </c>
      <c r="C78" s="1296"/>
      <c r="F78" s="1323">
        <f>SUM(F74:F77)</f>
        <v>0</v>
      </c>
      <c r="G78" s="1323">
        <f t="shared" ref="G78:L78" si="44">SUM(G74:G77)</f>
        <v>0</v>
      </c>
      <c r="H78" s="1323">
        <f t="shared" si="44"/>
        <v>0</v>
      </c>
      <c r="I78" s="1323">
        <f t="shared" si="44"/>
        <v>0</v>
      </c>
      <c r="J78" s="1323">
        <f t="shared" si="44"/>
        <v>0</v>
      </c>
      <c r="K78" s="1323">
        <f t="shared" si="44"/>
        <v>0</v>
      </c>
      <c r="L78" s="1324">
        <f t="shared" si="44"/>
        <v>0</v>
      </c>
      <c r="N78" s="1329" t="s">
        <v>472</v>
      </c>
      <c r="O78" s="1267"/>
      <c r="P78" s="1267"/>
      <c r="Q78" s="1330">
        <f>Q76+Q77</f>
        <v>34803.880000000005</v>
      </c>
      <c r="R78" s="1267" t="s">
        <v>317</v>
      </c>
      <c r="S78" s="1267"/>
      <c r="T78" s="1267"/>
      <c r="U78" s="1267"/>
      <c r="V78" s="1267"/>
      <c r="W78" s="1268"/>
    </row>
    <row r="79" spans="1:23" ht="13.5" thickBot="1">
      <c r="B79" s="1325"/>
      <c r="C79" s="1296"/>
      <c r="F79" s="1296"/>
      <c r="G79" s="1296"/>
      <c r="H79" s="1296"/>
      <c r="I79" s="1296"/>
      <c r="J79" s="1296"/>
      <c r="K79" s="1296"/>
      <c r="L79" s="1297"/>
      <c r="N79" s="1197"/>
      <c r="W79" s="1199"/>
    </row>
    <row r="80" spans="1:23">
      <c r="B80" s="1037" t="s">
        <v>37</v>
      </c>
      <c r="C80" s="1288"/>
      <c r="F80" s="1288">
        <f t="shared" ref="F80:L80" si="45">E85</f>
        <v>0</v>
      </c>
      <c r="G80" s="1288">
        <f t="shared" si="45"/>
        <v>351.6483671893775</v>
      </c>
      <c r="H80" s="1288">
        <f t="shared" si="45"/>
        <v>5351.6483671893802</v>
      </c>
      <c r="I80" s="1288">
        <f t="shared" si="45"/>
        <v>535.1648367189382</v>
      </c>
      <c r="J80" s="1288">
        <f t="shared" si="45"/>
        <v>53.516483671893809</v>
      </c>
      <c r="K80" s="1288">
        <f t="shared" si="45"/>
        <v>5.3516483671893766</v>
      </c>
      <c r="L80" s="1289">
        <f t="shared" si="45"/>
        <v>0.53516483671893766</v>
      </c>
      <c r="N80" s="1331" t="s">
        <v>473</v>
      </c>
      <c r="O80" s="1246"/>
      <c r="P80" s="1246"/>
      <c r="Q80" s="1332">
        <v>137.26</v>
      </c>
      <c r="R80" s="1246"/>
      <c r="S80" s="1246"/>
      <c r="T80" s="1246"/>
      <c r="U80" s="1246"/>
      <c r="V80" s="1246"/>
      <c r="W80" s="1247"/>
    </row>
    <row r="81" spans="2:23" ht="13.5" thickBot="1">
      <c r="B81" s="1333" t="s">
        <v>38</v>
      </c>
      <c r="C81" s="1334"/>
      <c r="D81" s="1267"/>
      <c r="E81" s="1267"/>
      <c r="F81" s="583">
        <f t="shared" ref="F81:L81" si="46">F71+F78+F80</f>
        <v>3516.4836718937763</v>
      </c>
      <c r="G81" s="583">
        <f t="shared" si="46"/>
        <v>-94648.35163281062</v>
      </c>
      <c r="H81" s="583">
        <f t="shared" si="46"/>
        <v>5351.6483671893802</v>
      </c>
      <c r="I81" s="583">
        <f t="shared" si="46"/>
        <v>535.1648367189382</v>
      </c>
      <c r="J81" s="583">
        <f t="shared" si="46"/>
        <v>53.516483671893809</v>
      </c>
      <c r="K81" s="583">
        <f t="shared" si="46"/>
        <v>5.3516483671893766</v>
      </c>
      <c r="L81" s="584">
        <f t="shared" si="46"/>
        <v>0.53516483671893766</v>
      </c>
      <c r="N81" s="1302" t="s">
        <v>474</v>
      </c>
      <c r="Q81" s="1328">
        <v>263.19</v>
      </c>
      <c r="W81" s="1199"/>
    </row>
    <row r="82" spans="2:23">
      <c r="B82" s="1245"/>
      <c r="C82" s="1246"/>
      <c r="D82" s="1246"/>
      <c r="E82" s="1246"/>
      <c r="F82" s="1246"/>
      <c r="G82" s="1246"/>
      <c r="H82" s="1246"/>
      <c r="I82" s="1246"/>
      <c r="J82" s="1246"/>
      <c r="K82" s="1246"/>
      <c r="L82" s="1247"/>
      <c r="N82" s="1335" t="s">
        <v>475</v>
      </c>
      <c r="Q82" s="1298">
        <f>SUM(Q80:Q81)</f>
        <v>400.45</v>
      </c>
      <c r="R82" s="1174" t="s">
        <v>317</v>
      </c>
      <c r="W82" s="1199"/>
    </row>
    <row r="83" spans="2:23" ht="13.5" thickBot="1">
      <c r="B83" s="1197" t="s">
        <v>675</v>
      </c>
      <c r="F83" s="55">
        <f>IF(F81&lt;0,CEILING(-F81,10000),0)</f>
        <v>0</v>
      </c>
      <c r="G83" s="55">
        <f t="shared" ref="G83:L83" si="47">IF(G81&lt;0,CEILING(-G81,10000),0)</f>
        <v>100000</v>
      </c>
      <c r="H83" s="55">
        <f t="shared" si="47"/>
        <v>0</v>
      </c>
      <c r="I83" s="55">
        <f t="shared" si="47"/>
        <v>0</v>
      </c>
      <c r="J83" s="55">
        <f t="shared" si="47"/>
        <v>0</v>
      </c>
      <c r="K83" s="55">
        <f t="shared" si="47"/>
        <v>0</v>
      </c>
      <c r="L83" s="56">
        <f t="shared" si="47"/>
        <v>0</v>
      </c>
      <c r="N83" s="1266" t="s">
        <v>752</v>
      </c>
      <c r="O83" s="1267"/>
      <c r="P83" s="1267"/>
      <c r="Q83" s="1336">
        <f>Q82/O24</f>
        <v>204.7468338250257</v>
      </c>
      <c r="R83" s="1267" t="s">
        <v>318</v>
      </c>
      <c r="S83" s="1267"/>
      <c r="T83" s="1267"/>
      <c r="U83" s="1267"/>
      <c r="V83" s="1267"/>
      <c r="W83" s="1268"/>
    </row>
    <row r="84" spans="2:23" ht="13.5" thickBot="1">
      <c r="B84" s="1197" t="s">
        <v>760</v>
      </c>
      <c r="E84" s="1337">
        <v>0.9</v>
      </c>
      <c r="F84" s="57">
        <f>IF(F81&lt;0,0,IF(F81+F83&gt;0,-(F81-F83)*$E$84,0))</f>
        <v>-3164.8353047043988</v>
      </c>
      <c r="G84" s="57">
        <f t="shared" ref="G84:L84" si="48">IF(G81&lt;0,0,IF(G81+G83&gt;0,-(G81-G83)*$E$84,0))</f>
        <v>0</v>
      </c>
      <c r="H84" s="57">
        <f t="shared" si="48"/>
        <v>-4816.483530470442</v>
      </c>
      <c r="I84" s="57">
        <f t="shared" si="48"/>
        <v>-481.6483530470444</v>
      </c>
      <c r="J84" s="57">
        <f t="shared" si="48"/>
        <v>-48.164835304704432</v>
      </c>
      <c r="K84" s="57">
        <f t="shared" si="48"/>
        <v>-4.816483530470439</v>
      </c>
      <c r="L84" s="687">
        <f t="shared" si="48"/>
        <v>-0.4816483530470439</v>
      </c>
      <c r="N84" s="1197"/>
      <c r="W84" s="1199"/>
    </row>
    <row r="85" spans="2:23" ht="13.5" thickBot="1">
      <c r="B85" s="1280" t="s">
        <v>676</v>
      </c>
      <c r="C85" s="1267"/>
      <c r="D85" s="1267"/>
      <c r="E85" s="1267"/>
      <c r="F85" s="1338">
        <f t="shared" ref="F85:L85" si="49">F81+F83+F84</f>
        <v>351.6483671893775</v>
      </c>
      <c r="G85" s="1338">
        <f t="shared" si="49"/>
        <v>5351.6483671893802</v>
      </c>
      <c r="H85" s="1338">
        <f t="shared" si="49"/>
        <v>535.1648367189382</v>
      </c>
      <c r="I85" s="1338">
        <f t="shared" si="49"/>
        <v>53.516483671893809</v>
      </c>
      <c r="J85" s="1338">
        <f t="shared" si="49"/>
        <v>5.3516483671893766</v>
      </c>
      <c r="K85" s="1338">
        <f t="shared" si="49"/>
        <v>0.53516483671893766</v>
      </c>
      <c r="L85" s="1339">
        <f t="shared" si="49"/>
        <v>5.3516483671893766E-2</v>
      </c>
      <c r="N85" s="1269" t="s">
        <v>753</v>
      </c>
      <c r="O85" s="1246"/>
      <c r="P85" s="1246"/>
      <c r="Q85" s="1246"/>
      <c r="R85" s="1246"/>
      <c r="S85" s="1246"/>
      <c r="T85" s="1246"/>
      <c r="U85" s="1246"/>
      <c r="V85" s="1246"/>
      <c r="W85" s="1247"/>
    </row>
    <row r="86" spans="2:23" ht="13.5" thickBot="1">
      <c r="N86" s="1197" t="s">
        <v>557</v>
      </c>
      <c r="P86" s="1204">
        <f>E19+E18</f>
        <v>5638.9103347427945</v>
      </c>
      <c r="W86" s="1199"/>
    </row>
    <row r="87" spans="2:23">
      <c r="B87" s="1340" t="s">
        <v>32</v>
      </c>
      <c r="C87" s="1341"/>
      <c r="D87" s="1246"/>
      <c r="E87" s="1246"/>
      <c r="F87" s="657"/>
      <c r="G87" s="657"/>
      <c r="H87" s="657"/>
      <c r="I87" s="657"/>
      <c r="J87" s="657"/>
      <c r="K87" s="658"/>
      <c r="L87" s="1342"/>
      <c r="N87" s="1197" t="str">
        <f>B11</f>
        <v xml:space="preserve">Group company's </v>
      </c>
      <c r="P87" s="1204">
        <f>E11</f>
        <v>17794.941278127444</v>
      </c>
      <c r="W87" s="1199"/>
    </row>
    <row r="88" spans="2:23">
      <c r="B88" s="1343" t="s">
        <v>392</v>
      </c>
      <c r="C88" s="1344"/>
      <c r="F88" s="436">
        <f t="shared" ref="F88:L88" si="50">F37</f>
        <v>0</v>
      </c>
      <c r="G88" s="436">
        <f t="shared" si="50"/>
        <v>0</v>
      </c>
      <c r="H88" s="436">
        <f t="shared" si="50"/>
        <v>0</v>
      </c>
      <c r="I88" s="436">
        <f t="shared" si="50"/>
        <v>0</v>
      </c>
      <c r="J88" s="436">
        <f t="shared" si="50"/>
        <v>0</v>
      </c>
      <c r="K88" s="436">
        <f t="shared" si="50"/>
        <v>0</v>
      </c>
      <c r="L88" s="671">
        <f t="shared" si="50"/>
        <v>0</v>
      </c>
      <c r="N88" s="1197" t="str">
        <f>N16</f>
        <v>Payable to suppliers and trading credits</v>
      </c>
      <c r="P88" s="1204">
        <f>-P16</f>
        <v>-198.91810637938877</v>
      </c>
      <c r="W88" s="1199"/>
    </row>
    <row r="89" spans="2:23">
      <c r="B89" s="1343" t="s">
        <v>32</v>
      </c>
      <c r="C89" s="1345">
        <v>0.1</v>
      </c>
      <c r="F89" s="436">
        <f>IF('RCF-F'!$B$2&gt;='RCF-F'!F2,IF(F88&gt;0,-F88*$C$89,-F88*$C$89),0)</f>
        <v>0</v>
      </c>
      <c r="G89" s="436">
        <f>IF('RCF-F'!$B$2&gt;='RCF-F'!G2,IF(G88&gt;0,-G88*$C$89,-G88*$C$89),0)</f>
        <v>0</v>
      </c>
      <c r="H89" s="436">
        <f>IF('RCF-F'!$B$2&gt;='RCF-F'!H2,IF(H88&gt;0,-H88*$C$89,-H88*$C$89),0)</f>
        <v>0</v>
      </c>
      <c r="I89" s="436">
        <f>IF('RCF-F'!$B$2&gt;='RCF-F'!I2,IF(I88&gt;0,-I88*$C$89,-I88*$C$89),0)</f>
        <v>0</v>
      </c>
      <c r="J89" s="436">
        <f>IF('RCF-F'!$B$2&gt;='RCF-F'!J2,IF(J88&gt;0,-J88*$C$89,-J88*$C$89),0)</f>
        <v>0</v>
      </c>
      <c r="K89" s="436">
        <f>IF('RCF-F'!$B$2&gt;='RCF-F'!K2,IF(K88&gt;0,-K88*$C$89,-K88*$C$89),0)</f>
        <v>0</v>
      </c>
      <c r="L89" s="671">
        <f>IF('RCF-F'!$B$2&gt;='RCF-F'!L2,IF(L88&gt;0,-L88*$C$89,-L88*$C$89),0)</f>
        <v>0</v>
      </c>
      <c r="N89" s="1197" t="str">
        <f>N18</f>
        <v>Tax and social insurance contributions</v>
      </c>
      <c r="P89" s="1315">
        <f>-P18</f>
        <v>-2216.0617231558981</v>
      </c>
      <c r="W89" s="1199"/>
    </row>
    <row r="90" spans="2:23">
      <c r="B90" s="1346"/>
      <c r="C90" s="1344"/>
      <c r="F90" s="661"/>
      <c r="G90" s="661"/>
      <c r="H90" s="661"/>
      <c r="I90" s="661"/>
      <c r="J90" s="661"/>
      <c r="K90" s="662"/>
      <c r="L90" s="663"/>
      <c r="N90" s="1197" t="s">
        <v>754</v>
      </c>
      <c r="P90" s="1282">
        <f>SUM(P86:P89)</f>
        <v>21018.871783334955</v>
      </c>
      <c r="W90" s="1199"/>
    </row>
    <row r="91" spans="2:23">
      <c r="B91" s="1299" t="s">
        <v>446</v>
      </c>
      <c r="C91" s="1347"/>
      <c r="F91" s="1348"/>
      <c r="G91" s="1348">
        <f>IF(G89&lt;0,IF(-G89&lt;SUMIF($F$89:F89,"&gt;0",$F$89:F89)-SUMIF($F$91:F91,"&gt;0",$F$91:F91),-G89,SUMIF($F$89:F89,"&gt;0",$F$89:F89)-SUMIF($F$91:F91,"&gt;0",$F$91:F91)),0)*IF(SUMIF($F$89:F89,"&gt;0",$F$89:F89)-SUMIF($F$91:F91,"&gt;0",$F$91:F91)=0,0,1)</f>
        <v>0</v>
      </c>
      <c r="H91" s="1348">
        <f>IF(H89&lt;0,IF(-H89&lt;SUMIF($F$89:G89,"&gt;0",$F$89:G89)-SUMIF($F$91:G91,"&gt;0",$F$91:G91),-H89,SUMIF($F$89:G89,"&gt;0",$F$89:G89)-SUMIF($F$91:G91,"&gt;0",$F$91:G91)),0)*IF(SUMIF($F$89:G89,"&gt;0",$F$89:G89)-SUMIF($F$91:G91,"&gt;0",$F$91:G91)=0,0,1)</f>
        <v>0</v>
      </c>
      <c r="I91" s="1348">
        <f>IF(I89&lt;0,IF(-I89&lt;SUMIF($F$89:H89,"&gt;0",$F$89:H89)-SUMIF($F$91:H91,"&gt;0",$F$91:H91),-I89,SUMIF($F$89:H89,"&gt;0",$F$89:H89)-SUMIF($F$91:H91,"&gt;0",$F$91:H91)),0)*IF(SUMIF($F$89:H89,"&gt;0",$F$89:H89)-SUMIF($F$91:H91,"&gt;0",$F$91:H91)=0,0,1)</f>
        <v>0</v>
      </c>
      <c r="J91" s="1348">
        <f>IF(J89&lt;0,IF(-J89&lt;SUMIF($F$89:I89,"&gt;0",$F$89:I89)-SUMIF($F$91:I91,"&gt;0",$F$91:I91),-J89,SUMIF($F$89:I89,"&gt;0",$F$89:I89)-SUMIF($F$91:I91,"&gt;0",$F$91:I91)),0)*IF(SUMIF($F$89:I89,"&gt;0",$F$89:I89)-SUMIF($F$91:I91,"&gt;0",$F$91:I91)=0,0,1)</f>
        <v>0</v>
      </c>
      <c r="K91" s="1348">
        <f>IF(K89&lt;0,IF(-K89&lt;SUMIF($F$89:J89,"&gt;0",$F$89:J89)-SUMIF($F$91:J91,"&gt;0",$F$91:J91),-K89,SUMIF($F$89:J89,"&gt;0",$F$89:J89)-SUMIF($F$91:J91,"&gt;0",$F$91:J91)),0)*IF(SUMIF($F$89:J89,"&gt;0",$F$89:J89)-SUMIF($F$91:J91,"&gt;0",$F$91:J91)=0,0,1)</f>
        <v>0</v>
      </c>
      <c r="L91" s="1349">
        <f>IF(L89&lt;0,IF(-L89&lt;SUMIF($F$89:K89,"&gt;0",$F$89:K89)-SUMIF($F$91:K91,"&gt;0",$F$91:K91),-L89,SUMIF($F$89:K89,"&gt;0",$F$89:K89)-SUMIF($F$91:K91,"&gt;0",$F$91:K91)),0)*IF(SUMIF($F$89:K89,"&gt;0",$F$89:K89)-SUMIF($F$91:K91,"&gt;0",$F$91:K91)=0,0,1)</f>
        <v>0</v>
      </c>
      <c r="N91" s="1197" t="s">
        <v>755</v>
      </c>
      <c r="P91" s="1204">
        <v>-17778</v>
      </c>
      <c r="W91" s="1199"/>
    </row>
    <row r="92" spans="2:23">
      <c r="B92" s="1350"/>
      <c r="C92" s="1351"/>
      <c r="F92" s="1352">
        <f t="shared" ref="F92:L92" si="51">IF(F89+F91&gt;0,0,F89+F91)</f>
        <v>0</v>
      </c>
      <c r="G92" s="1352">
        <f t="shared" si="51"/>
        <v>0</v>
      </c>
      <c r="H92" s="1352">
        <f t="shared" si="51"/>
        <v>0</v>
      </c>
      <c r="I92" s="1352">
        <f t="shared" si="51"/>
        <v>0</v>
      </c>
      <c r="J92" s="1352">
        <f t="shared" si="51"/>
        <v>0</v>
      </c>
      <c r="K92" s="1352">
        <f t="shared" si="51"/>
        <v>0</v>
      </c>
      <c r="L92" s="1353">
        <f t="shared" si="51"/>
        <v>0</v>
      </c>
      <c r="N92" s="1197" t="s">
        <v>429</v>
      </c>
      <c r="P92" s="1204">
        <f>P90+P91</f>
        <v>3240.8717833349547</v>
      </c>
      <c r="W92" s="1199"/>
    </row>
    <row r="93" spans="2:23">
      <c r="B93" s="1343"/>
      <c r="C93" s="1347"/>
      <c r="F93" s="1354"/>
      <c r="G93" s="1354"/>
      <c r="H93" s="1354"/>
      <c r="I93" s="1354"/>
      <c r="J93" s="1354"/>
      <c r="K93" s="1354"/>
      <c r="L93" s="1355"/>
      <c r="N93" s="1197" t="s">
        <v>756</v>
      </c>
      <c r="P93" s="1315">
        <f>-P92</f>
        <v>-3240.8717833349547</v>
      </c>
      <c r="W93" s="1199"/>
    </row>
    <row r="94" spans="2:23" ht="13.5" thickBot="1">
      <c r="B94" s="1319" t="s">
        <v>36</v>
      </c>
      <c r="C94" s="1356"/>
      <c r="D94" s="1267"/>
      <c r="E94" s="1267"/>
      <c r="F94" s="1357">
        <f t="shared" ref="F94:L94" si="52">-(+F92)</f>
        <v>0</v>
      </c>
      <c r="G94" s="1357">
        <f t="shared" si="52"/>
        <v>0</v>
      </c>
      <c r="H94" s="1357">
        <f t="shared" si="52"/>
        <v>0</v>
      </c>
      <c r="I94" s="1357">
        <f t="shared" si="52"/>
        <v>0</v>
      </c>
      <c r="J94" s="1357">
        <f t="shared" si="52"/>
        <v>0</v>
      </c>
      <c r="K94" s="1357">
        <f t="shared" si="52"/>
        <v>0</v>
      </c>
      <c r="L94" s="1358">
        <f t="shared" si="52"/>
        <v>0</v>
      </c>
      <c r="N94" s="1280" t="s">
        <v>429</v>
      </c>
      <c r="O94" s="1267"/>
      <c r="P94" s="1359">
        <f>P92+P93</f>
        <v>0</v>
      </c>
      <c r="Q94" s="1267"/>
      <c r="R94" s="1267"/>
      <c r="S94" s="1267"/>
      <c r="T94" s="1267"/>
      <c r="U94" s="1267"/>
      <c r="V94" s="1267"/>
      <c r="W94" s="1268"/>
    </row>
    <row r="104" spans="17:17">
      <c r="Q104" s="1204"/>
    </row>
  </sheetData>
  <sheetProtection password="CD53" sheet="1" objects="1" scenarios="1" selectLockedCells="1"/>
  <mergeCells count="2">
    <mergeCell ref="N2:W2"/>
    <mergeCell ref="C2:L2"/>
  </mergeCells>
  <conditionalFormatting sqref="B32:M32 B87:C94 B33:L49 B24:L31 F55:L58 B56:C58 B64:C81 F64:L74 F75:M75 F76:L81 F87:L94">
    <cfRule type="cellIs" dxfId="45" priority="6" operator="lessThan">
      <formula>0</formula>
    </cfRule>
  </conditionalFormatting>
  <conditionalFormatting sqref="B55:C55">
    <cfRule type="cellIs" dxfId="44" priority="4" operator="lessThan">
      <formula>0</formula>
    </cfRule>
  </conditionalFormatting>
  <conditionalFormatting sqref="F92:L92">
    <cfRule type="cellIs" dxfId="43" priority="2" stopIfTrue="1" operator="lessThan">
      <formula>0</formula>
    </cfRule>
  </conditionalFormatting>
  <conditionalFormatting sqref="B59:C63 F59:L63">
    <cfRule type="cellIs" dxfId="42" priority="1" operator="lessThan">
      <formula>0</formula>
    </cfRule>
  </conditionalFormatting>
  <pageMargins left="0.7" right="0.7" top="0.75" bottom="0.75" header="0.3" footer="0.3"/>
  <pageSetup paperSize="9"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5" tint="0.59999389629810485"/>
    <pageSetUpPr fitToPage="1"/>
  </sheetPr>
  <dimension ref="A1:Z112"/>
  <sheetViews>
    <sheetView zoomScale="60" zoomScaleNormal="60" workbookViewId="0">
      <selection activeCell="C55" sqref="C55"/>
    </sheetView>
  </sheetViews>
  <sheetFormatPr defaultRowHeight="12.75"/>
  <cols>
    <col min="1" max="1" width="0.85546875" style="16" customWidth="1"/>
    <col min="2" max="2" width="22.42578125" style="16" customWidth="1"/>
    <col min="3" max="3" width="8.7109375" style="16" customWidth="1"/>
    <col min="4" max="4" width="4.42578125" style="16" customWidth="1"/>
    <col min="5" max="5" width="13.42578125" style="16" bestFit="1" customWidth="1"/>
    <col min="6" max="6" width="18.140625" style="16" customWidth="1"/>
    <col min="7" max="8" width="14.85546875" style="16" bestFit="1" customWidth="1"/>
    <col min="9" max="10" width="14.5703125" style="16" bestFit="1" customWidth="1"/>
    <col min="11" max="11" width="14.7109375" style="16" customWidth="1"/>
    <col min="12" max="12" width="13.7109375" style="16" bestFit="1" customWidth="1"/>
    <col min="13" max="13" width="1" style="16" customWidth="1"/>
    <col min="14" max="14" width="13.140625" style="16" customWidth="1"/>
    <col min="15" max="15" width="23.140625" style="16" customWidth="1"/>
    <col min="16" max="16" width="15" style="16" customWidth="1"/>
    <col min="17" max="17" width="14.85546875" style="16" bestFit="1" customWidth="1"/>
    <col min="18" max="18" width="14.42578125" style="16" bestFit="1" customWidth="1"/>
    <col min="19" max="19" width="14" style="16" customWidth="1"/>
    <col min="20" max="20" width="15.140625" style="16" bestFit="1" customWidth="1"/>
    <col min="21" max="21" width="14.42578125" style="16" bestFit="1" customWidth="1"/>
    <col min="22" max="22" width="13.7109375" style="16" bestFit="1" customWidth="1"/>
    <col min="23" max="23" width="14.7109375" style="16" customWidth="1"/>
    <col min="24" max="24" width="11.140625" style="16" bestFit="1" customWidth="1"/>
    <col min="25" max="26" width="9.140625" style="16"/>
    <col min="27" max="27" width="9.140625" style="16" customWidth="1"/>
    <col min="28" max="255" width="9.140625" style="16"/>
    <col min="256" max="256" width="2.28515625" style="16" customWidth="1"/>
    <col min="257" max="257" width="10.42578125" style="16" customWidth="1"/>
    <col min="258" max="258" width="28.42578125" style="16" customWidth="1"/>
    <col min="259" max="259" width="12" style="16" customWidth="1"/>
    <col min="260" max="260" width="12.7109375" style="16" customWidth="1"/>
    <col min="261" max="261" width="11.5703125" style="16" customWidth="1"/>
    <col min="262" max="262" width="11.140625" style="16" customWidth="1"/>
    <col min="263" max="263" width="9.7109375" style="16" bestFit="1" customWidth="1"/>
    <col min="264" max="264" width="1" style="16" customWidth="1"/>
    <col min="265" max="265" width="9.140625" style="16"/>
    <col min="266" max="266" width="30.5703125" style="16" customWidth="1"/>
    <col min="267" max="267" width="11" style="16" customWidth="1"/>
    <col min="268" max="268" width="10.5703125" style="16" customWidth="1"/>
    <col min="269" max="269" width="10.85546875" style="16" customWidth="1"/>
    <col min="270" max="270" width="9" style="16" bestFit="1" customWidth="1"/>
    <col min="271" max="271" width="8.140625" style="16" bestFit="1" customWidth="1"/>
    <col min="272" max="511" width="9.140625" style="16"/>
    <col min="512" max="512" width="2.28515625" style="16" customWidth="1"/>
    <col min="513" max="513" width="10.42578125" style="16" customWidth="1"/>
    <col min="514" max="514" width="28.42578125" style="16" customWidth="1"/>
    <col min="515" max="515" width="12" style="16" customWidth="1"/>
    <col min="516" max="516" width="12.7109375" style="16" customWidth="1"/>
    <col min="517" max="517" width="11.5703125" style="16" customWidth="1"/>
    <col min="518" max="518" width="11.140625" style="16" customWidth="1"/>
    <col min="519" max="519" width="9.7109375" style="16" bestFit="1" customWidth="1"/>
    <col min="520" max="520" width="1" style="16" customWidth="1"/>
    <col min="521" max="521" width="9.140625" style="16"/>
    <col min="522" max="522" width="30.5703125" style="16" customWidth="1"/>
    <col min="523" max="523" width="11" style="16" customWidth="1"/>
    <col min="524" max="524" width="10.5703125" style="16" customWidth="1"/>
    <col min="525" max="525" width="10.85546875" style="16" customWidth="1"/>
    <col min="526" max="526" width="9" style="16" bestFit="1" customWidth="1"/>
    <col min="527" max="527" width="8.140625" style="16" bestFit="1" customWidth="1"/>
    <col min="528" max="767" width="9.140625" style="16"/>
    <col min="768" max="768" width="2.28515625" style="16" customWidth="1"/>
    <col min="769" max="769" width="10.42578125" style="16" customWidth="1"/>
    <col min="770" max="770" width="28.42578125" style="16" customWidth="1"/>
    <col min="771" max="771" width="12" style="16" customWidth="1"/>
    <col min="772" max="772" width="12.7109375" style="16" customWidth="1"/>
    <col min="773" max="773" width="11.5703125" style="16" customWidth="1"/>
    <col min="774" max="774" width="11.140625" style="16" customWidth="1"/>
    <col min="775" max="775" width="9.7109375" style="16" bestFit="1" customWidth="1"/>
    <col min="776" max="776" width="1" style="16" customWidth="1"/>
    <col min="777" max="777" width="9.140625" style="16"/>
    <col min="778" max="778" width="30.5703125" style="16" customWidth="1"/>
    <col min="779" max="779" width="11" style="16" customWidth="1"/>
    <col min="780" max="780" width="10.5703125" style="16" customWidth="1"/>
    <col min="781" max="781" width="10.85546875" style="16" customWidth="1"/>
    <col min="782" max="782" width="9" style="16" bestFit="1" customWidth="1"/>
    <col min="783" max="783" width="8.140625" style="16" bestFit="1" customWidth="1"/>
    <col min="784" max="1023" width="9.140625" style="16"/>
    <col min="1024" max="1024" width="2.28515625" style="16" customWidth="1"/>
    <col min="1025" max="1025" width="10.42578125" style="16" customWidth="1"/>
    <col min="1026" max="1026" width="28.42578125" style="16" customWidth="1"/>
    <col min="1027" max="1027" width="12" style="16" customWidth="1"/>
    <col min="1028" max="1028" width="12.7109375" style="16" customWidth="1"/>
    <col min="1029" max="1029" width="11.5703125" style="16" customWidth="1"/>
    <col min="1030" max="1030" width="11.140625" style="16" customWidth="1"/>
    <col min="1031" max="1031" width="9.7109375" style="16" bestFit="1" customWidth="1"/>
    <col min="1032" max="1032" width="1" style="16" customWidth="1"/>
    <col min="1033" max="1033" width="9.140625" style="16"/>
    <col min="1034" max="1034" width="30.5703125" style="16" customWidth="1"/>
    <col min="1035" max="1035" width="11" style="16" customWidth="1"/>
    <col min="1036" max="1036" width="10.5703125" style="16" customWidth="1"/>
    <col min="1037" max="1037" width="10.85546875" style="16" customWidth="1"/>
    <col min="1038" max="1038" width="9" style="16" bestFit="1" customWidth="1"/>
    <col min="1039" max="1039" width="8.140625" style="16" bestFit="1" customWidth="1"/>
    <col min="1040" max="1279" width="9.140625" style="16"/>
    <col min="1280" max="1280" width="2.28515625" style="16" customWidth="1"/>
    <col min="1281" max="1281" width="10.42578125" style="16" customWidth="1"/>
    <col min="1282" max="1282" width="28.42578125" style="16" customWidth="1"/>
    <col min="1283" max="1283" width="12" style="16" customWidth="1"/>
    <col min="1284" max="1284" width="12.7109375" style="16" customWidth="1"/>
    <col min="1285" max="1285" width="11.5703125" style="16" customWidth="1"/>
    <col min="1286" max="1286" width="11.140625" style="16" customWidth="1"/>
    <col min="1287" max="1287" width="9.7109375" style="16" bestFit="1" customWidth="1"/>
    <col min="1288" max="1288" width="1" style="16" customWidth="1"/>
    <col min="1289" max="1289" width="9.140625" style="16"/>
    <col min="1290" max="1290" width="30.5703125" style="16" customWidth="1"/>
    <col min="1291" max="1291" width="11" style="16" customWidth="1"/>
    <col min="1292" max="1292" width="10.5703125" style="16" customWidth="1"/>
    <col min="1293" max="1293" width="10.85546875" style="16" customWidth="1"/>
    <col min="1294" max="1294" width="9" style="16" bestFit="1" customWidth="1"/>
    <col min="1295" max="1295" width="8.140625" style="16" bestFit="1" customWidth="1"/>
    <col min="1296" max="1535" width="9.140625" style="16"/>
    <col min="1536" max="1536" width="2.28515625" style="16" customWidth="1"/>
    <col min="1537" max="1537" width="10.42578125" style="16" customWidth="1"/>
    <col min="1538" max="1538" width="28.42578125" style="16" customWidth="1"/>
    <col min="1539" max="1539" width="12" style="16" customWidth="1"/>
    <col min="1540" max="1540" width="12.7109375" style="16" customWidth="1"/>
    <col min="1541" max="1541" width="11.5703125" style="16" customWidth="1"/>
    <col min="1542" max="1542" width="11.140625" style="16" customWidth="1"/>
    <col min="1543" max="1543" width="9.7109375" style="16" bestFit="1" customWidth="1"/>
    <col min="1544" max="1544" width="1" style="16" customWidth="1"/>
    <col min="1545" max="1545" width="9.140625" style="16"/>
    <col min="1546" max="1546" width="30.5703125" style="16" customWidth="1"/>
    <col min="1547" max="1547" width="11" style="16" customWidth="1"/>
    <col min="1548" max="1548" width="10.5703125" style="16" customWidth="1"/>
    <col min="1549" max="1549" width="10.85546875" style="16" customWidth="1"/>
    <col min="1550" max="1550" width="9" style="16" bestFit="1" customWidth="1"/>
    <col min="1551" max="1551" width="8.140625" style="16" bestFit="1" customWidth="1"/>
    <col min="1552" max="1791" width="9.140625" style="16"/>
    <col min="1792" max="1792" width="2.28515625" style="16" customWidth="1"/>
    <col min="1793" max="1793" width="10.42578125" style="16" customWidth="1"/>
    <col min="1794" max="1794" width="28.42578125" style="16" customWidth="1"/>
    <col min="1795" max="1795" width="12" style="16" customWidth="1"/>
    <col min="1796" max="1796" width="12.7109375" style="16" customWidth="1"/>
    <col min="1797" max="1797" width="11.5703125" style="16" customWidth="1"/>
    <col min="1798" max="1798" width="11.140625" style="16" customWidth="1"/>
    <col min="1799" max="1799" width="9.7109375" style="16" bestFit="1" customWidth="1"/>
    <col min="1800" max="1800" width="1" style="16" customWidth="1"/>
    <col min="1801" max="1801" width="9.140625" style="16"/>
    <col min="1802" max="1802" width="30.5703125" style="16" customWidth="1"/>
    <col min="1803" max="1803" width="11" style="16" customWidth="1"/>
    <col min="1804" max="1804" width="10.5703125" style="16" customWidth="1"/>
    <col min="1805" max="1805" width="10.85546875" style="16" customWidth="1"/>
    <col min="1806" max="1806" width="9" style="16" bestFit="1" customWidth="1"/>
    <col min="1807" max="1807" width="8.140625" style="16" bestFit="1" customWidth="1"/>
    <col min="1808" max="2047" width="9.140625" style="16"/>
    <col min="2048" max="2048" width="2.28515625" style="16" customWidth="1"/>
    <col min="2049" max="2049" width="10.42578125" style="16" customWidth="1"/>
    <col min="2050" max="2050" width="28.42578125" style="16" customWidth="1"/>
    <col min="2051" max="2051" width="12" style="16" customWidth="1"/>
    <col min="2052" max="2052" width="12.7109375" style="16" customWidth="1"/>
    <col min="2053" max="2053" width="11.5703125" style="16" customWidth="1"/>
    <col min="2054" max="2054" width="11.140625" style="16" customWidth="1"/>
    <col min="2055" max="2055" width="9.7109375" style="16" bestFit="1" customWidth="1"/>
    <col min="2056" max="2056" width="1" style="16" customWidth="1"/>
    <col min="2057" max="2057" width="9.140625" style="16"/>
    <col min="2058" max="2058" width="30.5703125" style="16" customWidth="1"/>
    <col min="2059" max="2059" width="11" style="16" customWidth="1"/>
    <col min="2060" max="2060" width="10.5703125" style="16" customWidth="1"/>
    <col min="2061" max="2061" width="10.85546875" style="16" customWidth="1"/>
    <col min="2062" max="2062" width="9" style="16" bestFit="1" customWidth="1"/>
    <col min="2063" max="2063" width="8.140625" style="16" bestFit="1" customWidth="1"/>
    <col min="2064" max="2303" width="9.140625" style="16"/>
    <col min="2304" max="2304" width="2.28515625" style="16" customWidth="1"/>
    <col min="2305" max="2305" width="10.42578125" style="16" customWidth="1"/>
    <col min="2306" max="2306" width="28.42578125" style="16" customWidth="1"/>
    <col min="2307" max="2307" width="12" style="16" customWidth="1"/>
    <col min="2308" max="2308" width="12.7109375" style="16" customWidth="1"/>
    <col min="2309" max="2309" width="11.5703125" style="16" customWidth="1"/>
    <col min="2310" max="2310" width="11.140625" style="16" customWidth="1"/>
    <col min="2311" max="2311" width="9.7109375" style="16" bestFit="1" customWidth="1"/>
    <col min="2312" max="2312" width="1" style="16" customWidth="1"/>
    <col min="2313" max="2313" width="9.140625" style="16"/>
    <col min="2314" max="2314" width="30.5703125" style="16" customWidth="1"/>
    <col min="2315" max="2315" width="11" style="16" customWidth="1"/>
    <col min="2316" max="2316" width="10.5703125" style="16" customWidth="1"/>
    <col min="2317" max="2317" width="10.85546875" style="16" customWidth="1"/>
    <col min="2318" max="2318" width="9" style="16" bestFit="1" customWidth="1"/>
    <col min="2319" max="2319" width="8.140625" style="16" bestFit="1" customWidth="1"/>
    <col min="2320" max="2559" width="9.140625" style="16"/>
    <col min="2560" max="2560" width="2.28515625" style="16" customWidth="1"/>
    <col min="2561" max="2561" width="10.42578125" style="16" customWidth="1"/>
    <col min="2562" max="2562" width="28.42578125" style="16" customWidth="1"/>
    <col min="2563" max="2563" width="12" style="16" customWidth="1"/>
    <col min="2564" max="2564" width="12.7109375" style="16" customWidth="1"/>
    <col min="2565" max="2565" width="11.5703125" style="16" customWidth="1"/>
    <col min="2566" max="2566" width="11.140625" style="16" customWidth="1"/>
    <col min="2567" max="2567" width="9.7109375" style="16" bestFit="1" customWidth="1"/>
    <col min="2568" max="2568" width="1" style="16" customWidth="1"/>
    <col min="2569" max="2569" width="9.140625" style="16"/>
    <col min="2570" max="2570" width="30.5703125" style="16" customWidth="1"/>
    <col min="2571" max="2571" width="11" style="16" customWidth="1"/>
    <col min="2572" max="2572" width="10.5703125" style="16" customWidth="1"/>
    <col min="2573" max="2573" width="10.85546875" style="16" customWidth="1"/>
    <col min="2574" max="2574" width="9" style="16" bestFit="1" customWidth="1"/>
    <col min="2575" max="2575" width="8.140625" style="16" bestFit="1" customWidth="1"/>
    <col min="2576" max="2815" width="9.140625" style="16"/>
    <col min="2816" max="2816" width="2.28515625" style="16" customWidth="1"/>
    <col min="2817" max="2817" width="10.42578125" style="16" customWidth="1"/>
    <col min="2818" max="2818" width="28.42578125" style="16" customWidth="1"/>
    <col min="2819" max="2819" width="12" style="16" customWidth="1"/>
    <col min="2820" max="2820" width="12.7109375" style="16" customWidth="1"/>
    <col min="2821" max="2821" width="11.5703125" style="16" customWidth="1"/>
    <col min="2822" max="2822" width="11.140625" style="16" customWidth="1"/>
    <col min="2823" max="2823" width="9.7109375" style="16" bestFit="1" customWidth="1"/>
    <col min="2824" max="2824" width="1" style="16" customWidth="1"/>
    <col min="2825" max="2825" width="9.140625" style="16"/>
    <col min="2826" max="2826" width="30.5703125" style="16" customWidth="1"/>
    <col min="2827" max="2827" width="11" style="16" customWidth="1"/>
    <col min="2828" max="2828" width="10.5703125" style="16" customWidth="1"/>
    <col min="2829" max="2829" width="10.85546875" style="16" customWidth="1"/>
    <col min="2830" max="2830" width="9" style="16" bestFit="1" customWidth="1"/>
    <col min="2831" max="2831" width="8.140625" style="16" bestFit="1" customWidth="1"/>
    <col min="2832" max="3071" width="9.140625" style="16"/>
    <col min="3072" max="3072" width="2.28515625" style="16" customWidth="1"/>
    <col min="3073" max="3073" width="10.42578125" style="16" customWidth="1"/>
    <col min="3074" max="3074" width="28.42578125" style="16" customWidth="1"/>
    <col min="3075" max="3075" width="12" style="16" customWidth="1"/>
    <col min="3076" max="3076" width="12.7109375" style="16" customWidth="1"/>
    <col min="3077" max="3077" width="11.5703125" style="16" customWidth="1"/>
    <col min="3078" max="3078" width="11.140625" style="16" customWidth="1"/>
    <col min="3079" max="3079" width="9.7109375" style="16" bestFit="1" customWidth="1"/>
    <col min="3080" max="3080" width="1" style="16" customWidth="1"/>
    <col min="3081" max="3081" width="9.140625" style="16"/>
    <col min="3082" max="3082" width="30.5703125" style="16" customWidth="1"/>
    <col min="3083" max="3083" width="11" style="16" customWidth="1"/>
    <col min="3084" max="3084" width="10.5703125" style="16" customWidth="1"/>
    <col min="3085" max="3085" width="10.85546875" style="16" customWidth="1"/>
    <col min="3086" max="3086" width="9" style="16" bestFit="1" customWidth="1"/>
    <col min="3087" max="3087" width="8.140625" style="16" bestFit="1" customWidth="1"/>
    <col min="3088" max="3327" width="9.140625" style="16"/>
    <col min="3328" max="3328" width="2.28515625" style="16" customWidth="1"/>
    <col min="3329" max="3329" width="10.42578125" style="16" customWidth="1"/>
    <col min="3330" max="3330" width="28.42578125" style="16" customWidth="1"/>
    <col min="3331" max="3331" width="12" style="16" customWidth="1"/>
    <col min="3332" max="3332" width="12.7109375" style="16" customWidth="1"/>
    <col min="3333" max="3333" width="11.5703125" style="16" customWidth="1"/>
    <col min="3334" max="3334" width="11.140625" style="16" customWidth="1"/>
    <col min="3335" max="3335" width="9.7109375" style="16" bestFit="1" customWidth="1"/>
    <col min="3336" max="3336" width="1" style="16" customWidth="1"/>
    <col min="3337" max="3337" width="9.140625" style="16"/>
    <col min="3338" max="3338" width="30.5703125" style="16" customWidth="1"/>
    <col min="3339" max="3339" width="11" style="16" customWidth="1"/>
    <col min="3340" max="3340" width="10.5703125" style="16" customWidth="1"/>
    <col min="3341" max="3341" width="10.85546875" style="16" customWidth="1"/>
    <col min="3342" max="3342" width="9" style="16" bestFit="1" customWidth="1"/>
    <col min="3343" max="3343" width="8.140625" style="16" bestFit="1" customWidth="1"/>
    <col min="3344" max="3583" width="9.140625" style="16"/>
    <col min="3584" max="3584" width="2.28515625" style="16" customWidth="1"/>
    <col min="3585" max="3585" width="10.42578125" style="16" customWidth="1"/>
    <col min="3586" max="3586" width="28.42578125" style="16" customWidth="1"/>
    <col min="3587" max="3587" width="12" style="16" customWidth="1"/>
    <col min="3588" max="3588" width="12.7109375" style="16" customWidth="1"/>
    <col min="3589" max="3589" width="11.5703125" style="16" customWidth="1"/>
    <col min="3590" max="3590" width="11.140625" style="16" customWidth="1"/>
    <col min="3591" max="3591" width="9.7109375" style="16" bestFit="1" customWidth="1"/>
    <col min="3592" max="3592" width="1" style="16" customWidth="1"/>
    <col min="3593" max="3593" width="9.140625" style="16"/>
    <col min="3594" max="3594" width="30.5703125" style="16" customWidth="1"/>
    <col min="3595" max="3595" width="11" style="16" customWidth="1"/>
    <col min="3596" max="3596" width="10.5703125" style="16" customWidth="1"/>
    <col min="3597" max="3597" width="10.85546875" style="16" customWidth="1"/>
    <col min="3598" max="3598" width="9" style="16" bestFit="1" customWidth="1"/>
    <col min="3599" max="3599" width="8.140625" style="16" bestFit="1" customWidth="1"/>
    <col min="3600" max="3839" width="9.140625" style="16"/>
    <col min="3840" max="3840" width="2.28515625" style="16" customWidth="1"/>
    <col min="3841" max="3841" width="10.42578125" style="16" customWidth="1"/>
    <col min="3842" max="3842" width="28.42578125" style="16" customWidth="1"/>
    <col min="3843" max="3843" width="12" style="16" customWidth="1"/>
    <col min="3844" max="3844" width="12.7109375" style="16" customWidth="1"/>
    <col min="3845" max="3845" width="11.5703125" style="16" customWidth="1"/>
    <col min="3846" max="3846" width="11.140625" style="16" customWidth="1"/>
    <col min="3847" max="3847" width="9.7109375" style="16" bestFit="1" customWidth="1"/>
    <col min="3848" max="3848" width="1" style="16" customWidth="1"/>
    <col min="3849" max="3849" width="9.140625" style="16"/>
    <col min="3850" max="3850" width="30.5703125" style="16" customWidth="1"/>
    <col min="3851" max="3851" width="11" style="16" customWidth="1"/>
    <col min="3852" max="3852" width="10.5703125" style="16" customWidth="1"/>
    <col min="3853" max="3853" width="10.85546875" style="16" customWidth="1"/>
    <col min="3854" max="3854" width="9" style="16" bestFit="1" customWidth="1"/>
    <col min="3855" max="3855" width="8.140625" style="16" bestFit="1" customWidth="1"/>
    <col min="3856" max="4095" width="9.140625" style="16"/>
    <col min="4096" max="4096" width="2.28515625" style="16" customWidth="1"/>
    <col min="4097" max="4097" width="10.42578125" style="16" customWidth="1"/>
    <col min="4098" max="4098" width="28.42578125" style="16" customWidth="1"/>
    <col min="4099" max="4099" width="12" style="16" customWidth="1"/>
    <col min="4100" max="4100" width="12.7109375" style="16" customWidth="1"/>
    <col min="4101" max="4101" width="11.5703125" style="16" customWidth="1"/>
    <col min="4102" max="4102" width="11.140625" style="16" customWidth="1"/>
    <col min="4103" max="4103" width="9.7109375" style="16" bestFit="1" customWidth="1"/>
    <col min="4104" max="4104" width="1" style="16" customWidth="1"/>
    <col min="4105" max="4105" width="9.140625" style="16"/>
    <col min="4106" max="4106" width="30.5703125" style="16" customWidth="1"/>
    <col min="4107" max="4107" width="11" style="16" customWidth="1"/>
    <col min="4108" max="4108" width="10.5703125" style="16" customWidth="1"/>
    <col min="4109" max="4109" width="10.85546875" style="16" customWidth="1"/>
    <col min="4110" max="4110" width="9" style="16" bestFit="1" customWidth="1"/>
    <col min="4111" max="4111" width="8.140625" style="16" bestFit="1" customWidth="1"/>
    <col min="4112" max="4351" width="9.140625" style="16"/>
    <col min="4352" max="4352" width="2.28515625" style="16" customWidth="1"/>
    <col min="4353" max="4353" width="10.42578125" style="16" customWidth="1"/>
    <col min="4354" max="4354" width="28.42578125" style="16" customWidth="1"/>
    <col min="4355" max="4355" width="12" style="16" customWidth="1"/>
    <col min="4356" max="4356" width="12.7109375" style="16" customWidth="1"/>
    <col min="4357" max="4357" width="11.5703125" style="16" customWidth="1"/>
    <col min="4358" max="4358" width="11.140625" style="16" customWidth="1"/>
    <col min="4359" max="4359" width="9.7109375" style="16" bestFit="1" customWidth="1"/>
    <col min="4360" max="4360" width="1" style="16" customWidth="1"/>
    <col min="4361" max="4361" width="9.140625" style="16"/>
    <col min="4362" max="4362" width="30.5703125" style="16" customWidth="1"/>
    <col min="4363" max="4363" width="11" style="16" customWidth="1"/>
    <col min="4364" max="4364" width="10.5703125" style="16" customWidth="1"/>
    <col min="4365" max="4365" width="10.85546875" style="16" customWidth="1"/>
    <col min="4366" max="4366" width="9" style="16" bestFit="1" customWidth="1"/>
    <col min="4367" max="4367" width="8.140625" style="16" bestFit="1" customWidth="1"/>
    <col min="4368" max="4607" width="9.140625" style="16"/>
    <col min="4608" max="4608" width="2.28515625" style="16" customWidth="1"/>
    <col min="4609" max="4609" width="10.42578125" style="16" customWidth="1"/>
    <col min="4610" max="4610" width="28.42578125" style="16" customWidth="1"/>
    <col min="4611" max="4611" width="12" style="16" customWidth="1"/>
    <col min="4612" max="4612" width="12.7109375" style="16" customWidth="1"/>
    <col min="4613" max="4613" width="11.5703125" style="16" customWidth="1"/>
    <col min="4614" max="4614" width="11.140625" style="16" customWidth="1"/>
    <col min="4615" max="4615" width="9.7109375" style="16" bestFit="1" customWidth="1"/>
    <col min="4616" max="4616" width="1" style="16" customWidth="1"/>
    <col min="4617" max="4617" width="9.140625" style="16"/>
    <col min="4618" max="4618" width="30.5703125" style="16" customWidth="1"/>
    <col min="4619" max="4619" width="11" style="16" customWidth="1"/>
    <col min="4620" max="4620" width="10.5703125" style="16" customWidth="1"/>
    <col min="4621" max="4621" width="10.85546875" style="16" customWidth="1"/>
    <col min="4622" max="4622" width="9" style="16" bestFit="1" customWidth="1"/>
    <col min="4623" max="4623" width="8.140625" style="16" bestFit="1" customWidth="1"/>
    <col min="4624" max="4863" width="9.140625" style="16"/>
    <col min="4864" max="4864" width="2.28515625" style="16" customWidth="1"/>
    <col min="4865" max="4865" width="10.42578125" style="16" customWidth="1"/>
    <col min="4866" max="4866" width="28.42578125" style="16" customWidth="1"/>
    <col min="4867" max="4867" width="12" style="16" customWidth="1"/>
    <col min="4868" max="4868" width="12.7109375" style="16" customWidth="1"/>
    <col min="4869" max="4869" width="11.5703125" style="16" customWidth="1"/>
    <col min="4870" max="4870" width="11.140625" style="16" customWidth="1"/>
    <col min="4871" max="4871" width="9.7109375" style="16" bestFit="1" customWidth="1"/>
    <col min="4872" max="4872" width="1" style="16" customWidth="1"/>
    <col min="4873" max="4873" width="9.140625" style="16"/>
    <col min="4874" max="4874" width="30.5703125" style="16" customWidth="1"/>
    <col min="4875" max="4875" width="11" style="16" customWidth="1"/>
    <col min="4876" max="4876" width="10.5703125" style="16" customWidth="1"/>
    <col min="4877" max="4877" width="10.85546875" style="16" customWidth="1"/>
    <col min="4878" max="4878" width="9" style="16" bestFit="1" customWidth="1"/>
    <col min="4879" max="4879" width="8.140625" style="16" bestFit="1" customWidth="1"/>
    <col min="4880" max="5119" width="9.140625" style="16"/>
    <col min="5120" max="5120" width="2.28515625" style="16" customWidth="1"/>
    <col min="5121" max="5121" width="10.42578125" style="16" customWidth="1"/>
    <col min="5122" max="5122" width="28.42578125" style="16" customWidth="1"/>
    <col min="5123" max="5123" width="12" style="16" customWidth="1"/>
    <col min="5124" max="5124" width="12.7109375" style="16" customWidth="1"/>
    <col min="5125" max="5125" width="11.5703125" style="16" customWidth="1"/>
    <col min="5126" max="5126" width="11.140625" style="16" customWidth="1"/>
    <col min="5127" max="5127" width="9.7109375" style="16" bestFit="1" customWidth="1"/>
    <col min="5128" max="5128" width="1" style="16" customWidth="1"/>
    <col min="5129" max="5129" width="9.140625" style="16"/>
    <col min="5130" max="5130" width="30.5703125" style="16" customWidth="1"/>
    <col min="5131" max="5131" width="11" style="16" customWidth="1"/>
    <col min="5132" max="5132" width="10.5703125" style="16" customWidth="1"/>
    <col min="5133" max="5133" width="10.85546875" style="16" customWidth="1"/>
    <col min="5134" max="5134" width="9" style="16" bestFit="1" customWidth="1"/>
    <col min="5135" max="5135" width="8.140625" style="16" bestFit="1" customWidth="1"/>
    <col min="5136" max="5375" width="9.140625" style="16"/>
    <col min="5376" max="5376" width="2.28515625" style="16" customWidth="1"/>
    <col min="5377" max="5377" width="10.42578125" style="16" customWidth="1"/>
    <col min="5378" max="5378" width="28.42578125" style="16" customWidth="1"/>
    <col min="5379" max="5379" width="12" style="16" customWidth="1"/>
    <col min="5380" max="5380" width="12.7109375" style="16" customWidth="1"/>
    <col min="5381" max="5381" width="11.5703125" style="16" customWidth="1"/>
    <col min="5382" max="5382" width="11.140625" style="16" customWidth="1"/>
    <col min="5383" max="5383" width="9.7109375" style="16" bestFit="1" customWidth="1"/>
    <col min="5384" max="5384" width="1" style="16" customWidth="1"/>
    <col min="5385" max="5385" width="9.140625" style="16"/>
    <col min="5386" max="5386" width="30.5703125" style="16" customWidth="1"/>
    <col min="5387" max="5387" width="11" style="16" customWidth="1"/>
    <col min="5388" max="5388" width="10.5703125" style="16" customWidth="1"/>
    <col min="5389" max="5389" width="10.85546875" style="16" customWidth="1"/>
    <col min="5390" max="5390" width="9" style="16" bestFit="1" customWidth="1"/>
    <col min="5391" max="5391" width="8.140625" style="16" bestFit="1" customWidth="1"/>
    <col min="5392" max="5631" width="9.140625" style="16"/>
    <col min="5632" max="5632" width="2.28515625" style="16" customWidth="1"/>
    <col min="5633" max="5633" width="10.42578125" style="16" customWidth="1"/>
    <col min="5634" max="5634" width="28.42578125" style="16" customWidth="1"/>
    <col min="5635" max="5635" width="12" style="16" customWidth="1"/>
    <col min="5636" max="5636" width="12.7109375" style="16" customWidth="1"/>
    <col min="5637" max="5637" width="11.5703125" style="16" customWidth="1"/>
    <col min="5638" max="5638" width="11.140625" style="16" customWidth="1"/>
    <col min="5639" max="5639" width="9.7109375" style="16" bestFit="1" customWidth="1"/>
    <col min="5640" max="5640" width="1" style="16" customWidth="1"/>
    <col min="5641" max="5641" width="9.140625" style="16"/>
    <col min="5642" max="5642" width="30.5703125" style="16" customWidth="1"/>
    <col min="5643" max="5643" width="11" style="16" customWidth="1"/>
    <col min="5644" max="5644" width="10.5703125" style="16" customWidth="1"/>
    <col min="5645" max="5645" width="10.85546875" style="16" customWidth="1"/>
    <col min="5646" max="5646" width="9" style="16" bestFit="1" customWidth="1"/>
    <col min="5647" max="5647" width="8.140625" style="16" bestFit="1" customWidth="1"/>
    <col min="5648" max="5887" width="9.140625" style="16"/>
    <col min="5888" max="5888" width="2.28515625" style="16" customWidth="1"/>
    <col min="5889" max="5889" width="10.42578125" style="16" customWidth="1"/>
    <col min="5890" max="5890" width="28.42578125" style="16" customWidth="1"/>
    <col min="5891" max="5891" width="12" style="16" customWidth="1"/>
    <col min="5892" max="5892" width="12.7109375" style="16" customWidth="1"/>
    <col min="5893" max="5893" width="11.5703125" style="16" customWidth="1"/>
    <col min="5894" max="5894" width="11.140625" style="16" customWidth="1"/>
    <col min="5895" max="5895" width="9.7109375" style="16" bestFit="1" customWidth="1"/>
    <col min="5896" max="5896" width="1" style="16" customWidth="1"/>
    <col min="5897" max="5897" width="9.140625" style="16"/>
    <col min="5898" max="5898" width="30.5703125" style="16" customWidth="1"/>
    <col min="5899" max="5899" width="11" style="16" customWidth="1"/>
    <col min="5900" max="5900" width="10.5703125" style="16" customWidth="1"/>
    <col min="5901" max="5901" width="10.85546875" style="16" customWidth="1"/>
    <col min="5902" max="5902" width="9" style="16" bestFit="1" customWidth="1"/>
    <col min="5903" max="5903" width="8.140625" style="16" bestFit="1" customWidth="1"/>
    <col min="5904" max="6143" width="9.140625" style="16"/>
    <col min="6144" max="6144" width="2.28515625" style="16" customWidth="1"/>
    <col min="6145" max="6145" width="10.42578125" style="16" customWidth="1"/>
    <col min="6146" max="6146" width="28.42578125" style="16" customWidth="1"/>
    <col min="6147" max="6147" width="12" style="16" customWidth="1"/>
    <col min="6148" max="6148" width="12.7109375" style="16" customWidth="1"/>
    <col min="6149" max="6149" width="11.5703125" style="16" customWidth="1"/>
    <col min="6150" max="6150" width="11.140625" style="16" customWidth="1"/>
    <col min="6151" max="6151" width="9.7109375" style="16" bestFit="1" customWidth="1"/>
    <col min="6152" max="6152" width="1" style="16" customWidth="1"/>
    <col min="6153" max="6153" width="9.140625" style="16"/>
    <col min="6154" max="6154" width="30.5703125" style="16" customWidth="1"/>
    <col min="6155" max="6155" width="11" style="16" customWidth="1"/>
    <col min="6156" max="6156" width="10.5703125" style="16" customWidth="1"/>
    <col min="6157" max="6157" width="10.85546875" style="16" customWidth="1"/>
    <col min="6158" max="6158" width="9" style="16" bestFit="1" customWidth="1"/>
    <col min="6159" max="6159" width="8.140625" style="16" bestFit="1" customWidth="1"/>
    <col min="6160" max="6399" width="9.140625" style="16"/>
    <col min="6400" max="6400" width="2.28515625" style="16" customWidth="1"/>
    <col min="6401" max="6401" width="10.42578125" style="16" customWidth="1"/>
    <col min="6402" max="6402" width="28.42578125" style="16" customWidth="1"/>
    <col min="6403" max="6403" width="12" style="16" customWidth="1"/>
    <col min="6404" max="6404" width="12.7109375" style="16" customWidth="1"/>
    <col min="6405" max="6405" width="11.5703125" style="16" customWidth="1"/>
    <col min="6406" max="6406" width="11.140625" style="16" customWidth="1"/>
    <col min="6407" max="6407" width="9.7109375" style="16" bestFit="1" customWidth="1"/>
    <col min="6408" max="6408" width="1" style="16" customWidth="1"/>
    <col min="6409" max="6409" width="9.140625" style="16"/>
    <col min="6410" max="6410" width="30.5703125" style="16" customWidth="1"/>
    <col min="6411" max="6411" width="11" style="16" customWidth="1"/>
    <col min="6412" max="6412" width="10.5703125" style="16" customWidth="1"/>
    <col min="6413" max="6413" width="10.85546875" style="16" customWidth="1"/>
    <col min="6414" max="6414" width="9" style="16" bestFit="1" customWidth="1"/>
    <col min="6415" max="6415" width="8.140625" style="16" bestFit="1" customWidth="1"/>
    <col min="6416" max="6655" width="9.140625" style="16"/>
    <col min="6656" max="6656" width="2.28515625" style="16" customWidth="1"/>
    <col min="6657" max="6657" width="10.42578125" style="16" customWidth="1"/>
    <col min="6658" max="6658" width="28.42578125" style="16" customWidth="1"/>
    <col min="6659" max="6659" width="12" style="16" customWidth="1"/>
    <col min="6660" max="6660" width="12.7109375" style="16" customWidth="1"/>
    <col min="6661" max="6661" width="11.5703125" style="16" customWidth="1"/>
    <col min="6662" max="6662" width="11.140625" style="16" customWidth="1"/>
    <col min="6663" max="6663" width="9.7109375" style="16" bestFit="1" customWidth="1"/>
    <col min="6664" max="6664" width="1" style="16" customWidth="1"/>
    <col min="6665" max="6665" width="9.140625" style="16"/>
    <col min="6666" max="6666" width="30.5703125" style="16" customWidth="1"/>
    <col min="6667" max="6667" width="11" style="16" customWidth="1"/>
    <col min="6668" max="6668" width="10.5703125" style="16" customWidth="1"/>
    <col min="6669" max="6669" width="10.85546875" style="16" customWidth="1"/>
    <col min="6670" max="6670" width="9" style="16" bestFit="1" customWidth="1"/>
    <col min="6671" max="6671" width="8.140625" style="16" bestFit="1" customWidth="1"/>
    <col min="6672" max="6911" width="9.140625" style="16"/>
    <col min="6912" max="6912" width="2.28515625" style="16" customWidth="1"/>
    <col min="6913" max="6913" width="10.42578125" style="16" customWidth="1"/>
    <col min="6914" max="6914" width="28.42578125" style="16" customWidth="1"/>
    <col min="6915" max="6915" width="12" style="16" customWidth="1"/>
    <col min="6916" max="6916" width="12.7109375" style="16" customWidth="1"/>
    <col min="6917" max="6917" width="11.5703125" style="16" customWidth="1"/>
    <col min="6918" max="6918" width="11.140625" style="16" customWidth="1"/>
    <col min="6919" max="6919" width="9.7109375" style="16" bestFit="1" customWidth="1"/>
    <col min="6920" max="6920" width="1" style="16" customWidth="1"/>
    <col min="6921" max="6921" width="9.140625" style="16"/>
    <col min="6922" max="6922" width="30.5703125" style="16" customWidth="1"/>
    <col min="6923" max="6923" width="11" style="16" customWidth="1"/>
    <col min="6924" max="6924" width="10.5703125" style="16" customWidth="1"/>
    <col min="6925" max="6925" width="10.85546875" style="16" customWidth="1"/>
    <col min="6926" max="6926" width="9" style="16" bestFit="1" customWidth="1"/>
    <col min="6927" max="6927" width="8.140625" style="16" bestFit="1" customWidth="1"/>
    <col min="6928" max="7167" width="9.140625" style="16"/>
    <col min="7168" max="7168" width="2.28515625" style="16" customWidth="1"/>
    <col min="7169" max="7169" width="10.42578125" style="16" customWidth="1"/>
    <col min="7170" max="7170" width="28.42578125" style="16" customWidth="1"/>
    <col min="7171" max="7171" width="12" style="16" customWidth="1"/>
    <col min="7172" max="7172" width="12.7109375" style="16" customWidth="1"/>
    <col min="7173" max="7173" width="11.5703125" style="16" customWidth="1"/>
    <col min="7174" max="7174" width="11.140625" style="16" customWidth="1"/>
    <col min="7175" max="7175" width="9.7109375" style="16" bestFit="1" customWidth="1"/>
    <col min="7176" max="7176" width="1" style="16" customWidth="1"/>
    <col min="7177" max="7177" width="9.140625" style="16"/>
    <col min="7178" max="7178" width="30.5703125" style="16" customWidth="1"/>
    <col min="7179" max="7179" width="11" style="16" customWidth="1"/>
    <col min="7180" max="7180" width="10.5703125" style="16" customWidth="1"/>
    <col min="7181" max="7181" width="10.85546875" style="16" customWidth="1"/>
    <col min="7182" max="7182" width="9" style="16" bestFit="1" customWidth="1"/>
    <col min="7183" max="7183" width="8.140625" style="16" bestFit="1" customWidth="1"/>
    <col min="7184" max="7423" width="9.140625" style="16"/>
    <col min="7424" max="7424" width="2.28515625" style="16" customWidth="1"/>
    <col min="7425" max="7425" width="10.42578125" style="16" customWidth="1"/>
    <col min="7426" max="7426" width="28.42578125" style="16" customWidth="1"/>
    <col min="7427" max="7427" width="12" style="16" customWidth="1"/>
    <col min="7428" max="7428" width="12.7109375" style="16" customWidth="1"/>
    <col min="7429" max="7429" width="11.5703125" style="16" customWidth="1"/>
    <col min="7430" max="7430" width="11.140625" style="16" customWidth="1"/>
    <col min="7431" max="7431" width="9.7109375" style="16" bestFit="1" customWidth="1"/>
    <col min="7432" max="7432" width="1" style="16" customWidth="1"/>
    <col min="7433" max="7433" width="9.140625" style="16"/>
    <col min="7434" max="7434" width="30.5703125" style="16" customWidth="1"/>
    <col min="7435" max="7435" width="11" style="16" customWidth="1"/>
    <col min="7436" max="7436" width="10.5703125" style="16" customWidth="1"/>
    <col min="7437" max="7437" width="10.85546875" style="16" customWidth="1"/>
    <col min="7438" max="7438" width="9" style="16" bestFit="1" customWidth="1"/>
    <col min="7439" max="7439" width="8.140625" style="16" bestFit="1" customWidth="1"/>
    <col min="7440" max="7679" width="9.140625" style="16"/>
    <col min="7680" max="7680" width="2.28515625" style="16" customWidth="1"/>
    <col min="7681" max="7681" width="10.42578125" style="16" customWidth="1"/>
    <col min="7682" max="7682" width="28.42578125" style="16" customWidth="1"/>
    <col min="7683" max="7683" width="12" style="16" customWidth="1"/>
    <col min="7684" max="7684" width="12.7109375" style="16" customWidth="1"/>
    <col min="7685" max="7685" width="11.5703125" style="16" customWidth="1"/>
    <col min="7686" max="7686" width="11.140625" style="16" customWidth="1"/>
    <col min="7687" max="7687" width="9.7109375" style="16" bestFit="1" customWidth="1"/>
    <col min="7688" max="7688" width="1" style="16" customWidth="1"/>
    <col min="7689" max="7689" width="9.140625" style="16"/>
    <col min="7690" max="7690" width="30.5703125" style="16" customWidth="1"/>
    <col min="7691" max="7691" width="11" style="16" customWidth="1"/>
    <col min="7692" max="7692" width="10.5703125" style="16" customWidth="1"/>
    <col min="7693" max="7693" width="10.85546875" style="16" customWidth="1"/>
    <col min="7694" max="7694" width="9" style="16" bestFit="1" customWidth="1"/>
    <col min="7695" max="7695" width="8.140625" style="16" bestFit="1" customWidth="1"/>
    <col min="7696" max="7935" width="9.140625" style="16"/>
    <col min="7936" max="7936" width="2.28515625" style="16" customWidth="1"/>
    <col min="7937" max="7937" width="10.42578125" style="16" customWidth="1"/>
    <col min="7938" max="7938" width="28.42578125" style="16" customWidth="1"/>
    <col min="7939" max="7939" width="12" style="16" customWidth="1"/>
    <col min="7940" max="7940" width="12.7109375" style="16" customWidth="1"/>
    <col min="7941" max="7941" width="11.5703125" style="16" customWidth="1"/>
    <col min="7942" max="7942" width="11.140625" style="16" customWidth="1"/>
    <col min="7943" max="7943" width="9.7109375" style="16" bestFit="1" customWidth="1"/>
    <col min="7944" max="7944" width="1" style="16" customWidth="1"/>
    <col min="7945" max="7945" width="9.140625" style="16"/>
    <col min="7946" max="7946" width="30.5703125" style="16" customWidth="1"/>
    <col min="7947" max="7947" width="11" style="16" customWidth="1"/>
    <col min="7948" max="7948" width="10.5703125" style="16" customWidth="1"/>
    <col min="7949" max="7949" width="10.85546875" style="16" customWidth="1"/>
    <col min="7950" max="7950" width="9" style="16" bestFit="1" customWidth="1"/>
    <col min="7951" max="7951" width="8.140625" style="16" bestFit="1" customWidth="1"/>
    <col min="7952" max="8191" width="9.140625" style="16"/>
    <col min="8192" max="8192" width="2.28515625" style="16" customWidth="1"/>
    <col min="8193" max="8193" width="10.42578125" style="16" customWidth="1"/>
    <col min="8194" max="8194" width="28.42578125" style="16" customWidth="1"/>
    <col min="8195" max="8195" width="12" style="16" customWidth="1"/>
    <col min="8196" max="8196" width="12.7109375" style="16" customWidth="1"/>
    <col min="8197" max="8197" width="11.5703125" style="16" customWidth="1"/>
    <col min="8198" max="8198" width="11.140625" style="16" customWidth="1"/>
    <col min="8199" max="8199" width="9.7109375" style="16" bestFit="1" customWidth="1"/>
    <col min="8200" max="8200" width="1" style="16" customWidth="1"/>
    <col min="8201" max="8201" width="9.140625" style="16"/>
    <col min="8202" max="8202" width="30.5703125" style="16" customWidth="1"/>
    <col min="8203" max="8203" width="11" style="16" customWidth="1"/>
    <col min="8204" max="8204" width="10.5703125" style="16" customWidth="1"/>
    <col min="8205" max="8205" width="10.85546875" style="16" customWidth="1"/>
    <col min="8206" max="8206" width="9" style="16" bestFit="1" customWidth="1"/>
    <col min="8207" max="8207" width="8.140625" style="16" bestFit="1" customWidth="1"/>
    <col min="8208" max="8447" width="9.140625" style="16"/>
    <col min="8448" max="8448" width="2.28515625" style="16" customWidth="1"/>
    <col min="8449" max="8449" width="10.42578125" style="16" customWidth="1"/>
    <col min="8450" max="8450" width="28.42578125" style="16" customWidth="1"/>
    <col min="8451" max="8451" width="12" style="16" customWidth="1"/>
    <col min="8452" max="8452" width="12.7109375" style="16" customWidth="1"/>
    <col min="8453" max="8453" width="11.5703125" style="16" customWidth="1"/>
    <col min="8454" max="8454" width="11.140625" style="16" customWidth="1"/>
    <col min="8455" max="8455" width="9.7109375" style="16" bestFit="1" customWidth="1"/>
    <col min="8456" max="8456" width="1" style="16" customWidth="1"/>
    <col min="8457" max="8457" width="9.140625" style="16"/>
    <col min="8458" max="8458" width="30.5703125" style="16" customWidth="1"/>
    <col min="8459" max="8459" width="11" style="16" customWidth="1"/>
    <col min="8460" max="8460" width="10.5703125" style="16" customWidth="1"/>
    <col min="8461" max="8461" width="10.85546875" style="16" customWidth="1"/>
    <col min="8462" max="8462" width="9" style="16" bestFit="1" customWidth="1"/>
    <col min="8463" max="8463" width="8.140625" style="16" bestFit="1" customWidth="1"/>
    <col min="8464" max="8703" width="9.140625" style="16"/>
    <col min="8704" max="8704" width="2.28515625" style="16" customWidth="1"/>
    <col min="8705" max="8705" width="10.42578125" style="16" customWidth="1"/>
    <col min="8706" max="8706" width="28.42578125" style="16" customWidth="1"/>
    <col min="8707" max="8707" width="12" style="16" customWidth="1"/>
    <col min="8708" max="8708" width="12.7109375" style="16" customWidth="1"/>
    <col min="8709" max="8709" width="11.5703125" style="16" customWidth="1"/>
    <col min="8710" max="8710" width="11.140625" style="16" customWidth="1"/>
    <col min="8711" max="8711" width="9.7109375" style="16" bestFit="1" customWidth="1"/>
    <col min="8712" max="8712" width="1" style="16" customWidth="1"/>
    <col min="8713" max="8713" width="9.140625" style="16"/>
    <col min="8714" max="8714" width="30.5703125" style="16" customWidth="1"/>
    <col min="8715" max="8715" width="11" style="16" customWidth="1"/>
    <col min="8716" max="8716" width="10.5703125" style="16" customWidth="1"/>
    <col min="8717" max="8717" width="10.85546875" style="16" customWidth="1"/>
    <col min="8718" max="8718" width="9" style="16" bestFit="1" customWidth="1"/>
    <col min="8719" max="8719" width="8.140625" style="16" bestFit="1" customWidth="1"/>
    <col min="8720" max="8959" width="9.140625" style="16"/>
    <col min="8960" max="8960" width="2.28515625" style="16" customWidth="1"/>
    <col min="8961" max="8961" width="10.42578125" style="16" customWidth="1"/>
    <col min="8962" max="8962" width="28.42578125" style="16" customWidth="1"/>
    <col min="8963" max="8963" width="12" style="16" customWidth="1"/>
    <col min="8964" max="8964" width="12.7109375" style="16" customWidth="1"/>
    <col min="8965" max="8965" width="11.5703125" style="16" customWidth="1"/>
    <col min="8966" max="8966" width="11.140625" style="16" customWidth="1"/>
    <col min="8967" max="8967" width="9.7109375" style="16" bestFit="1" customWidth="1"/>
    <col min="8968" max="8968" width="1" style="16" customWidth="1"/>
    <col min="8969" max="8969" width="9.140625" style="16"/>
    <col min="8970" max="8970" width="30.5703125" style="16" customWidth="1"/>
    <col min="8971" max="8971" width="11" style="16" customWidth="1"/>
    <col min="8972" max="8972" width="10.5703125" style="16" customWidth="1"/>
    <col min="8973" max="8973" width="10.85546875" style="16" customWidth="1"/>
    <col min="8974" max="8974" width="9" style="16" bestFit="1" customWidth="1"/>
    <col min="8975" max="8975" width="8.140625" style="16" bestFit="1" customWidth="1"/>
    <col min="8976" max="9215" width="9.140625" style="16"/>
    <col min="9216" max="9216" width="2.28515625" style="16" customWidth="1"/>
    <col min="9217" max="9217" width="10.42578125" style="16" customWidth="1"/>
    <col min="9218" max="9218" width="28.42578125" style="16" customWidth="1"/>
    <col min="9219" max="9219" width="12" style="16" customWidth="1"/>
    <col min="9220" max="9220" width="12.7109375" style="16" customWidth="1"/>
    <col min="9221" max="9221" width="11.5703125" style="16" customWidth="1"/>
    <col min="9222" max="9222" width="11.140625" style="16" customWidth="1"/>
    <col min="9223" max="9223" width="9.7109375" style="16" bestFit="1" customWidth="1"/>
    <col min="9224" max="9224" width="1" style="16" customWidth="1"/>
    <col min="9225" max="9225" width="9.140625" style="16"/>
    <col min="9226" max="9226" width="30.5703125" style="16" customWidth="1"/>
    <col min="9227" max="9227" width="11" style="16" customWidth="1"/>
    <col min="9228" max="9228" width="10.5703125" style="16" customWidth="1"/>
    <col min="9229" max="9229" width="10.85546875" style="16" customWidth="1"/>
    <col min="9230" max="9230" width="9" style="16" bestFit="1" customWidth="1"/>
    <col min="9231" max="9231" width="8.140625" style="16" bestFit="1" customWidth="1"/>
    <col min="9232" max="9471" width="9.140625" style="16"/>
    <col min="9472" max="9472" width="2.28515625" style="16" customWidth="1"/>
    <col min="9473" max="9473" width="10.42578125" style="16" customWidth="1"/>
    <col min="9474" max="9474" width="28.42578125" style="16" customWidth="1"/>
    <col min="9475" max="9475" width="12" style="16" customWidth="1"/>
    <col min="9476" max="9476" width="12.7109375" style="16" customWidth="1"/>
    <col min="9477" max="9477" width="11.5703125" style="16" customWidth="1"/>
    <col min="9478" max="9478" width="11.140625" style="16" customWidth="1"/>
    <col min="9479" max="9479" width="9.7109375" style="16" bestFit="1" customWidth="1"/>
    <col min="9480" max="9480" width="1" style="16" customWidth="1"/>
    <col min="9481" max="9481" width="9.140625" style="16"/>
    <col min="9482" max="9482" width="30.5703125" style="16" customWidth="1"/>
    <col min="9483" max="9483" width="11" style="16" customWidth="1"/>
    <col min="9484" max="9484" width="10.5703125" style="16" customWidth="1"/>
    <col min="9485" max="9485" width="10.85546875" style="16" customWidth="1"/>
    <col min="9486" max="9486" width="9" style="16" bestFit="1" customWidth="1"/>
    <col min="9487" max="9487" width="8.140625" style="16" bestFit="1" customWidth="1"/>
    <col min="9488" max="9727" width="9.140625" style="16"/>
    <col min="9728" max="9728" width="2.28515625" style="16" customWidth="1"/>
    <col min="9729" max="9729" width="10.42578125" style="16" customWidth="1"/>
    <col min="9730" max="9730" width="28.42578125" style="16" customWidth="1"/>
    <col min="9731" max="9731" width="12" style="16" customWidth="1"/>
    <col min="9732" max="9732" width="12.7109375" style="16" customWidth="1"/>
    <col min="9733" max="9733" width="11.5703125" style="16" customWidth="1"/>
    <col min="9734" max="9734" width="11.140625" style="16" customWidth="1"/>
    <col min="9735" max="9735" width="9.7109375" style="16" bestFit="1" customWidth="1"/>
    <col min="9736" max="9736" width="1" style="16" customWidth="1"/>
    <col min="9737" max="9737" width="9.140625" style="16"/>
    <col min="9738" max="9738" width="30.5703125" style="16" customWidth="1"/>
    <col min="9739" max="9739" width="11" style="16" customWidth="1"/>
    <col min="9740" max="9740" width="10.5703125" style="16" customWidth="1"/>
    <col min="9741" max="9741" width="10.85546875" style="16" customWidth="1"/>
    <col min="9742" max="9742" width="9" style="16" bestFit="1" customWidth="1"/>
    <col min="9743" max="9743" width="8.140625" style="16" bestFit="1" customWidth="1"/>
    <col min="9744" max="9983" width="9.140625" style="16"/>
    <col min="9984" max="9984" width="2.28515625" style="16" customWidth="1"/>
    <col min="9985" max="9985" width="10.42578125" style="16" customWidth="1"/>
    <col min="9986" max="9986" width="28.42578125" style="16" customWidth="1"/>
    <col min="9987" max="9987" width="12" style="16" customWidth="1"/>
    <col min="9988" max="9988" width="12.7109375" style="16" customWidth="1"/>
    <col min="9989" max="9989" width="11.5703125" style="16" customWidth="1"/>
    <col min="9990" max="9990" width="11.140625" style="16" customWidth="1"/>
    <col min="9991" max="9991" width="9.7109375" style="16" bestFit="1" customWidth="1"/>
    <col min="9992" max="9992" width="1" style="16" customWidth="1"/>
    <col min="9993" max="9993" width="9.140625" style="16"/>
    <col min="9994" max="9994" width="30.5703125" style="16" customWidth="1"/>
    <col min="9995" max="9995" width="11" style="16" customWidth="1"/>
    <col min="9996" max="9996" width="10.5703125" style="16" customWidth="1"/>
    <col min="9997" max="9997" width="10.85546875" style="16" customWidth="1"/>
    <col min="9998" max="9998" width="9" style="16" bestFit="1" customWidth="1"/>
    <col min="9999" max="9999" width="8.140625" style="16" bestFit="1" customWidth="1"/>
    <col min="10000" max="10239" width="9.140625" style="16"/>
    <col min="10240" max="10240" width="2.28515625" style="16" customWidth="1"/>
    <col min="10241" max="10241" width="10.42578125" style="16" customWidth="1"/>
    <col min="10242" max="10242" width="28.42578125" style="16" customWidth="1"/>
    <col min="10243" max="10243" width="12" style="16" customWidth="1"/>
    <col min="10244" max="10244" width="12.7109375" style="16" customWidth="1"/>
    <col min="10245" max="10245" width="11.5703125" style="16" customWidth="1"/>
    <col min="10246" max="10246" width="11.140625" style="16" customWidth="1"/>
    <col min="10247" max="10247" width="9.7109375" style="16" bestFit="1" customWidth="1"/>
    <col min="10248" max="10248" width="1" style="16" customWidth="1"/>
    <col min="10249" max="10249" width="9.140625" style="16"/>
    <col min="10250" max="10250" width="30.5703125" style="16" customWidth="1"/>
    <col min="10251" max="10251" width="11" style="16" customWidth="1"/>
    <col min="10252" max="10252" width="10.5703125" style="16" customWidth="1"/>
    <col min="10253" max="10253" width="10.85546875" style="16" customWidth="1"/>
    <col min="10254" max="10254" width="9" style="16" bestFit="1" customWidth="1"/>
    <col min="10255" max="10255" width="8.140625" style="16" bestFit="1" customWidth="1"/>
    <col min="10256" max="10495" width="9.140625" style="16"/>
    <col min="10496" max="10496" width="2.28515625" style="16" customWidth="1"/>
    <col min="10497" max="10497" width="10.42578125" style="16" customWidth="1"/>
    <col min="10498" max="10498" width="28.42578125" style="16" customWidth="1"/>
    <col min="10499" max="10499" width="12" style="16" customWidth="1"/>
    <col min="10500" max="10500" width="12.7109375" style="16" customWidth="1"/>
    <col min="10501" max="10501" width="11.5703125" style="16" customWidth="1"/>
    <col min="10502" max="10502" width="11.140625" style="16" customWidth="1"/>
    <col min="10503" max="10503" width="9.7109375" style="16" bestFit="1" customWidth="1"/>
    <col min="10504" max="10504" width="1" style="16" customWidth="1"/>
    <col min="10505" max="10505" width="9.140625" style="16"/>
    <col min="10506" max="10506" width="30.5703125" style="16" customWidth="1"/>
    <col min="10507" max="10507" width="11" style="16" customWidth="1"/>
    <col min="10508" max="10508" width="10.5703125" style="16" customWidth="1"/>
    <col min="10509" max="10509" width="10.85546875" style="16" customWidth="1"/>
    <col min="10510" max="10510" width="9" style="16" bestFit="1" customWidth="1"/>
    <col min="10511" max="10511" width="8.140625" style="16" bestFit="1" customWidth="1"/>
    <col min="10512" max="10751" width="9.140625" style="16"/>
    <col min="10752" max="10752" width="2.28515625" style="16" customWidth="1"/>
    <col min="10753" max="10753" width="10.42578125" style="16" customWidth="1"/>
    <col min="10754" max="10754" width="28.42578125" style="16" customWidth="1"/>
    <col min="10755" max="10755" width="12" style="16" customWidth="1"/>
    <col min="10756" max="10756" width="12.7109375" style="16" customWidth="1"/>
    <col min="10757" max="10757" width="11.5703125" style="16" customWidth="1"/>
    <col min="10758" max="10758" width="11.140625" style="16" customWidth="1"/>
    <col min="10759" max="10759" width="9.7109375" style="16" bestFit="1" customWidth="1"/>
    <col min="10760" max="10760" width="1" style="16" customWidth="1"/>
    <col min="10761" max="10761" width="9.140625" style="16"/>
    <col min="10762" max="10762" width="30.5703125" style="16" customWidth="1"/>
    <col min="10763" max="10763" width="11" style="16" customWidth="1"/>
    <col min="10764" max="10764" width="10.5703125" style="16" customWidth="1"/>
    <col min="10765" max="10765" width="10.85546875" style="16" customWidth="1"/>
    <col min="10766" max="10766" width="9" style="16" bestFit="1" customWidth="1"/>
    <col min="10767" max="10767" width="8.140625" style="16" bestFit="1" customWidth="1"/>
    <col min="10768" max="11007" width="9.140625" style="16"/>
    <col min="11008" max="11008" width="2.28515625" style="16" customWidth="1"/>
    <col min="11009" max="11009" width="10.42578125" style="16" customWidth="1"/>
    <col min="11010" max="11010" width="28.42578125" style="16" customWidth="1"/>
    <col min="11011" max="11011" width="12" style="16" customWidth="1"/>
    <col min="11012" max="11012" width="12.7109375" style="16" customWidth="1"/>
    <col min="11013" max="11013" width="11.5703125" style="16" customWidth="1"/>
    <col min="11014" max="11014" width="11.140625" style="16" customWidth="1"/>
    <col min="11015" max="11015" width="9.7109375" style="16" bestFit="1" customWidth="1"/>
    <col min="11016" max="11016" width="1" style="16" customWidth="1"/>
    <col min="11017" max="11017" width="9.140625" style="16"/>
    <col min="11018" max="11018" width="30.5703125" style="16" customWidth="1"/>
    <col min="11019" max="11019" width="11" style="16" customWidth="1"/>
    <col min="11020" max="11020" width="10.5703125" style="16" customWidth="1"/>
    <col min="11021" max="11021" width="10.85546875" style="16" customWidth="1"/>
    <col min="11022" max="11022" width="9" style="16" bestFit="1" customWidth="1"/>
    <col min="11023" max="11023" width="8.140625" style="16" bestFit="1" customWidth="1"/>
    <col min="11024" max="11263" width="9.140625" style="16"/>
    <col min="11264" max="11264" width="2.28515625" style="16" customWidth="1"/>
    <col min="11265" max="11265" width="10.42578125" style="16" customWidth="1"/>
    <col min="11266" max="11266" width="28.42578125" style="16" customWidth="1"/>
    <col min="11267" max="11267" width="12" style="16" customWidth="1"/>
    <col min="11268" max="11268" width="12.7109375" style="16" customWidth="1"/>
    <col min="11269" max="11269" width="11.5703125" style="16" customWidth="1"/>
    <col min="11270" max="11270" width="11.140625" style="16" customWidth="1"/>
    <col min="11271" max="11271" width="9.7109375" style="16" bestFit="1" customWidth="1"/>
    <col min="11272" max="11272" width="1" style="16" customWidth="1"/>
    <col min="11273" max="11273" width="9.140625" style="16"/>
    <col min="11274" max="11274" width="30.5703125" style="16" customWidth="1"/>
    <col min="11275" max="11275" width="11" style="16" customWidth="1"/>
    <col min="11276" max="11276" width="10.5703125" style="16" customWidth="1"/>
    <col min="11277" max="11277" width="10.85546875" style="16" customWidth="1"/>
    <col min="11278" max="11278" width="9" style="16" bestFit="1" customWidth="1"/>
    <col min="11279" max="11279" width="8.140625" style="16" bestFit="1" customWidth="1"/>
    <col min="11280" max="11519" width="9.140625" style="16"/>
    <col min="11520" max="11520" width="2.28515625" style="16" customWidth="1"/>
    <col min="11521" max="11521" width="10.42578125" style="16" customWidth="1"/>
    <col min="11522" max="11522" width="28.42578125" style="16" customWidth="1"/>
    <col min="11523" max="11523" width="12" style="16" customWidth="1"/>
    <col min="11524" max="11524" width="12.7109375" style="16" customWidth="1"/>
    <col min="11525" max="11525" width="11.5703125" style="16" customWidth="1"/>
    <col min="11526" max="11526" width="11.140625" style="16" customWidth="1"/>
    <col min="11527" max="11527" width="9.7109375" style="16" bestFit="1" customWidth="1"/>
    <col min="11528" max="11528" width="1" style="16" customWidth="1"/>
    <col min="11529" max="11529" width="9.140625" style="16"/>
    <col min="11530" max="11530" width="30.5703125" style="16" customWidth="1"/>
    <col min="11531" max="11531" width="11" style="16" customWidth="1"/>
    <col min="11532" max="11532" width="10.5703125" style="16" customWidth="1"/>
    <col min="11533" max="11533" width="10.85546875" style="16" customWidth="1"/>
    <col min="11534" max="11534" width="9" style="16" bestFit="1" customWidth="1"/>
    <col min="11535" max="11535" width="8.140625" style="16" bestFit="1" customWidth="1"/>
    <col min="11536" max="11775" width="9.140625" style="16"/>
    <col min="11776" max="11776" width="2.28515625" style="16" customWidth="1"/>
    <col min="11777" max="11777" width="10.42578125" style="16" customWidth="1"/>
    <col min="11778" max="11778" width="28.42578125" style="16" customWidth="1"/>
    <col min="11779" max="11779" width="12" style="16" customWidth="1"/>
    <col min="11780" max="11780" width="12.7109375" style="16" customWidth="1"/>
    <col min="11781" max="11781" width="11.5703125" style="16" customWidth="1"/>
    <col min="11782" max="11782" width="11.140625" style="16" customWidth="1"/>
    <col min="11783" max="11783" width="9.7109375" style="16" bestFit="1" customWidth="1"/>
    <col min="11784" max="11784" width="1" style="16" customWidth="1"/>
    <col min="11785" max="11785" width="9.140625" style="16"/>
    <col min="11786" max="11786" width="30.5703125" style="16" customWidth="1"/>
    <col min="11787" max="11787" width="11" style="16" customWidth="1"/>
    <col min="11788" max="11788" width="10.5703125" style="16" customWidth="1"/>
    <col min="11789" max="11789" width="10.85546875" style="16" customWidth="1"/>
    <col min="11790" max="11790" width="9" style="16" bestFit="1" customWidth="1"/>
    <col min="11791" max="11791" width="8.140625" style="16" bestFit="1" customWidth="1"/>
    <col min="11792" max="12031" width="9.140625" style="16"/>
    <col min="12032" max="12032" width="2.28515625" style="16" customWidth="1"/>
    <col min="12033" max="12033" width="10.42578125" style="16" customWidth="1"/>
    <col min="12034" max="12034" width="28.42578125" style="16" customWidth="1"/>
    <col min="12035" max="12035" width="12" style="16" customWidth="1"/>
    <col min="12036" max="12036" width="12.7109375" style="16" customWidth="1"/>
    <col min="12037" max="12037" width="11.5703125" style="16" customWidth="1"/>
    <col min="12038" max="12038" width="11.140625" style="16" customWidth="1"/>
    <col min="12039" max="12039" width="9.7109375" style="16" bestFit="1" customWidth="1"/>
    <col min="12040" max="12040" width="1" style="16" customWidth="1"/>
    <col min="12041" max="12041" width="9.140625" style="16"/>
    <col min="12042" max="12042" width="30.5703125" style="16" customWidth="1"/>
    <col min="12043" max="12043" width="11" style="16" customWidth="1"/>
    <col min="12044" max="12044" width="10.5703125" style="16" customWidth="1"/>
    <col min="12045" max="12045" width="10.85546875" style="16" customWidth="1"/>
    <col min="12046" max="12046" width="9" style="16" bestFit="1" customWidth="1"/>
    <col min="12047" max="12047" width="8.140625" style="16" bestFit="1" customWidth="1"/>
    <col min="12048" max="12287" width="9.140625" style="16"/>
    <col min="12288" max="12288" width="2.28515625" style="16" customWidth="1"/>
    <col min="12289" max="12289" width="10.42578125" style="16" customWidth="1"/>
    <col min="12290" max="12290" width="28.42578125" style="16" customWidth="1"/>
    <col min="12291" max="12291" width="12" style="16" customWidth="1"/>
    <col min="12292" max="12292" width="12.7109375" style="16" customWidth="1"/>
    <col min="12293" max="12293" width="11.5703125" style="16" customWidth="1"/>
    <col min="12294" max="12294" width="11.140625" style="16" customWidth="1"/>
    <col min="12295" max="12295" width="9.7109375" style="16" bestFit="1" customWidth="1"/>
    <col min="12296" max="12296" width="1" style="16" customWidth="1"/>
    <col min="12297" max="12297" width="9.140625" style="16"/>
    <col min="12298" max="12298" width="30.5703125" style="16" customWidth="1"/>
    <col min="12299" max="12299" width="11" style="16" customWidth="1"/>
    <col min="12300" max="12300" width="10.5703125" style="16" customWidth="1"/>
    <col min="12301" max="12301" width="10.85546875" style="16" customWidth="1"/>
    <col min="12302" max="12302" width="9" style="16" bestFit="1" customWidth="1"/>
    <col min="12303" max="12303" width="8.140625" style="16" bestFit="1" customWidth="1"/>
    <col min="12304" max="12543" width="9.140625" style="16"/>
    <col min="12544" max="12544" width="2.28515625" style="16" customWidth="1"/>
    <col min="12545" max="12545" width="10.42578125" style="16" customWidth="1"/>
    <col min="12546" max="12546" width="28.42578125" style="16" customWidth="1"/>
    <col min="12547" max="12547" width="12" style="16" customWidth="1"/>
    <col min="12548" max="12548" width="12.7109375" style="16" customWidth="1"/>
    <col min="12549" max="12549" width="11.5703125" style="16" customWidth="1"/>
    <col min="12550" max="12550" width="11.140625" style="16" customWidth="1"/>
    <col min="12551" max="12551" width="9.7109375" style="16" bestFit="1" customWidth="1"/>
    <col min="12552" max="12552" width="1" style="16" customWidth="1"/>
    <col min="12553" max="12553" width="9.140625" style="16"/>
    <col min="12554" max="12554" width="30.5703125" style="16" customWidth="1"/>
    <col min="12555" max="12555" width="11" style="16" customWidth="1"/>
    <col min="12556" max="12556" width="10.5703125" style="16" customWidth="1"/>
    <col min="12557" max="12557" width="10.85546875" style="16" customWidth="1"/>
    <col min="12558" max="12558" width="9" style="16" bestFit="1" customWidth="1"/>
    <col min="12559" max="12559" width="8.140625" style="16" bestFit="1" customWidth="1"/>
    <col min="12560" max="12799" width="9.140625" style="16"/>
    <col min="12800" max="12800" width="2.28515625" style="16" customWidth="1"/>
    <col min="12801" max="12801" width="10.42578125" style="16" customWidth="1"/>
    <col min="12802" max="12802" width="28.42578125" style="16" customWidth="1"/>
    <col min="12803" max="12803" width="12" style="16" customWidth="1"/>
    <col min="12804" max="12804" width="12.7109375" style="16" customWidth="1"/>
    <col min="12805" max="12805" width="11.5703125" style="16" customWidth="1"/>
    <col min="12806" max="12806" width="11.140625" style="16" customWidth="1"/>
    <col min="12807" max="12807" width="9.7109375" style="16" bestFit="1" customWidth="1"/>
    <col min="12808" max="12808" width="1" style="16" customWidth="1"/>
    <col min="12809" max="12809" width="9.140625" style="16"/>
    <col min="12810" max="12810" width="30.5703125" style="16" customWidth="1"/>
    <col min="12811" max="12811" width="11" style="16" customWidth="1"/>
    <col min="12812" max="12812" width="10.5703125" style="16" customWidth="1"/>
    <col min="12813" max="12813" width="10.85546875" style="16" customWidth="1"/>
    <col min="12814" max="12814" width="9" style="16" bestFit="1" customWidth="1"/>
    <col min="12815" max="12815" width="8.140625" style="16" bestFit="1" customWidth="1"/>
    <col min="12816" max="13055" width="9.140625" style="16"/>
    <col min="13056" max="13056" width="2.28515625" style="16" customWidth="1"/>
    <col min="13057" max="13057" width="10.42578125" style="16" customWidth="1"/>
    <col min="13058" max="13058" width="28.42578125" style="16" customWidth="1"/>
    <col min="13059" max="13059" width="12" style="16" customWidth="1"/>
    <col min="13060" max="13060" width="12.7109375" style="16" customWidth="1"/>
    <col min="13061" max="13061" width="11.5703125" style="16" customWidth="1"/>
    <col min="13062" max="13062" width="11.140625" style="16" customWidth="1"/>
    <col min="13063" max="13063" width="9.7109375" style="16" bestFit="1" customWidth="1"/>
    <col min="13064" max="13064" width="1" style="16" customWidth="1"/>
    <col min="13065" max="13065" width="9.140625" style="16"/>
    <col min="13066" max="13066" width="30.5703125" style="16" customWidth="1"/>
    <col min="13067" max="13067" width="11" style="16" customWidth="1"/>
    <col min="13068" max="13068" width="10.5703125" style="16" customWidth="1"/>
    <col min="13069" max="13069" width="10.85546875" style="16" customWidth="1"/>
    <col min="13070" max="13070" width="9" style="16" bestFit="1" customWidth="1"/>
    <col min="13071" max="13071" width="8.140625" style="16" bestFit="1" customWidth="1"/>
    <col min="13072" max="13311" width="9.140625" style="16"/>
    <col min="13312" max="13312" width="2.28515625" style="16" customWidth="1"/>
    <col min="13313" max="13313" width="10.42578125" style="16" customWidth="1"/>
    <col min="13314" max="13314" width="28.42578125" style="16" customWidth="1"/>
    <col min="13315" max="13315" width="12" style="16" customWidth="1"/>
    <col min="13316" max="13316" width="12.7109375" style="16" customWidth="1"/>
    <col min="13317" max="13317" width="11.5703125" style="16" customWidth="1"/>
    <col min="13318" max="13318" width="11.140625" style="16" customWidth="1"/>
    <col min="13319" max="13319" width="9.7109375" style="16" bestFit="1" customWidth="1"/>
    <col min="13320" max="13320" width="1" style="16" customWidth="1"/>
    <col min="13321" max="13321" width="9.140625" style="16"/>
    <col min="13322" max="13322" width="30.5703125" style="16" customWidth="1"/>
    <col min="13323" max="13323" width="11" style="16" customWidth="1"/>
    <col min="13324" max="13324" width="10.5703125" style="16" customWidth="1"/>
    <col min="13325" max="13325" width="10.85546875" style="16" customWidth="1"/>
    <col min="13326" max="13326" width="9" style="16" bestFit="1" customWidth="1"/>
    <col min="13327" max="13327" width="8.140625" style="16" bestFit="1" customWidth="1"/>
    <col min="13328" max="13567" width="9.140625" style="16"/>
    <col min="13568" max="13568" width="2.28515625" style="16" customWidth="1"/>
    <col min="13569" max="13569" width="10.42578125" style="16" customWidth="1"/>
    <col min="13570" max="13570" width="28.42578125" style="16" customWidth="1"/>
    <col min="13571" max="13571" width="12" style="16" customWidth="1"/>
    <col min="13572" max="13572" width="12.7109375" style="16" customWidth="1"/>
    <col min="13573" max="13573" width="11.5703125" style="16" customWidth="1"/>
    <col min="13574" max="13574" width="11.140625" style="16" customWidth="1"/>
    <col min="13575" max="13575" width="9.7109375" style="16" bestFit="1" customWidth="1"/>
    <col min="13576" max="13576" width="1" style="16" customWidth="1"/>
    <col min="13577" max="13577" width="9.140625" style="16"/>
    <col min="13578" max="13578" width="30.5703125" style="16" customWidth="1"/>
    <col min="13579" max="13579" width="11" style="16" customWidth="1"/>
    <col min="13580" max="13580" width="10.5703125" style="16" customWidth="1"/>
    <col min="13581" max="13581" width="10.85546875" style="16" customWidth="1"/>
    <col min="13582" max="13582" width="9" style="16" bestFit="1" customWidth="1"/>
    <col min="13583" max="13583" width="8.140625" style="16" bestFit="1" customWidth="1"/>
    <col min="13584" max="13823" width="9.140625" style="16"/>
    <col min="13824" max="13824" width="2.28515625" style="16" customWidth="1"/>
    <col min="13825" max="13825" width="10.42578125" style="16" customWidth="1"/>
    <col min="13826" max="13826" width="28.42578125" style="16" customWidth="1"/>
    <col min="13827" max="13827" width="12" style="16" customWidth="1"/>
    <col min="13828" max="13828" width="12.7109375" style="16" customWidth="1"/>
    <col min="13829" max="13829" width="11.5703125" style="16" customWidth="1"/>
    <col min="13830" max="13830" width="11.140625" style="16" customWidth="1"/>
    <col min="13831" max="13831" width="9.7109375" style="16" bestFit="1" customWidth="1"/>
    <col min="13832" max="13832" width="1" style="16" customWidth="1"/>
    <col min="13833" max="13833" width="9.140625" style="16"/>
    <col min="13834" max="13834" width="30.5703125" style="16" customWidth="1"/>
    <col min="13835" max="13835" width="11" style="16" customWidth="1"/>
    <col min="13836" max="13836" width="10.5703125" style="16" customWidth="1"/>
    <col min="13837" max="13837" width="10.85546875" style="16" customWidth="1"/>
    <col min="13838" max="13838" width="9" style="16" bestFit="1" customWidth="1"/>
    <col min="13839" max="13839" width="8.140625" style="16" bestFit="1" customWidth="1"/>
    <col min="13840" max="14079" width="9.140625" style="16"/>
    <col min="14080" max="14080" width="2.28515625" style="16" customWidth="1"/>
    <col min="14081" max="14081" width="10.42578125" style="16" customWidth="1"/>
    <col min="14082" max="14082" width="28.42578125" style="16" customWidth="1"/>
    <col min="14083" max="14083" width="12" style="16" customWidth="1"/>
    <col min="14084" max="14084" width="12.7109375" style="16" customWidth="1"/>
    <col min="14085" max="14085" width="11.5703125" style="16" customWidth="1"/>
    <col min="14086" max="14086" width="11.140625" style="16" customWidth="1"/>
    <col min="14087" max="14087" width="9.7109375" style="16" bestFit="1" customWidth="1"/>
    <col min="14088" max="14088" width="1" style="16" customWidth="1"/>
    <col min="14089" max="14089" width="9.140625" style="16"/>
    <col min="14090" max="14090" width="30.5703125" style="16" customWidth="1"/>
    <col min="14091" max="14091" width="11" style="16" customWidth="1"/>
    <col min="14092" max="14092" width="10.5703125" style="16" customWidth="1"/>
    <col min="14093" max="14093" width="10.85546875" style="16" customWidth="1"/>
    <col min="14094" max="14094" width="9" style="16" bestFit="1" customWidth="1"/>
    <col min="14095" max="14095" width="8.140625" style="16" bestFit="1" customWidth="1"/>
    <col min="14096" max="14335" width="9.140625" style="16"/>
    <col min="14336" max="14336" width="2.28515625" style="16" customWidth="1"/>
    <col min="14337" max="14337" width="10.42578125" style="16" customWidth="1"/>
    <col min="14338" max="14338" width="28.42578125" style="16" customWidth="1"/>
    <col min="14339" max="14339" width="12" style="16" customWidth="1"/>
    <col min="14340" max="14340" width="12.7109375" style="16" customWidth="1"/>
    <col min="14341" max="14341" width="11.5703125" style="16" customWidth="1"/>
    <col min="14342" max="14342" width="11.140625" style="16" customWidth="1"/>
    <col min="14343" max="14343" width="9.7109375" style="16" bestFit="1" customWidth="1"/>
    <col min="14344" max="14344" width="1" style="16" customWidth="1"/>
    <col min="14345" max="14345" width="9.140625" style="16"/>
    <col min="14346" max="14346" width="30.5703125" style="16" customWidth="1"/>
    <col min="14347" max="14347" width="11" style="16" customWidth="1"/>
    <col min="14348" max="14348" width="10.5703125" style="16" customWidth="1"/>
    <col min="14349" max="14349" width="10.85546875" style="16" customWidth="1"/>
    <col min="14350" max="14350" width="9" style="16" bestFit="1" customWidth="1"/>
    <col min="14351" max="14351" width="8.140625" style="16" bestFit="1" customWidth="1"/>
    <col min="14352" max="14591" width="9.140625" style="16"/>
    <col min="14592" max="14592" width="2.28515625" style="16" customWidth="1"/>
    <col min="14593" max="14593" width="10.42578125" style="16" customWidth="1"/>
    <col min="14594" max="14594" width="28.42578125" style="16" customWidth="1"/>
    <col min="14595" max="14595" width="12" style="16" customWidth="1"/>
    <col min="14596" max="14596" width="12.7109375" style="16" customWidth="1"/>
    <col min="14597" max="14597" width="11.5703125" style="16" customWidth="1"/>
    <col min="14598" max="14598" width="11.140625" style="16" customWidth="1"/>
    <col min="14599" max="14599" width="9.7109375" style="16" bestFit="1" customWidth="1"/>
    <col min="14600" max="14600" width="1" style="16" customWidth="1"/>
    <col min="14601" max="14601" width="9.140625" style="16"/>
    <col min="14602" max="14602" width="30.5703125" style="16" customWidth="1"/>
    <col min="14603" max="14603" width="11" style="16" customWidth="1"/>
    <col min="14604" max="14604" width="10.5703125" style="16" customWidth="1"/>
    <col min="14605" max="14605" width="10.85546875" style="16" customWidth="1"/>
    <col min="14606" max="14606" width="9" style="16" bestFit="1" customWidth="1"/>
    <col min="14607" max="14607" width="8.140625" style="16" bestFit="1" customWidth="1"/>
    <col min="14608" max="14847" width="9.140625" style="16"/>
    <col min="14848" max="14848" width="2.28515625" style="16" customWidth="1"/>
    <col min="14849" max="14849" width="10.42578125" style="16" customWidth="1"/>
    <col min="14850" max="14850" width="28.42578125" style="16" customWidth="1"/>
    <col min="14851" max="14851" width="12" style="16" customWidth="1"/>
    <col min="14852" max="14852" width="12.7109375" style="16" customWidth="1"/>
    <col min="14853" max="14853" width="11.5703125" style="16" customWidth="1"/>
    <col min="14854" max="14854" width="11.140625" style="16" customWidth="1"/>
    <col min="14855" max="14855" width="9.7109375" style="16" bestFit="1" customWidth="1"/>
    <col min="14856" max="14856" width="1" style="16" customWidth="1"/>
    <col min="14857" max="14857" width="9.140625" style="16"/>
    <col min="14858" max="14858" width="30.5703125" style="16" customWidth="1"/>
    <col min="14859" max="14859" width="11" style="16" customWidth="1"/>
    <col min="14860" max="14860" width="10.5703125" style="16" customWidth="1"/>
    <col min="14861" max="14861" width="10.85546875" style="16" customWidth="1"/>
    <col min="14862" max="14862" width="9" style="16" bestFit="1" customWidth="1"/>
    <col min="14863" max="14863" width="8.140625" style="16" bestFit="1" customWidth="1"/>
    <col min="14864" max="15103" width="9.140625" style="16"/>
    <col min="15104" max="15104" width="2.28515625" style="16" customWidth="1"/>
    <col min="15105" max="15105" width="10.42578125" style="16" customWidth="1"/>
    <col min="15106" max="15106" width="28.42578125" style="16" customWidth="1"/>
    <col min="15107" max="15107" width="12" style="16" customWidth="1"/>
    <col min="15108" max="15108" width="12.7109375" style="16" customWidth="1"/>
    <col min="15109" max="15109" width="11.5703125" style="16" customWidth="1"/>
    <col min="15110" max="15110" width="11.140625" style="16" customWidth="1"/>
    <col min="15111" max="15111" width="9.7109375" style="16" bestFit="1" customWidth="1"/>
    <col min="15112" max="15112" width="1" style="16" customWidth="1"/>
    <col min="15113" max="15113" width="9.140625" style="16"/>
    <col min="15114" max="15114" width="30.5703125" style="16" customWidth="1"/>
    <col min="15115" max="15115" width="11" style="16" customWidth="1"/>
    <col min="15116" max="15116" width="10.5703125" style="16" customWidth="1"/>
    <col min="15117" max="15117" width="10.85546875" style="16" customWidth="1"/>
    <col min="15118" max="15118" width="9" style="16" bestFit="1" customWidth="1"/>
    <col min="15119" max="15119" width="8.140625" style="16" bestFit="1" customWidth="1"/>
    <col min="15120" max="15359" width="9.140625" style="16"/>
    <col min="15360" max="15360" width="2.28515625" style="16" customWidth="1"/>
    <col min="15361" max="15361" width="10.42578125" style="16" customWidth="1"/>
    <col min="15362" max="15362" width="28.42578125" style="16" customWidth="1"/>
    <col min="15363" max="15363" width="12" style="16" customWidth="1"/>
    <col min="15364" max="15364" width="12.7109375" style="16" customWidth="1"/>
    <col min="15365" max="15365" width="11.5703125" style="16" customWidth="1"/>
    <col min="15366" max="15366" width="11.140625" style="16" customWidth="1"/>
    <col min="15367" max="15367" width="9.7109375" style="16" bestFit="1" customWidth="1"/>
    <col min="15368" max="15368" width="1" style="16" customWidth="1"/>
    <col min="15369" max="15369" width="9.140625" style="16"/>
    <col min="15370" max="15370" width="30.5703125" style="16" customWidth="1"/>
    <col min="15371" max="15371" width="11" style="16" customWidth="1"/>
    <col min="15372" max="15372" width="10.5703125" style="16" customWidth="1"/>
    <col min="15373" max="15373" width="10.85546875" style="16" customWidth="1"/>
    <col min="15374" max="15374" width="9" style="16" bestFit="1" customWidth="1"/>
    <col min="15375" max="15375" width="8.140625" style="16" bestFit="1" customWidth="1"/>
    <col min="15376" max="15615" width="9.140625" style="16"/>
    <col min="15616" max="15616" width="2.28515625" style="16" customWidth="1"/>
    <col min="15617" max="15617" width="10.42578125" style="16" customWidth="1"/>
    <col min="15618" max="15618" width="28.42578125" style="16" customWidth="1"/>
    <col min="15619" max="15619" width="12" style="16" customWidth="1"/>
    <col min="15620" max="15620" width="12.7109375" style="16" customWidth="1"/>
    <col min="15621" max="15621" width="11.5703125" style="16" customWidth="1"/>
    <col min="15622" max="15622" width="11.140625" style="16" customWidth="1"/>
    <col min="15623" max="15623" width="9.7109375" style="16" bestFit="1" customWidth="1"/>
    <col min="15624" max="15624" width="1" style="16" customWidth="1"/>
    <col min="15625" max="15625" width="9.140625" style="16"/>
    <col min="15626" max="15626" width="30.5703125" style="16" customWidth="1"/>
    <col min="15627" max="15627" width="11" style="16" customWidth="1"/>
    <col min="15628" max="15628" width="10.5703125" style="16" customWidth="1"/>
    <col min="15629" max="15629" width="10.85546875" style="16" customWidth="1"/>
    <col min="15630" max="15630" width="9" style="16" bestFit="1" customWidth="1"/>
    <col min="15631" max="15631" width="8.140625" style="16" bestFit="1" customWidth="1"/>
    <col min="15632" max="15871" width="9.140625" style="16"/>
    <col min="15872" max="15872" width="2.28515625" style="16" customWidth="1"/>
    <col min="15873" max="15873" width="10.42578125" style="16" customWidth="1"/>
    <col min="15874" max="15874" width="28.42578125" style="16" customWidth="1"/>
    <col min="15875" max="15875" width="12" style="16" customWidth="1"/>
    <col min="15876" max="15876" width="12.7109375" style="16" customWidth="1"/>
    <col min="15877" max="15877" width="11.5703125" style="16" customWidth="1"/>
    <col min="15878" max="15878" width="11.140625" style="16" customWidth="1"/>
    <col min="15879" max="15879" width="9.7109375" style="16" bestFit="1" customWidth="1"/>
    <col min="15880" max="15880" width="1" style="16" customWidth="1"/>
    <col min="15881" max="15881" width="9.140625" style="16"/>
    <col min="15882" max="15882" width="30.5703125" style="16" customWidth="1"/>
    <col min="15883" max="15883" width="11" style="16" customWidth="1"/>
    <col min="15884" max="15884" width="10.5703125" style="16" customWidth="1"/>
    <col min="15885" max="15885" width="10.85546875" style="16" customWidth="1"/>
    <col min="15886" max="15886" width="9" style="16" bestFit="1" customWidth="1"/>
    <col min="15887" max="15887" width="8.140625" style="16" bestFit="1" customWidth="1"/>
    <col min="15888" max="16127" width="9.140625" style="16"/>
    <col min="16128" max="16128" width="2.28515625" style="16" customWidth="1"/>
    <col min="16129" max="16129" width="10.42578125" style="16" customWidth="1"/>
    <col min="16130" max="16130" width="28.42578125" style="16" customWidth="1"/>
    <col min="16131" max="16131" width="12" style="16" customWidth="1"/>
    <col min="16132" max="16132" width="12.7109375" style="16" customWidth="1"/>
    <col min="16133" max="16133" width="11.5703125" style="16" customWidth="1"/>
    <col min="16134" max="16134" width="11.140625" style="16" customWidth="1"/>
    <col min="16135" max="16135" width="9.7109375" style="16" bestFit="1" customWidth="1"/>
    <col min="16136" max="16136" width="1" style="16" customWidth="1"/>
    <col min="16137" max="16137" width="9.140625" style="16"/>
    <col min="16138" max="16138" width="30.5703125" style="16" customWidth="1"/>
    <col min="16139" max="16139" width="11" style="16" customWidth="1"/>
    <col min="16140" max="16140" width="10.5703125" style="16" customWidth="1"/>
    <col min="16141" max="16141" width="10.85546875" style="16" customWidth="1"/>
    <col min="16142" max="16142" width="9" style="16" bestFit="1" customWidth="1"/>
    <col min="16143" max="16143" width="8.140625" style="16" bestFit="1" customWidth="1"/>
    <col min="16144" max="16384" width="9.140625" style="16"/>
  </cols>
  <sheetData>
    <row r="1" spans="1:26" ht="6.75" customHeight="1" thickBot="1">
      <c r="A1" s="15"/>
      <c r="B1" s="15"/>
      <c r="C1" s="15"/>
      <c r="D1" s="15"/>
      <c r="E1" s="15"/>
      <c r="F1" s="15"/>
      <c r="G1" s="15"/>
      <c r="H1" s="15"/>
      <c r="I1" s="15"/>
      <c r="J1" s="15"/>
      <c r="K1" s="15"/>
      <c r="L1" s="15"/>
      <c r="M1" s="15"/>
      <c r="N1" s="15"/>
      <c r="O1" s="15"/>
      <c r="P1" s="15"/>
      <c r="Q1" s="15"/>
      <c r="S1" s="15"/>
      <c r="T1" s="15"/>
      <c r="U1" s="15"/>
      <c r="V1" s="15"/>
      <c r="W1" s="15"/>
    </row>
    <row r="2" spans="1:26" ht="13.5" thickBot="1">
      <c r="A2" s="17"/>
      <c r="B2" s="174" t="s">
        <v>45</v>
      </c>
      <c r="C2" s="2940" t="s">
        <v>46</v>
      </c>
      <c r="D2" s="2940"/>
      <c r="E2" s="2940"/>
      <c r="F2" s="2940"/>
      <c r="G2" s="2940"/>
      <c r="H2" s="2940"/>
      <c r="I2" s="2940"/>
      <c r="J2" s="2940"/>
      <c r="K2" s="2940"/>
      <c r="L2" s="2941"/>
      <c r="M2" s="18"/>
      <c r="N2" s="2942" t="s">
        <v>47</v>
      </c>
      <c r="O2" s="2940"/>
      <c r="P2" s="2940"/>
      <c r="Q2" s="2940"/>
      <c r="R2" s="2940"/>
      <c r="S2" s="2940"/>
      <c r="T2" s="2940"/>
      <c r="U2" s="2940"/>
      <c r="V2" s="2940"/>
      <c r="W2" s="2941"/>
    </row>
    <row r="3" spans="1:26">
      <c r="A3" s="15"/>
      <c r="B3" s="175"/>
      <c r="C3" s="170"/>
      <c r="D3" s="170"/>
      <c r="E3" s="176" t="s">
        <v>557</v>
      </c>
      <c r="F3" s="176">
        <f>RCV!F3</f>
        <v>2023</v>
      </c>
      <c r="G3" s="176">
        <f t="shared" ref="G3:L3" si="0">F3+1</f>
        <v>2024</v>
      </c>
      <c r="H3" s="176">
        <f t="shared" si="0"/>
        <v>2025</v>
      </c>
      <c r="I3" s="176">
        <f t="shared" si="0"/>
        <v>2026</v>
      </c>
      <c r="J3" s="176">
        <f t="shared" si="0"/>
        <v>2027</v>
      </c>
      <c r="K3" s="176">
        <f t="shared" si="0"/>
        <v>2028</v>
      </c>
      <c r="L3" s="177">
        <f t="shared" si="0"/>
        <v>2029</v>
      </c>
      <c r="M3" s="18"/>
      <c r="N3" s="178"/>
      <c r="O3" s="179"/>
      <c r="P3" s="176" t="str">
        <f>E3</f>
        <v>Opening</v>
      </c>
      <c r="Q3" s="176">
        <f t="shared" ref="Q3:W3" si="1">F3</f>
        <v>2023</v>
      </c>
      <c r="R3" s="176">
        <f t="shared" si="1"/>
        <v>2024</v>
      </c>
      <c r="S3" s="176">
        <f t="shared" si="1"/>
        <v>2025</v>
      </c>
      <c r="T3" s="176">
        <f t="shared" si="1"/>
        <v>2026</v>
      </c>
      <c r="U3" s="176">
        <f t="shared" si="1"/>
        <v>2027</v>
      </c>
      <c r="V3" s="176">
        <f t="shared" si="1"/>
        <v>2028</v>
      </c>
      <c r="W3" s="177">
        <f t="shared" si="1"/>
        <v>2029</v>
      </c>
      <c r="Z3" s="20"/>
    </row>
    <row r="4" spans="1:26">
      <c r="A4" s="21"/>
      <c r="B4" s="180"/>
      <c r="C4" s="2917"/>
      <c r="D4" s="2917"/>
      <c r="E4" s="2917"/>
      <c r="F4" s="2917"/>
      <c r="G4" s="2918"/>
      <c r="H4" s="2918"/>
      <c r="I4" s="2918"/>
      <c r="J4" s="2918"/>
      <c r="K4" s="2919"/>
      <c r="L4" s="182"/>
      <c r="M4" s="18"/>
      <c r="N4" s="183"/>
      <c r="O4" s="181"/>
      <c r="P4" s="181"/>
      <c r="Q4" s="181"/>
      <c r="R4" s="181"/>
      <c r="S4" s="181"/>
      <c r="T4" s="181"/>
      <c r="U4" s="181"/>
      <c r="V4" s="181"/>
      <c r="W4" s="184"/>
      <c r="Z4" s="20"/>
    </row>
    <row r="5" spans="1:26">
      <c r="A5" s="24"/>
      <c r="B5" s="189" t="s">
        <v>457</v>
      </c>
      <c r="C5" s="2920"/>
      <c r="D5" s="2920"/>
      <c r="E5" s="41">
        <f>1603.56/O34</f>
        <v>819.88720901100805</v>
      </c>
      <c r="F5" s="41">
        <f>'RCE PP&amp;E'!C7</f>
        <v>819.88720901100817</v>
      </c>
      <c r="G5" s="41">
        <f>'RCE PP&amp;E'!D7</f>
        <v>819.88720901100817</v>
      </c>
      <c r="H5" s="41">
        <f>'RCE PP&amp;E'!E7</f>
        <v>819.88720901100817</v>
      </c>
      <c r="I5" s="41">
        <f>'RCE PP&amp;E'!F7</f>
        <v>819.88720901100817</v>
      </c>
      <c r="J5" s="41">
        <f>'RCE PP&amp;E'!G7</f>
        <v>819.88720901100817</v>
      </c>
      <c r="K5" s="41">
        <f>'RCE PP&amp;E'!H7</f>
        <v>819.88720901100817</v>
      </c>
      <c r="L5" s="42">
        <f>'RCE PP&amp;E'!I7</f>
        <v>819.88720901100817</v>
      </c>
      <c r="M5" s="18"/>
      <c r="N5" s="23" t="s">
        <v>90</v>
      </c>
      <c r="O5" s="22"/>
      <c r="P5" s="449">
        <f>5000/O34</f>
        <v>2556.4594059810925</v>
      </c>
      <c r="Q5" s="66">
        <f>P5</f>
        <v>2556.4594059810925</v>
      </c>
      <c r="R5" s="66">
        <f t="shared" ref="R5:W5" si="2">Q5+0</f>
        <v>2556.4594059810925</v>
      </c>
      <c r="S5" s="66">
        <f t="shared" si="2"/>
        <v>2556.4594059810925</v>
      </c>
      <c r="T5" s="66">
        <f t="shared" si="2"/>
        <v>2556.4594059810925</v>
      </c>
      <c r="U5" s="66">
        <f t="shared" si="2"/>
        <v>2556.4594059810925</v>
      </c>
      <c r="V5" s="66">
        <f t="shared" si="2"/>
        <v>2556.4594059810925</v>
      </c>
      <c r="W5" s="167">
        <f t="shared" si="2"/>
        <v>2556.4594059810925</v>
      </c>
      <c r="Z5" s="20"/>
    </row>
    <row r="6" spans="1:26">
      <c r="A6" s="24"/>
      <c r="B6" s="23" t="s">
        <v>96</v>
      </c>
      <c r="C6" s="2921"/>
      <c r="D6" s="2921"/>
      <c r="E6" s="55">
        <f>(27758.47-4521.12)/O34</f>
        <v>11881.068395514949</v>
      </c>
      <c r="F6" s="55">
        <f>'RCE PP&amp;E'!C8+'RCE PP&amp;E'!C9</f>
        <v>11744.002099028274</v>
      </c>
      <c r="G6" s="55">
        <f>'RCE PP&amp;E'!D8+'RCE PP&amp;E'!D9</f>
        <v>1690665.8266389936</v>
      </c>
      <c r="H6" s="55">
        <f>'RCE PP&amp;E'!E8+'RCE PP&amp;E'!E9</f>
        <v>1659332.6511789586</v>
      </c>
      <c r="I6" s="55">
        <f>'RCE PP&amp;E'!F8+'RCE PP&amp;E'!F9</f>
        <v>1630228.0095373099</v>
      </c>
      <c r="J6" s="55">
        <f>'RCE PP&amp;E'!G8+'RCE PP&amp;E'!G9</f>
        <v>1598805.6927245394</v>
      </c>
      <c r="K6" s="55">
        <f>'RCE PP&amp;E'!H8+'RCE PP&amp;E'!H9</f>
        <v>1567383.375911769</v>
      </c>
      <c r="L6" s="56">
        <f>'RCE PP&amp;E'!I8+'RCE PP&amp;E'!I9</f>
        <v>1538267.3648942332</v>
      </c>
      <c r="M6" s="18"/>
      <c r="N6" s="186" t="s">
        <v>91</v>
      </c>
      <c r="O6" s="22"/>
      <c r="P6" s="449">
        <f>(982215.55+87395.42)/O34</f>
        <v>546883.40499941201</v>
      </c>
      <c r="Q6" s="457">
        <f ca="1">P6+F101+F102-P45</f>
        <v>311983.70512774622</v>
      </c>
      <c r="R6" s="457">
        <f t="shared" ref="R6:W6" ca="1" si="3">Q6+G101+G102</f>
        <v>1021983.7051277462</v>
      </c>
      <c r="S6" s="457">
        <f t="shared" ca="1" si="3"/>
        <v>949952.37047278276</v>
      </c>
      <c r="T6" s="457">
        <f t="shared" ca="1" si="3"/>
        <v>947550.86863929254</v>
      </c>
      <c r="U6" s="457">
        <f t="shared" ca="1" si="3"/>
        <v>898727.62521351501</v>
      </c>
      <c r="V6" s="457">
        <f t="shared" ca="1" si="3"/>
        <v>856074.84126761148</v>
      </c>
      <c r="W6" s="458">
        <f t="shared" ca="1" si="3"/>
        <v>830979.74829627236</v>
      </c>
      <c r="Z6" s="20"/>
    </row>
    <row r="7" spans="1:26">
      <c r="A7" s="24"/>
      <c r="B7" s="23" t="s">
        <v>582</v>
      </c>
      <c r="C7" s="2921"/>
      <c r="D7" s="2921"/>
      <c r="E7" s="169"/>
      <c r="F7" s="169">
        <f>'RCE PP&amp;E'!F58-'RCE PP&amp;E'!F78</f>
        <v>0</v>
      </c>
      <c r="G7" s="169">
        <f>'RCE PP&amp;E'!G58-'RCE PP&amp;E'!G78+F7</f>
        <v>91200</v>
      </c>
      <c r="H7" s="169">
        <f>'RCE PP&amp;E'!H58-'RCE PP&amp;E'!H78+G7</f>
        <v>83600</v>
      </c>
      <c r="I7" s="169">
        <f>'RCE PP&amp;E'!I58-'RCE PP&amp;E'!I78+H7</f>
        <v>76000</v>
      </c>
      <c r="J7" s="169">
        <f ca="1">'RCE PP&amp;E'!J58-'RCE PP&amp;E'!J78+I7</f>
        <v>67061.438259148505</v>
      </c>
      <c r="K7" s="169">
        <f ca="1">'RCE PP&amp;E'!K58-'RCE PP&amp;E'!K78+J7</f>
        <v>56784.314777445506</v>
      </c>
      <c r="L7" s="492">
        <f ca="1">'RCE PP&amp;E'!L58-'RCE PP&amp;E'!L78+K7</f>
        <v>46507.191295742508</v>
      </c>
      <c r="M7" s="18"/>
      <c r="N7" s="186" t="s">
        <v>92</v>
      </c>
      <c r="O7" s="22"/>
      <c r="P7" s="449">
        <f>(315066.3-297173.4)/O34</f>
        <v>9148.4945010558004</v>
      </c>
      <c r="Q7" s="457">
        <f t="shared" ref="Q7:V7" si="4">P7+P8</f>
        <v>9148.4945010558004</v>
      </c>
      <c r="R7" s="457">
        <f t="shared" ca="1" si="4"/>
        <v>9148.4945010557876</v>
      </c>
      <c r="S7" s="457">
        <f t="shared" ca="1" si="4"/>
        <v>9148.4945010557603</v>
      </c>
      <c r="T7" s="457">
        <f t="shared" ca="1" si="4"/>
        <v>9148.4945010557913</v>
      </c>
      <c r="U7" s="457">
        <f t="shared" ca="1" si="4"/>
        <v>9148.494501055764</v>
      </c>
      <c r="V7" s="457">
        <f t="shared" ca="1" si="4"/>
        <v>9148.4945010557949</v>
      </c>
      <c r="W7" s="458">
        <f ca="1">V7+V8-K57</f>
        <v>9148.4945010557676</v>
      </c>
      <c r="Z7" s="20"/>
    </row>
    <row r="8" spans="1:26">
      <c r="A8" s="25"/>
      <c r="B8" s="69" t="s">
        <v>563</v>
      </c>
      <c r="C8" s="2921"/>
      <c r="D8" s="2921"/>
      <c r="E8" s="571">
        <f>SUM(E5:E7)</f>
        <v>12700.955604525956</v>
      </c>
      <c r="F8" s="571">
        <f>SUM(F5:F7)</f>
        <v>12563.889308039283</v>
      </c>
      <c r="G8" s="571">
        <f t="shared" ref="G8:L8" si="5">SUM(G5:G7)</f>
        <v>1782685.7138480046</v>
      </c>
      <c r="H8" s="571">
        <f t="shared" si="5"/>
        <v>1743752.5383879696</v>
      </c>
      <c r="I8" s="571">
        <f t="shared" si="5"/>
        <v>1707047.8967463209</v>
      </c>
      <c r="J8" s="571">
        <f t="shared" ca="1" si="5"/>
        <v>1666687.0181926989</v>
      </c>
      <c r="K8" s="571">
        <f t="shared" ca="1" si="5"/>
        <v>1624987.5778982255</v>
      </c>
      <c r="L8" s="572">
        <f t="shared" ca="1" si="5"/>
        <v>1585594.4433989867</v>
      </c>
      <c r="M8" s="18"/>
      <c r="N8" s="23" t="s">
        <v>392</v>
      </c>
      <c r="O8" s="22"/>
      <c r="P8" s="171">
        <v>0</v>
      </c>
      <c r="Q8" s="171">
        <f t="shared" ref="Q8:W8" ca="1" si="6">F61</f>
        <v>-1.2221335055073723E-11</v>
      </c>
      <c r="R8" s="171">
        <f t="shared" ca="1" si="6"/>
        <v>-2.6773250283440575E-11</v>
      </c>
      <c r="S8" s="171">
        <f t="shared" ca="1" si="6"/>
        <v>3.1434410630026832E-11</v>
      </c>
      <c r="T8" s="171">
        <f t="shared" ca="1" si="6"/>
        <v>-2.6773250283440575E-11</v>
      </c>
      <c r="U8" s="171">
        <f t="shared" ca="1" si="6"/>
        <v>3.1434410630026832E-11</v>
      </c>
      <c r="V8" s="171">
        <f t="shared" ca="1" si="6"/>
        <v>-2.6773250283440575E-11</v>
      </c>
      <c r="W8" s="172">
        <f t="shared" ca="1" si="6"/>
        <v>3.1434410630026832E-11</v>
      </c>
    </row>
    <row r="9" spans="1:26">
      <c r="A9" s="27"/>
      <c r="B9" s="23"/>
      <c r="C9" s="2921"/>
      <c r="D9" s="2921"/>
      <c r="E9" s="2921"/>
      <c r="F9" s="55"/>
      <c r="G9" s="55"/>
      <c r="H9" s="55"/>
      <c r="I9" s="55"/>
      <c r="J9" s="55"/>
      <c r="K9" s="55"/>
      <c r="L9" s="56"/>
      <c r="M9" s="18"/>
      <c r="N9" s="187" t="s">
        <v>48</v>
      </c>
      <c r="P9" s="424">
        <f t="shared" ref="P9:W9" si="7">SUM(P5:P8)</f>
        <v>558588.35890644894</v>
      </c>
      <c r="Q9" s="424">
        <f t="shared" ca="1" si="7"/>
        <v>323688.65903478314</v>
      </c>
      <c r="R9" s="424">
        <f t="shared" ca="1" si="7"/>
        <v>1033688.6590347831</v>
      </c>
      <c r="S9" s="424">
        <f t="shared" ca="1" si="7"/>
        <v>961657.32437981968</v>
      </c>
      <c r="T9" s="424">
        <f t="shared" ca="1" si="7"/>
        <v>959255.82254632947</v>
      </c>
      <c r="U9" s="424">
        <f t="shared" ca="1" si="7"/>
        <v>910432.57912055193</v>
      </c>
      <c r="V9" s="424">
        <f t="shared" ca="1" si="7"/>
        <v>867779.7951746484</v>
      </c>
      <c r="W9" s="422">
        <f t="shared" ca="1" si="7"/>
        <v>842684.70220330928</v>
      </c>
    </row>
    <row r="10" spans="1:26">
      <c r="A10" s="28"/>
      <c r="B10" s="23" t="s">
        <v>458</v>
      </c>
      <c r="C10" s="2921"/>
      <c r="D10" s="2921"/>
      <c r="E10" s="55">
        <f>(687245.16-215565.6)/O34</f>
        <v>241165.92955420463</v>
      </c>
      <c r="F10" s="55">
        <f ca="1">'RCE PP&amp;E'!C14</f>
        <v>224475.44364177869</v>
      </c>
      <c r="G10" s="55">
        <f ca="1">'RCE PP&amp;E'!D14</f>
        <v>428266.57092533604</v>
      </c>
      <c r="H10" s="55">
        <f ca="1">'RCE PP&amp;E'!E14</f>
        <v>390106.31678452715</v>
      </c>
      <c r="I10" s="55">
        <f ca="1">'RCE PP&amp;E'!F14</f>
        <v>409901.92155826197</v>
      </c>
      <c r="J10" s="55">
        <f ca="1">'RCE PP&amp;E'!G14</f>
        <v>356438.04654928815</v>
      </c>
      <c r="K10" s="55">
        <f ca="1">'RCE PP&amp;E'!H14</f>
        <v>364118.42707604938</v>
      </c>
      <c r="L10" s="56">
        <f ca="1">'RCE PP&amp;E'!I14</f>
        <v>357984.23040840565</v>
      </c>
      <c r="M10" s="18"/>
      <c r="N10" s="23"/>
      <c r="Q10" s="54"/>
      <c r="R10" s="54"/>
      <c r="S10" s="54"/>
      <c r="T10" s="54"/>
      <c r="U10" s="54"/>
      <c r="V10" s="54"/>
      <c r="W10" s="58"/>
    </row>
    <row r="11" spans="1:26">
      <c r="A11" s="28"/>
      <c r="B11" s="23" t="s">
        <v>663</v>
      </c>
      <c r="C11" s="2921"/>
      <c r="D11" s="2921"/>
      <c r="E11" s="55"/>
      <c r="F11" s="55">
        <f>'RCE PP&amp;E'!C16</f>
        <v>0</v>
      </c>
      <c r="G11" s="55">
        <f>'RCE PP&amp;E'!D16</f>
        <v>72450</v>
      </c>
      <c r="H11" s="55">
        <f ca="1">'RCE PP&amp;E'!E16</f>
        <v>57960</v>
      </c>
      <c r="I11" s="55">
        <f ca="1">'RCE PP&amp;E'!F16</f>
        <v>43470</v>
      </c>
      <c r="J11" s="55">
        <f ca="1">'RCE PP&amp;E'!G16</f>
        <v>28980</v>
      </c>
      <c r="K11" s="55">
        <f ca="1">'RCE PP&amp;E'!H16</f>
        <v>14490</v>
      </c>
      <c r="L11" s="56">
        <f ca="1">'RCE PP&amp;E'!I16</f>
        <v>0</v>
      </c>
      <c r="M11" s="18"/>
      <c r="N11" s="187" t="s">
        <v>49</v>
      </c>
      <c r="O11" s="22"/>
      <c r="P11" s="22"/>
      <c r="Q11" s="22"/>
      <c r="R11" s="22"/>
      <c r="S11" s="22"/>
      <c r="T11" s="22"/>
      <c r="U11" s="22"/>
      <c r="V11" s="22"/>
      <c r="W11" s="167"/>
    </row>
    <row r="12" spans="1:26">
      <c r="A12" s="28"/>
      <c r="B12" s="23" t="s">
        <v>664</v>
      </c>
      <c r="C12" s="2921"/>
      <c r="D12" s="2921"/>
      <c r="E12" s="55"/>
      <c r="F12" s="55">
        <f>'RCE PP&amp;E'!C17+'RCE PP&amp;E'!C18</f>
        <v>0</v>
      </c>
      <c r="G12" s="55">
        <f>'RCE PP&amp;E'!D17+'RCE PP&amp;E'!D18</f>
        <v>148000</v>
      </c>
      <c r="H12" s="55">
        <f>'RCE PP&amp;E'!E17+'RCE PP&amp;E'!E18</f>
        <v>124000</v>
      </c>
      <c r="I12" s="55">
        <f>'RCE PP&amp;E'!F17+'RCE PP&amp;E'!F18</f>
        <v>100000</v>
      </c>
      <c r="J12" s="55">
        <f>'RCE PP&amp;E'!G17+'RCE PP&amp;E'!G18</f>
        <v>76000</v>
      </c>
      <c r="K12" s="55">
        <f>'RCE PP&amp;E'!H17+'RCE PP&amp;E'!H18</f>
        <v>52000</v>
      </c>
      <c r="L12" s="56">
        <f>'RCE PP&amp;E'!I17+'RCE PP&amp;E'!I18</f>
        <v>28000</v>
      </c>
      <c r="M12" s="18"/>
      <c r="N12" s="69" t="s">
        <v>146</v>
      </c>
      <c r="P12" s="571"/>
      <c r="Q12" s="571">
        <f>'RCE PP&amp;E'!F101</f>
        <v>0</v>
      </c>
      <c r="R12" s="571">
        <f ca="1">'RCE PP&amp;E'!G101</f>
        <v>1527943.5643675609</v>
      </c>
      <c r="S12" s="571">
        <f ca="1">'RCE PP&amp;E'!H101</f>
        <v>1489228.844712151</v>
      </c>
      <c r="T12" s="571">
        <f ca="1">'RCE PP&amp;E'!I101</f>
        <v>1472361.2419179976</v>
      </c>
      <c r="U12" s="571">
        <f ca="1">'RCE PP&amp;E'!J101</f>
        <v>1473037.8136194434</v>
      </c>
      <c r="V12" s="571">
        <f ca="1">'RCE PP&amp;E'!K101</f>
        <v>1425975.3642152022</v>
      </c>
      <c r="W12" s="572">
        <f ca="1">'RCE PP&amp;E'!L101</f>
        <v>1409237.4038647295</v>
      </c>
    </row>
    <row r="13" spans="1:26">
      <c r="A13" s="28"/>
      <c r="B13" s="23" t="s">
        <v>264</v>
      </c>
      <c r="C13" s="2921"/>
      <c r="D13" s="2921"/>
      <c r="E13" s="169">
        <f>92400/O34</f>
        <v>47243.369822530593</v>
      </c>
      <c r="F13" s="169">
        <f>'RCE PP&amp;E'!C15</f>
        <v>82110</v>
      </c>
      <c r="G13" s="169">
        <f ca="1">'RCE PP&amp;E'!D15</f>
        <v>128655.11858399998</v>
      </c>
      <c r="H13" s="169">
        <f ca="1">'RCE PP&amp;E'!E15</f>
        <v>128916.27563244</v>
      </c>
      <c r="I13" s="169">
        <f ca="1">'RCE PP&amp;E'!F15</f>
        <v>172871.66640339355</v>
      </c>
      <c r="J13" s="169">
        <f ca="1">'RCE PP&amp;E'!G15</f>
        <v>251915.4061655454</v>
      </c>
      <c r="K13" s="169">
        <f ca="1">'RCE PP&amp;E'!H15</f>
        <v>235481.10371632263</v>
      </c>
      <c r="L13" s="492">
        <f ca="1">'RCE PP&amp;E'!I15</f>
        <v>279695.77937463747</v>
      </c>
      <c r="M13" s="18"/>
      <c r="N13" s="23"/>
      <c r="W13" s="166"/>
    </row>
    <row r="14" spans="1:26">
      <c r="A14" s="28"/>
      <c r="B14" s="69" t="s">
        <v>564</v>
      </c>
      <c r="C14" s="2921"/>
      <c r="D14" s="2921"/>
      <c r="E14" s="571">
        <f>SUM(E10:E13)</f>
        <v>288409.29937673523</v>
      </c>
      <c r="F14" s="571">
        <f ca="1">SUM(F10:F13)</f>
        <v>306585.44364177866</v>
      </c>
      <c r="G14" s="571">
        <f t="shared" ref="G14:L14" ca="1" si="8">SUM(G10:G13)</f>
        <v>777371.68950933614</v>
      </c>
      <c r="H14" s="571">
        <f t="shared" ca="1" si="8"/>
        <v>700982.59241696715</v>
      </c>
      <c r="I14" s="571">
        <f t="shared" ca="1" si="8"/>
        <v>726243.58796165558</v>
      </c>
      <c r="J14" s="571">
        <f t="shared" ca="1" si="8"/>
        <v>713333.45271483355</v>
      </c>
      <c r="K14" s="571">
        <f t="shared" ca="1" si="8"/>
        <v>666089.53079237207</v>
      </c>
      <c r="L14" s="572">
        <f t="shared" ca="1" si="8"/>
        <v>665680.00978304306</v>
      </c>
      <c r="M14" s="18"/>
      <c r="N14" s="23"/>
      <c r="W14" s="166"/>
    </row>
    <row r="15" spans="1:26">
      <c r="A15" s="28"/>
      <c r="B15" s="23"/>
      <c r="C15" s="2921"/>
      <c r="D15" s="2921"/>
      <c r="E15" s="55"/>
      <c r="F15" s="55"/>
      <c r="G15" s="55"/>
      <c r="H15" s="55"/>
      <c r="I15" s="55"/>
      <c r="J15" s="55"/>
      <c r="K15" s="55"/>
      <c r="L15" s="56"/>
      <c r="M15" s="18"/>
      <c r="N15" s="186" t="s">
        <v>73</v>
      </c>
      <c r="O15" s="188"/>
      <c r="P15" s="449"/>
      <c r="Q15" s="66"/>
      <c r="R15" s="66"/>
      <c r="S15" s="66"/>
      <c r="T15" s="66"/>
      <c r="U15" s="66"/>
      <c r="V15" s="66"/>
      <c r="W15" s="167"/>
    </row>
    <row r="16" spans="1:26">
      <c r="A16" s="28"/>
      <c r="B16" s="23" t="s">
        <v>558</v>
      </c>
      <c r="C16" s="2921"/>
      <c r="D16" s="2921"/>
      <c r="E16" s="57">
        <f>36551.59/O34</f>
        <v>18688.531211812886</v>
      </c>
      <c r="F16" s="55"/>
      <c r="G16" s="55"/>
      <c r="H16" s="55"/>
      <c r="I16" s="55"/>
      <c r="J16" s="55"/>
      <c r="K16" s="55"/>
      <c r="L16" s="56"/>
      <c r="M16" s="18"/>
      <c r="N16" s="186" t="s">
        <v>50</v>
      </c>
      <c r="O16" s="188"/>
      <c r="P16" s="450">
        <v>0</v>
      </c>
      <c r="Q16" s="66">
        <f t="shared" ref="Q16:W16" ca="1" si="9">-(F41+F40)*5%</f>
        <v>4.6804541054601838</v>
      </c>
      <c r="R16" s="66">
        <f t="shared" ca="1" si="9"/>
        <v>1816.150265346424</v>
      </c>
      <c r="S16" s="66">
        <f t="shared" ca="1" si="9"/>
        <v>1852.24289549992</v>
      </c>
      <c r="T16" s="66">
        <f t="shared" ca="1" si="9"/>
        <v>1941.0533349082311</v>
      </c>
      <c r="U16" s="66">
        <f t="shared" ca="1" si="9"/>
        <v>1974.6825468280422</v>
      </c>
      <c r="V16" s="66">
        <f t="shared" ca="1" si="9"/>
        <v>2060.9470711633271</v>
      </c>
      <c r="W16" s="167">
        <f t="shared" ca="1" si="9"/>
        <v>2140.4903316776627</v>
      </c>
    </row>
    <row r="17" spans="1:25">
      <c r="A17" s="28"/>
      <c r="B17" s="23" t="s">
        <v>559</v>
      </c>
      <c r="C17" s="2921"/>
      <c r="D17" s="2921"/>
      <c r="E17" s="57">
        <f>345814.37/O34</f>
        <v>176812.07978198514</v>
      </c>
      <c r="F17" s="55"/>
      <c r="G17" s="55"/>
      <c r="H17" s="55"/>
      <c r="I17" s="55"/>
      <c r="J17" s="55"/>
      <c r="K17" s="55"/>
      <c r="L17" s="56"/>
      <c r="M17" s="18"/>
      <c r="N17" s="186" t="s">
        <v>51</v>
      </c>
      <c r="O17" s="188"/>
      <c r="P17" s="449"/>
      <c r="Q17" s="66">
        <f t="shared" ref="Q17:W17" si="10">F57</f>
        <v>0</v>
      </c>
      <c r="R17" s="66">
        <f t="shared" si="10"/>
        <v>0</v>
      </c>
      <c r="S17" s="66">
        <f t="shared" si="10"/>
        <v>0</v>
      </c>
      <c r="T17" s="66">
        <f t="shared" si="10"/>
        <v>0</v>
      </c>
      <c r="U17" s="66">
        <f t="shared" si="10"/>
        <v>0</v>
      </c>
      <c r="V17" s="66">
        <f t="shared" si="10"/>
        <v>0</v>
      </c>
      <c r="W17" s="167">
        <f t="shared" si="10"/>
        <v>0</v>
      </c>
      <c r="Y17" s="26"/>
    </row>
    <row r="18" spans="1:25">
      <c r="A18" s="28"/>
      <c r="B18" s="23" t="s">
        <v>560</v>
      </c>
      <c r="C18" s="2921"/>
      <c r="D18" s="2921"/>
      <c r="E18" s="57">
        <f>92842/O34</f>
        <v>47469.360834019317</v>
      </c>
      <c r="F18" s="55"/>
      <c r="G18" s="55"/>
      <c r="H18" s="55"/>
      <c r="I18" s="55"/>
      <c r="J18" s="55"/>
      <c r="K18" s="55"/>
      <c r="L18" s="56"/>
      <c r="M18" s="18"/>
      <c r="N18" s="186" t="s">
        <v>52</v>
      </c>
      <c r="O18" s="188"/>
      <c r="P18" s="171">
        <v>0</v>
      </c>
      <c r="Q18" s="190">
        <f t="shared" ref="Q18:W18" ca="1" si="11">-F51</f>
        <v>0</v>
      </c>
      <c r="R18" s="190">
        <f t="shared" ca="1" si="11"/>
        <v>0</v>
      </c>
      <c r="S18" s="190">
        <f t="shared" ca="1" si="11"/>
        <v>0</v>
      </c>
      <c r="T18" s="190">
        <f t="shared" ca="1" si="11"/>
        <v>0</v>
      </c>
      <c r="U18" s="190">
        <f t="shared" ca="1" si="11"/>
        <v>0</v>
      </c>
      <c r="V18" s="190">
        <f t="shared" ca="1" si="11"/>
        <v>0</v>
      </c>
      <c r="W18" s="191">
        <f t="shared" ca="1" si="11"/>
        <v>0</v>
      </c>
    </row>
    <row r="19" spans="1:25">
      <c r="A19" s="28"/>
      <c r="B19" s="23" t="s">
        <v>561</v>
      </c>
      <c r="C19" s="2921"/>
      <c r="D19" s="2921"/>
      <c r="E19" s="57">
        <f>22207.52/O34</f>
        <v>11354.524677502646</v>
      </c>
      <c r="F19" s="55"/>
      <c r="G19" s="55"/>
      <c r="H19" s="55"/>
      <c r="I19" s="55"/>
      <c r="J19" s="55"/>
      <c r="K19" s="55"/>
      <c r="L19" s="56"/>
      <c r="M19" s="18"/>
      <c r="N19" s="187" t="s">
        <v>54</v>
      </c>
      <c r="O19" s="22"/>
      <c r="P19" s="588">
        <f t="shared" ref="P19:W19" si="12">SUM(P15:P18)</f>
        <v>0</v>
      </c>
      <c r="Q19" s="589">
        <f t="shared" ca="1" si="12"/>
        <v>4.6804541054601838</v>
      </c>
      <c r="R19" s="589">
        <f t="shared" ca="1" si="12"/>
        <v>1816.150265346424</v>
      </c>
      <c r="S19" s="589">
        <f t="shared" ca="1" si="12"/>
        <v>1852.24289549992</v>
      </c>
      <c r="T19" s="589">
        <f t="shared" ca="1" si="12"/>
        <v>1941.0533349082311</v>
      </c>
      <c r="U19" s="589">
        <f t="shared" ca="1" si="12"/>
        <v>1974.6825468280422</v>
      </c>
      <c r="V19" s="589">
        <f t="shared" ca="1" si="12"/>
        <v>2060.9470711633271</v>
      </c>
      <c r="W19" s="590">
        <f t="shared" ca="1" si="12"/>
        <v>2140.4903316776627</v>
      </c>
    </row>
    <row r="20" spans="1:25">
      <c r="A20" s="28"/>
      <c r="B20" s="23" t="s">
        <v>562</v>
      </c>
      <c r="C20" s="2921"/>
      <c r="D20" s="2921"/>
      <c r="E20" s="491">
        <f>1125/O34</f>
        <v>575.20336634574585</v>
      </c>
      <c r="F20" s="169"/>
      <c r="G20" s="169"/>
      <c r="H20" s="169"/>
      <c r="I20" s="169"/>
      <c r="J20" s="169"/>
      <c r="K20" s="169"/>
      <c r="L20" s="492"/>
      <c r="M20" s="18"/>
      <c r="N20" s="23"/>
      <c r="W20" s="166"/>
    </row>
    <row r="21" spans="1:25">
      <c r="A21" s="28"/>
      <c r="B21" s="69" t="s">
        <v>125</v>
      </c>
      <c r="C21" s="2921"/>
      <c r="D21" s="2921"/>
      <c r="E21" s="2922">
        <f>SUM(E16:E20)</f>
        <v>254899.69987166577</v>
      </c>
      <c r="F21" s="2922">
        <f t="shared" ref="F21:L21" si="13">SUM(F16:F20)</f>
        <v>0</v>
      </c>
      <c r="G21" s="2922">
        <f t="shared" si="13"/>
        <v>0</v>
      </c>
      <c r="H21" s="2922">
        <f t="shared" si="13"/>
        <v>0</v>
      </c>
      <c r="I21" s="2922">
        <f t="shared" si="13"/>
        <v>0</v>
      </c>
      <c r="J21" s="2922">
        <f t="shared" si="13"/>
        <v>0</v>
      </c>
      <c r="K21" s="2922">
        <f t="shared" si="13"/>
        <v>0</v>
      </c>
      <c r="L21" s="422">
        <f t="shared" si="13"/>
        <v>0</v>
      </c>
      <c r="M21" s="18"/>
      <c r="N21" s="23"/>
      <c r="W21" s="166"/>
    </row>
    <row r="22" spans="1:25">
      <c r="B22" s="69"/>
      <c r="C22" s="2921"/>
      <c r="D22" s="2921"/>
      <c r="E22" s="2923"/>
      <c r="F22" s="2923"/>
      <c r="G22" s="2923"/>
      <c r="H22" s="2923"/>
      <c r="I22" s="2923"/>
      <c r="J22" s="2923"/>
      <c r="K22" s="2923"/>
      <c r="L22" s="58"/>
      <c r="M22" s="18"/>
      <c r="N22" s="23"/>
      <c r="W22" s="166"/>
    </row>
    <row r="23" spans="1:25">
      <c r="A23" s="28"/>
      <c r="B23" s="23" t="s">
        <v>565</v>
      </c>
      <c r="C23" s="2921"/>
      <c r="D23" s="2921"/>
      <c r="E23" s="55">
        <f>5042.92/O34</f>
        <v>2578.4040535220342</v>
      </c>
      <c r="F23" s="2921"/>
      <c r="G23" s="2921"/>
      <c r="H23" s="2921"/>
      <c r="I23" s="2921"/>
      <c r="J23" s="2921"/>
      <c r="K23" s="2921"/>
      <c r="L23" s="166"/>
      <c r="M23" s="18"/>
      <c r="N23" s="23"/>
      <c r="W23" s="166"/>
    </row>
    <row r="24" spans="1:25">
      <c r="A24" s="28"/>
      <c r="B24" s="23" t="s">
        <v>468</v>
      </c>
      <c r="C24" s="2921"/>
      <c r="D24" s="2921"/>
      <c r="E24" s="55">
        <v>0</v>
      </c>
      <c r="F24" s="2921">
        <v>0</v>
      </c>
      <c r="G24" s="55"/>
      <c r="H24" s="55"/>
      <c r="I24" s="55"/>
      <c r="J24" s="55"/>
      <c r="K24" s="55"/>
      <c r="L24" s="56"/>
      <c r="M24" s="18"/>
      <c r="N24" s="23"/>
      <c r="Q24" s="54"/>
      <c r="W24" s="166"/>
    </row>
    <row r="25" spans="1:25">
      <c r="A25" s="28"/>
      <c r="B25" s="189" t="s">
        <v>53</v>
      </c>
      <c r="C25" s="2921"/>
      <c r="D25" s="2921"/>
      <c r="E25" s="55">
        <v>0</v>
      </c>
      <c r="F25" s="411">
        <v>0</v>
      </c>
      <c r="G25" s="55"/>
      <c r="H25" s="55"/>
      <c r="I25" s="55"/>
      <c r="J25" s="55"/>
      <c r="K25" s="55"/>
      <c r="L25" s="56"/>
      <c r="M25" s="15"/>
      <c r="N25" s="23"/>
      <c r="O25" s="54"/>
      <c r="Q25" s="54"/>
      <c r="W25" s="166"/>
    </row>
    <row r="26" spans="1:25">
      <c r="A26" s="28"/>
      <c r="B26" s="185" t="s">
        <v>55</v>
      </c>
      <c r="C26" s="2924"/>
      <c r="D26" s="2924"/>
      <c r="E26" s="2925">
        <f>SUM(E23:E25)</f>
        <v>2578.4040535220342</v>
      </c>
      <c r="F26" s="2925">
        <f>SUM(F23:F25)</f>
        <v>0</v>
      </c>
      <c r="G26" s="2926">
        <f t="shared" ref="G26:L26" si="14">SUM(G24:G25)</f>
        <v>0</v>
      </c>
      <c r="H26" s="2926">
        <f t="shared" si="14"/>
        <v>0</v>
      </c>
      <c r="I26" s="2926">
        <f t="shared" si="14"/>
        <v>0</v>
      </c>
      <c r="J26" s="2926">
        <f t="shared" si="14"/>
        <v>0</v>
      </c>
      <c r="K26" s="2926">
        <f t="shared" si="14"/>
        <v>0</v>
      </c>
      <c r="L26" s="573">
        <f t="shared" si="14"/>
        <v>0</v>
      </c>
      <c r="M26" s="15"/>
      <c r="N26" s="23"/>
      <c r="W26" s="166"/>
    </row>
    <row r="27" spans="1:25">
      <c r="A27" s="28"/>
      <c r="B27" s="23"/>
      <c r="C27" s="2921"/>
      <c r="D27" s="2921"/>
      <c r="E27" s="55"/>
      <c r="F27" s="2921"/>
      <c r="G27" s="2921"/>
      <c r="H27" s="2921"/>
      <c r="I27" s="2921"/>
      <c r="J27" s="2921"/>
      <c r="K27" s="2921"/>
      <c r="L27" s="166"/>
      <c r="M27" s="15"/>
      <c r="N27" s="23"/>
      <c r="W27" s="166"/>
    </row>
    <row r="28" spans="1:25">
      <c r="A28" s="28"/>
      <c r="B28" s="23"/>
      <c r="C28" s="2921"/>
      <c r="D28" s="2921"/>
      <c r="E28" s="55"/>
      <c r="F28" s="2921"/>
      <c r="G28" s="2921"/>
      <c r="H28" s="2921"/>
      <c r="I28" s="2921"/>
      <c r="J28" s="2921"/>
      <c r="K28" s="2921"/>
      <c r="L28" s="166"/>
      <c r="M28" s="15"/>
      <c r="N28" s="23"/>
      <c r="W28" s="166"/>
    </row>
    <row r="29" spans="1:25">
      <c r="A29" s="28"/>
      <c r="B29" s="189" t="s">
        <v>477</v>
      </c>
      <c r="C29" s="2924"/>
      <c r="D29" s="2924"/>
      <c r="E29" s="41">
        <v>0</v>
      </c>
      <c r="F29" s="2923">
        <f t="shared" ref="F29:L29" ca="1" si="15">F103</f>
        <v>4544.2069848660631</v>
      </c>
      <c r="G29" s="2923">
        <f t="shared" ca="1" si="15"/>
        <v>3391.1707561454969</v>
      </c>
      <c r="H29" s="2923">
        <f t="shared" ca="1" si="15"/>
        <v>8003.4816283292603</v>
      </c>
      <c r="I29" s="2923">
        <f t="shared" ca="1" si="15"/>
        <v>266.83353705446461</v>
      </c>
      <c r="J29" s="2923">
        <f t="shared" ca="1" si="15"/>
        <v>5424.804825086394</v>
      </c>
      <c r="K29" s="2923">
        <f t="shared" ca="1" si="15"/>
        <v>4739.1982162115019</v>
      </c>
      <c r="L29" s="58">
        <f t="shared" ca="1" si="15"/>
        <v>2788.3436634821264</v>
      </c>
      <c r="M29" s="15"/>
      <c r="N29" s="23"/>
      <c r="W29" s="166"/>
    </row>
    <row r="30" spans="1:25">
      <c r="A30" s="28"/>
      <c r="B30" s="189"/>
      <c r="C30" s="2920"/>
      <c r="D30" s="2924"/>
      <c r="E30" s="41"/>
      <c r="F30" s="2921"/>
      <c r="G30" s="2927"/>
      <c r="H30" s="2927"/>
      <c r="I30" s="2927"/>
      <c r="J30" s="2927"/>
      <c r="K30" s="2927"/>
      <c r="L30" s="167"/>
      <c r="M30" s="15"/>
      <c r="N30" s="187"/>
      <c r="O30" s="192"/>
      <c r="P30" s="448"/>
      <c r="Q30" s="193"/>
      <c r="R30" s="66"/>
      <c r="S30" s="66"/>
      <c r="T30" s="66"/>
      <c r="U30" s="66"/>
      <c r="V30" s="193"/>
      <c r="W30" s="194"/>
    </row>
    <row r="31" spans="1:25" ht="13.5" thickBot="1">
      <c r="A31" s="28"/>
      <c r="B31" s="185" t="s">
        <v>57</v>
      </c>
      <c r="C31" s="2924"/>
      <c r="D31" s="2924"/>
      <c r="E31" s="446">
        <f t="shared" ref="E31:L31" si="16">E8+E26+E29+E14+E28+E21</f>
        <v>558588.35890644894</v>
      </c>
      <c r="F31" s="446">
        <f t="shared" ca="1" si="16"/>
        <v>323693.539934684</v>
      </c>
      <c r="G31" s="446">
        <f t="shared" ca="1" si="16"/>
        <v>2563448.5741134863</v>
      </c>
      <c r="H31" s="446">
        <f t="shared" ca="1" si="16"/>
        <v>2452738.6124332659</v>
      </c>
      <c r="I31" s="195">
        <f t="shared" ca="1" si="16"/>
        <v>2433558.3182450309</v>
      </c>
      <c r="J31" s="195">
        <f t="shared" ca="1" si="16"/>
        <v>2385445.2757326188</v>
      </c>
      <c r="K31" s="195">
        <f t="shared" ca="1" si="16"/>
        <v>2295816.3069068091</v>
      </c>
      <c r="L31" s="196">
        <f t="shared" ca="1" si="16"/>
        <v>2254062.796845512</v>
      </c>
      <c r="M31" s="15"/>
      <c r="N31" s="187" t="s">
        <v>58</v>
      </c>
      <c r="O31" s="22"/>
      <c r="P31" s="195">
        <f t="shared" ref="P31:W31" si="17">P9+P11+P19+P12</f>
        <v>558588.35890644894</v>
      </c>
      <c r="Q31" s="195">
        <f t="shared" ca="1" si="17"/>
        <v>323693.33948888863</v>
      </c>
      <c r="R31" s="195">
        <f t="shared" ca="1" si="17"/>
        <v>2563448.3736676904</v>
      </c>
      <c r="S31" s="195">
        <f t="shared" ca="1" si="17"/>
        <v>2452738.4119874705</v>
      </c>
      <c r="T31" s="195">
        <f t="shared" ca="1" si="17"/>
        <v>2433558.1177992355</v>
      </c>
      <c r="U31" s="195">
        <f t="shared" ca="1" si="17"/>
        <v>2385445.0752868233</v>
      </c>
      <c r="V31" s="195">
        <f t="shared" ca="1" si="17"/>
        <v>2295816.1064610137</v>
      </c>
      <c r="W31" s="196">
        <f t="shared" ca="1" si="17"/>
        <v>2254062.5963997166</v>
      </c>
    </row>
    <row r="32" spans="1:25" ht="14.25" thickTop="1" thickBot="1">
      <c r="A32" s="28"/>
      <c r="B32" s="197"/>
      <c r="C32" s="443"/>
      <c r="D32" s="443"/>
      <c r="E32" s="442">
        <f t="shared" ref="E32:L32" si="18">E31-P31</f>
        <v>0</v>
      </c>
      <c r="F32" s="442">
        <f t="shared" ca="1" si="18"/>
        <v>0.20044579537352547</v>
      </c>
      <c r="G32" s="442">
        <f t="shared" ca="1" si="18"/>
        <v>0.20044579589739442</v>
      </c>
      <c r="H32" s="442">
        <f t="shared" ca="1" si="18"/>
        <v>0.20044579543173313</v>
      </c>
      <c r="I32" s="442">
        <f t="shared" ca="1" si="18"/>
        <v>0.20044579543173313</v>
      </c>
      <c r="J32" s="442">
        <f t="shared" ca="1" si="18"/>
        <v>0.20044579543173313</v>
      </c>
      <c r="K32" s="442">
        <f t="shared" ca="1" si="18"/>
        <v>0.20044579543173313</v>
      </c>
      <c r="L32" s="2928">
        <f t="shared" ca="1" si="18"/>
        <v>0.20044579543173313</v>
      </c>
      <c r="M32" s="55">
        <f ca="1">IF(L10=0,0,IF(L10-Z40&lt;0,-L10,-$W$53))</f>
        <v>0</v>
      </c>
      <c r="N32" s="198"/>
      <c r="O32" s="447"/>
      <c r="P32" s="447"/>
      <c r="Q32" s="447"/>
      <c r="R32" s="199"/>
      <c r="S32" s="199"/>
      <c r="T32" s="199"/>
      <c r="U32" s="199"/>
      <c r="V32" s="199"/>
      <c r="W32" s="200"/>
    </row>
    <row r="33" spans="1:23" ht="13.5" thickBot="1">
      <c r="A33" s="28"/>
      <c r="M33" s="15"/>
    </row>
    <row r="34" spans="1:23" ht="13.5" thickBot="1">
      <c r="A34" s="28"/>
      <c r="B34" s="29" t="s">
        <v>72</v>
      </c>
      <c r="C34" s="30"/>
      <c r="D34" s="30"/>
      <c r="E34" s="31" t="str">
        <f t="shared" ref="E34:L34" si="19">E3</f>
        <v>Opening</v>
      </c>
      <c r="F34" s="31">
        <f t="shared" si="19"/>
        <v>2023</v>
      </c>
      <c r="G34" s="31">
        <f t="shared" si="19"/>
        <v>2024</v>
      </c>
      <c r="H34" s="31">
        <f t="shared" si="19"/>
        <v>2025</v>
      </c>
      <c r="I34" s="31">
        <f t="shared" si="19"/>
        <v>2026</v>
      </c>
      <c r="J34" s="31">
        <f t="shared" si="19"/>
        <v>2027</v>
      </c>
      <c r="K34" s="31">
        <f t="shared" si="19"/>
        <v>2028</v>
      </c>
      <c r="L34" s="32">
        <f t="shared" si="19"/>
        <v>2029</v>
      </c>
      <c r="M34" s="15"/>
      <c r="N34" s="453" t="s">
        <v>478</v>
      </c>
      <c r="O34" s="454">
        <v>1.95583</v>
      </c>
      <c r="P34" s="413"/>
      <c r="Q34" s="455"/>
      <c r="R34" s="455"/>
      <c r="S34" s="455"/>
      <c r="T34" s="455"/>
      <c r="U34" s="455"/>
      <c r="V34" s="455"/>
      <c r="W34" s="456"/>
    </row>
    <row r="35" spans="1:23">
      <c r="A35" s="28"/>
      <c r="B35" s="35"/>
      <c r="C35" s="36"/>
      <c r="D35" s="36"/>
      <c r="E35" s="36"/>
      <c r="F35" s="36"/>
      <c r="H35" s="27"/>
      <c r="I35" s="27"/>
      <c r="J35" s="27"/>
      <c r="K35" s="27"/>
      <c r="L35" s="37"/>
      <c r="M35" s="33">
        <f>-(M41+M46+M38+M37)*1.2</f>
        <v>0</v>
      </c>
      <c r="N35" s="452"/>
      <c r="O35" s="19"/>
      <c r="P35" s="19"/>
      <c r="Q35" s="19"/>
      <c r="R35" s="19"/>
      <c r="S35" s="19"/>
      <c r="T35" s="19"/>
      <c r="U35" s="19"/>
      <c r="V35" s="19"/>
      <c r="W35" s="417"/>
    </row>
    <row r="36" spans="1:23">
      <c r="A36" s="24"/>
      <c r="B36" s="38" t="str">
        <f>N61</f>
        <v>Settlement</v>
      </c>
      <c r="C36" s="39"/>
      <c r="D36" s="39"/>
      <c r="E36" s="576">
        <v>0</v>
      </c>
      <c r="F36" s="577">
        <f t="shared" ref="F36:L36" ca="1" si="20">P61</f>
        <v>107966.86193366458</v>
      </c>
      <c r="G36" s="577">
        <f t="shared" ca="1" si="20"/>
        <v>144633.66036038569</v>
      </c>
      <c r="H36" s="577">
        <f t="shared" ca="1" si="20"/>
        <v>229639.52635261681</v>
      </c>
      <c r="I36" s="577">
        <f t="shared" ca="1" si="20"/>
        <v>236588.92586003267</v>
      </c>
      <c r="J36" s="577">
        <f t="shared" ca="1" si="20"/>
        <v>224203.41487629924</v>
      </c>
      <c r="K36" s="577">
        <f t="shared" ca="1" si="20"/>
        <v>281815.73520839826</v>
      </c>
      <c r="L36" s="578">
        <f t="shared" ca="1" si="20"/>
        <v>258754.59546552043</v>
      </c>
      <c r="M36" s="15"/>
      <c r="N36" s="69" t="s">
        <v>666</v>
      </c>
      <c r="W36" s="166"/>
    </row>
    <row r="37" spans="1:23">
      <c r="A37" s="28"/>
      <c r="B37" s="50" t="s">
        <v>672</v>
      </c>
      <c r="C37" s="39"/>
      <c r="D37" s="39"/>
      <c r="E37" s="580">
        <f>E36</f>
        <v>0</v>
      </c>
      <c r="F37" s="580">
        <f t="shared" ref="F37:L37" ca="1" si="21">F36</f>
        <v>107966.86193366458</v>
      </c>
      <c r="G37" s="580">
        <f t="shared" ca="1" si="21"/>
        <v>144633.66036038569</v>
      </c>
      <c r="H37" s="580">
        <f t="shared" ca="1" si="21"/>
        <v>229639.52635261681</v>
      </c>
      <c r="I37" s="580">
        <f t="shared" ca="1" si="21"/>
        <v>236588.92586003267</v>
      </c>
      <c r="J37" s="580">
        <f t="shared" ca="1" si="21"/>
        <v>224203.41487629924</v>
      </c>
      <c r="K37" s="580">
        <f t="shared" ca="1" si="21"/>
        <v>281815.73520839826</v>
      </c>
      <c r="L37" s="587">
        <f t="shared" ca="1" si="21"/>
        <v>258754.59546552043</v>
      </c>
      <c r="M37" s="15"/>
      <c r="N37" s="23"/>
      <c r="W37" s="166"/>
    </row>
    <row r="38" spans="1:23">
      <c r="A38" s="28"/>
      <c r="B38" s="38"/>
      <c r="C38" s="39"/>
      <c r="D38" s="39"/>
      <c r="E38" s="451"/>
      <c r="F38" s="33"/>
      <c r="G38" s="33"/>
      <c r="H38" s="33"/>
      <c r="I38" s="33"/>
      <c r="J38" s="33"/>
      <c r="K38" s="33"/>
      <c r="L38" s="40"/>
      <c r="M38" s="15"/>
      <c r="N38" s="23" t="str">
        <f>B16</f>
        <v>Raw materials</v>
      </c>
      <c r="P38" s="460">
        <f>E16</f>
        <v>18688.531211812886</v>
      </c>
      <c r="W38" s="166"/>
    </row>
    <row r="39" spans="1:23">
      <c r="A39" s="28"/>
      <c r="B39" s="38" t="s">
        <v>530</v>
      </c>
      <c r="C39" s="39"/>
      <c r="D39" s="39"/>
      <c r="E39" s="451"/>
      <c r="F39" s="33">
        <f>-E23</f>
        <v>-2578.4040535220342</v>
      </c>
      <c r="G39" s="33"/>
      <c r="H39" s="33"/>
      <c r="I39" s="33"/>
      <c r="J39" s="33"/>
      <c r="K39" s="33"/>
      <c r="L39" s="40"/>
      <c r="M39" s="15"/>
      <c r="N39" s="23" t="str">
        <f>B17</f>
        <v>Work in progress</v>
      </c>
      <c r="P39" s="460">
        <f>E17</f>
        <v>176812.07978198514</v>
      </c>
      <c r="W39" s="166"/>
    </row>
    <row r="40" spans="1:23">
      <c r="A40" s="28"/>
      <c r="B40" s="579" t="s">
        <v>679</v>
      </c>
      <c r="C40" s="39"/>
      <c r="D40" s="39"/>
      <c r="E40" s="451"/>
      <c r="F40" s="33">
        <f>-'RCE PP&amp;E'!F34</f>
        <v>-93.609082109203669</v>
      </c>
      <c r="G40" s="33">
        <f>-'RCE PP&amp;E'!G34</f>
        <v>-5826.2803069284801</v>
      </c>
      <c r="H40" s="33">
        <f>-'RCE PP&amp;E'!H34</f>
        <v>-5893.2825304581575</v>
      </c>
      <c r="I40" s="33">
        <f>-'RCE PP&amp;E'!I34</f>
        <v>-5961.0552795584263</v>
      </c>
      <c r="J40" s="33">
        <f>-'RCE PP&amp;E'!J34</f>
        <v>-6029.607415273349</v>
      </c>
      <c r="K40" s="33">
        <f>-'RCE PP&amp;E'!K34</f>
        <v>-6098.9479005489939</v>
      </c>
      <c r="L40" s="40">
        <f>-'RCE PP&amp;E'!L34</f>
        <v>-6169.0858014053083</v>
      </c>
      <c r="M40" s="15"/>
      <c r="N40" s="23" t="str">
        <f>B18</f>
        <v>Products</v>
      </c>
      <c r="P40" s="460">
        <f>E18</f>
        <v>47469.360834019317</v>
      </c>
      <c r="W40" s="166"/>
    </row>
    <row r="41" spans="1:23">
      <c r="A41" s="28"/>
      <c r="B41" s="38" t="s">
        <v>119</v>
      </c>
      <c r="C41" s="39"/>
      <c r="D41" s="39"/>
      <c r="E41" s="576"/>
      <c r="F41" s="577">
        <f ca="1">-'RCE PP&amp;E'!F74</f>
        <v>0</v>
      </c>
      <c r="G41" s="577">
        <f ca="1">-'RCE PP&amp;E'!G74</f>
        <v>-30496.724999999999</v>
      </c>
      <c r="H41" s="577">
        <f ca="1">-'RCE PP&amp;E'!H74</f>
        <v>-31151.575379540242</v>
      </c>
      <c r="I41" s="577">
        <f ca="1">-'RCE PP&amp;E'!I74</f>
        <v>-32860.011418606198</v>
      </c>
      <c r="J41" s="577">
        <f ca="1">-'RCE PP&amp;E'!J74</f>
        <v>-33464.043521287495</v>
      </c>
      <c r="K41" s="577">
        <f ca="1">-'RCE PP&amp;E'!K74</f>
        <v>-35119.993522717552</v>
      </c>
      <c r="L41" s="578">
        <f ca="1">-'RCE PP&amp;E'!L74</f>
        <v>-36640.720832147941</v>
      </c>
      <c r="M41" s="15"/>
      <c r="N41" s="23" t="str">
        <f>B19</f>
        <v>Goods</v>
      </c>
      <c r="P41" s="460">
        <f>E19</f>
        <v>11354.524677502646</v>
      </c>
      <c r="W41" s="166"/>
    </row>
    <row r="42" spans="1:23">
      <c r="A42" s="28"/>
      <c r="B42" s="49" t="s">
        <v>182</v>
      </c>
      <c r="C42" s="27"/>
      <c r="D42" s="61">
        <f t="shared" ref="D42:L42" si="22">SUM(D37:D41)</f>
        <v>0</v>
      </c>
      <c r="E42" s="61">
        <f t="shared" si="22"/>
        <v>0</v>
      </c>
      <c r="F42" s="61">
        <f ca="1">SUM(F37:F41)</f>
        <v>105294.84879803333</v>
      </c>
      <c r="G42" s="61">
        <f t="shared" ca="1" si="22"/>
        <v>108310.65505345722</v>
      </c>
      <c r="H42" s="61">
        <f t="shared" ca="1" si="22"/>
        <v>192594.66844261842</v>
      </c>
      <c r="I42" s="61">
        <f t="shared" ca="1" si="22"/>
        <v>197767.85916186805</v>
      </c>
      <c r="J42" s="61">
        <f t="shared" ca="1" si="22"/>
        <v>184709.76393973839</v>
      </c>
      <c r="K42" s="61">
        <f t="shared" ca="1" si="22"/>
        <v>240596.79378513171</v>
      </c>
      <c r="L42" s="62">
        <f t="shared" ca="1" si="22"/>
        <v>215944.78883196716</v>
      </c>
      <c r="M42" s="15"/>
      <c r="N42" s="23" t="str">
        <f>B20</f>
        <v>Advances provided</v>
      </c>
      <c r="P42" s="574">
        <f>E20</f>
        <v>575.20336634574585</v>
      </c>
      <c r="W42" s="166"/>
    </row>
    <row r="43" spans="1:23">
      <c r="A43" s="28"/>
      <c r="B43" s="23"/>
      <c r="L43" s="166"/>
      <c r="M43" s="15"/>
      <c r="N43" s="69" t="s">
        <v>667</v>
      </c>
      <c r="P43" s="460">
        <f>SUM(P38:P42)</f>
        <v>254899.69987166577</v>
      </c>
      <c r="W43" s="166"/>
    </row>
    <row r="44" spans="1:23">
      <c r="A44" s="28"/>
      <c r="B44" s="35" t="s">
        <v>665</v>
      </c>
      <c r="C44" s="27"/>
      <c r="D44" s="27"/>
      <c r="E44" s="41"/>
      <c r="F44" s="41">
        <f>'RCE PP&amp;E'!F99</f>
        <v>0</v>
      </c>
      <c r="G44" s="41">
        <f ca="1">'RCE PP&amp;E'!G99</f>
        <v>61850.178735815032</v>
      </c>
      <c r="H44" s="41">
        <f ca="1">'RCE PP&amp;E'!H99</f>
        <v>134715.66155674006</v>
      </c>
      <c r="I44" s="41">
        <f ca="1">'RCE PP&amp;E'!I99</f>
        <v>130684.66129203347</v>
      </c>
      <c r="J44" s="41">
        <f ca="1">'RCE PP&amp;E'!J99</f>
        <v>115514.76236910812</v>
      </c>
      <c r="K44" s="41">
        <f ca="1">'RCE PP&amp;E'!K99</f>
        <v>165577.61015620647</v>
      </c>
      <c r="L44" s="42">
        <f ca="1">'RCE PP&amp;E'!L99</f>
        <v>137623.42431747701</v>
      </c>
      <c r="M44" s="15"/>
      <c r="N44" s="23"/>
      <c r="W44" s="166"/>
    </row>
    <row r="45" spans="1:23">
      <c r="A45" s="28"/>
      <c r="B45" s="23" t="s">
        <v>30</v>
      </c>
      <c r="E45" s="55">
        <v>0</v>
      </c>
      <c r="F45" s="55">
        <f ca="1">-'RCE PP&amp;E'!F84+'RCE PP&amp;E'!F49</f>
        <v>-105126.12247723859</v>
      </c>
      <c r="G45" s="55">
        <f ca="1">-'RCE PP&amp;E'!G84+'RCE PP&amp;E'!G49</f>
        <v>-169992.10746847751</v>
      </c>
      <c r="H45" s="55">
        <f ca="1">-'RCE PP&amp;E'!H84+'RCE PP&amp;E'!H49</f>
        <v>-327141.60367856373</v>
      </c>
      <c r="I45" s="55">
        <f ca="1">-'RCE PP&amp;E'!I84+'RCE PP&amp;E'!I49</f>
        <v>-328283.79413310677</v>
      </c>
      <c r="J45" s="55">
        <f ca="1">-'RCE PP&amp;E'!J84+'RCE PP&amp;E'!J49</f>
        <v>-300055.79998805176</v>
      </c>
      <c r="K45" s="55">
        <f ca="1">-'RCE PP&amp;E'!K84+'RCE PP&amp;E'!K49</f>
        <v>-406005.67762054346</v>
      </c>
      <c r="L45" s="56">
        <f ca="1">-'RCE PP&amp;E'!L84+'RCE PP&amp;E'!L49</f>
        <v>-353399.48682864942</v>
      </c>
      <c r="M45" s="15"/>
      <c r="N45" s="23" t="s">
        <v>671</v>
      </c>
      <c r="P45" s="460">
        <f>P43</f>
        <v>254899.69987166577</v>
      </c>
      <c r="W45" s="166"/>
    </row>
    <row r="46" spans="1:23" ht="13.5" thickBot="1">
      <c r="A46" s="28"/>
      <c r="B46" s="49" t="s">
        <v>61</v>
      </c>
      <c r="C46" s="43"/>
      <c r="D46" s="43"/>
      <c r="E46" s="137">
        <f>E42+E47+E45+E44</f>
        <v>0</v>
      </c>
      <c r="F46" s="137">
        <f ca="1">F42+F44+F45</f>
        <v>168.72632079473988</v>
      </c>
      <c r="G46" s="137">
        <f t="shared" ref="G46:L46" ca="1" si="23">G42+G44+G45</f>
        <v>168.72632079472532</v>
      </c>
      <c r="H46" s="137">
        <f t="shared" ca="1" si="23"/>
        <v>168.72632079478353</v>
      </c>
      <c r="I46" s="137">
        <f t="shared" ca="1" si="23"/>
        <v>168.72632079472532</v>
      </c>
      <c r="J46" s="137">
        <f t="shared" ca="1" si="23"/>
        <v>168.72632079478353</v>
      </c>
      <c r="K46" s="137">
        <f t="shared" ca="1" si="23"/>
        <v>168.72632079472532</v>
      </c>
      <c r="L46" s="138">
        <f t="shared" ca="1" si="23"/>
        <v>168.72632079478353</v>
      </c>
      <c r="M46" s="15"/>
      <c r="N46" s="23"/>
      <c r="W46" s="166"/>
    </row>
    <row r="47" spans="1:23" ht="13.5" thickBot="1">
      <c r="A47" s="28"/>
      <c r="B47" s="35"/>
      <c r="C47" s="27"/>
      <c r="D47" s="27"/>
      <c r="E47" s="41"/>
      <c r="F47" s="41"/>
      <c r="G47" s="41"/>
      <c r="H47" s="41"/>
      <c r="I47" s="41"/>
      <c r="J47" s="41"/>
      <c r="K47" s="41"/>
      <c r="L47" s="42"/>
      <c r="M47" s="15"/>
      <c r="N47" s="69" t="s">
        <v>668</v>
      </c>
      <c r="P47" s="575">
        <f>P43-P45</f>
        <v>0</v>
      </c>
      <c r="W47" s="166"/>
    </row>
    <row r="48" spans="1:23" ht="14.25" thickTop="1" thickBot="1">
      <c r="A48" s="28"/>
      <c r="B48" s="35" t="s">
        <v>62</v>
      </c>
      <c r="C48" s="27"/>
      <c r="D48" s="27"/>
      <c r="E48" s="41">
        <v>0</v>
      </c>
      <c r="F48" s="41">
        <f>-330/$O$34</f>
        <v>-168.7263207947521</v>
      </c>
      <c r="G48" s="41">
        <f t="shared" ref="G48:L48" si="24">-330/$O$34</f>
        <v>-168.7263207947521</v>
      </c>
      <c r="H48" s="41">
        <f t="shared" si="24"/>
        <v>-168.7263207947521</v>
      </c>
      <c r="I48" s="41">
        <f t="shared" si="24"/>
        <v>-168.7263207947521</v>
      </c>
      <c r="J48" s="41">
        <f t="shared" si="24"/>
        <v>-168.7263207947521</v>
      </c>
      <c r="K48" s="41">
        <f t="shared" si="24"/>
        <v>-168.7263207947521</v>
      </c>
      <c r="L48" s="42">
        <f t="shared" si="24"/>
        <v>-168.7263207947521</v>
      </c>
      <c r="M48" s="15"/>
      <c r="N48" s="23"/>
      <c r="W48" s="166"/>
    </row>
    <row r="49" spans="1:25">
      <c r="A49" s="28"/>
      <c r="B49" s="35"/>
      <c r="C49" s="27"/>
      <c r="D49" s="27"/>
      <c r="E49" s="41"/>
      <c r="F49" s="41"/>
      <c r="G49" s="41"/>
      <c r="H49" s="41"/>
      <c r="I49" s="41"/>
      <c r="J49" s="41"/>
      <c r="K49" s="41"/>
      <c r="L49" s="42"/>
      <c r="M49" s="15"/>
      <c r="N49" s="34" t="s">
        <v>669</v>
      </c>
      <c r="O49" s="19"/>
      <c r="P49" s="19"/>
      <c r="Q49" s="19"/>
      <c r="R49" s="19"/>
      <c r="S49" s="19"/>
      <c r="T49" s="19"/>
      <c r="U49" s="19"/>
      <c r="V49" s="19"/>
      <c r="W49" s="417"/>
      <c r="Y49" s="26"/>
    </row>
    <row r="50" spans="1:25" ht="13.5" thickBot="1">
      <c r="A50" s="28"/>
      <c r="B50" s="50" t="s">
        <v>63</v>
      </c>
      <c r="C50" s="51"/>
      <c r="D50" s="51"/>
      <c r="E50" s="137">
        <f t="shared" ref="E50:L50" si="25">SUM(E46:E49)</f>
        <v>0</v>
      </c>
      <c r="F50" s="137">
        <f ca="1">SUM(F46:F49)</f>
        <v>-1.2221335055073723E-11</v>
      </c>
      <c r="G50" s="137">
        <f t="shared" ca="1" si="25"/>
        <v>-2.6773250283440575E-11</v>
      </c>
      <c r="H50" s="137">
        <f t="shared" ca="1" si="25"/>
        <v>3.1434410630026832E-11</v>
      </c>
      <c r="I50" s="137">
        <f t="shared" ca="1" si="25"/>
        <v>-2.6773250283440575E-11</v>
      </c>
      <c r="J50" s="137">
        <f t="shared" ca="1" si="25"/>
        <v>3.1434410630026832E-11</v>
      </c>
      <c r="K50" s="137">
        <f t="shared" ca="1" si="25"/>
        <v>-2.6773250283440575E-11</v>
      </c>
      <c r="L50" s="138">
        <f t="shared" ca="1" si="25"/>
        <v>3.1434410630026832E-11</v>
      </c>
      <c r="M50" s="26"/>
      <c r="N50" s="23"/>
      <c r="W50" s="166"/>
    </row>
    <row r="51" spans="1:25">
      <c r="A51" s="28"/>
      <c r="B51" s="35" t="s">
        <v>64</v>
      </c>
      <c r="C51" s="27"/>
      <c r="D51" s="27"/>
      <c r="E51" s="41"/>
      <c r="F51" s="41">
        <f ca="1">F112</f>
        <v>0</v>
      </c>
      <c r="G51" s="41">
        <f t="shared" ref="G51:L51" ca="1" si="26">G112</f>
        <v>0</v>
      </c>
      <c r="H51" s="41">
        <f t="shared" ca="1" si="26"/>
        <v>0</v>
      </c>
      <c r="I51" s="41">
        <f t="shared" ca="1" si="26"/>
        <v>0</v>
      </c>
      <c r="J51" s="41">
        <f t="shared" ca="1" si="26"/>
        <v>0</v>
      </c>
      <c r="K51" s="41">
        <f t="shared" ca="1" si="26"/>
        <v>0</v>
      </c>
      <c r="L51" s="42">
        <f t="shared" ca="1" si="26"/>
        <v>0</v>
      </c>
      <c r="M51" s="15"/>
      <c r="N51" s="591" t="str">
        <f>B39</f>
        <v>Other costs</v>
      </c>
      <c r="P51" s="54">
        <f t="shared" ref="P51:W51" si="27">-F39</f>
        <v>2578.4040535220342</v>
      </c>
      <c r="Q51" s="54">
        <f t="shared" si="27"/>
        <v>0</v>
      </c>
      <c r="R51" s="54">
        <f t="shared" si="27"/>
        <v>0</v>
      </c>
      <c r="S51" s="54">
        <f t="shared" si="27"/>
        <v>0</v>
      </c>
      <c r="T51" s="54">
        <f t="shared" si="27"/>
        <v>0</v>
      </c>
      <c r="U51" s="54">
        <f t="shared" si="27"/>
        <v>0</v>
      </c>
      <c r="V51" s="54">
        <f t="shared" si="27"/>
        <v>0</v>
      </c>
      <c r="W51" s="58">
        <f t="shared" si="27"/>
        <v>0</v>
      </c>
    </row>
    <row r="52" spans="1:25">
      <c r="A52" s="28"/>
      <c r="B52" s="35" t="s">
        <v>98</v>
      </c>
      <c r="C52" s="27"/>
      <c r="D52" s="27"/>
      <c r="E52" s="41"/>
      <c r="F52" s="41"/>
      <c r="G52" s="41"/>
      <c r="H52" s="41"/>
      <c r="I52" s="41"/>
      <c r="J52" s="41"/>
      <c r="K52" s="41"/>
      <c r="L52" s="42"/>
      <c r="M52" s="15"/>
      <c r="N52" s="591" t="str">
        <f>B40</f>
        <v>Real Estate Costs</v>
      </c>
      <c r="P52" s="55">
        <f>-F40</f>
        <v>93.609082109203669</v>
      </c>
      <c r="Q52" s="55">
        <f t="shared" ref="Q52:V53" si="28">-G40</f>
        <v>5826.2803069284801</v>
      </c>
      <c r="R52" s="55">
        <f t="shared" si="28"/>
        <v>5893.2825304581575</v>
      </c>
      <c r="S52" s="55">
        <f t="shared" si="28"/>
        <v>5961.0552795584263</v>
      </c>
      <c r="T52" s="55">
        <f t="shared" si="28"/>
        <v>6029.607415273349</v>
      </c>
      <c r="U52" s="55">
        <f t="shared" si="28"/>
        <v>6098.9479005489939</v>
      </c>
      <c r="V52" s="55">
        <f t="shared" si="28"/>
        <v>6169.0858014053083</v>
      </c>
      <c r="W52" s="56">
        <f>-M36</f>
        <v>0</v>
      </c>
    </row>
    <row r="53" spans="1:25" ht="13.5" thickBot="1">
      <c r="A53" s="28"/>
      <c r="B53" s="49" t="s">
        <v>65</v>
      </c>
      <c r="C53" s="27"/>
      <c r="D53" s="137"/>
      <c r="E53" s="137">
        <f t="shared" ref="E53:L53" si="29">E50+E51+E52</f>
        <v>0</v>
      </c>
      <c r="F53" s="137">
        <f ca="1">F50+F51+F52</f>
        <v>-1.2221335055073723E-11</v>
      </c>
      <c r="G53" s="137">
        <f t="shared" ca="1" si="29"/>
        <v>-2.6773250283440575E-11</v>
      </c>
      <c r="H53" s="137">
        <f t="shared" ca="1" si="29"/>
        <v>3.1434410630026832E-11</v>
      </c>
      <c r="I53" s="137">
        <f t="shared" ca="1" si="29"/>
        <v>-2.6773250283440575E-11</v>
      </c>
      <c r="J53" s="137">
        <f t="shared" ca="1" si="29"/>
        <v>3.1434410630026832E-11</v>
      </c>
      <c r="K53" s="137">
        <f t="shared" ca="1" si="29"/>
        <v>-2.6773250283440575E-11</v>
      </c>
      <c r="L53" s="138">
        <f t="shared" ca="1" si="29"/>
        <v>3.1434410630026832E-11</v>
      </c>
      <c r="M53" s="15"/>
      <c r="N53" s="23" t="str">
        <f>B41</f>
        <v>Maintenance</v>
      </c>
      <c r="P53" s="55">
        <f ca="1">-F41</f>
        <v>0</v>
      </c>
      <c r="Q53" s="55">
        <f t="shared" ca="1" si="28"/>
        <v>30496.724999999999</v>
      </c>
      <c r="R53" s="55">
        <f t="shared" ca="1" si="28"/>
        <v>31151.575379540242</v>
      </c>
      <c r="S53" s="55">
        <f t="shared" ca="1" si="28"/>
        <v>32860.011418606198</v>
      </c>
      <c r="T53" s="55">
        <f t="shared" ca="1" si="28"/>
        <v>33464.043521287495</v>
      </c>
      <c r="U53" s="55">
        <f t="shared" ca="1" si="28"/>
        <v>35119.993522717552</v>
      </c>
      <c r="V53" s="55">
        <f t="shared" ca="1" si="28"/>
        <v>36640.720832147941</v>
      </c>
      <c r="W53" s="58">
        <f>-M37</f>
        <v>0</v>
      </c>
    </row>
    <row r="54" spans="1:25">
      <c r="A54" s="28"/>
      <c r="B54" s="44"/>
      <c r="C54" s="45"/>
      <c r="D54" s="45"/>
      <c r="E54" s="59"/>
      <c r="F54" s="59"/>
      <c r="G54" s="59"/>
      <c r="H54" s="59"/>
      <c r="I54" s="59"/>
      <c r="J54" s="59"/>
      <c r="K54" s="59"/>
      <c r="L54" s="60"/>
      <c r="M54" s="15"/>
      <c r="N54" s="23" t="str">
        <f>B44</f>
        <v>Activated subsidy</v>
      </c>
      <c r="P54" s="55">
        <f>-F44</f>
        <v>0</v>
      </c>
      <c r="Q54" s="55">
        <f t="shared" ref="Q54:V55" ca="1" si="30">-G44</f>
        <v>-61850.178735815032</v>
      </c>
      <c r="R54" s="55">
        <f t="shared" ca="1" si="30"/>
        <v>-134715.66155674006</v>
      </c>
      <c r="S54" s="55">
        <f t="shared" ca="1" si="30"/>
        <v>-130684.66129203347</v>
      </c>
      <c r="T54" s="55">
        <f t="shared" ca="1" si="30"/>
        <v>-115514.76236910812</v>
      </c>
      <c r="U54" s="55">
        <f t="shared" ca="1" si="30"/>
        <v>-165577.61015620647</v>
      </c>
      <c r="V54" s="55">
        <f t="shared" ca="1" si="30"/>
        <v>-137623.42431747701</v>
      </c>
      <c r="W54" s="58">
        <f>-M42</f>
        <v>0</v>
      </c>
    </row>
    <row r="55" spans="1:25">
      <c r="A55" s="28"/>
      <c r="B55" s="35" t="s">
        <v>66</v>
      </c>
      <c r="C55" s="173">
        <v>0.6</v>
      </c>
      <c r="D55" s="52"/>
      <c r="E55" s="63"/>
      <c r="F55" s="63"/>
      <c r="G55" s="63"/>
      <c r="H55" s="63"/>
      <c r="I55" s="63"/>
      <c r="J55" s="63"/>
      <c r="K55" s="63"/>
      <c r="L55" s="64"/>
      <c r="M55" s="15"/>
      <c r="N55" s="23" t="str">
        <f>B45</f>
        <v>Depreciation</v>
      </c>
      <c r="P55" s="55">
        <f ca="1">-F45</f>
        <v>105126.12247723859</v>
      </c>
      <c r="Q55" s="55">
        <f ca="1">-G45</f>
        <v>169992.10746847751</v>
      </c>
      <c r="R55" s="55">
        <f t="shared" ca="1" si="30"/>
        <v>327141.60367856373</v>
      </c>
      <c r="S55" s="55">
        <f t="shared" ca="1" si="30"/>
        <v>328283.79413310677</v>
      </c>
      <c r="T55" s="55">
        <f t="shared" ca="1" si="30"/>
        <v>300055.79998805176</v>
      </c>
      <c r="U55" s="55">
        <f t="shared" ca="1" si="30"/>
        <v>406005.67762054346</v>
      </c>
      <c r="V55" s="55">
        <f t="shared" ca="1" si="30"/>
        <v>353399.48682864942</v>
      </c>
      <c r="W55" s="58">
        <f>-M43</f>
        <v>0</v>
      </c>
    </row>
    <row r="56" spans="1:25">
      <c r="A56" s="28"/>
      <c r="B56" s="35"/>
      <c r="C56" s="53"/>
      <c r="D56" s="53"/>
      <c r="E56" s="65"/>
      <c r="F56" s="65"/>
      <c r="G56" s="54"/>
      <c r="H56" s="54"/>
      <c r="I56" s="54"/>
      <c r="J56" s="54"/>
      <c r="K56" s="54"/>
      <c r="L56" s="58"/>
      <c r="M56" s="15"/>
      <c r="N56" s="23" t="str">
        <f>B48</f>
        <v>Financial income and expenses</v>
      </c>
      <c r="P56" s="169">
        <f t="shared" ref="P56:V56" si="31">-F48</f>
        <v>168.7263207947521</v>
      </c>
      <c r="Q56" s="169">
        <f t="shared" si="31"/>
        <v>168.7263207947521</v>
      </c>
      <c r="R56" s="169">
        <f t="shared" si="31"/>
        <v>168.7263207947521</v>
      </c>
      <c r="S56" s="169">
        <f t="shared" si="31"/>
        <v>168.7263207947521</v>
      </c>
      <c r="T56" s="169">
        <f t="shared" si="31"/>
        <v>168.7263207947521</v>
      </c>
      <c r="U56" s="169">
        <f t="shared" si="31"/>
        <v>168.7263207947521</v>
      </c>
      <c r="V56" s="169">
        <f t="shared" si="31"/>
        <v>168.7263207947521</v>
      </c>
      <c r="W56" s="423">
        <f>-M46</f>
        <v>0</v>
      </c>
    </row>
    <row r="57" spans="1:25">
      <c r="A57" s="28"/>
      <c r="B57" s="35" t="s">
        <v>35</v>
      </c>
      <c r="C57" s="52">
        <f>1-C55</f>
        <v>0.4</v>
      </c>
      <c r="D57" s="52"/>
      <c r="E57" s="63"/>
      <c r="F57" s="63"/>
      <c r="G57" s="63"/>
      <c r="H57" s="63"/>
      <c r="I57" s="63"/>
      <c r="J57" s="63"/>
      <c r="K57" s="63"/>
      <c r="L57" s="64"/>
      <c r="N57" s="69" t="s">
        <v>5</v>
      </c>
      <c r="P57" s="571">
        <f ca="1">SUM(P51:P56)</f>
        <v>107966.86193366458</v>
      </c>
      <c r="Q57" s="571">
        <f ca="1">SUM(Q52:Q56)</f>
        <v>144633.66036038569</v>
      </c>
      <c r="R57" s="571">
        <f t="shared" ref="R57:W57" ca="1" si="32">SUM(R52:R56)</f>
        <v>229639.52635261681</v>
      </c>
      <c r="S57" s="571">
        <f t="shared" ca="1" si="32"/>
        <v>236588.92586003267</v>
      </c>
      <c r="T57" s="571">
        <f t="shared" ca="1" si="32"/>
        <v>224203.41487629924</v>
      </c>
      <c r="U57" s="571">
        <f t="shared" ca="1" si="32"/>
        <v>281815.73520839826</v>
      </c>
      <c r="V57" s="571">
        <f t="shared" ca="1" si="32"/>
        <v>258754.59546552043</v>
      </c>
      <c r="W57" s="572">
        <f t="shared" si="32"/>
        <v>0</v>
      </c>
    </row>
    <row r="58" spans="1:25">
      <c r="A58" s="28"/>
      <c r="B58" s="23"/>
      <c r="E58" s="63"/>
      <c r="F58" s="63"/>
      <c r="G58" s="54"/>
      <c r="H58" s="54"/>
      <c r="I58" s="54"/>
      <c r="J58" s="54"/>
      <c r="K58" s="54"/>
      <c r="L58" s="58"/>
      <c r="N58" s="23"/>
      <c r="P58" s="55"/>
      <c r="Q58" s="55"/>
      <c r="R58" s="55"/>
      <c r="S58" s="55"/>
      <c r="T58" s="55"/>
      <c r="U58" s="55"/>
      <c r="V58" s="55"/>
      <c r="W58" s="166"/>
    </row>
    <row r="59" spans="1:25">
      <c r="A59" s="28"/>
      <c r="B59" s="23" t="s">
        <v>480</v>
      </c>
      <c r="E59" s="63"/>
      <c r="F59" s="63"/>
      <c r="G59" s="63"/>
      <c r="H59" s="63"/>
      <c r="I59" s="63"/>
      <c r="J59" s="63"/>
      <c r="K59" s="63"/>
      <c r="L59" s="64"/>
      <c r="N59" s="23" t="s">
        <v>670</v>
      </c>
      <c r="P59" s="459">
        <v>1</v>
      </c>
      <c r="Q59" s="459">
        <f>P59</f>
        <v>1</v>
      </c>
      <c r="R59" s="459">
        <f t="shared" ref="R59:W59" si="33">Q59</f>
        <v>1</v>
      </c>
      <c r="S59" s="459">
        <f t="shared" si="33"/>
        <v>1</v>
      </c>
      <c r="T59" s="459">
        <f t="shared" si="33"/>
        <v>1</v>
      </c>
      <c r="U59" s="459">
        <f t="shared" si="33"/>
        <v>1</v>
      </c>
      <c r="V59" s="459">
        <f t="shared" si="33"/>
        <v>1</v>
      </c>
      <c r="W59" s="592">
        <f t="shared" si="33"/>
        <v>1</v>
      </c>
    </row>
    <row r="60" spans="1:25">
      <c r="A60" s="28"/>
      <c r="B60" s="23"/>
      <c r="E60" s="63"/>
      <c r="F60" s="63"/>
      <c r="G60" s="54"/>
      <c r="H60" s="54"/>
      <c r="I60" s="54"/>
      <c r="J60" s="54"/>
      <c r="K60" s="54"/>
      <c r="L60" s="58"/>
      <c r="N60" s="23"/>
      <c r="P60" s="55"/>
      <c r="Q60" s="55"/>
      <c r="R60" s="55"/>
      <c r="S60" s="55"/>
      <c r="T60" s="55"/>
      <c r="U60" s="55"/>
      <c r="V60" s="55"/>
      <c r="W60" s="166"/>
    </row>
    <row r="61" spans="1:25" ht="13.5" thickBot="1">
      <c r="A61" s="28"/>
      <c r="B61" s="72" t="s">
        <v>95</v>
      </c>
      <c r="C61" s="412"/>
      <c r="D61" s="412"/>
      <c r="E61" s="137">
        <f t="shared" ref="E61:L61" si="34">E53-E55-E57-E59</f>
        <v>0</v>
      </c>
      <c r="F61" s="137">
        <f t="shared" ca="1" si="34"/>
        <v>-1.2221335055073723E-11</v>
      </c>
      <c r="G61" s="137">
        <f t="shared" ca="1" si="34"/>
        <v>-2.6773250283440575E-11</v>
      </c>
      <c r="H61" s="137">
        <f t="shared" ca="1" si="34"/>
        <v>3.1434410630026832E-11</v>
      </c>
      <c r="I61" s="137">
        <f t="shared" ca="1" si="34"/>
        <v>-2.6773250283440575E-11</v>
      </c>
      <c r="J61" s="137">
        <f t="shared" ca="1" si="34"/>
        <v>3.1434410630026832E-11</v>
      </c>
      <c r="K61" s="137">
        <f t="shared" ca="1" si="34"/>
        <v>-2.6773250283440575E-11</v>
      </c>
      <c r="L61" s="138">
        <f t="shared" ca="1" si="34"/>
        <v>3.1434410630026832E-11</v>
      </c>
      <c r="N61" s="595" t="s">
        <v>758</v>
      </c>
      <c r="O61" s="412"/>
      <c r="P61" s="593">
        <f t="shared" ref="P61:W61" ca="1" si="35">P57*(P59)</f>
        <v>107966.86193366458</v>
      </c>
      <c r="Q61" s="593">
        <f t="shared" ca="1" si="35"/>
        <v>144633.66036038569</v>
      </c>
      <c r="R61" s="593">
        <f t="shared" ca="1" si="35"/>
        <v>229639.52635261681</v>
      </c>
      <c r="S61" s="593">
        <f t="shared" ca="1" si="35"/>
        <v>236588.92586003267</v>
      </c>
      <c r="T61" s="593">
        <f t="shared" ca="1" si="35"/>
        <v>224203.41487629924</v>
      </c>
      <c r="U61" s="593">
        <f t="shared" ca="1" si="35"/>
        <v>281815.73520839826</v>
      </c>
      <c r="V61" s="593">
        <f t="shared" ca="1" si="35"/>
        <v>258754.59546552043</v>
      </c>
      <c r="W61" s="594">
        <f t="shared" si="35"/>
        <v>0</v>
      </c>
    </row>
    <row r="62" spans="1:25" ht="13.5" thickBot="1">
      <c r="A62" s="28"/>
    </row>
    <row r="63" spans="1:25">
      <c r="A63" s="28"/>
      <c r="B63" s="34" t="s">
        <v>379</v>
      </c>
      <c r="C63" s="19"/>
      <c r="D63" s="19"/>
      <c r="E63" s="19"/>
      <c r="F63" s="19"/>
      <c r="G63" s="19"/>
      <c r="H63" s="19"/>
      <c r="I63" s="19"/>
      <c r="J63" s="19"/>
      <c r="K63" s="19"/>
      <c r="L63" s="417"/>
      <c r="M63" s="54">
        <f t="shared" ref="M63:M71" si="36">M51</f>
        <v>0</v>
      </c>
    </row>
    <row r="64" spans="1:25">
      <c r="A64" s="28"/>
      <c r="B64" s="23"/>
      <c r="L64" s="166"/>
      <c r="M64" s="54">
        <f t="shared" si="36"/>
        <v>0</v>
      </c>
    </row>
    <row r="65" spans="1:26">
      <c r="A65" s="28"/>
      <c r="B65" s="69" t="str">
        <f>B53</f>
        <v>Result after taks</v>
      </c>
      <c r="F65" s="424">
        <f t="shared" ref="F65:L65" ca="1" si="37">F53</f>
        <v>-1.2221335055073723E-11</v>
      </c>
      <c r="G65" s="424">
        <f t="shared" ca="1" si="37"/>
        <v>-2.6773250283440575E-11</v>
      </c>
      <c r="H65" s="424">
        <f t="shared" ca="1" si="37"/>
        <v>3.1434410630026832E-11</v>
      </c>
      <c r="I65" s="424">
        <f t="shared" ca="1" si="37"/>
        <v>-2.6773250283440575E-11</v>
      </c>
      <c r="J65" s="424">
        <f t="shared" ca="1" si="37"/>
        <v>3.1434410630026832E-11</v>
      </c>
      <c r="K65" s="424">
        <f t="shared" ca="1" si="37"/>
        <v>-2.6773250283440575E-11</v>
      </c>
      <c r="L65" s="422">
        <f t="shared" ca="1" si="37"/>
        <v>3.1434410630026832E-11</v>
      </c>
      <c r="M65" s="54">
        <f t="shared" si="36"/>
        <v>0</v>
      </c>
    </row>
    <row r="66" spans="1:26">
      <c r="A66" s="28"/>
      <c r="B66" s="23"/>
      <c r="L66" s="166"/>
      <c r="M66" s="54">
        <f t="shared" si="36"/>
        <v>0</v>
      </c>
    </row>
    <row r="67" spans="1:26">
      <c r="A67" s="28"/>
      <c r="B67" s="90" t="s">
        <v>134</v>
      </c>
      <c r="C67" s="78"/>
      <c r="F67" s="91">
        <f ca="1">-'RCE PP&amp;E'!F64</f>
        <v>-123165</v>
      </c>
      <c r="G67" s="91">
        <f ca="1">-'RCE PP&amp;E'!G64</f>
        <v>-2410900.1778759998</v>
      </c>
      <c r="H67" s="91">
        <f ca="1">-'RCE PP&amp;E'!H64</f>
        <v>-211819.33112615996</v>
      </c>
      <c r="I67" s="91">
        <f ca="1">-'RCE PP&amp;E'!I64</f>
        <v>-314611.61421776027</v>
      </c>
      <c r="J67" s="91">
        <f ca="1">-'RCE PP&amp;E'!J64</f>
        <v>-246784.78618760794</v>
      </c>
      <c r="K67" s="91">
        <f ca="1">-'RCE PP&amp;E'!K64</f>
        <v>-317062.31540360872</v>
      </c>
      <c r="L67" s="92">
        <f ca="1">-'RCE PP&amp;E'!L64</f>
        <v>-311290.52552484709</v>
      </c>
      <c r="M67" s="54">
        <f t="shared" si="36"/>
        <v>0</v>
      </c>
    </row>
    <row r="68" spans="1:26">
      <c r="A68" s="28"/>
      <c r="B68" s="90" t="s">
        <v>146</v>
      </c>
      <c r="C68" s="78"/>
      <c r="F68" s="91">
        <f>'RCE PP&amp;E'!F96</f>
        <v>0</v>
      </c>
      <c r="G68" s="91">
        <f ca="1">'RCE PP&amp;E'!G96</f>
        <v>1589793.7431033759</v>
      </c>
      <c r="H68" s="91">
        <f ca="1">'RCE PP&amp;E'!H96</f>
        <v>96000.941901329978</v>
      </c>
      <c r="I68" s="91">
        <f ca="1">'RCE PP&amp;E'!I96</f>
        <v>113817.05849788016</v>
      </c>
      <c r="J68" s="91">
        <f ca="1">'RCE PP&amp;E'!J96</f>
        <v>116191.33407055397</v>
      </c>
      <c r="K68" s="91">
        <f ca="1">'RCE PP&amp;E'!K96</f>
        <v>118515.16075196506</v>
      </c>
      <c r="L68" s="92">
        <f ca="1">'RCE PP&amp;E'!L96</f>
        <v>120885.46396700434</v>
      </c>
      <c r="M68" s="54">
        <f t="shared" si="36"/>
        <v>0</v>
      </c>
    </row>
    <row r="69" spans="1:26">
      <c r="A69" s="28"/>
      <c r="B69" s="8" t="str">
        <f>B44</f>
        <v>Activated subsidy</v>
      </c>
      <c r="C69" s="91"/>
      <c r="F69" s="91">
        <f t="shared" ref="F69:L69" si="38">-F44</f>
        <v>0</v>
      </c>
      <c r="G69" s="91">
        <f t="shared" ca="1" si="38"/>
        <v>-61850.178735815032</v>
      </c>
      <c r="H69" s="91">
        <f ca="1">-H44</f>
        <v>-134715.66155674006</v>
      </c>
      <c r="I69" s="91">
        <f t="shared" ca="1" si="38"/>
        <v>-130684.66129203347</v>
      </c>
      <c r="J69" s="91">
        <f t="shared" ca="1" si="38"/>
        <v>-115514.76236910812</v>
      </c>
      <c r="K69" s="91">
        <f t="shared" ca="1" si="38"/>
        <v>-165577.61015620647</v>
      </c>
      <c r="L69" s="92">
        <f t="shared" ca="1" si="38"/>
        <v>-137623.42431747701</v>
      </c>
      <c r="M69" s="54">
        <f t="shared" si="36"/>
        <v>0</v>
      </c>
    </row>
    <row r="70" spans="1:26">
      <c r="A70" s="28"/>
      <c r="B70" s="8" t="s">
        <v>30</v>
      </c>
      <c r="C70" s="91"/>
      <c r="F70" s="91">
        <f ca="1">-F45</f>
        <v>105126.12247723859</v>
      </c>
      <c r="G70" s="91">
        <f ca="1">-G45</f>
        <v>169992.10746847751</v>
      </c>
      <c r="H70" s="91">
        <f ca="1">-H45</f>
        <v>327141.60367856373</v>
      </c>
      <c r="I70" s="91">
        <f ca="1">-I45</f>
        <v>328283.79413310677</v>
      </c>
      <c r="J70" s="91">
        <f ca="1">-J45</f>
        <v>300055.79998805176</v>
      </c>
      <c r="K70" s="91">
        <f ca="1">-K45</f>
        <v>406005.67762054346</v>
      </c>
      <c r="L70" s="92">
        <f ca="1">-L45</f>
        <v>353399.48682864942</v>
      </c>
      <c r="M70" s="54">
        <f t="shared" si="36"/>
        <v>0</v>
      </c>
      <c r="Y70" s="26"/>
    </row>
    <row r="71" spans="1:26">
      <c r="A71" s="28"/>
      <c r="B71" s="8" t="s">
        <v>759</v>
      </c>
      <c r="C71" s="91"/>
      <c r="F71" s="91">
        <f>-F39</f>
        <v>2578.4040535220342</v>
      </c>
      <c r="G71" s="91">
        <f t="shared" ref="G71:L71" si="39">-G39</f>
        <v>0</v>
      </c>
      <c r="H71" s="91">
        <f t="shared" si="39"/>
        <v>0</v>
      </c>
      <c r="I71" s="91">
        <f t="shared" si="39"/>
        <v>0</v>
      </c>
      <c r="J71" s="91">
        <f t="shared" si="39"/>
        <v>0</v>
      </c>
      <c r="K71" s="91">
        <f t="shared" si="39"/>
        <v>0</v>
      </c>
      <c r="L71" s="92">
        <f t="shared" si="39"/>
        <v>0</v>
      </c>
      <c r="M71" s="54">
        <f t="shared" si="36"/>
        <v>0</v>
      </c>
      <c r="Y71" s="26"/>
      <c r="Z71" s="26"/>
    </row>
    <row r="72" spans="1:26">
      <c r="A72" s="28"/>
      <c r="B72" s="8" t="s">
        <v>678</v>
      </c>
      <c r="C72" s="91"/>
      <c r="F72" s="91">
        <f>-'RCE PP&amp;E'!F48</f>
        <v>0</v>
      </c>
      <c r="G72" s="91">
        <f>-'RCE PP&amp;E'!G48</f>
        <v>0</v>
      </c>
      <c r="H72" s="91">
        <f>-'RCE PP&amp;E'!H48</f>
        <v>0</v>
      </c>
      <c r="I72" s="91">
        <f>-'RCE PP&amp;E'!I48</f>
        <v>-2228.5338183861554</v>
      </c>
      <c r="J72" s="91">
        <f>-'RCE PP&amp;E'!J48</f>
        <v>0</v>
      </c>
      <c r="K72" s="91">
        <f>-'RCE PP&amp;E'!K48</f>
        <v>0</v>
      </c>
      <c r="L72" s="92">
        <f>-'RCE PP&amp;E'!L48</f>
        <v>-2306.3057952342942</v>
      </c>
      <c r="X72" s="26"/>
      <c r="Y72" s="57"/>
      <c r="Z72" s="26"/>
    </row>
    <row r="73" spans="1:26">
      <c r="B73" s="274" t="str">
        <f>N36</f>
        <v xml:space="preserve">Transfer of inventories to EN EooD </v>
      </c>
      <c r="C73" s="87"/>
      <c r="F73" s="91">
        <f>P45</f>
        <v>254899.69987166577</v>
      </c>
      <c r="G73" s="91"/>
      <c r="H73" s="91"/>
      <c r="I73" s="91"/>
      <c r="J73" s="91"/>
      <c r="K73" s="91"/>
      <c r="L73" s="92"/>
      <c r="Z73" s="57"/>
    </row>
    <row r="74" spans="1:26">
      <c r="B74" s="8" t="s">
        <v>364</v>
      </c>
      <c r="C74" s="91"/>
      <c r="F74" s="91">
        <f>-P45</f>
        <v>-254899.69987166577</v>
      </c>
      <c r="G74" s="287"/>
      <c r="H74" s="287"/>
      <c r="I74" s="287"/>
      <c r="J74" s="287"/>
      <c r="K74" s="287"/>
      <c r="L74" s="288"/>
    </row>
    <row r="75" spans="1:26" ht="13.5" thickBot="1">
      <c r="B75" s="229" t="s">
        <v>40</v>
      </c>
      <c r="C75" s="91"/>
      <c r="F75" s="102">
        <f t="shared" ref="F75:L75" ca="1" si="40">SUM(F65:F74)</f>
        <v>-15460.473469239398</v>
      </c>
      <c r="G75" s="102">
        <f t="shared" ca="1" si="40"/>
        <v>-712964.50603996147</v>
      </c>
      <c r="H75" s="102">
        <f t="shared" ca="1" si="40"/>
        <v>76607.5528969937</v>
      </c>
      <c r="I75" s="102">
        <f t="shared" ca="1" si="40"/>
        <v>-5423.9566971929253</v>
      </c>
      <c r="J75" s="102">
        <f t="shared" ca="1" si="40"/>
        <v>53947.585501889698</v>
      </c>
      <c r="K75" s="102">
        <f t="shared" ca="1" si="40"/>
        <v>41880.912812693336</v>
      </c>
      <c r="L75" s="284">
        <f t="shared" ca="1" si="40"/>
        <v>23064.695158095434</v>
      </c>
    </row>
    <row r="76" spans="1:26" ht="13.5" thickTop="1">
      <c r="B76" s="8"/>
      <c r="C76" s="78"/>
      <c r="F76" s="78"/>
      <c r="G76" s="78"/>
      <c r="H76" s="78"/>
      <c r="I76" s="78"/>
      <c r="J76" s="217"/>
      <c r="K76" s="217"/>
      <c r="L76" s="281"/>
    </row>
    <row r="77" spans="1:26">
      <c r="B77" s="283" t="s">
        <v>616</v>
      </c>
      <c r="C77" s="78"/>
      <c r="F77" s="78"/>
      <c r="G77" s="78"/>
      <c r="H77" s="78"/>
      <c r="I77" s="78"/>
      <c r="J77" s="217"/>
      <c r="K77" s="217"/>
      <c r="L77" s="281"/>
    </row>
    <row r="78" spans="1:26">
      <c r="B78" s="8" t="s">
        <v>33</v>
      </c>
      <c r="C78" s="78"/>
      <c r="F78" s="91"/>
      <c r="G78" s="91"/>
      <c r="H78" s="91"/>
      <c r="I78" s="91"/>
      <c r="J78" s="91"/>
      <c r="K78" s="91"/>
      <c r="L78" s="92"/>
    </row>
    <row r="79" spans="1:26">
      <c r="B79" s="8" t="s">
        <v>16</v>
      </c>
      <c r="C79" s="91"/>
      <c r="F79" s="91"/>
      <c r="G79" s="91"/>
      <c r="H79" s="91"/>
      <c r="I79" s="91"/>
      <c r="J79" s="91"/>
      <c r="K79" s="91"/>
      <c r="L79" s="92"/>
    </row>
    <row r="80" spans="1:26">
      <c r="B80" s="8" t="s">
        <v>17</v>
      </c>
      <c r="C80" s="78"/>
      <c r="F80" s="289"/>
      <c r="G80" s="289"/>
      <c r="H80" s="289"/>
      <c r="I80" s="289"/>
      <c r="J80" s="289"/>
      <c r="K80" s="289"/>
      <c r="L80" s="285"/>
    </row>
    <row r="81" spans="2:12" ht="13.5" thickBot="1">
      <c r="B81" s="8"/>
      <c r="C81" s="78"/>
      <c r="F81" s="290">
        <v>0</v>
      </c>
      <c r="G81" s="290">
        <v>0</v>
      </c>
      <c r="H81" s="290">
        <v>0</v>
      </c>
      <c r="I81" s="290">
        <v>0</v>
      </c>
      <c r="J81" s="290">
        <v>0</v>
      </c>
      <c r="K81" s="290">
        <v>0</v>
      </c>
      <c r="L81" s="291">
        <v>0</v>
      </c>
    </row>
    <row r="82" spans="2:12" ht="13.5" thickTop="1">
      <c r="B82" s="283" t="s">
        <v>677</v>
      </c>
      <c r="C82" s="78"/>
      <c r="F82" s="91"/>
      <c r="G82" s="91"/>
      <c r="H82" s="91"/>
      <c r="I82" s="91"/>
      <c r="J82" s="91"/>
      <c r="K82" s="91"/>
      <c r="L82" s="92"/>
    </row>
    <row r="83" spans="2:12">
      <c r="B83" s="8" t="s">
        <v>33</v>
      </c>
      <c r="C83" s="78"/>
      <c r="F83" s="91"/>
      <c r="G83" s="91"/>
      <c r="H83" s="91"/>
      <c r="I83" s="91"/>
      <c r="J83" s="91"/>
      <c r="K83" s="91"/>
      <c r="L83" s="92"/>
    </row>
    <row r="84" spans="2:12">
      <c r="B84" s="8" t="s">
        <v>618</v>
      </c>
      <c r="C84" s="78"/>
      <c r="F84" s="91"/>
      <c r="G84" s="91"/>
      <c r="H84" s="91"/>
      <c r="I84" s="91"/>
      <c r="J84" s="91"/>
      <c r="K84" s="91"/>
      <c r="L84" s="92"/>
    </row>
    <row r="85" spans="2:12">
      <c r="B85" s="8" t="s">
        <v>16</v>
      </c>
      <c r="C85" s="78"/>
      <c r="F85" s="91"/>
      <c r="G85" s="91"/>
      <c r="H85" s="91"/>
      <c r="I85" s="91"/>
      <c r="J85" s="91"/>
      <c r="K85" s="91"/>
      <c r="L85" s="92"/>
    </row>
    <row r="86" spans="2:12">
      <c r="B86" s="8" t="s">
        <v>619</v>
      </c>
      <c r="C86" s="78"/>
      <c r="F86" s="289"/>
      <c r="G86" s="289"/>
      <c r="H86" s="289"/>
      <c r="I86" s="289"/>
      <c r="J86" s="289"/>
      <c r="K86" s="289"/>
      <c r="L86" s="285"/>
    </row>
    <row r="87" spans="2:12" ht="13.5" thickBot="1">
      <c r="B87" s="8"/>
      <c r="C87" s="78"/>
      <c r="F87" s="290">
        <v>0</v>
      </c>
      <c r="G87" s="290">
        <v>0</v>
      </c>
      <c r="H87" s="290">
        <v>0</v>
      </c>
      <c r="I87" s="290">
        <v>0</v>
      </c>
      <c r="J87" s="290">
        <v>0</v>
      </c>
      <c r="K87" s="290">
        <v>0</v>
      </c>
      <c r="L87" s="291">
        <v>0</v>
      </c>
    </row>
    <row r="88" spans="2:12" ht="13.5" thickTop="1">
      <c r="B88" s="8"/>
      <c r="C88" s="78"/>
      <c r="F88" s="91"/>
      <c r="G88" s="91"/>
      <c r="H88" s="91"/>
      <c r="I88" s="91"/>
      <c r="J88" s="91"/>
      <c r="K88" s="91"/>
      <c r="L88" s="92"/>
    </row>
    <row r="89" spans="2:12" ht="13.5" thickBot="1">
      <c r="B89" s="229" t="s">
        <v>39</v>
      </c>
      <c r="C89" s="91"/>
      <c r="F89" s="102">
        <f ca="1">F75+F81+F87</f>
        <v>-15460.473469239398</v>
      </c>
      <c r="G89" s="102">
        <f t="shared" ref="G89:L89" ca="1" si="41">G75+G81+G87</f>
        <v>-712964.50603996147</v>
      </c>
      <c r="H89" s="102">
        <f t="shared" ca="1" si="41"/>
        <v>76607.5528969937</v>
      </c>
      <c r="I89" s="102">
        <f t="shared" ca="1" si="41"/>
        <v>-5423.9566971929253</v>
      </c>
      <c r="J89" s="102">
        <f t="shared" ca="1" si="41"/>
        <v>53947.585501889698</v>
      </c>
      <c r="K89" s="102">
        <f t="shared" ca="1" si="41"/>
        <v>41880.912812693336</v>
      </c>
      <c r="L89" s="284">
        <f t="shared" ca="1" si="41"/>
        <v>23064.695158095434</v>
      </c>
    </row>
    <row r="90" spans="2:12" ht="13.5" thickTop="1">
      <c r="B90" s="229"/>
      <c r="C90" s="91"/>
      <c r="F90" s="96"/>
      <c r="G90" s="96"/>
      <c r="H90" s="96"/>
      <c r="I90" s="292"/>
      <c r="J90" s="217"/>
      <c r="K90" s="217"/>
      <c r="L90" s="281"/>
    </row>
    <row r="91" spans="2:12">
      <c r="B91" s="280" t="s">
        <v>67</v>
      </c>
      <c r="C91" s="217"/>
      <c r="F91" s="279"/>
      <c r="G91" s="279"/>
      <c r="H91" s="279"/>
      <c r="I91" s="279"/>
      <c r="J91" s="279"/>
      <c r="K91" s="279"/>
      <c r="L91" s="282"/>
    </row>
    <row r="92" spans="2:12">
      <c r="B92" s="204" t="s">
        <v>53</v>
      </c>
      <c r="C92" s="217"/>
      <c r="F92" s="279">
        <f>-F25</f>
        <v>0</v>
      </c>
      <c r="G92" s="279">
        <f t="shared" ref="G92:L92" si="42">-G24+F24</f>
        <v>0</v>
      </c>
      <c r="H92" s="279">
        <f t="shared" si="42"/>
        <v>0</v>
      </c>
      <c r="I92" s="279">
        <f t="shared" si="42"/>
        <v>0</v>
      </c>
      <c r="J92" s="279">
        <f t="shared" si="42"/>
        <v>0</v>
      </c>
      <c r="K92" s="279">
        <f t="shared" si="42"/>
        <v>0</v>
      </c>
      <c r="L92" s="282">
        <f t="shared" si="42"/>
        <v>0</v>
      </c>
    </row>
    <row r="93" spans="2:12">
      <c r="B93" s="204" t="s">
        <v>50</v>
      </c>
      <c r="C93" s="217"/>
      <c r="F93" s="279">
        <f ca="1">+Q16</f>
        <v>4.6804541054601838</v>
      </c>
      <c r="G93" s="279">
        <f t="shared" ref="G93:L93" ca="1" si="43">+R16-Q16</f>
        <v>1811.4698112409637</v>
      </c>
      <c r="H93" s="279">
        <f t="shared" ca="1" si="43"/>
        <v>36.092630153495975</v>
      </c>
      <c r="I93" s="279">
        <f t="shared" ca="1" si="43"/>
        <v>88.81043940831114</v>
      </c>
      <c r="J93" s="279">
        <f t="shared" ca="1" si="43"/>
        <v>33.629211919811041</v>
      </c>
      <c r="K93" s="279">
        <f t="shared" ca="1" si="43"/>
        <v>86.264524335284932</v>
      </c>
      <c r="L93" s="282">
        <f t="shared" ca="1" si="43"/>
        <v>79.543260514335543</v>
      </c>
    </row>
    <row r="94" spans="2:12">
      <c r="B94" s="204" t="s">
        <v>368</v>
      </c>
      <c r="C94" s="217"/>
      <c r="F94" s="279">
        <f t="shared" ref="F94:L94" ca="1" si="44">+Q18-P18</f>
        <v>0</v>
      </c>
      <c r="G94" s="279">
        <f t="shared" ca="1" si="44"/>
        <v>0</v>
      </c>
      <c r="H94" s="279">
        <f t="shared" ca="1" si="44"/>
        <v>0</v>
      </c>
      <c r="I94" s="279">
        <f t="shared" ca="1" si="44"/>
        <v>0</v>
      </c>
      <c r="J94" s="279">
        <f t="shared" ca="1" si="44"/>
        <v>0</v>
      </c>
      <c r="K94" s="279">
        <f t="shared" ca="1" si="44"/>
        <v>0</v>
      </c>
      <c r="L94" s="282">
        <f t="shared" ca="1" si="44"/>
        <v>0</v>
      </c>
    </row>
    <row r="95" spans="2:12">
      <c r="B95" s="204" t="s">
        <v>674</v>
      </c>
      <c r="C95" s="217"/>
      <c r="F95" s="294">
        <f t="shared" ref="F95:L95" si="45">-F55-E57</f>
        <v>0</v>
      </c>
      <c r="G95" s="294">
        <f t="shared" si="45"/>
        <v>0</v>
      </c>
      <c r="H95" s="294">
        <f t="shared" si="45"/>
        <v>0</v>
      </c>
      <c r="I95" s="294">
        <f t="shared" si="45"/>
        <v>0</v>
      </c>
      <c r="J95" s="294">
        <f t="shared" si="45"/>
        <v>0</v>
      </c>
      <c r="K95" s="294">
        <f t="shared" si="45"/>
        <v>0</v>
      </c>
      <c r="L95" s="295">
        <f t="shared" si="45"/>
        <v>0</v>
      </c>
    </row>
    <row r="96" spans="2:12">
      <c r="B96" s="280" t="s">
        <v>69</v>
      </c>
      <c r="C96" s="217"/>
      <c r="F96" s="279">
        <f t="shared" ref="F96:L96" ca="1" si="46">SUM(F92:F95)</f>
        <v>4.6804541054601838</v>
      </c>
      <c r="G96" s="279">
        <f t="shared" ca="1" si="46"/>
        <v>1811.4698112409637</v>
      </c>
      <c r="H96" s="279">
        <f t="shared" ca="1" si="46"/>
        <v>36.092630153495975</v>
      </c>
      <c r="I96" s="279">
        <f t="shared" ca="1" si="46"/>
        <v>88.81043940831114</v>
      </c>
      <c r="J96" s="279">
        <f t="shared" ca="1" si="46"/>
        <v>33.629211919811041</v>
      </c>
      <c r="K96" s="279">
        <f t="shared" ca="1" si="46"/>
        <v>86.264524335284932</v>
      </c>
      <c r="L96" s="282">
        <f t="shared" ca="1" si="46"/>
        <v>79.543260514335543</v>
      </c>
    </row>
    <row r="97" spans="1:16">
      <c r="B97" s="204"/>
      <c r="C97" s="217"/>
      <c r="F97" s="217"/>
      <c r="G97" s="217"/>
      <c r="H97" s="217"/>
      <c r="I97" s="217"/>
      <c r="J97" s="217"/>
      <c r="K97" s="217"/>
      <c r="L97" s="281"/>
    </row>
    <row r="98" spans="1:16">
      <c r="B98" s="8" t="s">
        <v>37</v>
      </c>
      <c r="C98" s="91"/>
      <c r="F98" s="91">
        <f t="shared" ref="F98:L98" si="47">E103</f>
        <v>0</v>
      </c>
      <c r="G98" s="91">
        <f t="shared" ca="1" si="47"/>
        <v>4544.2069848660631</v>
      </c>
      <c r="H98" s="91">
        <f t="shared" ca="1" si="47"/>
        <v>3391.1707561454969</v>
      </c>
      <c r="I98" s="91">
        <f t="shared" ca="1" si="47"/>
        <v>8003.4816283292603</v>
      </c>
      <c r="J98" s="91">
        <f t="shared" ca="1" si="47"/>
        <v>266.83353705446461</v>
      </c>
      <c r="K98" s="91">
        <f t="shared" ca="1" si="47"/>
        <v>5424.804825086394</v>
      </c>
      <c r="L98" s="92">
        <f t="shared" ca="1" si="47"/>
        <v>4739.1982162115019</v>
      </c>
    </row>
    <row r="99" spans="1:16" ht="13.5" thickBot="1">
      <c r="B99" s="235" t="s">
        <v>38</v>
      </c>
      <c r="C99" s="582"/>
      <c r="D99" s="412"/>
      <c r="E99" s="412"/>
      <c r="F99" s="583">
        <f t="shared" ref="F99:L99" ca="1" si="48">F89+F96+F98</f>
        <v>-15455.793015133937</v>
      </c>
      <c r="G99" s="583">
        <f t="shared" ca="1" si="48"/>
        <v>-706608.8292438545</v>
      </c>
      <c r="H99" s="583">
        <f t="shared" ca="1" si="48"/>
        <v>80034.81628329269</v>
      </c>
      <c r="I99" s="583">
        <f t="shared" ca="1" si="48"/>
        <v>2668.3353705446461</v>
      </c>
      <c r="J99" s="583">
        <f t="shared" ca="1" si="48"/>
        <v>54248.048250863976</v>
      </c>
      <c r="K99" s="583">
        <f t="shared" ca="1" si="48"/>
        <v>47391.982162115011</v>
      </c>
      <c r="L99" s="584">
        <f t="shared" ca="1" si="48"/>
        <v>27883.436634821272</v>
      </c>
    </row>
    <row r="100" spans="1:16">
      <c r="A100" s="91"/>
      <c r="B100" s="452"/>
      <c r="C100" s="19"/>
      <c r="D100" s="19"/>
      <c r="E100" s="19"/>
      <c r="F100" s="19"/>
      <c r="G100" s="19"/>
      <c r="H100" s="19"/>
      <c r="I100" s="19"/>
      <c r="J100" s="19"/>
      <c r="K100" s="19"/>
      <c r="L100" s="417"/>
    </row>
    <row r="101" spans="1:16">
      <c r="B101" s="23" t="s">
        <v>675</v>
      </c>
      <c r="F101" s="55">
        <f ca="1">IF(F99&lt;0,CEILING(-F99,10000),0)</f>
        <v>20000</v>
      </c>
      <c r="G101" s="55">
        <f t="shared" ref="G101:L101" ca="1" si="49">IF(G99&lt;0,CEILING(-G99,10000),0)</f>
        <v>710000</v>
      </c>
      <c r="H101" s="55">
        <f t="shared" ca="1" si="49"/>
        <v>0</v>
      </c>
      <c r="I101" s="55">
        <f t="shared" ca="1" si="49"/>
        <v>0</v>
      </c>
      <c r="J101" s="55">
        <f t="shared" ca="1" si="49"/>
        <v>0</v>
      </c>
      <c r="K101" s="55">
        <f t="shared" ca="1" si="49"/>
        <v>0</v>
      </c>
      <c r="L101" s="56">
        <f t="shared" ca="1" si="49"/>
        <v>0</v>
      </c>
    </row>
    <row r="102" spans="1:16">
      <c r="B102" s="23" t="s">
        <v>760</v>
      </c>
      <c r="E102" s="361">
        <v>0.9</v>
      </c>
      <c r="F102" s="55">
        <f t="shared" ref="F102:L102" ca="1" si="50">IF(F99&lt;0,0,IF(F99+F101&gt;0,-(F99-F101)*$E$102,0))</f>
        <v>0</v>
      </c>
      <c r="G102" s="55">
        <f t="shared" ca="1" si="50"/>
        <v>0</v>
      </c>
      <c r="H102" s="55">
        <f t="shared" ca="1" si="50"/>
        <v>-72031.33465496343</v>
      </c>
      <c r="I102" s="55">
        <f t="shared" ca="1" si="50"/>
        <v>-2401.5018334901815</v>
      </c>
      <c r="J102" s="55">
        <f t="shared" ca="1" si="50"/>
        <v>-48823.243425777582</v>
      </c>
      <c r="K102" s="55">
        <f t="shared" ca="1" si="50"/>
        <v>-42652.783945903509</v>
      </c>
      <c r="L102" s="56">
        <f t="shared" ca="1" si="50"/>
        <v>-25095.092971339145</v>
      </c>
    </row>
    <row r="103" spans="1:16" ht="13.5" thickBot="1">
      <c r="B103" s="168" t="s">
        <v>676</v>
      </c>
      <c r="C103" s="412"/>
      <c r="D103" s="412"/>
      <c r="E103" s="412"/>
      <c r="F103" s="585">
        <f t="shared" ref="F103:L103" ca="1" si="51">F99+F101+F102</f>
        <v>4544.2069848660631</v>
      </c>
      <c r="G103" s="585">
        <f t="shared" ca="1" si="51"/>
        <v>3391.1707561454969</v>
      </c>
      <c r="H103" s="585">
        <f t="shared" ca="1" si="51"/>
        <v>8003.4816283292603</v>
      </c>
      <c r="I103" s="585">
        <f t="shared" ca="1" si="51"/>
        <v>266.83353705446461</v>
      </c>
      <c r="J103" s="585">
        <f t="shared" ca="1" si="51"/>
        <v>5424.804825086394</v>
      </c>
      <c r="K103" s="585">
        <f t="shared" ca="1" si="51"/>
        <v>4739.1982162115019</v>
      </c>
      <c r="L103" s="586">
        <f t="shared" ca="1" si="51"/>
        <v>2788.3436634821264</v>
      </c>
    </row>
    <row r="104" spans="1:16" ht="13.5" thickBot="1">
      <c r="B104" s="91"/>
      <c r="C104" s="91"/>
      <c r="F104" s="91"/>
      <c r="G104" s="91"/>
    </row>
    <row r="105" spans="1:16">
      <c r="B105" s="296" t="s">
        <v>32</v>
      </c>
      <c r="C105" s="656"/>
      <c r="D105" s="19"/>
      <c r="E105" s="19"/>
      <c r="F105" s="657"/>
      <c r="G105" s="657"/>
      <c r="H105" s="657"/>
      <c r="I105" s="657"/>
      <c r="J105" s="657"/>
      <c r="K105" s="658"/>
      <c r="L105" s="659"/>
    </row>
    <row r="106" spans="1:16">
      <c r="B106" s="297" t="s">
        <v>392</v>
      </c>
      <c r="C106" s="660"/>
      <c r="F106" s="436">
        <f t="shared" ref="F106:L106" ca="1" si="52">F50</f>
        <v>-1.2221335055073723E-11</v>
      </c>
      <c r="G106" s="436">
        <f t="shared" ca="1" si="52"/>
        <v>-2.6773250283440575E-11</v>
      </c>
      <c r="H106" s="436">
        <f t="shared" ca="1" si="52"/>
        <v>3.1434410630026832E-11</v>
      </c>
      <c r="I106" s="436">
        <f t="shared" ca="1" si="52"/>
        <v>-2.6773250283440575E-11</v>
      </c>
      <c r="J106" s="436">
        <f t="shared" ca="1" si="52"/>
        <v>3.1434410630026832E-11</v>
      </c>
      <c r="K106" s="436">
        <f t="shared" ca="1" si="52"/>
        <v>-2.6773250283440575E-11</v>
      </c>
      <c r="L106" s="671">
        <f t="shared" ca="1" si="52"/>
        <v>3.1434410630026832E-11</v>
      </c>
    </row>
    <row r="107" spans="1:16">
      <c r="B107" s="297" t="s">
        <v>32</v>
      </c>
      <c r="C107" s="669">
        <v>0.1</v>
      </c>
      <c r="F107" s="436">
        <f ca="1">IF('RCF-F'!$B$2&gt;='RCF-F'!F2,IF(F106&gt;0,-F106*$C$107,-F106*$C$107),0)</f>
        <v>1.2221335055073723E-12</v>
      </c>
      <c r="G107" s="436">
        <f ca="1">IF('RCF-F'!$B$2&gt;='RCF-F'!G2,IF(G106&gt;0,-G106*$C$107,-G106*$C$107),0)</f>
        <v>2.6773250283440576E-12</v>
      </c>
      <c r="H107" s="436">
        <f ca="1">IF('RCF-F'!$B$2&gt;='RCF-F'!H2,IF(H106&gt;0,-H106*$C$107,-H106*$C$107),0)</f>
        <v>-3.1434410630026835E-12</v>
      </c>
      <c r="I107" s="436">
        <f ca="1">IF('RCF-F'!$B$2&gt;='RCF-F'!I2,IF(I106&gt;0,-I106*$C$107,-I106*$C$107),0)</f>
        <v>2.6773250283440576E-12</v>
      </c>
      <c r="J107" s="436">
        <f ca="1">IF('RCF-F'!$B$2&gt;='RCF-F'!J2,IF(J106&gt;0,-J106*$C$107,-J106*$C$107),0)</f>
        <v>-3.1434410630026835E-12</v>
      </c>
      <c r="K107" s="436">
        <f ca="1">IF('RCF-F'!$B$2&gt;='RCF-F'!K2,IF(K106&gt;0,-K106*$C$107,-K106*$C$107),0)</f>
        <v>2.6773250283440576E-12</v>
      </c>
      <c r="L107" s="671">
        <f>IF('RCF-F'!$B$2&gt;='RCF-F'!L2,IF(L106&gt;0,-L106*$C$107,-L106*$C$107),0)</f>
        <v>0</v>
      </c>
    </row>
    <row r="108" spans="1:16">
      <c r="B108" s="298"/>
      <c r="C108" s="660"/>
      <c r="F108" s="661"/>
      <c r="G108" s="661"/>
      <c r="H108" s="661"/>
      <c r="I108" s="661"/>
      <c r="J108" s="661"/>
      <c r="K108" s="662"/>
      <c r="L108" s="663"/>
      <c r="P108" s="54"/>
    </row>
    <row r="109" spans="1:16">
      <c r="B109" s="73" t="s">
        <v>446</v>
      </c>
      <c r="C109" s="300"/>
      <c r="F109" s="670"/>
      <c r="G109" s="670">
        <f ca="1">IF(G107&lt;0,IF(-G107&lt;SUMIF($F$107:F107,"&gt;0",$F$107:F107)-SUMIF($F$109:F109,"&gt;0",$F$109:F109),-G107,SUMIF($F$107:F107,"&gt;0",$F$107:F107)-SUMIF($F$109:F109,"&gt;0",$F$109:F109)),0)*IF(SUMIF($F$107:F107,"&gt;0",$F$107:F107)-SUMIF($F$109:F109,"&gt;0",$F$109:F109)=0,0,1)</f>
        <v>0</v>
      </c>
      <c r="H109" s="670">
        <f ca="1">IF(H107&lt;0,IF(-H107&lt;SUMIF($F$107:G107,"&gt;0",$F$107:G107)-SUMIF($F$109:G109,"&gt;0",$F$109:G109),-H107,SUMIF($F$107:G107,"&gt;0",$F$107:G107)-SUMIF($F$109:G109,"&gt;0",$F$109:G109)),0)*IF(SUMIF($F$107:G107,"&gt;0",$F$107:G107)-SUMIF($F$109:G109,"&gt;0",$F$109:G109)=0,0,1)</f>
        <v>3.1434410630026835E-12</v>
      </c>
      <c r="I109" s="670">
        <f ca="1">IF(I107&lt;0,IF(-I107&lt;SUMIF($F$107:H107,"&gt;0",$F$107:H107)-SUMIF($F$109:H109,"&gt;0",$F$109:H109),-I107,SUMIF($F$107:H107,"&gt;0",$F$107:H107)-SUMIF($F$109:H109,"&gt;0",$F$109:H109)),0)*IF(SUMIF($F$107:H107,"&gt;0",$F$107:H107)-SUMIF($F$109:H109,"&gt;0",$F$109:H109)=0,0,1)</f>
        <v>0</v>
      </c>
      <c r="J109" s="670">
        <f ca="1">IF(J107&lt;0,IF(-J107&lt;SUMIF($F$107:I107,"&gt;0",$F$107:I107)-SUMIF($F$109:I109,"&gt;0",$F$109:I109),-J107,SUMIF($F$107:I107,"&gt;0",$F$107:I107)-SUMIF($F$109:I109,"&gt;0",$F$109:I109)),0)*IF(SUMIF($F$107:I107,"&gt;0",$F$107:I107)-SUMIF($F$109:I109,"&gt;0",$F$109:I109)=0,0,1)</f>
        <v>3.1434410630026835E-12</v>
      </c>
      <c r="K109" s="670">
        <f ca="1">IF(K107&lt;0,IF(-K107&lt;SUMIF($F$107:J107,"&gt;0",$F$107:J107)-SUMIF($F$109:J109,"&gt;0",$F$109:J109),-K107,SUMIF($F$107:J107,"&gt;0",$F$107:J107)-SUMIF($F$109:J109,"&gt;0",$F$109:J109)),0)*IF(SUMIF($F$107:J107,"&gt;0",$F$107:J107)-SUMIF($F$109:J109,"&gt;0",$F$109:J109)=0,0,1)</f>
        <v>0</v>
      </c>
      <c r="L109" s="672">
        <f ca="1">IF(L107&lt;0,IF(-L107&lt;SUMIF($F$107:K107,"&gt;0",$F$107:K107)-SUMIF($F$109:K109,"&gt;0",$F$109:K109),-L107,SUMIF($F$107:K107,"&gt;0",$F$107:K107)-SUMIF($F$109:K109,"&gt;0",$F$109:K109)),0)*IF(SUMIF($F$107:K107,"&gt;0",$F$107:K107)-SUMIF($F$109:K109,"&gt;0",$F$109:K109)=0,0,1)</f>
        <v>0</v>
      </c>
      <c r="P109" s="54"/>
    </row>
    <row r="110" spans="1:16">
      <c r="B110" s="667"/>
      <c r="C110" s="668"/>
      <c r="F110" s="664">
        <f t="shared" ref="F110:L110" ca="1" si="53">IF(F107+F109&gt;0,0,F107+F109)</f>
        <v>0</v>
      </c>
      <c r="G110" s="664">
        <f t="shared" ca="1" si="53"/>
        <v>0</v>
      </c>
      <c r="H110" s="664">
        <f t="shared" ca="1" si="53"/>
        <v>0</v>
      </c>
      <c r="I110" s="664">
        <f t="shared" ca="1" si="53"/>
        <v>0</v>
      </c>
      <c r="J110" s="664">
        <f t="shared" ca="1" si="53"/>
        <v>0</v>
      </c>
      <c r="K110" s="664">
        <f t="shared" ca="1" si="53"/>
        <v>0</v>
      </c>
      <c r="L110" s="665">
        <f t="shared" ca="1" si="53"/>
        <v>0</v>
      </c>
      <c r="P110" s="54"/>
    </row>
    <row r="111" spans="1:16">
      <c r="B111" s="297"/>
      <c r="C111" s="300"/>
      <c r="F111" s="299"/>
      <c r="G111" s="299"/>
      <c r="H111" s="299"/>
      <c r="I111" s="299"/>
      <c r="J111" s="299"/>
      <c r="K111" s="299"/>
      <c r="L111" s="666"/>
      <c r="P111" s="54"/>
    </row>
    <row r="112" spans="1:16" ht="13.5" thickBot="1">
      <c r="B112" s="70" t="s">
        <v>36</v>
      </c>
      <c r="C112" s="301"/>
      <c r="D112" s="412"/>
      <c r="E112" s="412"/>
      <c r="F112" s="314">
        <f t="shared" ref="F112:L112" ca="1" si="54">-(+F110)</f>
        <v>0</v>
      </c>
      <c r="G112" s="314">
        <f t="shared" ca="1" si="54"/>
        <v>0</v>
      </c>
      <c r="H112" s="314">
        <f t="shared" ca="1" si="54"/>
        <v>0</v>
      </c>
      <c r="I112" s="314">
        <f t="shared" ca="1" si="54"/>
        <v>0</v>
      </c>
      <c r="J112" s="314">
        <f t="shared" ca="1" si="54"/>
        <v>0</v>
      </c>
      <c r="K112" s="314">
        <f t="shared" ca="1" si="54"/>
        <v>0</v>
      </c>
      <c r="L112" s="673">
        <f t="shared" ca="1" si="54"/>
        <v>0</v>
      </c>
      <c r="P112" s="54"/>
    </row>
  </sheetData>
  <sheetProtection password="CD53" sheet="1" objects="1" scenarios="1" selectLockedCells="1"/>
  <mergeCells count="2">
    <mergeCell ref="C2:L2"/>
    <mergeCell ref="N2:W2"/>
  </mergeCells>
  <conditionalFormatting sqref="M32 F104:G104 A100 B104:C104 M35 B34:L42 B44:L61 B67:C99 F67:L99">
    <cfRule type="cellIs" dxfId="41" priority="4" operator="lessThan">
      <formula>0</formula>
    </cfRule>
  </conditionalFormatting>
  <conditionalFormatting sqref="B105:C112 F105:L112">
    <cfRule type="cellIs" dxfId="40" priority="2" operator="lessThan">
      <formula>0</formula>
    </cfRule>
  </conditionalFormatting>
  <conditionalFormatting sqref="F110:L110">
    <cfRule type="cellIs" dxfId="39" priority="1" stopIfTrue="1" operator="lessThan">
      <formula>0</formula>
    </cfRule>
  </conditionalFormatting>
  <pageMargins left="0.7" right="0.7" top="0.75" bottom="0.75" header="0.3" footer="0.3"/>
  <pageSetup paperSize="9" scale="5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5" tint="0.59999389629810485"/>
  </sheetPr>
  <dimension ref="A1:T189"/>
  <sheetViews>
    <sheetView topLeftCell="A7" zoomScale="60" zoomScaleNormal="60" workbookViewId="0">
      <selection activeCell="P57" sqref="P57"/>
    </sheetView>
  </sheetViews>
  <sheetFormatPr defaultColWidth="9.140625" defaultRowHeight="12.75" outlineLevelCol="1"/>
  <cols>
    <col min="1" max="1" width="34" style="1304" customWidth="1"/>
    <col min="2" max="2" width="13.7109375" style="1304" customWidth="1"/>
    <col min="3" max="3" width="13.42578125" style="1304" customWidth="1" outlineLevel="1"/>
    <col min="4" max="4" width="14.7109375" style="1304" customWidth="1" outlineLevel="1"/>
    <col min="5" max="5" width="15.42578125" style="1304" customWidth="1" outlineLevel="1"/>
    <col min="6" max="7" width="14.85546875" style="1304" customWidth="1" outlineLevel="1"/>
    <col min="8" max="8" width="14.42578125" style="1304" customWidth="1" outlineLevel="1"/>
    <col min="9" max="9" width="15.42578125" style="1304" customWidth="1" outlineLevel="1"/>
    <col min="10" max="11" width="16.28515625" style="1304" customWidth="1" outlineLevel="1"/>
    <col min="12" max="12" width="14.140625" style="1304" customWidth="1" outlineLevel="1"/>
    <col min="13" max="13" width="3.42578125" style="1304" customWidth="1" outlineLevel="1"/>
    <col min="14" max="14" width="37.140625" style="1304" customWidth="1" outlineLevel="1"/>
    <col min="15" max="15" width="15.5703125" style="1304" customWidth="1" outlineLevel="1"/>
    <col min="16" max="16" width="15.42578125" style="1304" customWidth="1" outlineLevel="1"/>
    <col min="17" max="17" width="9.140625" style="1304" bestFit="1" customWidth="1"/>
    <col min="18" max="16384" width="9.140625" style="1304"/>
  </cols>
  <sheetData>
    <row r="1" spans="1:16" ht="15">
      <c r="A1" s="1698" t="s">
        <v>131</v>
      </c>
      <c r="B1" s="2041"/>
      <c r="C1" s="2041"/>
    </row>
    <row r="2" spans="1:16" ht="13.5" thickBot="1">
      <c r="A2" s="1701"/>
      <c r="B2" s="1701"/>
      <c r="C2" s="1701"/>
    </row>
    <row r="3" spans="1:16" ht="13.5" customHeight="1" thickBot="1">
      <c r="A3" s="1507" t="s">
        <v>11</v>
      </c>
      <c r="B3" s="1508">
        <v>11</v>
      </c>
      <c r="C3" s="1294"/>
      <c r="D3" s="1550" t="s">
        <v>478</v>
      </c>
      <c r="E3" s="1465">
        <v>1.95583</v>
      </c>
    </row>
    <row r="4" spans="1:16" ht="13.5" customHeight="1">
      <c r="A4" s="2943" t="s">
        <v>399</v>
      </c>
      <c r="B4" s="1502"/>
      <c r="C4" s="1503">
        <v>1</v>
      </c>
      <c r="D4" s="1503">
        <f t="shared" ref="D4:I5" si="0">C4+1</f>
        <v>2</v>
      </c>
      <c r="E4" s="1503">
        <f t="shared" si="0"/>
        <v>3</v>
      </c>
      <c r="F4" s="1503">
        <f t="shared" si="0"/>
        <v>4</v>
      </c>
      <c r="G4" s="1503">
        <f t="shared" si="0"/>
        <v>5</v>
      </c>
      <c r="H4" s="1503">
        <f t="shared" si="0"/>
        <v>6</v>
      </c>
      <c r="I4" s="1504">
        <f t="shared" si="0"/>
        <v>7</v>
      </c>
      <c r="J4" s="1502"/>
      <c r="K4" s="1502"/>
      <c r="L4" s="1502"/>
      <c r="M4" s="1502"/>
      <c r="N4" s="1502"/>
      <c r="O4" s="1502"/>
      <c r="P4" s="1725"/>
    </row>
    <row r="5" spans="1:16" ht="13.5" customHeight="1" thickBot="1">
      <c r="A5" s="2944"/>
      <c r="B5" s="1505"/>
      <c r="C5" s="1505">
        <f>'RCF-F'!F3</f>
        <v>2023</v>
      </c>
      <c r="D5" s="1505">
        <f t="shared" si="0"/>
        <v>2024</v>
      </c>
      <c r="E5" s="1505">
        <f t="shared" si="0"/>
        <v>2025</v>
      </c>
      <c r="F5" s="1505">
        <f t="shared" si="0"/>
        <v>2026</v>
      </c>
      <c r="G5" s="1505">
        <f t="shared" si="0"/>
        <v>2027</v>
      </c>
      <c r="H5" s="1505">
        <f t="shared" si="0"/>
        <v>2028</v>
      </c>
      <c r="I5" s="1506">
        <f t="shared" si="0"/>
        <v>2029</v>
      </c>
      <c r="P5" s="1305"/>
    </row>
    <row r="6" spans="1:16" ht="13.5" customHeight="1">
      <c r="A6" s="1507" t="s">
        <v>139</v>
      </c>
      <c r="B6" s="2042"/>
      <c r="C6" s="2042" t="s">
        <v>318</v>
      </c>
      <c r="D6" s="1502"/>
      <c r="E6" s="1502"/>
      <c r="F6" s="1502"/>
      <c r="G6" s="1502"/>
      <c r="H6" s="1502"/>
      <c r="I6" s="1725"/>
      <c r="P6" s="1305"/>
    </row>
    <row r="7" spans="1:16" ht="13.5" customHeight="1">
      <c r="A7" s="2043" t="s">
        <v>100</v>
      </c>
      <c r="B7" s="2044"/>
      <c r="C7" s="1541">
        <f>P32</f>
        <v>819.88720901100817</v>
      </c>
      <c r="D7" s="1541">
        <f t="shared" ref="D7:I7" si="1">C7</f>
        <v>819.88720901100817</v>
      </c>
      <c r="E7" s="1541">
        <f t="shared" si="1"/>
        <v>819.88720901100817</v>
      </c>
      <c r="F7" s="1541">
        <f t="shared" si="1"/>
        <v>819.88720901100817</v>
      </c>
      <c r="G7" s="1541">
        <f t="shared" si="1"/>
        <v>819.88720901100817</v>
      </c>
      <c r="H7" s="1541">
        <f t="shared" si="1"/>
        <v>819.88720901100817</v>
      </c>
      <c r="I7" s="1530">
        <f t="shared" si="1"/>
        <v>819.88720901100817</v>
      </c>
      <c r="P7" s="1305"/>
    </row>
    <row r="8" spans="1:16" ht="13.5" customHeight="1">
      <c r="A8" s="2043" t="s">
        <v>130</v>
      </c>
      <c r="B8" s="2044"/>
      <c r="C8" s="1515">
        <f t="shared" ref="C8:I8" si="2">F50</f>
        <v>11871.736222137133</v>
      </c>
      <c r="D8" s="1515">
        <f t="shared" si="2"/>
        <v>11304.029008319982</v>
      </c>
      <c r="E8" s="1515">
        <f t="shared" si="2"/>
        <v>10736.32179450283</v>
      </c>
      <c r="F8" s="1515">
        <f t="shared" si="2"/>
        <v>12397.148399071833</v>
      </c>
      <c r="G8" s="1515">
        <f t="shared" si="2"/>
        <v>11740.299832519235</v>
      </c>
      <c r="H8" s="1515">
        <f t="shared" si="2"/>
        <v>11083.451265966636</v>
      </c>
      <c r="I8" s="1516">
        <f t="shared" si="2"/>
        <v>12732.908494648331</v>
      </c>
      <c r="P8" s="1305"/>
    </row>
    <row r="9" spans="1:16" ht="13.5" customHeight="1">
      <c r="A9" s="2045" t="s">
        <v>661</v>
      </c>
      <c r="B9" s="2044"/>
      <c r="C9" s="2">
        <f>SUM($E57:F57)-SUM($E77:F77)</f>
        <v>-127.73412310885918</v>
      </c>
      <c r="D9" s="2">
        <f>SUM($E57:G57)-SUM($E77:G77)</f>
        <v>1679361.7976306735</v>
      </c>
      <c r="E9" s="2">
        <f>SUM($E57:H57)-SUM($E77:H77)</f>
        <v>1648596.3293844557</v>
      </c>
      <c r="F9" s="2">
        <f>SUM($E57:I57)-SUM($E77:I77)</f>
        <v>1617830.8611382381</v>
      </c>
      <c r="G9" s="2">
        <f>SUM($E57:J57)-SUM($E77:J77)</f>
        <v>1587065.3928920203</v>
      </c>
      <c r="H9" s="2">
        <f>SUM($E57:K57)-SUM($E77:K77)</f>
        <v>1556299.9246458025</v>
      </c>
      <c r="I9" s="3">
        <f>SUM($E57:L57)-SUM($E77:L77)</f>
        <v>1525534.4563995849</v>
      </c>
      <c r="P9" s="1305"/>
    </row>
    <row r="10" spans="1:16" ht="13.5" customHeight="1">
      <c r="A10" s="2045" t="str">
        <f>D58</f>
        <v>Infrastructure</v>
      </c>
      <c r="B10" s="2044"/>
      <c r="C10" s="107">
        <f>SUM($E58:F58)-SUM($E78:F78)</f>
        <v>0</v>
      </c>
      <c r="D10" s="107">
        <f>SUM($E58:G58)-SUM($E78:G78)</f>
        <v>91200</v>
      </c>
      <c r="E10" s="107">
        <f>SUM($E58:H58)-SUM($E78:H78)</f>
        <v>83600</v>
      </c>
      <c r="F10" s="107">
        <f>SUM($E58:I58)-SUM($E78:I78)</f>
        <v>76000</v>
      </c>
      <c r="G10" s="107">
        <f ca="1">SUM($E58:J58)-SUM($E78:J78)</f>
        <v>67061.438259148505</v>
      </c>
      <c r="H10" s="107">
        <f ca="1">SUM($E58:K58)-SUM($E78:K78)</f>
        <v>56784.314777445499</v>
      </c>
      <c r="I10" s="108">
        <f ca="1">SUM($E58:L58)-SUM($E78:L78)</f>
        <v>46507.191295742501</v>
      </c>
      <c r="P10" s="1305"/>
    </row>
    <row r="11" spans="1:16" ht="13.5" customHeight="1">
      <c r="A11" s="2046"/>
      <c r="B11" s="2044"/>
      <c r="C11" s="2">
        <f>SUM(C7:C10)</f>
        <v>12563.889308039283</v>
      </c>
      <c r="D11" s="2">
        <f t="shared" ref="D11:I11" si="3">SUM(D7:D10)</f>
        <v>1782685.7138480046</v>
      </c>
      <c r="E11" s="2">
        <f t="shared" si="3"/>
        <v>1743752.5383879696</v>
      </c>
      <c r="F11" s="2">
        <f t="shared" si="3"/>
        <v>1707047.8967463209</v>
      </c>
      <c r="G11" s="2">
        <f ca="1">SUM(G7:G10)</f>
        <v>1666687.0181926989</v>
      </c>
      <c r="H11" s="2">
        <f t="shared" ca="1" si="3"/>
        <v>1624987.5778982257</v>
      </c>
      <c r="I11" s="3">
        <f t="shared" ca="1" si="3"/>
        <v>1585594.4433989867</v>
      </c>
      <c r="P11" s="1305"/>
    </row>
    <row r="12" spans="1:16" ht="13.5" customHeight="1">
      <c r="A12" s="2046"/>
      <c r="B12" s="2044"/>
      <c r="C12" s="2"/>
      <c r="D12" s="1541"/>
      <c r="E12" s="1541"/>
      <c r="F12" s="1541"/>
      <c r="G12" s="1541"/>
      <c r="H12" s="1541"/>
      <c r="I12" s="1530"/>
      <c r="P12" s="1305"/>
    </row>
    <row r="13" spans="1:16" ht="13.5" customHeight="1">
      <c r="A13" s="2046" t="s">
        <v>662</v>
      </c>
      <c r="B13" s="2044"/>
      <c r="I13" s="1305"/>
      <c r="P13" s="1305"/>
    </row>
    <row r="14" spans="1:16" ht="13.5" customHeight="1">
      <c r="A14" s="2045" t="str">
        <f>D59</f>
        <v>Machinery</v>
      </c>
      <c r="B14" s="2044"/>
      <c r="C14" s="2">
        <f ca="1">SUM($E59:F59)-SUM($E79:F79)+$P$58</f>
        <v>224475.44364177869</v>
      </c>
      <c r="D14" s="2">
        <f ca="1">SUM($E59:G59)-SUM($E79:G79)+$P$58</f>
        <v>428266.57092533604</v>
      </c>
      <c r="E14" s="2">
        <f ca="1">SUM($E59:H59)-SUM($E79:H79)+$P$58</f>
        <v>390106.31678452715</v>
      </c>
      <c r="F14" s="2">
        <f ca="1">SUM($E59:I59)-SUM($E79:I79)+$P$58</f>
        <v>409901.92155826197</v>
      </c>
      <c r="G14" s="2">
        <f ca="1">SUM($E59:J59)-SUM($E79:J79)+$P$58</f>
        <v>356438.04654928815</v>
      </c>
      <c r="H14" s="2">
        <f ca="1">SUM($E59:K59)-SUM($E79:K79)+$P$58</f>
        <v>364118.42707604938</v>
      </c>
      <c r="I14" s="3">
        <f ca="1">SUM($E59:L59)-SUM($E79:L79)+$P$58</f>
        <v>357984.23040840565</v>
      </c>
      <c r="K14" s="1515"/>
      <c r="P14" s="1305"/>
    </row>
    <row r="15" spans="1:16" ht="13.5" customHeight="1">
      <c r="A15" s="2045" t="str">
        <f>D60</f>
        <v>Barrels</v>
      </c>
      <c r="B15" s="2044"/>
      <c r="C15" s="2">
        <f>SUM($E60:F60)-SUM($E80:F80)+P47</f>
        <v>82110</v>
      </c>
      <c r="D15" s="2">
        <f ca="1">SUM($E60:G60)-SUM($E80:G80)+$P$47</f>
        <v>128655.11858399998</v>
      </c>
      <c r="E15" s="2">
        <f ca="1">SUM($E60:H60)-SUM($E80:H80)+$P$47</f>
        <v>128916.27563244</v>
      </c>
      <c r="F15" s="2">
        <f ca="1">SUM($E60:I60)-SUM($E80:I80)+$P$47</f>
        <v>172871.66640339355</v>
      </c>
      <c r="G15" s="2">
        <f ca="1">SUM($E60:J60)-SUM($E80:J80)+$P$47</f>
        <v>251915.4061655454</v>
      </c>
      <c r="H15" s="2">
        <f ca="1">SUM($E60:K60)-SUM($E80:K80)+$P$47</f>
        <v>235481.10371632263</v>
      </c>
      <c r="I15" s="3">
        <f ca="1">SUM($E60:L60)-SUM($E80:L80)+$P$47</f>
        <v>279695.77937463747</v>
      </c>
      <c r="P15" s="1305"/>
    </row>
    <row r="16" spans="1:16" ht="13.5" customHeight="1">
      <c r="A16" s="2045" t="str">
        <f>D61</f>
        <v>Vehicles</v>
      </c>
      <c r="B16" s="2044"/>
      <c r="C16" s="2">
        <f>SUM($E61:F61)-SUM($E81:F81)</f>
        <v>0</v>
      </c>
      <c r="D16" s="2">
        <f>SUM($E61:G61)-SUM($E81:G81)</f>
        <v>72450</v>
      </c>
      <c r="E16" s="2">
        <f ca="1">SUM($E61:H61)-SUM($E81:H81)</f>
        <v>57960</v>
      </c>
      <c r="F16" s="2">
        <f ca="1">SUM($E61:I61)-SUM($E81:I81)</f>
        <v>43470</v>
      </c>
      <c r="G16" s="2">
        <f ca="1">SUM($E61:J61)-SUM($E81:J81)</f>
        <v>28980</v>
      </c>
      <c r="H16" s="2">
        <f ca="1">SUM($E61:K61)-SUM($E81:K81)</f>
        <v>14490</v>
      </c>
      <c r="I16" s="3">
        <f ca="1">SUM($E61:L61)-SUM($E81:L81)</f>
        <v>0</v>
      </c>
      <c r="P16" s="1305"/>
    </row>
    <row r="17" spans="1:16" ht="13.5" customHeight="1">
      <c r="A17" s="2045" t="str">
        <f>D62</f>
        <v>Computer / IT</v>
      </c>
      <c r="B17" s="2044"/>
      <c r="C17" s="2">
        <f>SUM($E62:F62)-SUM($E82:F82)</f>
        <v>0</v>
      </c>
      <c r="D17" s="2">
        <f>SUM($E62:G62)-SUM($E82:G82)</f>
        <v>20812.5</v>
      </c>
      <c r="E17" s="2">
        <f>SUM($E62:H62)-SUM($E82:H82)</f>
        <v>17437.5</v>
      </c>
      <c r="F17" s="2">
        <f>SUM($E62:I62)-SUM($E82:I82)</f>
        <v>14062.5</v>
      </c>
      <c r="G17" s="2">
        <f>SUM($E62:J62)-SUM($E82:J82)</f>
        <v>10687.5</v>
      </c>
      <c r="H17" s="2">
        <f>SUM($E62:K62)-SUM($E82:K82)</f>
        <v>7312.5</v>
      </c>
      <c r="I17" s="3">
        <f>SUM($E62:L62)-SUM($E82:L82)</f>
        <v>3937.5</v>
      </c>
      <c r="P17" s="1305"/>
    </row>
    <row r="18" spans="1:16" ht="13.5" customHeight="1">
      <c r="A18" s="2045" t="str">
        <f>D63</f>
        <v>Others</v>
      </c>
      <c r="B18" s="2044"/>
      <c r="C18" s="107">
        <f>SUM($E63:F63)-SUM($E83:F83)</f>
        <v>0</v>
      </c>
      <c r="D18" s="107">
        <f>SUM($E63:G63)-SUM($E83:G83)</f>
        <v>127187.5</v>
      </c>
      <c r="E18" s="107">
        <f>SUM($E63:H63)-SUM($E83:H83)</f>
        <v>106562.5</v>
      </c>
      <c r="F18" s="107">
        <f>SUM($E63:I63)-SUM($E83:I83)</f>
        <v>85937.5</v>
      </c>
      <c r="G18" s="107">
        <f>SUM($E63:J63)-SUM($E83:J83)</f>
        <v>65312.5</v>
      </c>
      <c r="H18" s="107">
        <f>SUM($E63:K63)-SUM($E83:K83)</f>
        <v>44687.5</v>
      </c>
      <c r="I18" s="108">
        <f>SUM($E63:L63)-SUM($E83:L83)</f>
        <v>24062.5</v>
      </c>
      <c r="P18" s="1305"/>
    </row>
    <row r="19" spans="1:16" ht="13.5" customHeight="1">
      <c r="A19" s="2045"/>
      <c r="B19" s="2044"/>
      <c r="C19" s="2">
        <f ca="1">SUM(C14:C18)</f>
        <v>306585.44364177866</v>
      </c>
      <c r="D19" s="2">
        <f t="shared" ref="D19:I19" ca="1" si="4">SUM(D14:D18)</f>
        <v>777371.68950933602</v>
      </c>
      <c r="E19" s="2">
        <f t="shared" ca="1" si="4"/>
        <v>700982.59241696715</v>
      </c>
      <c r="F19" s="2">
        <f t="shared" ca="1" si="4"/>
        <v>726243.58796165558</v>
      </c>
      <c r="G19" s="2">
        <f t="shared" ca="1" si="4"/>
        <v>713333.45271483355</v>
      </c>
      <c r="H19" s="2">
        <f t="shared" ca="1" si="4"/>
        <v>666089.53079237207</v>
      </c>
      <c r="I19" s="3">
        <f t="shared" ca="1" si="4"/>
        <v>665680.00978304306</v>
      </c>
      <c r="P19" s="1305"/>
    </row>
    <row r="20" spans="1:16" ht="13.5" customHeight="1">
      <c r="A20" s="2045"/>
      <c r="B20" s="2044"/>
      <c r="I20" s="1305"/>
      <c r="P20" s="1305"/>
    </row>
    <row r="21" spans="1:16" ht="13.5" customHeight="1" thickBot="1">
      <c r="A21" s="2047"/>
      <c r="B21" s="568"/>
      <c r="C21" s="569">
        <f t="shared" ref="C21:I21" ca="1" si="5">C19+C11</f>
        <v>319149.33294981794</v>
      </c>
      <c r="D21" s="569">
        <f ca="1">D19+D11</f>
        <v>2560057.4033573405</v>
      </c>
      <c r="E21" s="569">
        <f t="shared" ca="1" si="5"/>
        <v>2444735.1308049369</v>
      </c>
      <c r="F21" s="569">
        <f t="shared" ca="1" si="5"/>
        <v>2433291.4847079767</v>
      </c>
      <c r="G21" s="569">
        <f t="shared" ca="1" si="5"/>
        <v>2380020.4709075326</v>
      </c>
      <c r="H21" s="569">
        <f t="shared" ca="1" si="5"/>
        <v>2291077.108690598</v>
      </c>
      <c r="I21" s="570">
        <f t="shared" ca="1" si="5"/>
        <v>2251274.4531820295</v>
      </c>
      <c r="P21" s="1305"/>
    </row>
    <row r="22" spans="1:16" ht="13.5" thickBot="1">
      <c r="A22" s="1299"/>
      <c r="B22" s="1700"/>
      <c r="C22" s="1515"/>
      <c r="D22" s="1515"/>
      <c r="E22" s="1515"/>
      <c r="F22" s="1515"/>
      <c r="G22" s="1515"/>
      <c r="H22" s="1515"/>
      <c r="I22" s="1515"/>
      <c r="P22" s="1305"/>
    </row>
    <row r="23" spans="1:16">
      <c r="A23" s="1501" t="s">
        <v>139</v>
      </c>
      <c r="B23" s="1502"/>
      <c r="C23" s="1502"/>
      <c r="D23" s="1503"/>
      <c r="E23" s="1503"/>
      <c r="F23" s="1503">
        <f t="shared" ref="F23:L24" si="6">C4</f>
        <v>1</v>
      </c>
      <c r="G23" s="1503">
        <f t="shared" si="6"/>
        <v>2</v>
      </c>
      <c r="H23" s="1503">
        <f t="shared" si="6"/>
        <v>3</v>
      </c>
      <c r="I23" s="1503">
        <f t="shared" si="6"/>
        <v>4</v>
      </c>
      <c r="J23" s="1503">
        <f t="shared" si="6"/>
        <v>5</v>
      </c>
      <c r="K23" s="1503">
        <f t="shared" si="6"/>
        <v>6</v>
      </c>
      <c r="L23" s="1503">
        <f t="shared" si="6"/>
        <v>7</v>
      </c>
      <c r="M23" s="2048"/>
      <c r="N23" s="1522" t="s">
        <v>587</v>
      </c>
      <c r="O23" s="1502"/>
      <c r="P23" s="1725"/>
    </row>
    <row r="24" spans="1:16" ht="13.5" thickBot="1">
      <c r="A24" s="1299"/>
      <c r="D24" s="1505"/>
      <c r="E24" s="1505"/>
      <c r="F24" s="1505">
        <f t="shared" si="6"/>
        <v>2023</v>
      </c>
      <c r="G24" s="1505">
        <f t="shared" si="6"/>
        <v>2024</v>
      </c>
      <c r="H24" s="1505">
        <f t="shared" si="6"/>
        <v>2025</v>
      </c>
      <c r="I24" s="1505">
        <f t="shared" si="6"/>
        <v>2026</v>
      </c>
      <c r="J24" s="1505">
        <f t="shared" si="6"/>
        <v>2027</v>
      </c>
      <c r="K24" s="1505">
        <f t="shared" si="6"/>
        <v>2028</v>
      </c>
      <c r="L24" s="1505">
        <f t="shared" si="6"/>
        <v>2029</v>
      </c>
      <c r="M24" s="2049"/>
      <c r="N24" s="1299"/>
      <c r="P24" s="1305"/>
    </row>
    <row r="25" spans="1:16">
      <c r="A25" s="1507" t="s">
        <v>84</v>
      </c>
      <c r="B25" s="1508" t="s">
        <v>76</v>
      </c>
      <c r="D25" s="1293" t="s">
        <v>84</v>
      </c>
      <c r="L25" s="1305"/>
      <c r="M25" s="1299"/>
      <c r="N25" s="1522" t="s">
        <v>541</v>
      </c>
      <c r="O25" s="1502"/>
      <c r="P25" s="1725"/>
    </row>
    <row r="26" spans="1:16">
      <c r="A26" s="1509" t="s">
        <v>84</v>
      </c>
      <c r="B26" s="1510">
        <f>Investors!B4</f>
        <v>45285</v>
      </c>
      <c r="D26" s="1509" t="str">
        <f>A28</f>
        <v>Real Estate taxes</v>
      </c>
      <c r="F26" s="2">
        <f t="shared" ref="F26:L26" si="7">IF(YEAR($B$26)&gt;F24,0,IF(F24=YEAR($B$26),($B$28*F47*((DATE(F24,12,31)-$B$26)/365)),IF($B$3+1&gt;=G23,$B$28*$B$42*(1+$B$47)^F23,0)))</f>
        <v>1.733333950852523</v>
      </c>
      <c r="G26" s="2">
        <f t="shared" si="7"/>
        <v>107.88365012917552</v>
      </c>
      <c r="H26" s="2">
        <f t="shared" si="7"/>
        <v>109.12431210566105</v>
      </c>
      <c r="I26" s="2">
        <f t="shared" si="7"/>
        <v>110.37924169487616</v>
      </c>
      <c r="J26" s="2">
        <f t="shared" si="7"/>
        <v>111.64860297436724</v>
      </c>
      <c r="K26" s="2">
        <f t="shared" si="7"/>
        <v>112.93256190857247</v>
      </c>
      <c r="L26" s="3">
        <f t="shared" si="7"/>
        <v>114.23128637052106</v>
      </c>
      <c r="M26" s="118"/>
      <c r="N26" s="1299"/>
      <c r="P26" s="1305"/>
    </row>
    <row r="27" spans="1:16">
      <c r="A27" s="1509" t="s">
        <v>21</v>
      </c>
      <c r="B27" s="1510">
        <f>B26</f>
        <v>45285</v>
      </c>
      <c r="D27" s="1299" t="s">
        <v>43</v>
      </c>
      <c r="F27" s="2">
        <f>IF(YEAR($B$27)&gt;F24,0,IF(F24=YEAR($B$27),($B$29*$B$42*((DATE(F24,12,31)-$B$27)/365)),IF($B$3+1&gt;=G23,$B$29*(1+$B$47)^F23,0)))</f>
        <v>1.4647892542415688</v>
      </c>
      <c r="G27" s="2">
        <f t="shared" ref="G27:L27" si="8">IF(YEAR($B$27)&gt;G24,0,IF(G24=YEAR($B$27),($B$29*$B$42*((DATE(G24,12,31)-$B$27)/365)),IF($B$3+1&gt;=H23,$B$29*$B$42*(1+$B$47)^G23,0)))</f>
        <v>91.169281799303263</v>
      </c>
      <c r="H27" s="2">
        <f t="shared" si="8"/>
        <v>92.21772853999525</v>
      </c>
      <c r="I27" s="2">
        <f t="shared" si="8"/>
        <v>93.278232418205206</v>
      </c>
      <c r="J27" s="2">
        <f t="shared" si="8"/>
        <v>94.35093209101457</v>
      </c>
      <c r="K27" s="2">
        <f t="shared" si="8"/>
        <v>95.435967810061243</v>
      </c>
      <c r="L27" s="3">
        <f t="shared" si="8"/>
        <v>96.533481439876965</v>
      </c>
      <c r="M27" s="118"/>
      <c r="N27" s="1293" t="s">
        <v>100</v>
      </c>
      <c r="O27" s="1294" t="s">
        <v>317</v>
      </c>
      <c r="P27" s="1295" t="s">
        <v>318</v>
      </c>
    </row>
    <row r="28" spans="1:16" ht="13.5" thickBot="1">
      <c r="A28" s="1299" t="s">
        <v>75</v>
      </c>
      <c r="B28" s="105">
        <f>1.875/1000+0.7%</f>
        <v>8.8749999999999992E-3</v>
      </c>
      <c r="D28" s="1299" t="str">
        <f>A30</f>
        <v>Building Insurance</v>
      </c>
      <c r="F28" s="1511">
        <f>IF(YEAR($B$27)&gt;F24,0,IF(F24=YEAR($B$27),($B$30*((DATE(F24,12,31)-$B$27)/365)),IF($B$3+1&gt;=G23,$B$30*(1+$B$47)^F23,0)))</f>
        <v>32.87671232876712</v>
      </c>
      <c r="G28" s="1511">
        <f t="shared" ref="G28:L28" si="9">IF(YEAR($B$26)&gt;G24,0,IF(G24=YEAR($B$26),($B$30*((DATE(G24,12,31)-$B$26)/365)),IF($B$3+1&gt;=H23,$B$30*(1+$B$47)^G23,0)))</f>
        <v>2046.2645000000005</v>
      </c>
      <c r="H28" s="1511">
        <f t="shared" si="9"/>
        <v>2069.7965417500004</v>
      </c>
      <c r="I28" s="1511">
        <f t="shared" si="9"/>
        <v>2093.5992019801256</v>
      </c>
      <c r="J28" s="1511">
        <f t="shared" si="9"/>
        <v>2117.675592802897</v>
      </c>
      <c r="K28" s="1511">
        <f t="shared" si="9"/>
        <v>2142.0288621201307</v>
      </c>
      <c r="L28" s="1512">
        <f t="shared" si="9"/>
        <v>2166.6621940345126</v>
      </c>
      <c r="M28" s="1303"/>
      <c r="N28" s="1299" t="s">
        <v>566</v>
      </c>
      <c r="O28" s="1316">
        <v>203.22</v>
      </c>
      <c r="P28" s="1300">
        <f>O28/$E$3</f>
        <v>103.90473609669552</v>
      </c>
    </row>
    <row r="29" spans="1:16" ht="13.5" thickTop="1">
      <c r="A29" s="1299" t="s">
        <v>129</v>
      </c>
      <c r="B29" s="106">
        <v>7.4999999999999997E-3</v>
      </c>
      <c r="D29" s="1299"/>
      <c r="F29" s="1513">
        <f>SUM(F26:F28)</f>
        <v>36.074835533861211</v>
      </c>
      <c r="G29" s="1513">
        <f t="shared" ref="G29:L29" si="10">SUM(G26:G28)</f>
        <v>2245.3174319284794</v>
      </c>
      <c r="H29" s="1513">
        <f t="shared" si="10"/>
        <v>2271.1385823956566</v>
      </c>
      <c r="I29" s="1513">
        <f t="shared" si="10"/>
        <v>2297.2566760932068</v>
      </c>
      <c r="J29" s="1513">
        <f t="shared" si="10"/>
        <v>2323.6751278682787</v>
      </c>
      <c r="K29" s="1513">
        <f t="shared" si="10"/>
        <v>2350.3973918387646</v>
      </c>
      <c r="L29" s="1514">
        <f t="shared" si="10"/>
        <v>2377.4269618449107</v>
      </c>
      <c r="M29" s="2050"/>
      <c r="N29" s="1299" t="s">
        <v>567</v>
      </c>
      <c r="O29" s="1316">
        <v>218.3</v>
      </c>
      <c r="P29" s="1300">
        <f>O29/$E$3</f>
        <v>111.6150176651345</v>
      </c>
    </row>
    <row r="30" spans="1:16">
      <c r="A30" s="1299" t="s">
        <v>83</v>
      </c>
      <c r="B30" s="2051">
        <v>2000</v>
      </c>
      <c r="D30" s="1299"/>
      <c r="F30" s="1515"/>
      <c r="G30" s="1515"/>
      <c r="H30" s="1515"/>
      <c r="I30" s="1515"/>
      <c r="J30" s="1515"/>
      <c r="K30" s="1515"/>
      <c r="L30" s="1516"/>
      <c r="M30" s="1303"/>
      <c r="N30" s="1299" t="s">
        <v>568</v>
      </c>
      <c r="O30" s="1316">
        <v>233.39</v>
      </c>
      <c r="P30" s="1300">
        <f>O30/$E$3</f>
        <v>119.33041215238543</v>
      </c>
    </row>
    <row r="31" spans="1:16" ht="13.5" thickBot="1">
      <c r="A31" s="1319" t="s">
        <v>86</v>
      </c>
      <c r="B31" s="2052">
        <v>3500</v>
      </c>
      <c r="D31" s="1299" t="str">
        <f>A31</f>
        <v>Other OPEX</v>
      </c>
      <c r="F31" s="104">
        <f t="shared" ref="F31:L31" si="11">IF(YEAR($B$27)&gt;F24,0,IF(F24=YEAR($B$27),($B$31*((DATE(F24,12,31)-$B$27)/365)),IF($B$3+1&gt;=G23,$B$31*(1+$B$47)^F23,0)))</f>
        <v>57.534246575342458</v>
      </c>
      <c r="G31" s="104">
        <f t="shared" si="11"/>
        <v>3580.9628750000006</v>
      </c>
      <c r="H31" s="104">
        <f t="shared" si="11"/>
        <v>3622.1439480625008</v>
      </c>
      <c r="I31" s="104">
        <f t="shared" si="11"/>
        <v>3663.7986034652199</v>
      </c>
      <c r="J31" s="104">
        <f t="shared" si="11"/>
        <v>3705.9322874050699</v>
      </c>
      <c r="K31" s="104">
        <f t="shared" si="11"/>
        <v>3748.5505087102288</v>
      </c>
      <c r="L31" s="140">
        <f t="shared" si="11"/>
        <v>3791.6588395603972</v>
      </c>
      <c r="M31" s="118"/>
      <c r="N31" s="2053" t="s">
        <v>569</v>
      </c>
      <c r="O31" s="2054">
        <v>948.65</v>
      </c>
      <c r="P31" s="2055">
        <f>O31/$E$3</f>
        <v>485.03704309679267</v>
      </c>
    </row>
    <row r="32" spans="1:16" ht="13.5" thickBot="1">
      <c r="A32" s="1299"/>
      <c r="D32" s="1293" t="s">
        <v>87</v>
      </c>
      <c r="F32" s="67">
        <f>SUM(F31:F31)</f>
        <v>57.534246575342458</v>
      </c>
      <c r="G32" s="67">
        <f t="shared" ref="G32:L32" si="12">SUM(G31:G31)</f>
        <v>3580.9628750000006</v>
      </c>
      <c r="H32" s="67">
        <f t="shared" si="12"/>
        <v>3622.1439480625008</v>
      </c>
      <c r="I32" s="67">
        <f t="shared" si="12"/>
        <v>3663.7986034652199</v>
      </c>
      <c r="J32" s="67">
        <f t="shared" si="12"/>
        <v>3705.9322874050699</v>
      </c>
      <c r="K32" s="67">
        <f t="shared" si="12"/>
        <v>3748.5505087102288</v>
      </c>
      <c r="L32" s="68">
        <f t="shared" si="12"/>
        <v>3791.6588395603972</v>
      </c>
      <c r="M32" s="119"/>
      <c r="N32" s="1299" t="s">
        <v>26</v>
      </c>
      <c r="O32" s="1316">
        <f>SUM(O28:O31)</f>
        <v>1603.56</v>
      </c>
      <c r="P32" s="1300">
        <f>SUM(P28:P31)</f>
        <v>819.88720901100817</v>
      </c>
    </row>
    <row r="33" spans="1:16">
      <c r="A33" s="1517" t="s">
        <v>93</v>
      </c>
      <c r="B33" s="10"/>
      <c r="D33" s="1299"/>
      <c r="L33" s="1305"/>
      <c r="M33" s="1299"/>
      <c r="N33" s="1299"/>
      <c r="P33" s="1305"/>
    </row>
    <row r="34" spans="1:16" ht="13.5" thickBot="1">
      <c r="A34" s="1509" t="s">
        <v>78</v>
      </c>
      <c r="B34" s="2056">
        <v>3</v>
      </c>
      <c r="D34" s="1519" t="s">
        <v>5</v>
      </c>
      <c r="E34" s="2057"/>
      <c r="F34" s="1520">
        <f>F29+F32</f>
        <v>93.609082109203669</v>
      </c>
      <c r="G34" s="1520">
        <f t="shared" ref="G34:L34" si="13">G29+G32</f>
        <v>5826.2803069284801</v>
      </c>
      <c r="H34" s="1520">
        <f t="shared" si="13"/>
        <v>5893.2825304581575</v>
      </c>
      <c r="I34" s="1520">
        <f t="shared" si="13"/>
        <v>5961.0552795584263</v>
      </c>
      <c r="J34" s="1520">
        <f t="shared" si="13"/>
        <v>6029.607415273349</v>
      </c>
      <c r="K34" s="1520">
        <f t="shared" si="13"/>
        <v>6098.9479005489939</v>
      </c>
      <c r="L34" s="1521">
        <f t="shared" si="13"/>
        <v>6169.0858014053083</v>
      </c>
      <c r="M34" s="2058"/>
      <c r="N34" s="1293" t="s">
        <v>96</v>
      </c>
      <c r="P34" s="1305"/>
    </row>
    <row r="35" spans="1:16" ht="13.5" thickBot="1">
      <c r="A35" s="1299" t="s">
        <v>79</v>
      </c>
      <c r="B35" s="6">
        <f>YEAR(B26)+B34</f>
        <v>2026</v>
      </c>
      <c r="L35" s="1305"/>
      <c r="M35" s="1299"/>
      <c r="N35" s="2053" t="s">
        <v>570</v>
      </c>
      <c r="O35" s="2054">
        <v>27758.47</v>
      </c>
      <c r="P35" s="2055">
        <f>O35/$E$3</f>
        <v>14192.680345428796</v>
      </c>
    </row>
    <row r="36" spans="1:16">
      <c r="A36" s="1299" t="s">
        <v>80</v>
      </c>
      <c r="B36" s="6">
        <f>B34+B35</f>
        <v>2029</v>
      </c>
      <c r="D36" s="1522" t="str">
        <f>A33</f>
        <v>Major maintenance</v>
      </c>
      <c r="E36" s="1503"/>
      <c r="F36" s="1503">
        <f>F23</f>
        <v>1</v>
      </c>
      <c r="G36" s="1503">
        <v>2</v>
      </c>
      <c r="H36" s="1503">
        <v>3</v>
      </c>
      <c r="I36" s="1503">
        <v>4</v>
      </c>
      <c r="J36" s="1503">
        <v>5</v>
      </c>
      <c r="K36" s="1503">
        <v>6</v>
      </c>
      <c r="L36" s="1504">
        <v>7</v>
      </c>
      <c r="M36" s="2059"/>
      <c r="N36" s="1299" t="s">
        <v>26</v>
      </c>
      <c r="O36" s="1316">
        <f>SUM(O35)</f>
        <v>27758.47</v>
      </c>
      <c r="P36" s="1300">
        <f>SUM(P35)</f>
        <v>14192.680345428796</v>
      </c>
    </row>
    <row r="37" spans="1:16">
      <c r="A37" s="1299" t="s">
        <v>126</v>
      </c>
      <c r="B37" s="6">
        <f>B34+B36</f>
        <v>2032</v>
      </c>
      <c r="D37" s="1525"/>
      <c r="E37" s="2044"/>
      <c r="F37" s="1294">
        <f>F24</f>
        <v>2023</v>
      </c>
      <c r="G37" s="1294">
        <f t="shared" ref="G37:L37" si="14">F37+1</f>
        <v>2024</v>
      </c>
      <c r="H37" s="1294">
        <f t="shared" si="14"/>
        <v>2025</v>
      </c>
      <c r="I37" s="1294">
        <f t="shared" si="14"/>
        <v>2026</v>
      </c>
      <c r="J37" s="1294">
        <f t="shared" si="14"/>
        <v>2027</v>
      </c>
      <c r="K37" s="1294">
        <f t="shared" si="14"/>
        <v>2028</v>
      </c>
      <c r="L37" s="1295">
        <f t="shared" si="14"/>
        <v>2029</v>
      </c>
      <c r="M37" s="2049"/>
      <c r="N37" s="1299"/>
      <c r="P37" s="1305"/>
    </row>
    <row r="38" spans="1:16">
      <c r="A38" s="1509" t="str">
        <f>A44</f>
        <v>Value for depreciation</v>
      </c>
      <c r="B38" s="1530">
        <f>B44</f>
        <v>14192.680345428796</v>
      </c>
      <c r="D38" s="1525"/>
      <c r="E38" s="2044"/>
      <c r="F38" s="1294"/>
      <c r="G38" s="1294"/>
      <c r="H38" s="1294"/>
      <c r="I38" s="1294"/>
      <c r="J38" s="1294">
        <f>+IF($B$37=J24,($B$39*$B$38)*(1+#REF!)^J23,0)</f>
        <v>0</v>
      </c>
      <c r="K38" s="1294"/>
      <c r="L38" s="1295"/>
      <c r="M38" s="2049"/>
      <c r="N38" s="1293" t="s">
        <v>114</v>
      </c>
      <c r="P38" s="1305"/>
    </row>
    <row r="39" spans="1:16" ht="13.5" thickBot="1">
      <c r="A39" s="1531" t="s">
        <v>77</v>
      </c>
      <c r="B39" s="2060">
        <v>0.15</v>
      </c>
      <c r="D39" s="1509" t="s">
        <v>145</v>
      </c>
      <c r="F39" s="1532">
        <f t="shared" ref="F39:L39" si="15">IF($B$3&gt;=G23,IF($B$35=F24,($B$39*$B$38)*(1+$B$48)^F23,0)+IF($B$36=F24,($B$39*$B$38)*(1+$B$48)^F23,0)+IF($B$37=F24,($B$39*$B$38)*(1+$B$48)^F23,0),0)</f>
        <v>0</v>
      </c>
      <c r="G39" s="1532">
        <f t="shared" si="15"/>
        <v>0</v>
      </c>
      <c r="H39" s="1532">
        <f t="shared" si="15"/>
        <v>0</v>
      </c>
      <c r="I39" s="1532">
        <f t="shared" si="15"/>
        <v>2228.5338183861554</v>
      </c>
      <c r="J39" s="1532">
        <f t="shared" si="15"/>
        <v>0</v>
      </c>
      <c r="K39" s="1532">
        <f t="shared" si="15"/>
        <v>0</v>
      </c>
      <c r="L39" s="1533">
        <f t="shared" si="15"/>
        <v>2306.3057952342942</v>
      </c>
      <c r="M39" s="1509"/>
      <c r="N39" s="2043">
        <v>204</v>
      </c>
      <c r="O39" s="1316">
        <v>576214.72</v>
      </c>
      <c r="P39" s="2929">
        <f t="shared" ref="P39:P44" si="16">O39/$E$3</f>
        <v>294613.90816175228</v>
      </c>
    </row>
    <row r="40" spans="1:16" ht="13.5" thickBot="1">
      <c r="A40" s="1299"/>
      <c r="D40" s="1519" t="s">
        <v>5</v>
      </c>
      <c r="E40" s="2057"/>
      <c r="F40" s="1520">
        <f t="shared" ref="F40:L40" si="17">F39</f>
        <v>0</v>
      </c>
      <c r="G40" s="1520">
        <f t="shared" si="17"/>
        <v>0</v>
      </c>
      <c r="H40" s="1520">
        <f t="shared" si="17"/>
        <v>0</v>
      </c>
      <c r="I40" s="1520">
        <f t="shared" si="17"/>
        <v>2228.5338183861554</v>
      </c>
      <c r="J40" s="1520">
        <f t="shared" si="17"/>
        <v>0</v>
      </c>
      <c r="K40" s="1520">
        <f t="shared" si="17"/>
        <v>0</v>
      </c>
      <c r="L40" s="1521">
        <f t="shared" si="17"/>
        <v>2306.3057952342942</v>
      </c>
      <c r="M40" s="2058"/>
      <c r="N40" s="2043" t="s">
        <v>571</v>
      </c>
      <c r="O40" s="1316">
        <v>80482.41</v>
      </c>
      <c r="P40" s="1300">
        <f t="shared" si="16"/>
        <v>41150.002812105347</v>
      </c>
    </row>
    <row r="41" spans="1:16" ht="13.5" thickBot="1">
      <c r="A41" s="1526" t="s">
        <v>30</v>
      </c>
      <c r="B41" s="9"/>
      <c r="L41" s="1305"/>
      <c r="M41" s="1299"/>
      <c r="N41" s="2043" t="s">
        <v>575</v>
      </c>
      <c r="O41" s="1316">
        <v>18189.22</v>
      </c>
      <c r="P41" s="1300">
        <f t="shared" si="16"/>
        <v>9300.0005112918825</v>
      </c>
    </row>
    <row r="42" spans="1:16">
      <c r="A42" s="1534" t="s">
        <v>89</v>
      </c>
      <c r="B42" s="1530">
        <f>P54</f>
        <v>11881.068395514949</v>
      </c>
      <c r="D42" s="1522" t="str">
        <f>A41</f>
        <v>Depreciation</v>
      </c>
      <c r="E42" s="1503"/>
      <c r="F42" s="1503">
        <f t="shared" ref="F42:L42" si="18">F36</f>
        <v>1</v>
      </c>
      <c r="G42" s="1503">
        <f t="shared" si="18"/>
        <v>2</v>
      </c>
      <c r="H42" s="1503">
        <f t="shared" si="18"/>
        <v>3</v>
      </c>
      <c r="I42" s="1503">
        <f t="shared" si="18"/>
        <v>4</v>
      </c>
      <c r="J42" s="1503">
        <f t="shared" si="18"/>
        <v>5</v>
      </c>
      <c r="K42" s="1503">
        <f t="shared" si="18"/>
        <v>6</v>
      </c>
      <c r="L42" s="1504">
        <f t="shared" si="18"/>
        <v>7</v>
      </c>
      <c r="M42" s="2061"/>
      <c r="N42" s="2043" t="s">
        <v>572</v>
      </c>
      <c r="O42" s="1316">
        <v>6845.41</v>
      </c>
      <c r="P42" s="1300">
        <f t="shared" si="16"/>
        <v>3500.0025564594062</v>
      </c>
    </row>
    <row r="43" spans="1:16">
      <c r="A43" s="1299" t="s">
        <v>853</v>
      </c>
      <c r="B43" s="1535"/>
      <c r="D43" s="1525"/>
      <c r="E43" s="2044"/>
      <c r="F43" s="1294">
        <f>F37</f>
        <v>2023</v>
      </c>
      <c r="G43" s="1294">
        <f t="shared" ref="G43:L43" si="19">F43+1</f>
        <v>2024</v>
      </c>
      <c r="H43" s="1294">
        <f t="shared" si="19"/>
        <v>2025</v>
      </c>
      <c r="I43" s="1294">
        <f t="shared" si="19"/>
        <v>2026</v>
      </c>
      <c r="J43" s="1294">
        <f t="shared" si="19"/>
        <v>2027</v>
      </c>
      <c r="K43" s="1294">
        <f t="shared" si="19"/>
        <v>2028</v>
      </c>
      <c r="L43" s="1295">
        <f t="shared" si="19"/>
        <v>2029</v>
      </c>
      <c r="M43" s="1299"/>
      <c r="N43" s="2043" t="s">
        <v>573</v>
      </c>
      <c r="O43" s="1316">
        <v>2363.4</v>
      </c>
      <c r="P43" s="1300">
        <f t="shared" si="16"/>
        <v>1208.3872320191429</v>
      </c>
    </row>
    <row r="44" spans="1:16">
      <c r="A44" s="1534" t="s">
        <v>127</v>
      </c>
      <c r="B44" s="1">
        <f>P52</f>
        <v>14192.680345428796</v>
      </c>
      <c r="D44" s="1525"/>
      <c r="E44" s="2044"/>
      <c r="F44" s="1294"/>
      <c r="G44" s="1294"/>
      <c r="H44" s="1294"/>
      <c r="I44" s="1294"/>
      <c r="J44" s="1294"/>
      <c r="K44" s="1294"/>
      <c r="L44" s="1295"/>
      <c r="M44" s="2059"/>
      <c r="N44" s="2062" t="s">
        <v>574</v>
      </c>
      <c r="O44" s="2054">
        <v>3150</v>
      </c>
      <c r="P44" s="2055">
        <f t="shared" si="16"/>
        <v>1610.5694257680882</v>
      </c>
    </row>
    <row r="45" spans="1:16" ht="13.5" thickBot="1">
      <c r="A45" s="1536" t="s">
        <v>128</v>
      </c>
      <c r="B45" s="2063">
        <v>0.04</v>
      </c>
      <c r="D45" s="1509" t="s">
        <v>30</v>
      </c>
      <c r="F45" s="1537">
        <f>IF(YEAR($B$26)&gt;F24,0,IF(F24=YEAR($B$26),($B$45*B44*((DATE(F24,12,31)-$B$26)/365)),IF($B$3+1&gt;=G23,IF($B$44*$B$45&gt;=B44,B44,$B$44*$B$45),0)))</f>
        <v>9.3321733778161953</v>
      </c>
      <c r="G45" s="1537">
        <f>IF(YEAR($B$26)&gt;G24,0,IF(G24=YEAR($B$26),($B$45*G47*((DATE(G24,12,31)-$B$26)/365))+SUM($F$48:F48)*$B$45,IF($B$3+1&gt;=H23,IF($B$44*$B$45&gt;=G47,G47,$B$44*$B$45)+SUM($F$48:F48)*$B$45,0)))</f>
        <v>567.70721381715191</v>
      </c>
      <c r="H45" s="1537">
        <f>IF(YEAR($B$26)&gt;H24,0,IF(H24=YEAR($B$26),($B$45*H47*((DATE(H24,12,31)-$B$26)/365))+SUM($F$48:G48)*$B$45,IF($B$3+1&gt;=I23,IF($B$44*$B$45&gt;=H47,H47,$B$44*$B$45)+SUM($F$48:G48)*$B$45,0)))</f>
        <v>567.70721381715191</v>
      </c>
      <c r="I45" s="1537">
        <f>IF(YEAR($B$26)&gt;I24,0,IF(I24=YEAR($B$26),($B$45*I47*((DATE(I24,12,31)-$B$26)/365))+SUM($F$48:H48)*$B$45,IF($B$3+1&gt;=J23,IF($B$44*$B$45&gt;=I47,I47,$B$44*$B$45)+SUM($F$48:H48)*$B$45,0)))</f>
        <v>567.70721381715191</v>
      </c>
      <c r="J45" s="1537">
        <f>IF(YEAR($B$26)&gt;J24,0,IF(J24=YEAR($B$26),($B$45*J47*((DATE(J24,12,31)-$B$26)/365))+SUM($F$48:I48)*$B$45,IF($B$3+1&gt;=K23,IF($B$44*$B$45&gt;=J47,J47,$B$44*$B$45)+SUM($F$48:I48)*$B$45,0)))</f>
        <v>656.84856655259819</v>
      </c>
      <c r="K45" s="1537">
        <f>IF(YEAR($B$26)&gt;K24,0,IF(K24=YEAR($B$26),($B$45*K47*((DATE(K24,12,31)-$B$26)/365))+SUM($F$48:J48)*$B$45,IF($B$3+1&gt;=L23,IF($B$44*$B$45&gt;=K47,K47,$B$44*$B$45)+SUM($F$48:J48)*$B$45,0)))</f>
        <v>656.84856655259819</v>
      </c>
      <c r="L45" s="1538">
        <f>IF(YEAR($B$26)&gt;L24,0,IF(L24=YEAR($B$26),($B$45*L47*((DATE(L24,12,31)-$B$26)/365))+SUM($F$48:K48)*$B$45,IF($B$3+1&gt;=M23,IF($B$44*$B$45&gt;=L47,L47,$B$44*$B$45)+SUM($F$48:K48)*$B$45,0)))</f>
        <v>656.84856655259819</v>
      </c>
      <c r="M45" s="2049"/>
      <c r="N45" s="1299" t="s">
        <v>26</v>
      </c>
      <c r="O45" s="1316">
        <f>SUM(O39:O44)</f>
        <v>687245.16</v>
      </c>
      <c r="P45" s="1300">
        <f>SUM(P39:P44)</f>
        <v>351382.87069939618</v>
      </c>
    </row>
    <row r="46" spans="1:16" ht="13.5" thickBot="1">
      <c r="A46" s="1299"/>
      <c r="D46" s="1299"/>
      <c r="G46" s="1515"/>
      <c r="L46" s="1305"/>
      <c r="M46" s="2049"/>
      <c r="N46" s="1299"/>
      <c r="P46" s="1305"/>
    </row>
    <row r="47" spans="1:16">
      <c r="A47" s="1539" t="s">
        <v>81</v>
      </c>
      <c r="B47" s="2064">
        <v>1.15E-2</v>
      </c>
      <c r="D47" s="1037" t="s">
        <v>44</v>
      </c>
      <c r="F47" s="2">
        <f>B42</f>
        <v>11881.068395514949</v>
      </c>
      <c r="G47" s="2">
        <f t="shared" ref="G47:L47" si="20">IF(G24&lt;YEAR($B$26),0,IF(G24=YEAR($B$26),$B$44,F50))</f>
        <v>11871.736222137133</v>
      </c>
      <c r="H47" s="2">
        <f t="shared" si="20"/>
        <v>11304.029008319982</v>
      </c>
      <c r="I47" s="2">
        <f t="shared" si="20"/>
        <v>10736.32179450283</v>
      </c>
      <c r="J47" s="2">
        <f t="shared" si="20"/>
        <v>12397.148399071833</v>
      </c>
      <c r="K47" s="2">
        <f t="shared" si="20"/>
        <v>11740.299832519235</v>
      </c>
      <c r="L47" s="3">
        <f t="shared" si="20"/>
        <v>11083.451265966636</v>
      </c>
      <c r="M47" s="1286"/>
      <c r="N47" s="2043" t="s">
        <v>264</v>
      </c>
      <c r="O47" s="1316">
        <v>92400</v>
      </c>
      <c r="P47" s="1300">
        <f>O47/$E$3</f>
        <v>47243.369822530593</v>
      </c>
    </row>
    <row r="48" spans="1:16">
      <c r="A48" s="1299" t="s">
        <v>82</v>
      </c>
      <c r="B48" s="2065">
        <v>1.15E-2</v>
      </c>
      <c r="D48" s="1286" t="str">
        <f>A33</f>
        <v>Major maintenance</v>
      </c>
      <c r="F48" s="2">
        <f t="shared" ref="F48:L48" si="21">F39</f>
        <v>0</v>
      </c>
      <c r="G48" s="2">
        <f t="shared" si="21"/>
        <v>0</v>
      </c>
      <c r="H48" s="2">
        <f t="shared" si="21"/>
        <v>0</v>
      </c>
      <c r="I48" s="2">
        <f>I39</f>
        <v>2228.5338183861554</v>
      </c>
      <c r="J48" s="2">
        <f t="shared" si="21"/>
        <v>0</v>
      </c>
      <c r="K48" s="2">
        <f t="shared" si="21"/>
        <v>0</v>
      </c>
      <c r="L48" s="3">
        <f t="shared" si="21"/>
        <v>2306.3057952342942</v>
      </c>
      <c r="M48" s="1299"/>
      <c r="N48" s="1299"/>
      <c r="P48" s="1305"/>
    </row>
    <row r="49" spans="1:16" ht="13.5" thickBot="1">
      <c r="A49" s="1299" t="s">
        <v>28</v>
      </c>
      <c r="B49" s="2065">
        <v>0.01</v>
      </c>
      <c r="D49" s="1509" t="str">
        <f>D45</f>
        <v>Depreciation</v>
      </c>
      <c r="F49" s="1541">
        <f t="shared" ref="F49:L49" si="22">-F45</f>
        <v>-9.3321733778161953</v>
      </c>
      <c r="G49" s="1541">
        <f t="shared" si="22"/>
        <v>-567.70721381715191</v>
      </c>
      <c r="H49" s="1541">
        <f t="shared" si="22"/>
        <v>-567.70721381715191</v>
      </c>
      <c r="I49" s="1541">
        <f t="shared" si="22"/>
        <v>-567.70721381715191</v>
      </c>
      <c r="J49" s="1541">
        <f t="shared" si="22"/>
        <v>-656.84856655259819</v>
      </c>
      <c r="K49" s="1541">
        <f t="shared" si="22"/>
        <v>-656.84856655259819</v>
      </c>
      <c r="L49" s="1530">
        <f t="shared" si="22"/>
        <v>-656.84856655259819</v>
      </c>
      <c r="M49" s="118"/>
      <c r="N49" s="1299" t="s">
        <v>123</v>
      </c>
      <c r="O49" s="1311">
        <f>O32+O36+O45+O47</f>
        <v>809007.19000000006</v>
      </c>
      <c r="P49" s="1312">
        <f>P32+P36+P45+P47</f>
        <v>413638.80807636661</v>
      </c>
    </row>
    <row r="50" spans="1:16" ht="13.5" thickBot="1">
      <c r="A50" s="1319" t="s">
        <v>74</v>
      </c>
      <c r="B50" s="2066">
        <v>0.2</v>
      </c>
      <c r="C50" s="1721"/>
      <c r="D50" s="1542" t="s">
        <v>88</v>
      </c>
      <c r="E50" s="1721"/>
      <c r="F50" s="1543">
        <f>F47+F49+F48</f>
        <v>11871.736222137133</v>
      </c>
      <c r="G50" s="1543">
        <f t="shared" ref="G50:L50" si="23">G47+G49+G48</f>
        <v>11304.029008319982</v>
      </c>
      <c r="H50" s="1543">
        <f>H47+H49+H48</f>
        <v>10736.32179450283</v>
      </c>
      <c r="I50" s="1543">
        <f>I47+I49+I48</f>
        <v>12397.148399071833</v>
      </c>
      <c r="J50" s="1543">
        <f>J47+J49+J48</f>
        <v>11740.299832519235</v>
      </c>
      <c r="K50" s="1543">
        <f t="shared" si="23"/>
        <v>11083.451265966636</v>
      </c>
      <c r="L50" s="1544">
        <f t="shared" si="23"/>
        <v>12732.908494648331</v>
      </c>
      <c r="M50" s="118"/>
      <c r="N50" s="1299"/>
      <c r="P50" s="1305"/>
    </row>
    <row r="51" spans="1:16">
      <c r="A51" s="1299"/>
      <c r="N51" s="1293" t="s">
        <v>660</v>
      </c>
      <c r="P51" s="1305"/>
    </row>
    <row r="52" spans="1:16" ht="13.5" thickBot="1">
      <c r="A52" s="1299"/>
      <c r="D52" s="1288"/>
      <c r="F52" s="1515"/>
      <c r="G52" s="1515"/>
      <c r="H52" s="1515"/>
      <c r="I52" s="1515"/>
      <c r="J52" s="1515"/>
      <c r="K52" s="1515"/>
      <c r="L52" s="1515"/>
      <c r="M52" s="1515"/>
      <c r="N52" s="1299" t="s">
        <v>96</v>
      </c>
      <c r="O52" s="1316">
        <f>O35</f>
        <v>27758.47</v>
      </c>
      <c r="P52" s="1300">
        <f>P36</f>
        <v>14192.680345428796</v>
      </c>
    </row>
    <row r="53" spans="1:16" ht="13.5" thickBot="1">
      <c r="A53" s="1501" t="s">
        <v>132</v>
      </c>
      <c r="B53" s="1502"/>
      <c r="C53" s="1502"/>
      <c r="D53" s="1539"/>
      <c r="E53" s="1502"/>
      <c r="F53" s="1503">
        <f t="shared" ref="F53:L54" si="24">F23</f>
        <v>1</v>
      </c>
      <c r="G53" s="1503">
        <f t="shared" si="24"/>
        <v>2</v>
      </c>
      <c r="H53" s="1503">
        <f t="shared" si="24"/>
        <v>3</v>
      </c>
      <c r="I53" s="1503">
        <f t="shared" si="24"/>
        <v>4</v>
      </c>
      <c r="J53" s="1503">
        <f t="shared" si="24"/>
        <v>5</v>
      </c>
      <c r="K53" s="1503">
        <f t="shared" si="24"/>
        <v>6</v>
      </c>
      <c r="L53" s="1504">
        <f t="shared" si="24"/>
        <v>7</v>
      </c>
      <c r="M53" s="2067"/>
      <c r="N53" s="1299" t="s">
        <v>555</v>
      </c>
      <c r="O53" s="2054">
        <v>4521.12</v>
      </c>
      <c r="P53" s="2055">
        <f>O53/E3</f>
        <v>2311.6119499138472</v>
      </c>
    </row>
    <row r="54" spans="1:16" ht="13.5" thickBot="1">
      <c r="A54" s="2068" t="s">
        <v>183</v>
      </c>
      <c r="B54" s="2069"/>
      <c r="D54" s="1319"/>
      <c r="E54" s="1721"/>
      <c r="F54" s="1505">
        <f t="shared" si="24"/>
        <v>2023</v>
      </c>
      <c r="G54" s="1505">
        <f t="shared" si="24"/>
        <v>2024</v>
      </c>
      <c r="H54" s="1505">
        <f t="shared" si="24"/>
        <v>2025</v>
      </c>
      <c r="I54" s="1505">
        <f t="shared" si="24"/>
        <v>2026</v>
      </c>
      <c r="J54" s="1505">
        <f t="shared" si="24"/>
        <v>2027</v>
      </c>
      <c r="K54" s="1505">
        <f t="shared" si="24"/>
        <v>2028</v>
      </c>
      <c r="L54" s="1506">
        <f t="shared" si="24"/>
        <v>2029</v>
      </c>
      <c r="M54" s="1294"/>
      <c r="N54" s="1299"/>
      <c r="O54" s="1313">
        <f>O52-O53</f>
        <v>23237.350000000002</v>
      </c>
      <c r="P54" s="1314">
        <f>P52-P53</f>
        <v>11881.068395514949</v>
      </c>
    </row>
    <row r="55" spans="1:16" ht="13.5" thickBot="1">
      <c r="A55" s="1299"/>
      <c r="D55" s="1539"/>
      <c r="E55" s="1502"/>
      <c r="F55" s="1502"/>
      <c r="G55" s="1502"/>
      <c r="H55" s="1502"/>
      <c r="I55" s="1502"/>
      <c r="J55" s="1502"/>
      <c r="K55" s="1502"/>
      <c r="L55" s="1725"/>
      <c r="N55" s="1299"/>
      <c r="P55" s="1305"/>
    </row>
    <row r="56" spans="1:16">
      <c r="A56" s="1522" t="s">
        <v>133</v>
      </c>
      <c r="B56" s="1725"/>
      <c r="D56" s="1293" t="s">
        <v>134</v>
      </c>
      <c r="L56" s="1305"/>
      <c r="N56" s="1299" t="str">
        <f>N38</f>
        <v>Machinery</v>
      </c>
      <c r="O56" s="1316">
        <f>O45</f>
        <v>687245.16</v>
      </c>
      <c r="P56" s="1300">
        <f>P45</f>
        <v>351382.87069939618</v>
      </c>
    </row>
    <row r="57" spans="1:16">
      <c r="A57" s="1509" t="s">
        <v>96</v>
      </c>
      <c r="B57" s="2070">
        <v>0.02</v>
      </c>
      <c r="D57" s="1509" t="str">
        <f>A57</f>
        <v>Buildings</v>
      </c>
      <c r="F57" s="2">
        <f>SUMIF(Capex!$E$19:$E$31,$D$57,Capex!G19:G31)-SUMIFS(Capex!G19:G31,Capex!$D$19:$D$31,"Red Church Holding",Capex!$E$19:$E$31,"Buildings")</f>
        <v>0</v>
      </c>
      <c r="G57" s="2">
        <f>SUMIF(Capex!$E$19:$E$31,$D$57,Capex!H19:H31)-SUMIFS(Capex!H19:H31,Capex!$D$19:$D$31,"Red Church Holding",Capex!$E$19:$E$31,"Buildings")</f>
        <v>1695000</v>
      </c>
      <c r="H57" s="2">
        <f>SUMIF(Capex!$E$19:$E$31,$D$57,Capex!I19:I31)-SUMIFS(Capex!I19:I31,Capex!$D$19:$D$31,"Red Church Holding",Capex!$E$19:$E$31,"Buildings")</f>
        <v>0</v>
      </c>
      <c r="I57" s="2">
        <f>SUMIF(Capex!$E$19:$E$31,$D$57,Capex!J19:J31)-SUMIFS(Capex!J19:J31,Capex!$D$19:$D$31,"Red Church Holding",Capex!$E$19:$E$31,"Buildings")</f>
        <v>0</v>
      </c>
      <c r="J57" s="2">
        <f>SUMIF(Capex!$E$19:$E$31,$D$57,Capex!K19:K31)-SUMIFS(Capex!K19:K31,Capex!$D$19:$D$31,"Red Church Holding",Capex!$E$19:$E$31,"Buildings")</f>
        <v>0</v>
      </c>
      <c r="K57" s="2">
        <f>SUMIF(Capex!$E$19:$E$31,$D$57,Capex!L19:L31)-SUMIFS(Capex!L19:L31,Capex!$D$19:$D$31,"Red Church Holding",Capex!$E$19:$E$31,"Buildings")</f>
        <v>0</v>
      </c>
      <c r="L57" s="3">
        <f>SUMIF(Capex!$E$19:$E$31,$D$57,Capex!M19:M31)-SUMIFS(Capex!M19:M31,Capex!$D$19:$D$31,"Red Church Holding",Capex!$E$19:$E$31,"Buildings")</f>
        <v>0</v>
      </c>
      <c r="M57" s="2"/>
      <c r="N57" s="1299" t="s">
        <v>556</v>
      </c>
      <c r="O57" s="566">
        <f>215565.6-26699*E3</f>
        <v>163346.89483</v>
      </c>
      <c r="P57" s="2055">
        <f>P56-214467.13-26699</f>
        <v>110216.74069939618</v>
      </c>
    </row>
    <row r="58" spans="1:16">
      <c r="A58" s="2028" t="s">
        <v>582</v>
      </c>
      <c r="B58" s="2070">
        <v>0.08</v>
      </c>
      <c r="D58" s="1509" t="str">
        <f>A58</f>
        <v>Infrastructure</v>
      </c>
      <c r="F58" s="2">
        <f>SUMIF(Capex!$E$19:$E$31,$D$58,Capex!G19:G31)</f>
        <v>0</v>
      </c>
      <c r="G58" s="2">
        <f>SUMIF(Capex!$E$19:$E$31,$D$58,Capex!H19:H31)</f>
        <v>95000</v>
      </c>
      <c r="H58" s="2">
        <f>SUMIF(Capex!$E$19:$E$31,$D$58,Capex!I19:I31)</f>
        <v>0</v>
      </c>
      <c r="I58" s="2">
        <f>SUMIF(Capex!$E$19:$E$31,$D$58,Capex!J19:J31)</f>
        <v>0</v>
      </c>
      <c r="J58" s="2">
        <f>SUMIF(Capex!$E$19:$E$31,$D$58,Capex!K19:K31)</f>
        <v>0</v>
      </c>
      <c r="K58" s="2">
        <f>SUMIF(Capex!$E$19:$E$31,$D$58,Capex!L19:L31)</f>
        <v>0</v>
      </c>
      <c r="L58" s="3">
        <f>SUMIF(Capex!$E$19:$E$31,$D$58,Capex!M19:M31)</f>
        <v>0</v>
      </c>
      <c r="M58" s="2"/>
      <c r="N58" s="1299"/>
      <c r="O58" s="1313">
        <f>O56-O57</f>
        <v>523898.26517000003</v>
      </c>
      <c r="P58" s="1314">
        <f>P56-P57</f>
        <v>241166.13</v>
      </c>
    </row>
    <row r="59" spans="1:16">
      <c r="A59" s="2028" t="s">
        <v>114</v>
      </c>
      <c r="B59" s="2070">
        <v>0.1</v>
      </c>
      <c r="D59" s="1509" t="str">
        <f>A59</f>
        <v>Machinery</v>
      </c>
      <c r="F59" s="2">
        <f ca="1">SUMIF(Capex!$E$19:$E$31,$D$59,Capex!G19:G31)</f>
        <v>0</v>
      </c>
      <c r="G59" s="2">
        <f ca="1">SUMIF(Capex!$E$19:$E$31,$D$59,Capex!H19:H31)</f>
        <v>249000</v>
      </c>
      <c r="H59" s="2">
        <f ca="1">SUMIF(Capex!$E$19:$E$31,$D$59,Capex!I19:I31)</f>
        <v>19817.447323499997</v>
      </c>
      <c r="I59" s="2">
        <f ca="1">SUMIF(Capex!$E$19:$E$31,$D$59,Capex!J19:J31)</f>
        <v>86977.497221999976</v>
      </c>
      <c r="J59" s="2">
        <f ca="1">SUMIF(Capex!$E$19:$E$31,$D$59,Capex!K19:K31)</f>
        <v>14402.118046499996</v>
      </c>
      <c r="K59" s="2">
        <f ca="1">SUMIF(Capex!$E$19:$E$31,$D$59,Capex!L19:L31)</f>
        <v>80031.993899678608</v>
      </c>
      <c r="L59" s="3">
        <f ca="1">SUMIF(Capex!$E$19:$E$31,$D$59,Capex!M19:M31)</f>
        <v>69519.597590838443</v>
      </c>
      <c r="M59" s="2"/>
      <c r="N59" s="1299"/>
      <c r="P59" s="1305"/>
    </row>
    <row r="60" spans="1:16">
      <c r="A60" s="1509" t="s">
        <v>581</v>
      </c>
      <c r="B60" s="2070">
        <v>0.15</v>
      </c>
      <c r="D60" s="1509" t="str">
        <f>A61</f>
        <v>Barrels</v>
      </c>
      <c r="F60" s="2">
        <f>SUMIF(Capex!$E$19:$E$31,$D$60,Capex!G19:G31)</f>
        <v>123165</v>
      </c>
      <c r="G60" s="2">
        <f ca="1">SUMIF(Capex!$E$19:$E$31,$D$60,Capex!H19:H31)</f>
        <v>131400.17787599997</v>
      </c>
      <c r="H60" s="2">
        <f ca="1">SUMIF(Capex!$E$19:$E$31,$D$60,Capex!I19:I31)</f>
        <v>192001.88380265996</v>
      </c>
      <c r="I60" s="2">
        <f ca="1">SUMIF(Capex!$E$19:$E$31,$D$60,Capex!J19:J31)</f>
        <v>227634.11699576033</v>
      </c>
      <c r="J60" s="2">
        <f ca="1">SUMIF(Capex!$E$19:$E$31,$D$60,Capex!K19:K31)</f>
        <v>232382.66814110795</v>
      </c>
      <c r="K60" s="2">
        <f ca="1">SUMIF(Capex!$E$19:$E$31,$D$60,Capex!L19:L31)</f>
        <v>237030.32150393011</v>
      </c>
      <c r="L60" s="3">
        <f ca="1">SUMIF(Capex!$E$19:$E$31,$D$60,Capex!M19:M31)</f>
        <v>241770.92793400868</v>
      </c>
      <c r="M60" s="2"/>
      <c r="N60" s="1293" t="s">
        <v>128</v>
      </c>
      <c r="P60" s="1305"/>
    </row>
    <row r="61" spans="1:16">
      <c r="A61" s="1509" t="s">
        <v>264</v>
      </c>
      <c r="B61" s="2071">
        <v>0.33333333333333331</v>
      </c>
      <c r="D61" s="1509" t="str">
        <f>A62</f>
        <v>Vehicles</v>
      </c>
      <c r="F61" s="2">
        <f>SUMIF(Capex!$E$19:$E$31,$D$61,Capex!G19:G31)</f>
        <v>0</v>
      </c>
      <c r="G61" s="2">
        <f>SUMIF(Capex!$E$19:$E$31,$D$61,Capex!H19:H31)</f>
        <v>80500</v>
      </c>
      <c r="H61" s="2">
        <f>SUMIF(Capex!$E$19:$E$31,$D$61,Capex!I19:I31)</f>
        <v>0</v>
      </c>
      <c r="I61" s="2">
        <f>SUMIF(Capex!$E$19:$E$31,$D$61,Capex!J19:J31)</f>
        <v>0</v>
      </c>
      <c r="J61" s="2">
        <f>SUMIF(Capex!$E$19:$E$31,$D$61,Capex!K19:K31)</f>
        <v>0</v>
      </c>
      <c r="K61" s="2">
        <f>SUMIF(Capex!$E$19:$E$31,$D$61,Capex!L19:L31)</f>
        <v>0</v>
      </c>
      <c r="L61" s="3">
        <f>SUMIF(Capex!$E$19:$E$31,$D$61,Capex!M19:M31)</f>
        <v>0</v>
      </c>
      <c r="M61" s="2"/>
      <c r="N61" s="1299" t="str">
        <f>N52</f>
        <v>Buildings</v>
      </c>
      <c r="O61" s="1316">
        <f>O35*B57</f>
        <v>555.1694</v>
      </c>
      <c r="P61" s="1300">
        <f>O61/E3</f>
        <v>283.8536069085759</v>
      </c>
    </row>
    <row r="62" spans="1:16" ht="13.5" thickBot="1">
      <c r="A62" s="2028" t="s">
        <v>273</v>
      </c>
      <c r="B62" s="2070">
        <v>0.2</v>
      </c>
      <c r="D62" s="1509" t="str">
        <f>A63</f>
        <v>Computer / IT</v>
      </c>
      <c r="F62" s="2">
        <f>SUMIF(Capex!$E$19:$E$31,$D$62,Capex!G19:G31)</f>
        <v>0</v>
      </c>
      <c r="G62" s="2">
        <f>SUMIF(Capex!$E$19:$E$31,$D$62,Capex!H19:H31)</f>
        <v>22500</v>
      </c>
      <c r="H62" s="2">
        <f>SUMIF(Capex!$E$19:$E$31,$D$62,Capex!I19:I31)</f>
        <v>0</v>
      </c>
      <c r="I62" s="2">
        <f>SUMIF(Capex!$E$19:$E$31,$D$62,Capex!J19:J31)</f>
        <v>0</v>
      </c>
      <c r="J62" s="2">
        <f>SUMIF(Capex!$E$19:$E$31,$D$62,Capex!K19:K31)</f>
        <v>0</v>
      </c>
      <c r="K62" s="2">
        <f>SUMIF(Capex!$E$19:$E$31,$D$62,Capex!L19:L31)</f>
        <v>0</v>
      </c>
      <c r="L62" s="3">
        <f>SUMIF(Capex!$E$19:$E$31,$D$62,Capex!M19:M31)</f>
        <v>0</v>
      </c>
      <c r="M62" s="2"/>
      <c r="N62" s="1319" t="str">
        <f>N56</f>
        <v>Machinery</v>
      </c>
      <c r="O62" s="1320">
        <v>27000</v>
      </c>
      <c r="P62" s="1321">
        <f>O62/E3</f>
        <v>13804.880792297899</v>
      </c>
    </row>
    <row r="63" spans="1:16">
      <c r="A63" s="1509" t="s">
        <v>580</v>
      </c>
      <c r="B63" s="2070">
        <v>0.15</v>
      </c>
      <c r="D63" s="1509" t="str">
        <f>A64</f>
        <v>Others</v>
      </c>
      <c r="F63" s="107">
        <f>SUMIF(Capex!$E$19:$E$31,$D$63,Capex!G19:G31)</f>
        <v>0</v>
      </c>
      <c r="G63" s="107">
        <f>SUMIF(Capex!$E$19:$E$31,$D$63,Capex!H19:H31)</f>
        <v>137500</v>
      </c>
      <c r="H63" s="107">
        <f>SUMIF(Capex!$E$19:$E$31,$D$63,Capex!I19:I31)</f>
        <v>0</v>
      </c>
      <c r="I63" s="107">
        <f>SUMIF(Capex!$E$19:$E$31,$D$63,Capex!J19:J31)</f>
        <v>0</v>
      </c>
      <c r="J63" s="107">
        <f>SUMIF(Capex!$E$19:$E$31,$D$63,Capex!K19:K31)</f>
        <v>0</v>
      </c>
      <c r="K63" s="107">
        <f>SUMIF(Capex!$E$19:$E$31,$D$63,Capex!L19:L31)</f>
        <v>0</v>
      </c>
      <c r="L63" s="108">
        <f>SUMIF(Capex!$E$19:$E$31,$D$63,Capex!M19:M31)</f>
        <v>0</v>
      </c>
      <c r="M63" s="2"/>
      <c r="P63" s="1305"/>
    </row>
    <row r="64" spans="1:16" ht="13.5" thickBot="1">
      <c r="A64" s="1531" t="s">
        <v>108</v>
      </c>
      <c r="B64" s="2072">
        <v>0.15</v>
      </c>
      <c r="D64" s="1293" t="s">
        <v>135</v>
      </c>
      <c r="F64" s="1515">
        <f t="shared" ref="F64:L64" ca="1" si="25">SUM(F57:F63)</f>
        <v>123165</v>
      </c>
      <c r="G64" s="1515">
        <f t="shared" ca="1" si="25"/>
        <v>2410900.1778759998</v>
      </c>
      <c r="H64" s="1515">
        <f t="shared" ca="1" si="25"/>
        <v>211819.33112615996</v>
      </c>
      <c r="I64" s="1515">
        <f t="shared" ca="1" si="25"/>
        <v>314611.61421776027</v>
      </c>
      <c r="J64" s="1515">
        <f t="shared" ca="1" si="25"/>
        <v>246784.78618760794</v>
      </c>
      <c r="K64" s="1515">
        <f t="shared" ca="1" si="25"/>
        <v>317062.31540360872</v>
      </c>
      <c r="L64" s="1516">
        <f t="shared" ca="1" si="25"/>
        <v>311290.52552484709</v>
      </c>
      <c r="M64" s="2"/>
      <c r="P64" s="1305"/>
    </row>
    <row r="65" spans="1:16" ht="13.5" thickBot="1">
      <c r="A65" s="1299"/>
      <c r="D65" s="1299"/>
      <c r="L65" s="1305"/>
      <c r="M65" s="1515"/>
      <c r="P65" s="1305"/>
    </row>
    <row r="66" spans="1:16">
      <c r="A66" s="1517" t="s">
        <v>119</v>
      </c>
      <c r="B66" s="10"/>
      <c r="D66" s="1293" t="s">
        <v>119</v>
      </c>
      <c r="L66" s="1305"/>
      <c r="P66" s="1305"/>
    </row>
    <row r="67" spans="1:16">
      <c r="A67" s="1509" t="str">
        <f>A57</f>
        <v>Buildings</v>
      </c>
      <c r="B67" s="2073">
        <v>1.35E-2</v>
      </c>
      <c r="D67" s="1509" t="str">
        <f t="shared" ref="D67:D73" si="26">D57</f>
        <v>Buildings</v>
      </c>
      <c r="E67" s="1515"/>
      <c r="F67" s="2">
        <f>$B$67*SUM($E57:F57)*(1+$B$48)^E36</f>
        <v>0</v>
      </c>
      <c r="G67" s="2">
        <f>$B$67*SUM($E57:G57)*(1+$B$48)^F36</f>
        <v>23145.64875</v>
      </c>
      <c r="H67" s="2">
        <f>$B$67*SUM($E57:H57)*(1+$B$48)^G36</f>
        <v>23411.823710625005</v>
      </c>
      <c r="I67" s="2">
        <f>$B$67*SUM($E57:I57)*(1+$B$48)^H36</f>
        <v>23681.059683297193</v>
      </c>
      <c r="J67" s="2">
        <f>$B$67*SUM($E57:J57)*(1+$B$48)^I36</f>
        <v>23953.391869655112</v>
      </c>
      <c r="K67" s="2">
        <f>$B$67*SUM($E57:K57)*(1+$B$48)^J36</f>
        <v>24228.855876156147</v>
      </c>
      <c r="L67" s="3">
        <f>$B$67*SUM($E57:L57)*(1+$B$48)^K36</f>
        <v>24507.487718731943</v>
      </c>
      <c r="P67" s="1305"/>
    </row>
    <row r="68" spans="1:16">
      <c r="A68" s="1509" t="str">
        <f>A58</f>
        <v>Infrastructure</v>
      </c>
      <c r="B68" s="2073">
        <v>0.01</v>
      </c>
      <c r="D68" s="1509" t="str">
        <f t="shared" si="26"/>
        <v>Infrastructure</v>
      </c>
      <c r="E68" s="1515"/>
      <c r="F68" s="2">
        <f>$B$68*SUM($E58:F58)*(1+$B$48)^E36</f>
        <v>0</v>
      </c>
      <c r="G68" s="2">
        <f>$B$68*SUM($E58:G58)*(1+$B$48)^F36</f>
        <v>960.92500000000007</v>
      </c>
      <c r="H68" s="2">
        <f>$B$68*SUM($E58:H58)*(1+$B$48)^G36</f>
        <v>971.97563750000018</v>
      </c>
      <c r="I68" s="2">
        <f>$B$68*SUM($E58:I58)*(1+$B$48)^H36</f>
        <v>983.15335733125028</v>
      </c>
      <c r="J68" s="2">
        <f>$B$68*SUM($E58:J58)*(1+$B$48)^I36</f>
        <v>994.45962094055972</v>
      </c>
      <c r="K68" s="2">
        <f>$B$68*SUM($E58:K58)*(1+$B$48)^J36</f>
        <v>1005.8959065813762</v>
      </c>
      <c r="L68" s="3">
        <f>$B$68*SUM($E58:L58)*(1+$B$48)^K36</f>
        <v>1017.463709507062</v>
      </c>
      <c r="P68" s="1305"/>
    </row>
    <row r="69" spans="1:16">
      <c r="A69" s="1509" t="str">
        <f t="shared" ref="A69:A74" si="27">A59</f>
        <v>Machinery</v>
      </c>
      <c r="B69" s="2073">
        <v>1.4999999999999999E-2</v>
      </c>
      <c r="D69" s="1509" t="str">
        <f t="shared" si="26"/>
        <v>Machinery</v>
      </c>
      <c r="E69" s="1515"/>
      <c r="F69" s="2">
        <f ca="1">$B$69*SUM($E59:F59)*(1+$B$48)^E36</f>
        <v>0</v>
      </c>
      <c r="G69" s="2">
        <f ca="1">$B$69*SUM($E59:G59)*(1+$B$48)^F36</f>
        <v>3777.9525000000003</v>
      </c>
      <c r="H69" s="2">
        <f ca="1">$B$69*SUM($E59:H59)*(1+$B$48)^G36</f>
        <v>4125.5369957902358</v>
      </c>
      <c r="I69" s="2">
        <f ca="1">$B$69*SUM($E59:I59)*(1+$B$48)^H36</f>
        <v>5523.1735934430681</v>
      </c>
      <c r="J69" s="2">
        <f ca="1">$B$69*SUM($E59:J59)*(1+$B$48)^I36</f>
        <v>5812.8320611349836</v>
      </c>
      <c r="K69" s="2">
        <f ca="1">$B$69*SUM($E59:K59)*(1+$B$48)^J36</f>
        <v>7150.7931307732833</v>
      </c>
      <c r="L69" s="3">
        <f ca="1">$B$69*SUM($E59:L59)*(1+$B$48)^K36</f>
        <v>8349.8746356963238</v>
      </c>
      <c r="P69" s="1305"/>
    </row>
    <row r="70" spans="1:16">
      <c r="A70" s="1509" t="str">
        <f t="shared" si="27"/>
        <v>Tanks / vermenters</v>
      </c>
      <c r="B70" s="2073">
        <v>0.01</v>
      </c>
      <c r="D70" s="1509" t="str">
        <f t="shared" si="26"/>
        <v>Barrels</v>
      </c>
      <c r="E70" s="1515"/>
      <c r="F70" s="2">
        <f>$B$71*SUM($E60:F60)*(1+$B$48)^E36</f>
        <v>0</v>
      </c>
      <c r="G70" s="2">
        <f ca="1">$B$71*SUM($E60:G60)*(1+$B$48)^F36</f>
        <v>0</v>
      </c>
      <c r="H70" s="2">
        <f ca="1">$B$71*SUM($E60:H60)*(1+$B$48)^G36</f>
        <v>0</v>
      </c>
      <c r="I70" s="2">
        <f ca="1">$B$71*SUM($E60:I60)*(1+$B$48)^H36</f>
        <v>0</v>
      </c>
      <c r="J70" s="2">
        <f ca="1">$B$71*SUM($E60:J60)*(1+$B$48)^I36</f>
        <v>0</v>
      </c>
      <c r="K70" s="2">
        <f ca="1">$B$71*SUM($E60:K60)*(1+$B$48)^J36</f>
        <v>0</v>
      </c>
      <c r="L70" s="3">
        <f ca="1">$B$71*SUM($E60:L60)*(1+$B$48)^K36</f>
        <v>0</v>
      </c>
      <c r="P70" s="1305"/>
    </row>
    <row r="71" spans="1:16">
      <c r="A71" s="1509" t="str">
        <f t="shared" si="27"/>
        <v>Barrels</v>
      </c>
      <c r="B71" s="2073">
        <v>0</v>
      </c>
      <c r="D71" s="1509" t="str">
        <f t="shared" si="26"/>
        <v>Vehicles</v>
      </c>
      <c r="E71" s="1515"/>
      <c r="F71" s="2">
        <f>$B$72*SUM($E61:F61)*(1+$B$48)^E36</f>
        <v>0</v>
      </c>
      <c r="G71" s="2">
        <f>$B$72*SUM($E61:G61)*(1+$B$48)^F36</f>
        <v>1221.38625</v>
      </c>
      <c r="H71" s="2">
        <f>$B$72*SUM($E61:H61)*(1+$B$48)^G36</f>
        <v>1235.4321918750002</v>
      </c>
      <c r="I71" s="2">
        <f>$B$72*SUM($E61:I61)*(1+$B$48)^H36</f>
        <v>1249.6396620815628</v>
      </c>
      <c r="J71" s="2">
        <f>$B$72*SUM($E61:J61)*(1+$B$48)^I36</f>
        <v>1264.0105181955009</v>
      </c>
      <c r="K71" s="2">
        <f>$B$72*SUM($E61:K61)*(1+$B$48)^J36</f>
        <v>1278.5466391547491</v>
      </c>
      <c r="L71" s="3">
        <f>$B$72*SUM($E61:L61)*(1+$B$48)^K36</f>
        <v>1293.2499255050288</v>
      </c>
      <c r="P71" s="1305"/>
    </row>
    <row r="72" spans="1:16">
      <c r="A72" s="1509" t="str">
        <f t="shared" si="27"/>
        <v>Vehicles</v>
      </c>
      <c r="B72" s="2073">
        <v>1.4999999999999999E-2</v>
      </c>
      <c r="D72" s="1509" t="str">
        <f t="shared" si="26"/>
        <v>Computer / IT</v>
      </c>
      <c r="E72" s="1515"/>
      <c r="F72" s="2">
        <f>$B$73*SUM($E62:F62)*(1+$B$48)^E36</f>
        <v>0</v>
      </c>
      <c r="G72" s="2">
        <f>$B$73*SUM($E62:G62)*(1+$B$48)^F36</f>
        <v>0</v>
      </c>
      <c r="H72" s="2">
        <f>$B$73*SUM($E62:H62)*(1+$B$48)^G36</f>
        <v>0</v>
      </c>
      <c r="I72" s="2">
        <f>$B$73*SUM($E62:I62)*(1+$B$48)^H36</f>
        <v>0</v>
      </c>
      <c r="J72" s="2">
        <f>$B$73*SUM($E62:J62)*(1+$B$48)^I36</f>
        <v>0</v>
      </c>
      <c r="K72" s="2">
        <f>$B$73*SUM($E62:K62)*(1+$B$48)^J36</f>
        <v>0</v>
      </c>
      <c r="L72" s="3">
        <f>$B$73*SUM($E62:L62)*(1+$B$48)^K36</f>
        <v>0</v>
      </c>
      <c r="P72" s="1305"/>
    </row>
    <row r="73" spans="1:16">
      <c r="A73" s="1509" t="str">
        <f t="shared" si="27"/>
        <v>Computer / IT</v>
      </c>
      <c r="B73" s="2073">
        <v>0</v>
      </c>
      <c r="D73" s="1509" t="str">
        <f t="shared" si="26"/>
        <v>Others</v>
      </c>
      <c r="E73" s="1515"/>
      <c r="F73" s="107">
        <f>$B$74*SUM($E63:F63)*(1+$B$48)^E36</f>
        <v>0</v>
      </c>
      <c r="G73" s="107">
        <f>$B$74*SUM($E63:G63)*(1+$B$48)^F36</f>
        <v>1390.8125</v>
      </c>
      <c r="H73" s="107">
        <f>$B$74*SUM($E63:H63)*(1+$B$48)^G36</f>
        <v>1406.8068437500003</v>
      </c>
      <c r="I73" s="107">
        <f>$B$74*SUM($E63:I63)*(1+$B$48)^H36</f>
        <v>1422.9851224531253</v>
      </c>
      <c r="J73" s="107">
        <f>$B$74*SUM($E63:J63)*(1+$B$48)^I36</f>
        <v>1439.3494513613364</v>
      </c>
      <c r="K73" s="107">
        <f>$B$74*SUM($E63:K63)*(1+$B$48)^J36</f>
        <v>1455.9019700519918</v>
      </c>
      <c r="L73" s="108">
        <f>$B$74*SUM($E63:L63)*(1+$B$48)^K36</f>
        <v>1472.6448427075898</v>
      </c>
      <c r="P73" s="1305"/>
    </row>
    <row r="74" spans="1:16" ht="13.5" thickBot="1">
      <c r="A74" s="1531" t="str">
        <f t="shared" si="27"/>
        <v>Others</v>
      </c>
      <c r="B74" s="2060">
        <v>0.01</v>
      </c>
      <c r="D74" s="1299"/>
      <c r="E74" s="1515"/>
      <c r="F74" s="2">
        <f ca="1">SUM(F67:F73)</f>
        <v>0</v>
      </c>
      <c r="G74" s="2">
        <f t="shared" ref="G74:L74" ca="1" si="28">SUM(G67:G73)</f>
        <v>30496.724999999999</v>
      </c>
      <c r="H74" s="2">
        <f t="shared" ca="1" si="28"/>
        <v>31151.575379540242</v>
      </c>
      <c r="I74" s="2">
        <f t="shared" ca="1" si="28"/>
        <v>32860.011418606198</v>
      </c>
      <c r="J74" s="2">
        <f t="shared" ca="1" si="28"/>
        <v>33464.043521287495</v>
      </c>
      <c r="K74" s="2">
        <f t="shared" ca="1" si="28"/>
        <v>35119.993522717552</v>
      </c>
      <c r="L74" s="3">
        <f t="shared" ca="1" si="28"/>
        <v>36640.720832147941</v>
      </c>
      <c r="P74" s="1305"/>
    </row>
    <row r="75" spans="1:16" ht="13.5" thickBot="1">
      <c r="A75" s="1299"/>
      <c r="D75" s="1299"/>
      <c r="L75" s="1305"/>
      <c r="P75" s="1305"/>
    </row>
    <row r="76" spans="1:16">
      <c r="A76" s="1522" t="s">
        <v>136</v>
      </c>
      <c r="B76" s="1725"/>
      <c r="D76" s="1293" t="s">
        <v>30</v>
      </c>
      <c r="L76" s="1305"/>
      <c r="P76" s="1305"/>
    </row>
    <row r="77" spans="1:16">
      <c r="A77" s="1509" t="str">
        <f t="shared" ref="A77:A83" si="29">D57</f>
        <v>Buildings</v>
      </c>
      <c r="B77" s="2074">
        <v>0.1</v>
      </c>
      <c r="D77" s="1509" t="str">
        <f t="shared" ref="D77:D83" si="30">D67</f>
        <v>Buildings</v>
      </c>
      <c r="F77" s="1541">
        <f>'Depr. PP&amp;E'!G14</f>
        <v>127.73412310885918</v>
      </c>
      <c r="G77" s="1541">
        <f>'Depr. PP&amp;E'!I14</f>
        <v>15510.468246217719</v>
      </c>
      <c r="H77" s="1541">
        <f>'Depr. PP&amp;E'!K14</f>
        <v>30765.468246217719</v>
      </c>
      <c r="I77" s="1541">
        <f>'Depr. PP&amp;E'!M14</f>
        <v>30765.468246217719</v>
      </c>
      <c r="J77" s="1541">
        <f>'Depr. PP&amp;E'!O14</f>
        <v>30765.468246217719</v>
      </c>
      <c r="K77" s="1541">
        <f>'Depr. PP&amp;E'!Q14</f>
        <v>30765.468246217719</v>
      </c>
      <c r="L77" s="1530">
        <f>'Depr. PP&amp;E'!S14</f>
        <v>30765.468246217719</v>
      </c>
      <c r="P77" s="1305"/>
    </row>
    <row r="78" spans="1:16">
      <c r="A78" s="1509" t="str">
        <f t="shared" si="29"/>
        <v>Infrastructure</v>
      </c>
      <c r="B78" s="2074">
        <v>0</v>
      </c>
      <c r="D78" s="1509" t="str">
        <f t="shared" si="30"/>
        <v>Infrastructure</v>
      </c>
      <c r="F78" s="1541">
        <f>'Depr. PP&amp;E'!G27</f>
        <v>0</v>
      </c>
      <c r="G78" s="1541">
        <f>'Depr. PP&amp;E'!I27</f>
        <v>3800</v>
      </c>
      <c r="H78" s="1541">
        <f>'Depr. PP&amp;E'!K27</f>
        <v>7600</v>
      </c>
      <c r="I78" s="1541">
        <f>'Depr. PP&amp;E'!M27</f>
        <v>7600</v>
      </c>
      <c r="J78" s="1541">
        <f ca="1">'Depr. PP&amp;E'!O27</f>
        <v>8938.5617408514991</v>
      </c>
      <c r="K78" s="1541">
        <f ca="1">'Depr. PP&amp;E'!Q27</f>
        <v>10277.123481703</v>
      </c>
      <c r="L78" s="1530">
        <f ca="1">'Depr. PP&amp;E'!S27</f>
        <v>10277.123481703</v>
      </c>
      <c r="P78" s="1305"/>
    </row>
    <row r="79" spans="1:16">
      <c r="A79" s="1509" t="str">
        <f t="shared" si="29"/>
        <v>Machinery</v>
      </c>
      <c r="B79" s="2074">
        <v>0.05</v>
      </c>
      <c r="D79" s="1509" t="str">
        <f t="shared" si="30"/>
        <v>Machinery</v>
      </c>
      <c r="F79" s="1541">
        <f ca="1">'Depr. PP&amp;E'!G40</f>
        <v>16690.686358221319</v>
      </c>
      <c r="G79" s="1541">
        <f ca="1">'Depr. PP&amp;E'!I40</f>
        <v>45208.872716442638</v>
      </c>
      <c r="H79" s="1541">
        <f ca="1">'Depr. PP&amp;E'!K40</f>
        <v>57977.701464308891</v>
      </c>
      <c r="I79" s="1541">
        <f ca="1">'Depr. PP&amp;E'!M40</f>
        <v>67181.892448265135</v>
      </c>
      <c r="J79" s="1541">
        <f ca="1">'Depr. PP&amp;E'!O40</f>
        <v>67865.993055473882</v>
      </c>
      <c r="K79" s="1541">
        <f ca="1">'Depr. PP&amp;E'!Q40</f>
        <v>72351.61337291736</v>
      </c>
      <c r="L79" s="1530">
        <f ca="1">'Depr. PP&amp;E'!S40</f>
        <v>75653.794258482187</v>
      </c>
      <c r="P79" s="1305"/>
    </row>
    <row r="80" spans="1:16">
      <c r="A80" s="1509" t="str">
        <f t="shared" si="29"/>
        <v>Barrels</v>
      </c>
      <c r="B80" s="2074">
        <v>0</v>
      </c>
      <c r="D80" s="1509" t="str">
        <f t="shared" si="30"/>
        <v>Barrels</v>
      </c>
      <c r="F80" s="1541">
        <f>'Depr. PP&amp;E'!G54</f>
        <v>88298.3698225306</v>
      </c>
      <c r="G80" s="1541">
        <f ca="1">'Depr. PP&amp;E'!I54</f>
        <v>84855.059291999991</v>
      </c>
      <c r="H80" s="1541">
        <f ca="1">'Depr. PP&amp;E'!K54</f>
        <v>191740.72675421997</v>
      </c>
      <c r="I80" s="1541">
        <f ca="1">'Depr. PP&amp;E'!M54</f>
        <v>183678.72622480674</v>
      </c>
      <c r="J80" s="1541">
        <f ca="1">'Depr. PP&amp;E'!O54</f>
        <v>153338.92837895607</v>
      </c>
      <c r="K80" s="1541">
        <f ca="1">'Depr. PP&amp;E'!Q54</f>
        <v>253464.62395315277</v>
      </c>
      <c r="L80" s="1530">
        <f ca="1">'Depr. PP&amp;E'!S54</f>
        <v>197556.25227569387</v>
      </c>
      <c r="P80" s="1305"/>
    </row>
    <row r="81" spans="1:16">
      <c r="A81" s="1509" t="str">
        <f t="shared" si="29"/>
        <v>Vehicles</v>
      </c>
      <c r="B81" s="2074">
        <v>0.1</v>
      </c>
      <c r="D81" s="1509" t="str">
        <f t="shared" si="30"/>
        <v>Vehicles</v>
      </c>
      <c r="F81" s="1541">
        <f>'Depr. PP&amp;E'!G67</f>
        <v>0</v>
      </c>
      <c r="G81" s="1541">
        <f>'Depr. PP&amp;E'!I67</f>
        <v>8050</v>
      </c>
      <c r="H81" s="1541">
        <f ca="1">'Depr. PP&amp;E'!K67</f>
        <v>14490</v>
      </c>
      <c r="I81" s="1541">
        <f ca="1">'Depr. PP&amp;E'!M67</f>
        <v>14490</v>
      </c>
      <c r="J81" s="1541">
        <f ca="1">'Depr. PP&amp;E'!O67</f>
        <v>14490</v>
      </c>
      <c r="K81" s="1541">
        <f ca="1">'Depr. PP&amp;E'!Q67</f>
        <v>14490</v>
      </c>
      <c r="L81" s="1530">
        <f ca="1">'Depr. PP&amp;E'!S67</f>
        <v>14490</v>
      </c>
      <c r="P81" s="1305"/>
    </row>
    <row r="82" spans="1:16">
      <c r="A82" s="1509" t="str">
        <f t="shared" si="29"/>
        <v>Computer / IT</v>
      </c>
      <c r="B82" s="2074">
        <v>0</v>
      </c>
      <c r="D82" s="1509" t="str">
        <f t="shared" si="30"/>
        <v>Computer / IT</v>
      </c>
      <c r="F82" s="1541">
        <f>'Depr. PP&amp;E'!G80</f>
        <v>0</v>
      </c>
      <c r="G82" s="1541">
        <f>'Depr. PP&amp;E'!I80</f>
        <v>1687.5</v>
      </c>
      <c r="H82" s="1541">
        <f>'Depr. PP&amp;E'!K80</f>
        <v>3375</v>
      </c>
      <c r="I82" s="1541">
        <f>'Depr. PP&amp;E'!M80</f>
        <v>3375</v>
      </c>
      <c r="J82" s="1541">
        <f>'Depr. PP&amp;E'!O80</f>
        <v>3375</v>
      </c>
      <c r="K82" s="1541">
        <f>'Depr. PP&amp;E'!Q80</f>
        <v>3375</v>
      </c>
      <c r="L82" s="1530">
        <f>'Depr. PP&amp;E'!S80</f>
        <v>3375</v>
      </c>
      <c r="P82" s="1305"/>
    </row>
    <row r="83" spans="1:16">
      <c r="A83" s="1509" t="str">
        <f t="shared" si="29"/>
        <v>Others</v>
      </c>
      <c r="B83" s="2074">
        <v>0</v>
      </c>
      <c r="D83" s="1509" t="str">
        <f t="shared" si="30"/>
        <v>Others</v>
      </c>
      <c r="F83" s="1718">
        <f>'Depr. PP&amp;E'!G93</f>
        <v>0</v>
      </c>
      <c r="G83" s="1718">
        <f>'Depr. PP&amp;E'!I93</f>
        <v>10312.5</v>
      </c>
      <c r="H83" s="1718">
        <f>'Depr. PP&amp;E'!K93</f>
        <v>20625</v>
      </c>
      <c r="I83" s="1718">
        <f>'Depr. PP&amp;E'!M93</f>
        <v>20625</v>
      </c>
      <c r="J83" s="1718">
        <f>'Depr. PP&amp;E'!O93</f>
        <v>20625</v>
      </c>
      <c r="K83" s="1718">
        <f>'Depr. PP&amp;E'!Q93</f>
        <v>20625</v>
      </c>
      <c r="L83" s="1719">
        <f>'Depr. PP&amp;E'!Q93</f>
        <v>20625</v>
      </c>
      <c r="P83" s="1305"/>
    </row>
    <row r="84" spans="1:16" ht="13.5" thickBot="1">
      <c r="A84" s="1531"/>
      <c r="B84" s="2075"/>
      <c r="D84" s="1319"/>
      <c r="E84" s="1721"/>
      <c r="F84" s="494">
        <f ca="1">SUM(F77:F83)</f>
        <v>105116.79030386078</v>
      </c>
      <c r="G84" s="494">
        <f t="shared" ref="G84:L84" ca="1" si="31">SUM(G77:G83)</f>
        <v>169424.40025466034</v>
      </c>
      <c r="H84" s="494">
        <f t="shared" ca="1" si="31"/>
        <v>326573.89646474656</v>
      </c>
      <c r="I84" s="494">
        <f t="shared" ca="1" si="31"/>
        <v>327716.08691928961</v>
      </c>
      <c r="J84" s="494">
        <f t="shared" ca="1" si="31"/>
        <v>299398.95142149914</v>
      </c>
      <c r="K84" s="494">
        <f t="shared" ca="1" si="31"/>
        <v>405348.82905399083</v>
      </c>
      <c r="L84" s="495">
        <f t="shared" ca="1" si="31"/>
        <v>352742.63826209679</v>
      </c>
      <c r="P84" s="1305"/>
    </row>
    <row r="85" spans="1:16" ht="13.5" thickBot="1">
      <c r="A85" s="1319"/>
      <c r="B85" s="1721"/>
      <c r="L85" s="1305"/>
      <c r="P85" s="1305"/>
    </row>
    <row r="86" spans="1:16" ht="13.5" thickBot="1">
      <c r="A86" s="1319" t="s">
        <v>137</v>
      </c>
      <c r="B86" s="2076">
        <v>0.5</v>
      </c>
      <c r="C86" s="1721"/>
      <c r="D86" s="1721"/>
      <c r="E86" s="1721"/>
      <c r="F86" s="1543"/>
      <c r="G86" s="1543"/>
      <c r="H86" s="1543"/>
      <c r="I86" s="1543"/>
      <c r="J86" s="1543"/>
      <c r="K86" s="1543"/>
      <c r="L86" s="1544"/>
      <c r="P86" s="1300"/>
    </row>
    <row r="87" spans="1:16" ht="13.5" thickBot="1">
      <c r="A87" s="1319"/>
      <c r="B87" s="1721"/>
      <c r="C87" s="1721"/>
      <c r="P87" s="1305"/>
    </row>
    <row r="88" spans="1:16">
      <c r="A88" s="1522" t="str">
        <f>Capex!B47</f>
        <v>Subsidy</v>
      </c>
      <c r="B88" s="1502"/>
      <c r="C88" s="1502"/>
      <c r="D88" s="1502"/>
      <c r="E88" s="1502"/>
      <c r="F88" s="1503">
        <f t="shared" ref="F88:L89" si="32">F53</f>
        <v>1</v>
      </c>
      <c r="G88" s="1503">
        <f t="shared" si="32"/>
        <v>2</v>
      </c>
      <c r="H88" s="1503">
        <f t="shared" si="32"/>
        <v>3</v>
      </c>
      <c r="I88" s="1503">
        <f t="shared" si="32"/>
        <v>4</v>
      </c>
      <c r="J88" s="1503">
        <f t="shared" si="32"/>
        <v>5</v>
      </c>
      <c r="K88" s="1503">
        <f t="shared" si="32"/>
        <v>6</v>
      </c>
      <c r="L88" s="1504">
        <f t="shared" si="32"/>
        <v>7</v>
      </c>
      <c r="O88" s="1316"/>
      <c r="P88" s="1305"/>
    </row>
    <row r="89" spans="1:16" ht="13.5" thickBot="1">
      <c r="A89" s="1319"/>
      <c r="B89" s="1721"/>
      <c r="D89" s="1721"/>
      <c r="E89" s="1721"/>
      <c r="F89" s="1505">
        <f t="shared" si="32"/>
        <v>2023</v>
      </c>
      <c r="G89" s="1505">
        <f t="shared" si="32"/>
        <v>2024</v>
      </c>
      <c r="H89" s="1505">
        <f t="shared" si="32"/>
        <v>2025</v>
      </c>
      <c r="I89" s="1505">
        <f t="shared" si="32"/>
        <v>2026</v>
      </c>
      <c r="J89" s="1505">
        <f t="shared" si="32"/>
        <v>2027</v>
      </c>
      <c r="K89" s="1505">
        <f t="shared" si="32"/>
        <v>2028</v>
      </c>
      <c r="L89" s="1506">
        <f t="shared" si="32"/>
        <v>2029</v>
      </c>
      <c r="O89" s="2"/>
      <c r="P89" s="1305"/>
    </row>
    <row r="90" spans="1:16">
      <c r="A90" s="1299"/>
      <c r="C90" s="1502"/>
      <c r="D90" s="1522" t="s">
        <v>146</v>
      </c>
      <c r="E90" s="1502"/>
      <c r="F90" s="2077"/>
      <c r="G90" s="2077"/>
      <c r="H90" s="2077"/>
      <c r="I90" s="2077"/>
      <c r="J90" s="2077"/>
      <c r="K90" s="2077"/>
      <c r="L90" s="1508"/>
      <c r="O90" s="2"/>
      <c r="P90" s="1305"/>
    </row>
    <row r="91" spans="1:16">
      <c r="A91" s="1299"/>
      <c r="D91" s="1299"/>
      <c r="F91" s="1294"/>
      <c r="G91" s="1294"/>
      <c r="H91" s="1294"/>
      <c r="I91" s="1294"/>
      <c r="J91" s="1294"/>
      <c r="K91" s="1294"/>
      <c r="L91" s="1295"/>
      <c r="P91" s="1300"/>
    </row>
    <row r="92" spans="1:16">
      <c r="A92" s="1299"/>
      <c r="D92" s="1299" t="s">
        <v>185</v>
      </c>
      <c r="F92" s="1515">
        <f>F120+F138+F156+F174+F104</f>
        <v>123165</v>
      </c>
      <c r="G92" s="1515">
        <f t="shared" ref="F92:L93" ca="1" si="33">G120+G138+G156+G174+G104</f>
        <v>2049529.1789166401</v>
      </c>
      <c r="H92" s="1515">
        <f t="shared" ca="1" si="33"/>
        <v>192001.88380265996</v>
      </c>
      <c r="I92" s="1515">
        <f t="shared" ca="1" si="33"/>
        <v>227634.11699576033</v>
      </c>
      <c r="J92" s="1515">
        <f t="shared" ca="1" si="33"/>
        <v>232382.66814110795</v>
      </c>
      <c r="K92" s="1515">
        <f t="shared" ca="1" si="33"/>
        <v>237030.32150393011</v>
      </c>
      <c r="L92" s="1516">
        <f t="shared" ca="1" si="33"/>
        <v>241770.92793400868</v>
      </c>
      <c r="P92" s="1516"/>
    </row>
    <row r="93" spans="1:16">
      <c r="A93" s="1299"/>
      <c r="D93" s="1299" t="s">
        <v>186</v>
      </c>
      <c r="F93" s="2078">
        <f t="shared" si="33"/>
        <v>0</v>
      </c>
      <c r="G93" s="2078">
        <f t="shared" si="33"/>
        <v>82110</v>
      </c>
      <c r="H93" s="2078">
        <f t="shared" ca="1" si="33"/>
        <v>2046784.1196246401</v>
      </c>
      <c r="I93" s="2078">
        <f t="shared" ca="1" si="33"/>
        <v>2047045.2766730799</v>
      </c>
      <c r="J93" s="2078">
        <f t="shared" ca="1" si="33"/>
        <v>2091000.6674440335</v>
      </c>
      <c r="K93" s="2078">
        <f t="shared" ca="1" si="33"/>
        <v>2170044.4072061856</v>
      </c>
      <c r="L93" s="2079">
        <f t="shared" ca="1" si="33"/>
        <v>2153610.104756963</v>
      </c>
      <c r="O93" s="1316"/>
      <c r="P93" s="1516"/>
    </row>
    <row r="94" spans="1:16">
      <c r="A94" s="1299"/>
      <c r="D94" s="1299" t="s">
        <v>135</v>
      </c>
      <c r="F94" s="1515">
        <f t="shared" ref="F94:L94" si="34">F92+F93</f>
        <v>123165</v>
      </c>
      <c r="G94" s="1515">
        <f t="shared" ca="1" si="34"/>
        <v>2131639.1789166401</v>
      </c>
      <c r="H94" s="1515">
        <f t="shared" ca="1" si="34"/>
        <v>2238786.0034273001</v>
      </c>
      <c r="I94" s="1515">
        <f t="shared" ca="1" si="34"/>
        <v>2274679.3936688402</v>
      </c>
      <c r="J94" s="1515">
        <f t="shared" ca="1" si="34"/>
        <v>2323383.3355851416</v>
      </c>
      <c r="K94" s="1515">
        <f t="shared" ca="1" si="34"/>
        <v>2407074.7287101159</v>
      </c>
      <c r="L94" s="1516">
        <f t="shared" ca="1" si="34"/>
        <v>2395381.0326909716</v>
      </c>
      <c r="P94" s="1516"/>
    </row>
    <row r="95" spans="1:16">
      <c r="A95" s="1299"/>
      <c r="D95" s="1299"/>
      <c r="F95" s="2"/>
      <c r="G95" s="2"/>
      <c r="H95" s="2"/>
      <c r="I95" s="2"/>
      <c r="J95" s="2"/>
      <c r="K95" s="2"/>
      <c r="L95" s="3"/>
      <c r="O95" s="1515"/>
      <c r="P95" s="1516"/>
    </row>
    <row r="96" spans="1:16">
      <c r="A96" s="1299"/>
      <c r="D96" s="1299" t="s">
        <v>118</v>
      </c>
      <c r="F96" s="1515">
        <f t="shared" ref="F96:L96" si="35">F125+F143+F161+F179+F108</f>
        <v>0</v>
      </c>
      <c r="G96" s="1515">
        <f ca="1">G125+G143+G161+G179+G108</f>
        <v>1589793.7431033759</v>
      </c>
      <c r="H96" s="1515">
        <f t="shared" ca="1" si="35"/>
        <v>96000.941901329978</v>
      </c>
      <c r="I96" s="1515">
        <f t="shared" ca="1" si="35"/>
        <v>113817.05849788016</v>
      </c>
      <c r="J96" s="1515">
        <f t="shared" ca="1" si="35"/>
        <v>116191.33407055397</v>
      </c>
      <c r="K96" s="1515">
        <f t="shared" ca="1" si="35"/>
        <v>118515.16075196506</v>
      </c>
      <c r="L96" s="1516">
        <f t="shared" ca="1" si="35"/>
        <v>120885.46396700434</v>
      </c>
      <c r="P96" s="1516"/>
    </row>
    <row r="97" spans="1:20">
      <c r="A97" s="1299"/>
      <c r="D97" s="1299" t="str">
        <f>D165</f>
        <v>% investment subsidized</v>
      </c>
      <c r="F97" s="71">
        <f t="shared" ref="F97:L97" si="36">IF(F96=0,0,F96/F94)</f>
        <v>0</v>
      </c>
      <c r="G97" s="71">
        <f t="shared" ca="1" si="36"/>
        <v>0.74580808929931308</v>
      </c>
      <c r="H97" s="71">
        <f t="shared" ca="1" si="36"/>
        <v>4.2880803147046925E-2</v>
      </c>
      <c r="I97" s="71">
        <f t="shared" ca="1" si="36"/>
        <v>5.0036527703495016E-2</v>
      </c>
      <c r="J97" s="71">
        <f t="shared" ca="1" si="36"/>
        <v>5.0009540953039208E-2</v>
      </c>
      <c r="K97" s="71">
        <f t="shared" ca="1" si="36"/>
        <v>4.9236178394625088E-2</v>
      </c>
      <c r="L97" s="106">
        <f t="shared" ca="1" si="36"/>
        <v>5.0466068787061232E-2</v>
      </c>
      <c r="O97" s="1515"/>
      <c r="P97" s="1516"/>
    </row>
    <row r="98" spans="1:20">
      <c r="A98" s="1299"/>
      <c r="D98" s="1293"/>
      <c r="F98" s="1515"/>
      <c r="G98" s="1515"/>
      <c r="H98" s="1515"/>
      <c r="I98" s="1515"/>
      <c r="J98" s="1515"/>
      <c r="K98" s="1515"/>
      <c r="L98" s="1516"/>
      <c r="O98" s="1316"/>
      <c r="P98" s="1516"/>
    </row>
    <row r="99" spans="1:20">
      <c r="A99" s="1299"/>
      <c r="B99" s="1515"/>
      <c r="D99" s="1299" t="s">
        <v>191</v>
      </c>
      <c r="F99" s="1515">
        <f>F131+F149+F167+F185+F115</f>
        <v>0</v>
      </c>
      <c r="G99" s="1515">
        <f t="shared" ref="G99:L99" ca="1" si="37">G131+G149+G167+G185+G115</f>
        <v>61850.178735815032</v>
      </c>
      <c r="H99" s="1515">
        <f t="shared" ca="1" si="37"/>
        <v>134715.66155674006</v>
      </c>
      <c r="I99" s="1515">
        <f t="shared" ca="1" si="37"/>
        <v>130684.66129203347</v>
      </c>
      <c r="J99" s="1515">
        <f t="shared" ca="1" si="37"/>
        <v>115514.76236910812</v>
      </c>
      <c r="K99" s="1515">
        <f t="shared" ca="1" si="37"/>
        <v>165577.61015620647</v>
      </c>
      <c r="L99" s="1516">
        <f t="shared" ca="1" si="37"/>
        <v>137623.42431747701</v>
      </c>
      <c r="P99" s="1516"/>
    </row>
    <row r="100" spans="1:20">
      <c r="A100" s="1299"/>
      <c r="B100" s="1316"/>
      <c r="D100" s="1299"/>
      <c r="L100" s="1305"/>
      <c r="N100" s="1515"/>
      <c r="O100" s="1515"/>
      <c r="P100" s="1516"/>
    </row>
    <row r="101" spans="1:20" ht="13.5" thickBot="1">
      <c r="A101" s="1299"/>
      <c r="B101" s="1515"/>
      <c r="D101" s="1319" t="s">
        <v>189</v>
      </c>
      <c r="E101" s="1721"/>
      <c r="F101" s="2080">
        <f t="shared" ref="F101:L101" si="38">F189+F171+F153+F135+F117</f>
        <v>0</v>
      </c>
      <c r="G101" s="2080">
        <f t="shared" ca="1" si="38"/>
        <v>1527943.5643675609</v>
      </c>
      <c r="H101" s="2080">
        <f t="shared" ca="1" si="38"/>
        <v>1489228.844712151</v>
      </c>
      <c r="I101" s="2080">
        <f t="shared" ca="1" si="38"/>
        <v>1472361.2419179976</v>
      </c>
      <c r="J101" s="2080">
        <f t="shared" ca="1" si="38"/>
        <v>1473037.8136194434</v>
      </c>
      <c r="K101" s="2080">
        <f t="shared" ca="1" si="38"/>
        <v>1425975.3642152022</v>
      </c>
      <c r="L101" s="2081">
        <f t="shared" ca="1" si="38"/>
        <v>1409237.4038647295</v>
      </c>
      <c r="N101" s="1515"/>
      <c r="O101" s="1515"/>
      <c r="P101" s="1516"/>
    </row>
    <row r="102" spans="1:20">
      <c r="A102" s="1299"/>
      <c r="B102" s="436"/>
      <c r="D102" s="1539"/>
      <c r="E102" s="1502"/>
      <c r="F102" s="1502"/>
      <c r="G102" s="1515"/>
      <c r="L102" s="1305"/>
      <c r="N102" s="1515"/>
      <c r="O102" s="1515"/>
      <c r="P102" s="1516"/>
    </row>
    <row r="103" spans="1:20">
      <c r="A103" s="1299"/>
      <c r="D103" s="1293" t="s">
        <v>264</v>
      </c>
      <c r="F103" s="1294"/>
      <c r="G103" s="1294"/>
      <c r="H103" s="1294"/>
      <c r="I103" s="1294"/>
      <c r="J103" s="1294"/>
      <c r="K103" s="1294"/>
      <c r="L103" s="1295"/>
      <c r="P103" s="1516"/>
    </row>
    <row r="104" spans="1:20">
      <c r="A104" s="1299"/>
      <c r="B104" s="1720"/>
      <c r="D104" s="1299" t="s">
        <v>185</v>
      </c>
      <c r="F104" s="1515">
        <f>Capex!G31</f>
        <v>123165</v>
      </c>
      <c r="G104" s="1515">
        <f ca="1">Capex!H31</f>
        <v>131400.17787599997</v>
      </c>
      <c r="H104" s="1515">
        <f ca="1">Capex!I31</f>
        <v>192001.88380265996</v>
      </c>
      <c r="I104" s="1515">
        <f ca="1">Capex!J31</f>
        <v>227634.11699576033</v>
      </c>
      <c r="J104" s="1515">
        <f ca="1">Capex!K31</f>
        <v>232382.66814110795</v>
      </c>
      <c r="K104" s="1515">
        <f ca="1">Capex!L31</f>
        <v>237030.32150393011</v>
      </c>
      <c r="L104" s="1516">
        <f ca="1">Capex!M31</f>
        <v>241770.92793400868</v>
      </c>
      <c r="O104" s="436"/>
      <c r="P104" s="1516"/>
      <c r="Q104" s="436"/>
      <c r="R104" s="436"/>
      <c r="S104" s="436"/>
      <c r="T104" s="436"/>
    </row>
    <row r="105" spans="1:20">
      <c r="A105" s="1299"/>
      <c r="D105" s="1299" t="s">
        <v>186</v>
      </c>
      <c r="F105" s="1718"/>
      <c r="G105" s="2078">
        <f t="shared" ref="G105:L105" si="39">F106-F113</f>
        <v>82110</v>
      </c>
      <c r="H105" s="2078">
        <f t="shared" ca="1" si="39"/>
        <v>128655.11858399998</v>
      </c>
      <c r="I105" s="2078">
        <f t="shared" ca="1" si="39"/>
        <v>128916.27563244</v>
      </c>
      <c r="J105" s="2078">
        <f t="shared" ca="1" si="39"/>
        <v>172871.66640339355</v>
      </c>
      <c r="K105" s="2078">
        <f t="shared" ca="1" si="39"/>
        <v>251915.40616554543</v>
      </c>
      <c r="L105" s="2079">
        <f t="shared" ca="1" si="39"/>
        <v>235481.10371632277</v>
      </c>
      <c r="P105" s="1516"/>
    </row>
    <row r="106" spans="1:20">
      <c r="A106" s="1299"/>
      <c r="B106" s="1515"/>
      <c r="D106" s="1293" t="s">
        <v>135</v>
      </c>
      <c r="F106" s="1515">
        <f t="shared" ref="F106:L106" si="40">F104+F105</f>
        <v>123165</v>
      </c>
      <c r="G106" s="1515">
        <f t="shared" ca="1" si="40"/>
        <v>213510.17787599997</v>
      </c>
      <c r="H106" s="1515">
        <f t="shared" ca="1" si="40"/>
        <v>320657.00238665997</v>
      </c>
      <c r="I106" s="1515">
        <f t="shared" ca="1" si="40"/>
        <v>356550.39262820035</v>
      </c>
      <c r="J106" s="1515">
        <f t="shared" ca="1" si="40"/>
        <v>405254.3345445015</v>
      </c>
      <c r="K106" s="1515">
        <f t="shared" ca="1" si="40"/>
        <v>488945.72766947554</v>
      </c>
      <c r="L106" s="1516">
        <f t="shared" ca="1" si="40"/>
        <v>477252.03165033145</v>
      </c>
      <c r="P106" s="1516"/>
    </row>
    <row r="107" spans="1:20">
      <c r="A107" s="1299"/>
      <c r="D107" s="1299"/>
      <c r="L107" s="1305"/>
      <c r="P107" s="1516"/>
    </row>
    <row r="108" spans="1:20">
      <c r="A108" s="1299"/>
      <c r="D108" s="1293" t="s">
        <v>117</v>
      </c>
      <c r="F108" s="2">
        <f>Capex!S49</f>
        <v>0</v>
      </c>
      <c r="G108" s="2">
        <f ca="1">Capex!T49</f>
        <v>65700.088937999986</v>
      </c>
      <c r="H108" s="2">
        <f ca="1">Capex!U49</f>
        <v>96000.941901329978</v>
      </c>
      <c r="I108" s="2">
        <f ca="1">Capex!V49</f>
        <v>113817.05849788016</v>
      </c>
      <c r="J108" s="2">
        <f ca="1">Capex!W49</f>
        <v>116191.33407055397</v>
      </c>
      <c r="K108" s="2">
        <f ca="1">Capex!X49</f>
        <v>118515.16075196506</v>
      </c>
      <c r="L108" s="3">
        <f ca="1">Capex!Y49</f>
        <v>120885.46396700434</v>
      </c>
      <c r="P108" s="1516"/>
    </row>
    <row r="109" spans="1:20">
      <c r="A109" s="1299"/>
      <c r="D109" s="1299" t="s">
        <v>187</v>
      </c>
      <c r="F109" s="681"/>
      <c r="G109" s="681">
        <f t="shared" ref="G109:L109" ca="1" si="41">IF(G108=0,0,G108/G104)</f>
        <v>0.5</v>
      </c>
      <c r="H109" s="681">
        <f t="shared" ca="1" si="41"/>
        <v>0.5</v>
      </c>
      <c r="I109" s="681">
        <f t="shared" ca="1" si="41"/>
        <v>0.5</v>
      </c>
      <c r="J109" s="681">
        <f t="shared" ca="1" si="41"/>
        <v>0.5</v>
      </c>
      <c r="K109" s="681">
        <f t="shared" ca="1" si="41"/>
        <v>0.5</v>
      </c>
      <c r="L109" s="682">
        <f t="shared" ca="1" si="41"/>
        <v>0.5</v>
      </c>
      <c r="P109" s="1516"/>
    </row>
    <row r="110" spans="1:20">
      <c r="A110" s="1299"/>
      <c r="D110" s="1299" t="str">
        <f>D127</f>
        <v>Total subsidies</v>
      </c>
      <c r="F110" s="2">
        <f t="shared" ref="F110:L110" si="42">F108*F109</f>
        <v>0</v>
      </c>
      <c r="G110" s="2">
        <f ca="1">G108*G109</f>
        <v>32850.044468999993</v>
      </c>
      <c r="H110" s="2">
        <f t="shared" ca="1" si="42"/>
        <v>48000.470950664989</v>
      </c>
      <c r="I110" s="2">
        <f t="shared" ca="1" si="42"/>
        <v>56908.529248940082</v>
      </c>
      <c r="J110" s="2">
        <f t="shared" ca="1" si="42"/>
        <v>58095.667035276987</v>
      </c>
      <c r="K110" s="2">
        <f t="shared" ca="1" si="42"/>
        <v>59257.580375982528</v>
      </c>
      <c r="L110" s="3">
        <f t="shared" ca="1" si="42"/>
        <v>60442.73198350217</v>
      </c>
      <c r="P110" s="1516"/>
    </row>
    <row r="111" spans="1:20">
      <c r="A111" s="1299"/>
      <c r="D111" s="1299"/>
      <c r="F111" s="2"/>
      <c r="G111" s="2"/>
      <c r="H111" s="2"/>
      <c r="I111" s="2"/>
      <c r="J111" s="2"/>
      <c r="K111" s="2"/>
      <c r="L111" s="3"/>
      <c r="N111" s="1515"/>
      <c r="P111" s="1516"/>
    </row>
    <row r="112" spans="1:20">
      <c r="A112" s="1299"/>
      <c r="D112" s="1299" t="s">
        <v>757</v>
      </c>
      <c r="F112" s="1541">
        <f>'Depr. PP&amp;E'!F54-'Depr. PP&amp;E'!G54</f>
        <v>82110</v>
      </c>
      <c r="G112" s="1541">
        <f ca="1">'Depr. PP&amp;E'!H54-'Depr. PP&amp;E'!I54</f>
        <v>128655.11858399998</v>
      </c>
      <c r="H112" s="1541">
        <f ca="1">'Depr. PP&amp;E'!J54-'Depr. PP&amp;E'!K54</f>
        <v>128916.27563244</v>
      </c>
      <c r="I112" s="1541">
        <f ca="1">'Depr. PP&amp;E'!L54-'Depr. PP&amp;E'!M54</f>
        <v>172871.66640339355</v>
      </c>
      <c r="J112" s="1541">
        <f ca="1">'Depr. PP&amp;E'!N54-'Depr. PP&amp;E'!O54</f>
        <v>251915.40616554543</v>
      </c>
      <c r="K112" s="1541">
        <f ca="1">'Depr. PP&amp;E'!P54-'Depr. PP&amp;E'!Q54</f>
        <v>235481.10371632277</v>
      </c>
      <c r="L112" s="1530">
        <f ca="1">'Depr. PP&amp;E'!R54-'Depr. PP&amp;E'!S54</f>
        <v>279695.77937463758</v>
      </c>
      <c r="P112" s="1516"/>
    </row>
    <row r="113" spans="1:16">
      <c r="A113" s="1299"/>
      <c r="B113" s="1541"/>
      <c r="D113" s="1299" t="s">
        <v>673</v>
      </c>
      <c r="F113" s="1541">
        <f t="shared" ref="F113:L113" si="43">F106-F112</f>
        <v>41055</v>
      </c>
      <c r="G113" s="1541">
        <f ca="1">G106-G112</f>
        <v>84855.059291999991</v>
      </c>
      <c r="H113" s="1541">
        <f t="shared" ca="1" si="43"/>
        <v>191740.72675421997</v>
      </c>
      <c r="I113" s="1541">
        <f t="shared" ca="1" si="43"/>
        <v>183678.7262248068</v>
      </c>
      <c r="J113" s="1541">
        <f t="shared" ca="1" si="43"/>
        <v>153338.92837895607</v>
      </c>
      <c r="K113" s="1541">
        <f t="shared" ca="1" si="43"/>
        <v>253464.62395315277</v>
      </c>
      <c r="L113" s="1530">
        <f t="shared" ca="1" si="43"/>
        <v>197556.25227569387</v>
      </c>
      <c r="P113" s="1516"/>
    </row>
    <row r="114" spans="1:16">
      <c r="A114" s="1299"/>
      <c r="D114" s="1299"/>
      <c r="L114" s="1305"/>
      <c r="P114" s="1516"/>
    </row>
    <row r="115" spans="1:16">
      <c r="A115" s="1299"/>
      <c r="B115" s="1515"/>
      <c r="D115" s="1299" t="str">
        <f>D134</f>
        <v>Activated in results</v>
      </c>
      <c r="F115" s="1515">
        <f t="shared" ref="F115:L115" si="44">F113*F109</f>
        <v>0</v>
      </c>
      <c r="G115" s="1515">
        <f ca="1">G113*G109</f>
        <v>42427.529645999995</v>
      </c>
      <c r="H115" s="1515">
        <f t="shared" ca="1" si="44"/>
        <v>95870.363377109985</v>
      </c>
      <c r="I115" s="1515">
        <f t="shared" ca="1" si="44"/>
        <v>91839.3631124034</v>
      </c>
      <c r="J115" s="1515">
        <f t="shared" ca="1" si="44"/>
        <v>76669.464189478036</v>
      </c>
      <c r="K115" s="1515">
        <f t="shared" ca="1" si="44"/>
        <v>126732.31197657638</v>
      </c>
      <c r="L115" s="1516">
        <f t="shared" ca="1" si="44"/>
        <v>98778.126137846935</v>
      </c>
      <c r="P115" s="1516"/>
    </row>
    <row r="116" spans="1:16">
      <c r="A116" s="1299"/>
      <c r="D116" s="1299"/>
      <c r="F116" s="1541"/>
      <c r="G116" s="1541"/>
      <c r="H116" s="1541"/>
      <c r="I116" s="1541"/>
      <c r="J116" s="1541"/>
      <c r="K116" s="1541"/>
      <c r="L116" s="1530"/>
      <c r="P116" s="1516"/>
    </row>
    <row r="117" spans="1:16" ht="13.5" thickBot="1">
      <c r="A117" s="1299"/>
      <c r="B117" s="1515"/>
      <c r="D117" s="1319" t="s">
        <v>189</v>
      </c>
      <c r="E117" s="1721"/>
      <c r="F117" s="2082">
        <f>F108-F115</f>
        <v>0</v>
      </c>
      <c r="G117" s="2082">
        <f t="shared" ref="G117:L117" ca="1" si="45">G108-G115+F117</f>
        <v>23272.559291999991</v>
      </c>
      <c r="H117" s="2082">
        <f t="shared" ca="1" si="45"/>
        <v>23403.137816219984</v>
      </c>
      <c r="I117" s="2082">
        <f t="shared" ca="1" si="45"/>
        <v>45380.833201696747</v>
      </c>
      <c r="J117" s="2082">
        <f t="shared" ca="1" si="45"/>
        <v>84902.703082772685</v>
      </c>
      <c r="K117" s="2082">
        <f t="shared" ca="1" si="45"/>
        <v>76685.551858161358</v>
      </c>
      <c r="L117" s="2083">
        <f t="shared" ca="1" si="45"/>
        <v>98792.889687318762</v>
      </c>
      <c r="P117" s="1300"/>
    </row>
    <row r="118" spans="1:16">
      <c r="A118" s="1299"/>
      <c r="B118" s="1515"/>
      <c r="D118" s="1539"/>
      <c r="E118" s="1502"/>
      <c r="F118" s="2084"/>
      <c r="G118" s="2084"/>
      <c r="H118" s="2084"/>
      <c r="I118" s="2084"/>
      <c r="J118" s="2084"/>
      <c r="K118" s="2084"/>
      <c r="L118" s="2085"/>
      <c r="P118" s="1300"/>
    </row>
    <row r="119" spans="1:16">
      <c r="A119" s="1299"/>
      <c r="D119" s="1293" t="str">
        <f>Capex!B48</f>
        <v>Irrigation System</v>
      </c>
      <c r="F119" s="1294"/>
      <c r="G119" s="1294"/>
      <c r="H119" s="1294"/>
      <c r="I119" s="1294"/>
      <c r="J119" s="1294"/>
      <c r="K119" s="1294"/>
      <c r="L119" s="1295"/>
      <c r="P119" s="1305"/>
    </row>
    <row r="120" spans="1:16">
      <c r="A120" s="1299"/>
      <c r="D120" s="1299" t="s">
        <v>185</v>
      </c>
      <c r="F120" s="1515">
        <f>IF(AND(F89=Capex!$I$48,Capex!$J$48="Yes"),Capex!$C$48,0)</f>
        <v>0</v>
      </c>
      <c r="G120" s="1515">
        <f>IF(AND(G89=Capex!$I$48,Capex!$J$48="Yes"),Capex!$C$48,0)</f>
        <v>87572.884112640008</v>
      </c>
      <c r="H120" s="1515">
        <f>IF(AND(H89=Capex!$I$48,Capex!$J$48="Yes"),Capex!$C$48,0)</f>
        <v>0</v>
      </c>
      <c r="I120" s="1515">
        <f>IF(AND(I89=Capex!$I$48,Capex!$J$48="Yes"),Capex!$C$48,0)</f>
        <v>0</v>
      </c>
      <c r="J120" s="1515">
        <f>IF(AND(J89=Capex!$I$48,Capex!$J$48="Yes"),Capex!$C$48,0)</f>
        <v>0</v>
      </c>
      <c r="K120" s="1515">
        <f>IF(AND(K89=Capex!$I$48,Capex!$J$48="Yes"),Capex!$C$48,0)</f>
        <v>0</v>
      </c>
      <c r="L120" s="1516">
        <f>IF(AND(L89=Capex!$I$48,Capex!$J$48="Yes"),Capex!$C$48,0)</f>
        <v>0</v>
      </c>
      <c r="P120" s="1305"/>
    </row>
    <row r="121" spans="1:16">
      <c r="A121" s="1299"/>
      <c r="D121" s="1299" t="s">
        <v>186</v>
      </c>
      <c r="F121" s="2078">
        <f t="shared" ref="F121:L121" si="46">E121+E120</f>
        <v>0</v>
      </c>
      <c r="G121" s="2078">
        <f t="shared" si="46"/>
        <v>0</v>
      </c>
      <c r="H121" s="2078">
        <f t="shared" si="46"/>
        <v>87572.884112640008</v>
      </c>
      <c r="I121" s="2078">
        <f t="shared" si="46"/>
        <v>87572.884112640008</v>
      </c>
      <c r="J121" s="2078">
        <f t="shared" si="46"/>
        <v>87572.884112640008</v>
      </c>
      <c r="K121" s="2078">
        <f t="shared" si="46"/>
        <v>87572.884112640008</v>
      </c>
      <c r="L121" s="2079">
        <f t="shared" si="46"/>
        <v>87572.884112640008</v>
      </c>
      <c r="P121" s="1305"/>
    </row>
    <row r="122" spans="1:16">
      <c r="A122" s="1299"/>
      <c r="D122" s="1293" t="s">
        <v>135</v>
      </c>
      <c r="F122" s="1515">
        <f t="shared" ref="F122:L122" si="47">F120+F121</f>
        <v>0</v>
      </c>
      <c r="G122" s="1515">
        <f t="shared" si="47"/>
        <v>87572.884112640008</v>
      </c>
      <c r="H122" s="1515">
        <f t="shared" si="47"/>
        <v>87572.884112640008</v>
      </c>
      <c r="I122" s="1515">
        <f t="shared" si="47"/>
        <v>87572.884112640008</v>
      </c>
      <c r="J122" s="1515">
        <f t="shared" si="47"/>
        <v>87572.884112640008</v>
      </c>
      <c r="K122" s="1515">
        <f t="shared" si="47"/>
        <v>87572.884112640008</v>
      </c>
      <c r="L122" s="1516">
        <f t="shared" si="47"/>
        <v>87572.884112640008</v>
      </c>
      <c r="P122" s="1305"/>
    </row>
    <row r="123" spans="1:16">
      <c r="A123" s="1299"/>
      <c r="D123" s="1299"/>
      <c r="F123" s="1294"/>
      <c r="G123" s="1294"/>
      <c r="H123" s="1294"/>
      <c r="I123" s="1294"/>
      <c r="J123" s="1294"/>
      <c r="K123" s="1294"/>
      <c r="L123" s="1295"/>
      <c r="P123" s="1305"/>
    </row>
    <row r="124" spans="1:16">
      <c r="A124" s="1299"/>
      <c r="D124" s="1293" t="str">
        <f>D142</f>
        <v>Subsidies</v>
      </c>
      <c r="L124" s="1305"/>
      <c r="P124" s="1305"/>
    </row>
    <row r="125" spans="1:16">
      <c r="A125" s="1299"/>
      <c r="D125" s="1299" t="str">
        <f>D143</f>
        <v>Subsidy</v>
      </c>
      <c r="F125" s="2">
        <f>IF(AND(F89=Capex!$I$48,Capex!$J$48="Yes"),Capex!$E$48,0)</f>
        <v>0</v>
      </c>
      <c r="G125" s="2">
        <f>IF(AND(G89=Capex!$I$48,Capex!$J$48="Yes"),Capex!$E$48,0)</f>
        <v>78815.595701376005</v>
      </c>
      <c r="H125" s="2">
        <f>IF(AND(H89=Capex!$I$48,Capex!$J$48="Yes"),Capex!$E$48,0)</f>
        <v>0</v>
      </c>
      <c r="I125" s="2">
        <f>IF(AND(I89=Capex!$I$48,Capex!$J$48="Yes"),Capex!$E$48,0)</f>
        <v>0</v>
      </c>
      <c r="J125" s="2">
        <f>IF(AND(J89=Capex!$I$48,Capex!$J$48="Yes"),Capex!$E$48,0)</f>
        <v>0</v>
      </c>
      <c r="K125" s="2">
        <f>IF(AND(K89=Capex!$I$48,Capex!$J$48="Yes"),Capex!$E$48,0)</f>
        <v>0</v>
      </c>
      <c r="L125" s="3">
        <f>IF(AND(L89=Capex!$I$48,Capex!$J$48="Yes"),Capex!$E$48,0)</f>
        <v>0</v>
      </c>
      <c r="P125" s="1305"/>
    </row>
    <row r="126" spans="1:16">
      <c r="A126" s="1299"/>
      <c r="D126" s="1299" t="str">
        <f>D144</f>
        <v>Former years</v>
      </c>
      <c r="F126" s="107">
        <f t="shared" ref="F126:L126" si="48">E127</f>
        <v>0</v>
      </c>
      <c r="G126" s="107">
        <f t="shared" si="48"/>
        <v>0</v>
      </c>
      <c r="H126" s="107">
        <f t="shared" si="48"/>
        <v>78815.595701376005</v>
      </c>
      <c r="I126" s="107">
        <f t="shared" si="48"/>
        <v>78815.595701376005</v>
      </c>
      <c r="J126" s="107">
        <f t="shared" si="48"/>
        <v>78815.595701376005</v>
      </c>
      <c r="K126" s="107">
        <f t="shared" si="48"/>
        <v>78815.595701376005</v>
      </c>
      <c r="L126" s="108">
        <f t="shared" si="48"/>
        <v>78815.595701376005</v>
      </c>
      <c r="P126" s="1305"/>
    </row>
    <row r="127" spans="1:16">
      <c r="A127" s="1299"/>
      <c r="D127" s="1293" t="str">
        <f>D145</f>
        <v>Total subsidies</v>
      </c>
      <c r="F127" s="2">
        <f>SUM(F125:F126)</f>
        <v>0</v>
      </c>
      <c r="G127" s="2">
        <f t="shared" ref="G127:L127" si="49">SUM(G125:G126)</f>
        <v>78815.595701376005</v>
      </c>
      <c r="H127" s="2">
        <f t="shared" si="49"/>
        <v>78815.595701376005</v>
      </c>
      <c r="I127" s="2">
        <f t="shared" si="49"/>
        <v>78815.595701376005</v>
      </c>
      <c r="J127" s="2">
        <f t="shared" si="49"/>
        <v>78815.595701376005</v>
      </c>
      <c r="K127" s="2">
        <f t="shared" si="49"/>
        <v>78815.595701376005</v>
      </c>
      <c r="L127" s="3">
        <f t="shared" si="49"/>
        <v>78815.595701376005</v>
      </c>
      <c r="P127" s="1305"/>
    </row>
    <row r="128" spans="1:16">
      <c r="A128" s="1299"/>
      <c r="D128" s="1299"/>
      <c r="F128" s="2"/>
      <c r="G128" s="2"/>
      <c r="H128" s="2"/>
      <c r="I128" s="2"/>
      <c r="J128" s="2"/>
      <c r="K128" s="2"/>
      <c r="L128" s="3"/>
      <c r="P128" s="1305"/>
    </row>
    <row r="129" spans="1:16">
      <c r="A129" s="1299"/>
      <c r="D129" s="1299" t="s">
        <v>187</v>
      </c>
      <c r="F129" s="71">
        <f t="shared" ref="F129:L129" si="50">IF(F127=0,0,F127/F122)</f>
        <v>0</v>
      </c>
      <c r="G129" s="71">
        <f t="shared" si="50"/>
        <v>0.9</v>
      </c>
      <c r="H129" s="71">
        <f t="shared" si="50"/>
        <v>0.9</v>
      </c>
      <c r="I129" s="71">
        <f t="shared" si="50"/>
        <v>0.9</v>
      </c>
      <c r="J129" s="71">
        <f t="shared" si="50"/>
        <v>0.9</v>
      </c>
      <c r="K129" s="71">
        <f t="shared" si="50"/>
        <v>0.9</v>
      </c>
      <c r="L129" s="106">
        <f t="shared" si="50"/>
        <v>0.9</v>
      </c>
      <c r="P129" s="1305"/>
    </row>
    <row r="130" spans="1:16">
      <c r="A130" s="1299"/>
      <c r="D130" s="1299" t="str">
        <f>D148</f>
        <v>Depreciation investment</v>
      </c>
      <c r="E130" s="2086"/>
      <c r="F130" s="2078">
        <f>IF(F120&gt;0,F120*$B$58*($B$86*(1-$B$78)),F121*(1-$B$78)*$B$58)</f>
        <v>0</v>
      </c>
      <c r="G130" s="2078">
        <f t="shared" ref="G130:L130" si="51">IF(G120&gt;0,G120*$B$58*($B$86*(1-$B$78)),G121*(1-$B$78)*$B$58)</f>
        <v>3502.9153645056003</v>
      </c>
      <c r="H130" s="2078">
        <f t="shared" si="51"/>
        <v>7005.8307290112007</v>
      </c>
      <c r="I130" s="2078">
        <f t="shared" si="51"/>
        <v>7005.8307290112007</v>
      </c>
      <c r="J130" s="2078">
        <f t="shared" si="51"/>
        <v>7005.8307290112007</v>
      </c>
      <c r="K130" s="2078">
        <f t="shared" si="51"/>
        <v>7005.8307290112007</v>
      </c>
      <c r="L130" s="2079">
        <f t="shared" si="51"/>
        <v>7005.8307290112007</v>
      </c>
      <c r="P130" s="1305"/>
    </row>
    <row r="131" spans="1:16">
      <c r="A131" s="1299"/>
      <c r="D131" s="1293" t="str">
        <f>D149</f>
        <v>To be activated in results</v>
      </c>
      <c r="F131" s="2">
        <f t="shared" ref="F131:L131" si="52">F129*F130</f>
        <v>0</v>
      </c>
      <c r="G131" s="2">
        <f t="shared" si="52"/>
        <v>3152.6238280550406</v>
      </c>
      <c r="H131" s="2">
        <f t="shared" si="52"/>
        <v>6305.2476561100812</v>
      </c>
      <c r="I131" s="2">
        <f t="shared" si="52"/>
        <v>6305.2476561100812</v>
      </c>
      <c r="J131" s="2">
        <f t="shared" si="52"/>
        <v>6305.2476561100812</v>
      </c>
      <c r="K131" s="2">
        <f t="shared" si="52"/>
        <v>6305.2476561100812</v>
      </c>
      <c r="L131" s="3">
        <f t="shared" si="52"/>
        <v>6305.2476561100812</v>
      </c>
      <c r="P131" s="1305"/>
    </row>
    <row r="132" spans="1:16">
      <c r="A132" s="1299"/>
      <c r="D132" s="1299"/>
      <c r="F132" s="2"/>
      <c r="G132" s="2"/>
      <c r="H132" s="2"/>
      <c r="I132" s="2"/>
      <c r="J132" s="2"/>
      <c r="K132" s="2"/>
      <c r="L132" s="3"/>
      <c r="P132" s="1305"/>
    </row>
    <row r="133" spans="1:16">
      <c r="A133" s="1299"/>
      <c r="D133" s="1299" t="str">
        <f>D151</f>
        <v>Total subsidy</v>
      </c>
      <c r="F133" s="2087">
        <f>F127</f>
        <v>0</v>
      </c>
      <c r="G133" s="2087">
        <f t="shared" ref="G133:L133" si="53">G127</f>
        <v>78815.595701376005</v>
      </c>
      <c r="H133" s="2087">
        <f t="shared" si="53"/>
        <v>78815.595701376005</v>
      </c>
      <c r="I133" s="2087">
        <f t="shared" si="53"/>
        <v>78815.595701376005</v>
      </c>
      <c r="J133" s="2087">
        <f t="shared" si="53"/>
        <v>78815.595701376005</v>
      </c>
      <c r="K133" s="2087">
        <f t="shared" si="53"/>
        <v>78815.595701376005</v>
      </c>
      <c r="L133" s="2088">
        <f t="shared" si="53"/>
        <v>78815.595701376005</v>
      </c>
      <c r="P133" s="1305"/>
    </row>
    <row r="134" spans="1:16">
      <c r="A134" s="1299"/>
      <c r="D134" s="1299" t="str">
        <f>D152</f>
        <v>Activated in results</v>
      </c>
      <c r="F134" s="2089">
        <f t="shared" ref="F134:L134" si="54">F131+E134</f>
        <v>0</v>
      </c>
      <c r="G134" s="2089">
        <f t="shared" si="54"/>
        <v>3152.6238280550406</v>
      </c>
      <c r="H134" s="2089">
        <f t="shared" si="54"/>
        <v>9457.8714841651217</v>
      </c>
      <c r="I134" s="2089">
        <f t="shared" si="54"/>
        <v>15763.119140275203</v>
      </c>
      <c r="J134" s="2089">
        <f t="shared" si="54"/>
        <v>22068.366796385286</v>
      </c>
      <c r="K134" s="2089">
        <f t="shared" si="54"/>
        <v>28373.614452495367</v>
      </c>
      <c r="L134" s="2090">
        <f t="shared" si="54"/>
        <v>34678.862108605448</v>
      </c>
      <c r="P134" s="1305"/>
    </row>
    <row r="135" spans="1:16" ht="13.5" thickBot="1">
      <c r="A135" s="1299"/>
      <c r="D135" s="1519" t="s">
        <v>189</v>
      </c>
      <c r="E135" s="1721"/>
      <c r="F135" s="1543">
        <f t="shared" ref="F135:L135" si="55">F133-F134</f>
        <v>0</v>
      </c>
      <c r="G135" s="1543">
        <f t="shared" si="55"/>
        <v>75662.971873320959</v>
      </c>
      <c r="H135" s="1543">
        <f t="shared" si="55"/>
        <v>69357.724217210882</v>
      </c>
      <c r="I135" s="1543">
        <f t="shared" si="55"/>
        <v>63052.476561100804</v>
      </c>
      <c r="J135" s="1543">
        <f t="shared" si="55"/>
        <v>56747.228904990719</v>
      </c>
      <c r="K135" s="1543">
        <f t="shared" si="55"/>
        <v>50441.981248880635</v>
      </c>
      <c r="L135" s="1544">
        <f t="shared" si="55"/>
        <v>44136.733592770557</v>
      </c>
      <c r="P135" s="1305"/>
    </row>
    <row r="136" spans="1:16">
      <c r="A136" s="1293"/>
      <c r="D136" s="1539"/>
      <c r="E136" s="1502"/>
      <c r="F136" s="1502"/>
      <c r="G136" s="1502"/>
      <c r="H136" s="1502"/>
      <c r="I136" s="1502"/>
      <c r="J136" s="1502"/>
      <c r="K136" s="1502"/>
      <c r="L136" s="1725"/>
      <c r="P136" s="1305"/>
    </row>
    <row r="137" spans="1:16">
      <c r="A137" s="1299"/>
      <c r="D137" s="1293" t="str">
        <f>Capex!B49</f>
        <v>Tractor and other agricultural machinery</v>
      </c>
      <c r="F137" s="1294"/>
      <c r="G137" s="1294"/>
      <c r="H137" s="1294"/>
      <c r="I137" s="1294"/>
      <c r="J137" s="1294"/>
      <c r="K137" s="1294"/>
      <c r="L137" s="1295"/>
      <c r="P137" s="1305"/>
    </row>
    <row r="138" spans="1:16">
      <c r="A138" s="1299"/>
      <c r="D138" s="1299" t="s">
        <v>185</v>
      </c>
      <c r="F138" s="1515">
        <f>IF(AND(F89=Capex!$I$49,Capex!$J$49="Yes"),Capex!$C$49,0)</f>
        <v>0</v>
      </c>
      <c r="G138" s="1515">
        <f>IF(AND(G89=Capex!$I$49,Capex!$J$49="Yes"),Capex!$C$49,0)</f>
        <v>80556.116928000003</v>
      </c>
      <c r="H138" s="1515">
        <f>IF(AND(H89=Capex!$I$49,Capex!$J$49="Yes"),Capex!$C$49,0)</f>
        <v>0</v>
      </c>
      <c r="I138" s="1515">
        <f>IF(AND(I89=Capex!$I$49,Capex!$J$49="Yes"),Capex!$C$49,0)</f>
        <v>0</v>
      </c>
      <c r="J138" s="1515">
        <f>IF(AND(J89=Capex!$I$49,Capex!$J$49="Yes"),Capex!$C$49,0)</f>
        <v>0</v>
      </c>
      <c r="K138" s="1515">
        <f>IF(AND(K89=Capex!$I$49,Capex!$J$49="Yes"),Capex!$C$49,0)</f>
        <v>0</v>
      </c>
      <c r="L138" s="1516">
        <f>IF(AND(L89=Capex!$I$49,Capex!$J$49="Yes"),Capex!$C$49,0)</f>
        <v>0</v>
      </c>
      <c r="P138" s="1305"/>
    </row>
    <row r="139" spans="1:16">
      <c r="A139" s="1509"/>
      <c r="B139" s="2086"/>
      <c r="D139" s="1299" t="s">
        <v>186</v>
      </c>
      <c r="F139" s="2078">
        <f>E121+E120</f>
        <v>0</v>
      </c>
      <c r="G139" s="2078">
        <f t="shared" ref="G139:L139" si="56">F139+F138</f>
        <v>0</v>
      </c>
      <c r="H139" s="2078">
        <f t="shared" si="56"/>
        <v>80556.116928000003</v>
      </c>
      <c r="I139" s="2078">
        <f t="shared" si="56"/>
        <v>80556.116928000003</v>
      </c>
      <c r="J139" s="2078">
        <f t="shared" si="56"/>
        <v>80556.116928000003</v>
      </c>
      <c r="K139" s="2078">
        <f t="shared" si="56"/>
        <v>80556.116928000003</v>
      </c>
      <c r="L139" s="2079">
        <f t="shared" si="56"/>
        <v>80556.116928000003</v>
      </c>
      <c r="P139" s="1305"/>
    </row>
    <row r="140" spans="1:16">
      <c r="A140" s="1509"/>
      <c r="B140" s="2086"/>
      <c r="D140" s="1299" t="s">
        <v>135</v>
      </c>
      <c r="F140" s="1515">
        <f t="shared" ref="F140:L140" si="57">F138+F139</f>
        <v>0</v>
      </c>
      <c r="G140" s="1515">
        <f t="shared" si="57"/>
        <v>80556.116928000003</v>
      </c>
      <c r="H140" s="1515">
        <f t="shared" si="57"/>
        <v>80556.116928000003</v>
      </c>
      <c r="I140" s="1515">
        <f t="shared" si="57"/>
        <v>80556.116928000003</v>
      </c>
      <c r="J140" s="1515">
        <f t="shared" si="57"/>
        <v>80556.116928000003</v>
      </c>
      <c r="K140" s="1515">
        <f t="shared" si="57"/>
        <v>80556.116928000003</v>
      </c>
      <c r="L140" s="1516">
        <f t="shared" si="57"/>
        <v>80556.116928000003</v>
      </c>
      <c r="P140" s="1305"/>
    </row>
    <row r="141" spans="1:16">
      <c r="A141" s="1509"/>
      <c r="B141" s="2086"/>
      <c r="D141" s="1299"/>
      <c r="F141" s="1294"/>
      <c r="G141" s="1294"/>
      <c r="H141" s="1294"/>
      <c r="I141" s="1294"/>
      <c r="J141" s="1294"/>
      <c r="K141" s="1294"/>
      <c r="L141" s="1295"/>
      <c r="P141" s="1305"/>
    </row>
    <row r="142" spans="1:16">
      <c r="A142" s="1509"/>
      <c r="B142" s="2086"/>
      <c r="D142" s="1293" t="str">
        <f>D160</f>
        <v>Subsidies</v>
      </c>
      <c r="L142" s="1305"/>
      <c r="P142" s="1305"/>
    </row>
    <row r="143" spans="1:16">
      <c r="A143" s="1509"/>
      <c r="B143" s="2086"/>
      <c r="D143" s="1299" t="s">
        <v>117</v>
      </c>
      <c r="F143" s="2">
        <f>IF(AND(F89=Capex!$I$49,Capex!$J$49="Yes"),Capex!$E$49,0)</f>
        <v>0</v>
      </c>
      <c r="G143" s="2">
        <f>IF(AND(G89=Capex!$I$49,Capex!$J$49="Yes"),Capex!$E$49,0)</f>
        <v>40278.058464000002</v>
      </c>
      <c r="H143" s="2">
        <f>IF(AND(H89=Capex!$I$49,Capex!$J$49="Yes"),Capex!$E$49,0)</f>
        <v>0</v>
      </c>
      <c r="I143" s="2">
        <f>IF(AND(I89=Capex!$I$49,Capex!$J$49="Yes"),Capex!$E$49,0)</f>
        <v>0</v>
      </c>
      <c r="J143" s="2">
        <f>IF(AND(J89=Capex!$I$49,Capex!$J$49="Yes"),Capex!$E$49,0)</f>
        <v>0</v>
      </c>
      <c r="K143" s="2">
        <f>IF(AND(K89=Capex!$I$49,Capex!$J$49="Yes"),Capex!$E$49,0)</f>
        <v>0</v>
      </c>
      <c r="L143" s="3">
        <f>IF(AND(L89=Capex!$I$49,Capex!$J$49="Yes"),Capex!$E$49,0)</f>
        <v>0</v>
      </c>
      <c r="P143" s="1305"/>
    </row>
    <row r="144" spans="1:16">
      <c r="A144" s="1509"/>
      <c r="B144" s="2086"/>
      <c r="D144" s="1299" t="str">
        <f>D162</f>
        <v>Former years</v>
      </c>
      <c r="F144" s="107">
        <f t="shared" ref="F144:L144" si="58">E145</f>
        <v>0</v>
      </c>
      <c r="G144" s="107">
        <f t="shared" si="58"/>
        <v>0</v>
      </c>
      <c r="H144" s="107">
        <f t="shared" si="58"/>
        <v>40278.058464000002</v>
      </c>
      <c r="I144" s="107">
        <f t="shared" si="58"/>
        <v>40278.058464000002</v>
      </c>
      <c r="J144" s="107">
        <f t="shared" si="58"/>
        <v>40278.058464000002</v>
      </c>
      <c r="K144" s="107">
        <f t="shared" si="58"/>
        <v>40278.058464000002</v>
      </c>
      <c r="L144" s="108">
        <f t="shared" si="58"/>
        <v>40278.058464000002</v>
      </c>
      <c r="M144" s="2"/>
      <c r="P144" s="1305"/>
    </row>
    <row r="145" spans="1:16">
      <c r="A145" s="1509"/>
      <c r="B145" s="2086"/>
      <c r="D145" s="1293" t="str">
        <f>D163</f>
        <v>Total subsidies</v>
      </c>
      <c r="F145" s="2">
        <f>SUM(F143:F144)</f>
        <v>0</v>
      </c>
      <c r="G145" s="2">
        <f t="shared" ref="G145:L145" si="59">SUM(G143:G144)</f>
        <v>40278.058464000002</v>
      </c>
      <c r="H145" s="2">
        <f t="shared" si="59"/>
        <v>40278.058464000002</v>
      </c>
      <c r="I145" s="2">
        <f t="shared" si="59"/>
        <v>40278.058464000002</v>
      </c>
      <c r="J145" s="2">
        <f t="shared" si="59"/>
        <v>40278.058464000002</v>
      </c>
      <c r="K145" s="2">
        <f t="shared" si="59"/>
        <v>40278.058464000002</v>
      </c>
      <c r="L145" s="3">
        <f t="shared" si="59"/>
        <v>40278.058464000002</v>
      </c>
      <c r="P145" s="1305"/>
    </row>
    <row r="146" spans="1:16">
      <c r="A146" s="1509"/>
      <c r="B146" s="2086"/>
      <c r="D146" s="1299"/>
      <c r="F146" s="2"/>
      <c r="G146" s="2"/>
      <c r="H146" s="2"/>
      <c r="I146" s="2"/>
      <c r="J146" s="2"/>
      <c r="K146" s="2"/>
      <c r="L146" s="3"/>
      <c r="P146" s="1305"/>
    </row>
    <row r="147" spans="1:16">
      <c r="A147" s="1509"/>
      <c r="B147" s="2086"/>
      <c r="D147" s="1299" t="s">
        <v>187</v>
      </c>
      <c r="F147" s="71">
        <f t="shared" ref="F147:L147" si="60">IF(F145=0,0,F145/F140)</f>
        <v>0</v>
      </c>
      <c r="G147" s="71">
        <f t="shared" si="60"/>
        <v>0.5</v>
      </c>
      <c r="H147" s="71">
        <f t="shared" si="60"/>
        <v>0.5</v>
      </c>
      <c r="I147" s="71">
        <f t="shared" si="60"/>
        <v>0.5</v>
      </c>
      <c r="J147" s="71">
        <f t="shared" si="60"/>
        <v>0.5</v>
      </c>
      <c r="K147" s="71">
        <f t="shared" si="60"/>
        <v>0.5</v>
      </c>
      <c r="L147" s="106">
        <f t="shared" si="60"/>
        <v>0.5</v>
      </c>
      <c r="P147" s="1305"/>
    </row>
    <row r="148" spans="1:16">
      <c r="A148" s="1509"/>
      <c r="B148" s="2086"/>
      <c r="D148" s="1299" t="s">
        <v>673</v>
      </c>
      <c r="F148" s="2078">
        <f t="shared" ref="F148:L148" si="61">IF(F138&gt;0,F138*$B$62*($B$86*(1-$B$81)),F139*(1-$B$81)*$B$62)</f>
        <v>0</v>
      </c>
      <c r="G148" s="2078">
        <f t="shared" si="61"/>
        <v>7250.0505235200008</v>
      </c>
      <c r="H148" s="2078">
        <f t="shared" si="61"/>
        <v>14500.101047040002</v>
      </c>
      <c r="I148" s="2078">
        <f t="shared" si="61"/>
        <v>14500.101047040002</v>
      </c>
      <c r="J148" s="2078">
        <f t="shared" si="61"/>
        <v>14500.101047040002</v>
      </c>
      <c r="K148" s="2078">
        <f t="shared" si="61"/>
        <v>14500.101047040002</v>
      </c>
      <c r="L148" s="2079">
        <f t="shared" si="61"/>
        <v>14500.101047040002</v>
      </c>
      <c r="P148" s="1305"/>
    </row>
    <row r="149" spans="1:16">
      <c r="A149" s="1509"/>
      <c r="B149" s="2086"/>
      <c r="D149" s="1293" t="str">
        <f>D167</f>
        <v>To be activated in results</v>
      </c>
      <c r="F149" s="2">
        <f t="shared" ref="F149:L149" si="62">F147*F148</f>
        <v>0</v>
      </c>
      <c r="G149" s="2">
        <f t="shared" si="62"/>
        <v>3625.0252617600004</v>
      </c>
      <c r="H149" s="2">
        <f t="shared" si="62"/>
        <v>7250.0505235200008</v>
      </c>
      <c r="I149" s="2">
        <f t="shared" si="62"/>
        <v>7250.0505235200008</v>
      </c>
      <c r="J149" s="2">
        <f t="shared" si="62"/>
        <v>7250.0505235200008</v>
      </c>
      <c r="K149" s="2">
        <f t="shared" si="62"/>
        <v>7250.0505235200008</v>
      </c>
      <c r="L149" s="3">
        <f t="shared" si="62"/>
        <v>7250.0505235200008</v>
      </c>
      <c r="P149" s="1305"/>
    </row>
    <row r="150" spans="1:16">
      <c r="A150" s="1509"/>
      <c r="B150" s="2086"/>
      <c r="D150" s="1299"/>
      <c r="F150" s="2"/>
      <c r="G150" s="2"/>
      <c r="H150" s="2"/>
      <c r="I150" s="2"/>
      <c r="J150" s="2"/>
      <c r="K150" s="2"/>
      <c r="L150" s="3"/>
      <c r="P150" s="1305"/>
    </row>
    <row r="151" spans="1:16">
      <c r="A151" s="1509"/>
      <c r="B151" s="2086"/>
      <c r="D151" s="1299" t="str">
        <f>D169</f>
        <v>Total subsidy</v>
      </c>
      <c r="F151" s="2087">
        <f>F145</f>
        <v>0</v>
      </c>
      <c r="G151" s="2087">
        <f t="shared" ref="G151:L151" si="63">G145</f>
        <v>40278.058464000002</v>
      </c>
      <c r="H151" s="2087">
        <f t="shared" si="63"/>
        <v>40278.058464000002</v>
      </c>
      <c r="I151" s="2087">
        <f t="shared" si="63"/>
        <v>40278.058464000002</v>
      </c>
      <c r="J151" s="2087">
        <f t="shared" si="63"/>
        <v>40278.058464000002</v>
      </c>
      <c r="K151" s="2087">
        <f t="shared" si="63"/>
        <v>40278.058464000002</v>
      </c>
      <c r="L151" s="2088">
        <f t="shared" si="63"/>
        <v>40278.058464000002</v>
      </c>
      <c r="P151" s="1305"/>
    </row>
    <row r="152" spans="1:16">
      <c r="A152" s="1509"/>
      <c r="B152" s="2086"/>
      <c r="D152" s="1299" t="str">
        <f>D170</f>
        <v>Activated in results</v>
      </c>
      <c r="F152" s="2089">
        <f t="shared" ref="F152:L152" si="64">F149+E152</f>
        <v>0</v>
      </c>
      <c r="G152" s="2089">
        <f t="shared" si="64"/>
        <v>3625.0252617600004</v>
      </c>
      <c r="H152" s="2089">
        <f t="shared" si="64"/>
        <v>10875.075785280002</v>
      </c>
      <c r="I152" s="2089">
        <f t="shared" si="64"/>
        <v>18125.126308800001</v>
      </c>
      <c r="J152" s="2089">
        <f t="shared" si="64"/>
        <v>25375.176832320001</v>
      </c>
      <c r="K152" s="2089">
        <f t="shared" si="64"/>
        <v>32625.227355840001</v>
      </c>
      <c r="L152" s="2090">
        <f t="shared" si="64"/>
        <v>39875.277879360001</v>
      </c>
      <c r="P152" s="1305"/>
    </row>
    <row r="153" spans="1:16" ht="13.5" thickBot="1">
      <c r="A153" s="1509"/>
      <c r="B153" s="2086"/>
      <c r="D153" s="1519" t="s">
        <v>189</v>
      </c>
      <c r="E153" s="1721"/>
      <c r="F153" s="1543">
        <f t="shared" ref="F153:L153" si="65">F151-F152</f>
        <v>0</v>
      </c>
      <c r="G153" s="1543">
        <f t="shared" si="65"/>
        <v>36653.033202240003</v>
      </c>
      <c r="H153" s="1543">
        <f t="shared" si="65"/>
        <v>29402.98267872</v>
      </c>
      <c r="I153" s="1543">
        <f t="shared" si="65"/>
        <v>22152.9321552</v>
      </c>
      <c r="J153" s="1543">
        <f t="shared" si="65"/>
        <v>14902.88163168</v>
      </c>
      <c r="K153" s="1543">
        <f t="shared" si="65"/>
        <v>7652.8311081600004</v>
      </c>
      <c r="L153" s="1544">
        <f t="shared" si="65"/>
        <v>402.7805846400006</v>
      </c>
      <c r="P153" s="1305"/>
    </row>
    <row r="154" spans="1:16">
      <c r="A154" s="1299"/>
      <c r="D154" s="1539"/>
      <c r="E154" s="1502"/>
      <c r="F154" s="1502"/>
      <c r="G154" s="1502"/>
      <c r="H154" s="1502"/>
      <c r="I154" s="1502"/>
      <c r="J154" s="1502"/>
      <c r="K154" s="1502"/>
      <c r="L154" s="1725"/>
      <c r="P154" s="1305"/>
    </row>
    <row r="155" spans="1:16">
      <c r="A155" s="1299"/>
      <c r="D155" s="1293" t="str">
        <f>Capex!B50</f>
        <v>Cellar improvement subsidy program</v>
      </c>
      <c r="F155" s="1294"/>
      <c r="G155" s="1294"/>
      <c r="H155" s="1294"/>
      <c r="I155" s="1294"/>
      <c r="J155" s="1294"/>
      <c r="K155" s="1294"/>
      <c r="L155" s="1295"/>
      <c r="P155" s="1305"/>
    </row>
    <row r="156" spans="1:16">
      <c r="A156" s="1299"/>
      <c r="D156" s="1299" t="s">
        <v>185</v>
      </c>
      <c r="F156" s="1515">
        <f>IF(AND(F89=Capex!$I$50,Capex!$J$50="Yes"),Capex!$C$50,0)</f>
        <v>0</v>
      </c>
      <c r="G156" s="1515">
        <f>IF(AND(G89=Capex!$I$50,Capex!$J$50="Yes"),Capex!$C$50,0)</f>
        <v>900000</v>
      </c>
      <c r="H156" s="1515">
        <f>IF(AND(H89=Capex!$I$50,Capex!$J$50="Yes"),Capex!$C$50,0)</f>
        <v>0</v>
      </c>
      <c r="I156" s="1515">
        <f>IF(AND(I89=Capex!$I$50,Capex!$J$50="Yes"),Capex!$C$50,0)</f>
        <v>0</v>
      </c>
      <c r="J156" s="1515">
        <f>IF(AND(J89=Capex!$I$50,Capex!$J$50="Yes"),Capex!$C$50,0)</f>
        <v>0</v>
      </c>
      <c r="K156" s="1515">
        <f>IF(AND(K89=Capex!$I$50,Capex!$J$50="Yes"),Capex!$C$50,0)</f>
        <v>0</v>
      </c>
      <c r="L156" s="1516">
        <f>IF(AND(L89=Capex!$I$50,Capex!$J$50="Yes"),Capex!$C$50,0)</f>
        <v>0</v>
      </c>
      <c r="P156" s="1305"/>
    </row>
    <row r="157" spans="1:16">
      <c r="A157" s="1299"/>
      <c r="D157" s="1299" t="s">
        <v>186</v>
      </c>
      <c r="F157" s="2078">
        <f>E157+E156</f>
        <v>0</v>
      </c>
      <c r="G157" s="2078">
        <f t="shared" ref="G157:L157" si="66">F157+F156</f>
        <v>0</v>
      </c>
      <c r="H157" s="2078">
        <f t="shared" si="66"/>
        <v>900000</v>
      </c>
      <c r="I157" s="2078">
        <f t="shared" si="66"/>
        <v>900000</v>
      </c>
      <c r="J157" s="2078">
        <f t="shared" si="66"/>
        <v>900000</v>
      </c>
      <c r="K157" s="2078">
        <f t="shared" si="66"/>
        <v>900000</v>
      </c>
      <c r="L157" s="2079">
        <f t="shared" si="66"/>
        <v>900000</v>
      </c>
      <c r="P157" s="1305"/>
    </row>
    <row r="158" spans="1:16">
      <c r="A158" s="1299"/>
      <c r="D158" s="1299" t="s">
        <v>135</v>
      </c>
      <c r="F158" s="1515">
        <f t="shared" ref="F158:L158" si="67">F156+F157</f>
        <v>0</v>
      </c>
      <c r="G158" s="1515">
        <f t="shared" si="67"/>
        <v>900000</v>
      </c>
      <c r="H158" s="1515">
        <f t="shared" si="67"/>
        <v>900000</v>
      </c>
      <c r="I158" s="1515">
        <f t="shared" si="67"/>
        <v>900000</v>
      </c>
      <c r="J158" s="1515">
        <f t="shared" si="67"/>
        <v>900000</v>
      </c>
      <c r="K158" s="1515">
        <f t="shared" si="67"/>
        <v>900000</v>
      </c>
      <c r="L158" s="1516">
        <f t="shared" si="67"/>
        <v>900000</v>
      </c>
      <c r="P158" s="1305"/>
    </row>
    <row r="159" spans="1:16">
      <c r="A159" s="1299"/>
      <c r="D159" s="1299"/>
      <c r="F159" s="1294"/>
      <c r="G159" s="1294"/>
      <c r="H159" s="1294"/>
      <c r="I159" s="1294"/>
      <c r="J159" s="1294"/>
      <c r="K159" s="1294"/>
      <c r="L159" s="1295"/>
      <c r="P159" s="1305"/>
    </row>
    <row r="160" spans="1:16">
      <c r="A160" s="1299"/>
      <c r="D160" s="1293" t="s">
        <v>146</v>
      </c>
      <c r="F160" s="1294"/>
      <c r="G160" s="1294"/>
      <c r="H160" s="1294"/>
      <c r="I160" s="1294"/>
      <c r="J160" s="1294"/>
      <c r="K160" s="1294"/>
      <c r="L160" s="1295"/>
      <c r="P160" s="1305"/>
    </row>
    <row r="161" spans="1:16">
      <c r="A161" s="1299"/>
      <c r="D161" s="1299" t="s">
        <v>146</v>
      </c>
      <c r="F161" s="2">
        <f>IF(AND(F89=Capex!$I$50,Capex!$J$50="Yes"),Capex!$E$50,0)+E161</f>
        <v>0</v>
      </c>
      <c r="G161" s="2">
        <f>IF(AND(G89=Capex!$I$50,Capex!$J$50="Yes"),Capex!$E$50,0)</f>
        <v>810000</v>
      </c>
      <c r="H161" s="2">
        <f>IF(AND(H89=Capex!$I$50,Capex!$J$50="Yes"),Capex!$E$50,0)</f>
        <v>0</v>
      </c>
      <c r="I161" s="2">
        <f>IF(AND(I89=Capex!$I$50,Capex!$J$50="Yes"),Capex!$E$50,0)</f>
        <v>0</v>
      </c>
      <c r="J161" s="2">
        <f>IF(AND(J89=Capex!$I$50,Capex!$J$50="Yes"),Capex!$E$50,0)</f>
        <v>0</v>
      </c>
      <c r="K161" s="2">
        <f>IF(AND(K89=Capex!$I$50,Capex!$J$50="Yes"),Capex!$E$50,0)</f>
        <v>0</v>
      </c>
      <c r="L161" s="3">
        <f>IF(AND(L89=Capex!$I$50,Capex!$J$50="Yes"),Capex!$E$50,0)</f>
        <v>0</v>
      </c>
      <c r="P161" s="1305"/>
    </row>
    <row r="162" spans="1:16">
      <c r="A162" s="1299"/>
      <c r="D162" s="1299" t="s">
        <v>186</v>
      </c>
      <c r="F162" s="107">
        <f>E161</f>
        <v>0</v>
      </c>
      <c r="G162" s="107">
        <f>F161</f>
        <v>0</v>
      </c>
      <c r="H162" s="107">
        <f>G163</f>
        <v>810000</v>
      </c>
      <c r="I162" s="107">
        <f>H163</f>
        <v>810000</v>
      </c>
      <c r="J162" s="107">
        <f>I163</f>
        <v>810000</v>
      </c>
      <c r="K162" s="107">
        <f>J163</f>
        <v>810000</v>
      </c>
      <c r="L162" s="108">
        <f>K163</f>
        <v>810000</v>
      </c>
      <c r="P162" s="1305"/>
    </row>
    <row r="163" spans="1:16">
      <c r="A163" s="1299"/>
      <c r="D163" s="1293" t="s">
        <v>190</v>
      </c>
      <c r="F163" s="2">
        <f t="shared" ref="F163:L163" si="68">SUM(F161:F162)</f>
        <v>0</v>
      </c>
      <c r="G163" s="2">
        <f t="shared" si="68"/>
        <v>810000</v>
      </c>
      <c r="H163" s="2">
        <f t="shared" si="68"/>
        <v>810000</v>
      </c>
      <c r="I163" s="2">
        <f t="shared" si="68"/>
        <v>810000</v>
      </c>
      <c r="J163" s="2">
        <f t="shared" si="68"/>
        <v>810000</v>
      </c>
      <c r="K163" s="2">
        <f t="shared" si="68"/>
        <v>810000</v>
      </c>
      <c r="L163" s="3">
        <f t="shared" si="68"/>
        <v>810000</v>
      </c>
      <c r="P163" s="1305"/>
    </row>
    <row r="164" spans="1:16">
      <c r="A164" s="1299"/>
      <c r="D164" s="1299"/>
      <c r="F164" s="2"/>
      <c r="G164" s="2"/>
      <c r="H164" s="2"/>
      <c r="I164" s="2"/>
      <c r="J164" s="2"/>
      <c r="K164" s="2"/>
      <c r="L164" s="3"/>
      <c r="P164" s="1305"/>
    </row>
    <row r="165" spans="1:16">
      <c r="A165" s="1299"/>
      <c r="D165" s="1299" t="s">
        <v>187</v>
      </c>
      <c r="F165" s="71">
        <f>IF(F161=0,0,F161/F158)</f>
        <v>0</v>
      </c>
      <c r="G165" s="71">
        <f t="shared" ref="G165:L165" si="69">IF(G163=0,0,G163/G158)</f>
        <v>0.9</v>
      </c>
      <c r="H165" s="71">
        <f t="shared" si="69"/>
        <v>0.9</v>
      </c>
      <c r="I165" s="71">
        <f t="shared" si="69"/>
        <v>0.9</v>
      </c>
      <c r="J165" s="71">
        <f t="shared" si="69"/>
        <v>0.9</v>
      </c>
      <c r="K165" s="71">
        <f t="shared" si="69"/>
        <v>0.9</v>
      </c>
      <c r="L165" s="106">
        <f t="shared" si="69"/>
        <v>0.9</v>
      </c>
      <c r="P165" s="1305"/>
    </row>
    <row r="166" spans="1:16">
      <c r="A166" s="1299"/>
      <c r="D166" s="1299" t="s">
        <v>673</v>
      </c>
      <c r="E166" s="2086"/>
      <c r="F166" s="2078">
        <f>IF(F156&gt;0,F156*$E$166*($B$86*(1-$B$77)),F157*(1-$B$77)*$E$166)</f>
        <v>0</v>
      </c>
      <c r="G166" s="2078">
        <f t="shared" ref="G166:L166" si="70">IF(G156&gt;0,G156*$B$57*($B$86*(1-$B$77)),G157*(1-$B$77)*$B$57)</f>
        <v>8100</v>
      </c>
      <c r="H166" s="2078">
        <f t="shared" si="70"/>
        <v>16200</v>
      </c>
      <c r="I166" s="2078">
        <f t="shared" si="70"/>
        <v>16200</v>
      </c>
      <c r="J166" s="2078">
        <f t="shared" si="70"/>
        <v>16200</v>
      </c>
      <c r="K166" s="2078">
        <f t="shared" si="70"/>
        <v>16200</v>
      </c>
      <c r="L166" s="2079">
        <f t="shared" si="70"/>
        <v>16200</v>
      </c>
      <c r="P166" s="1305"/>
    </row>
    <row r="167" spans="1:16">
      <c r="A167" s="1299"/>
      <c r="D167" s="1293" t="s">
        <v>188</v>
      </c>
      <c r="F167" s="2">
        <f t="shared" ref="F167:L167" si="71">F165*F166</f>
        <v>0</v>
      </c>
      <c r="G167" s="2">
        <f t="shared" si="71"/>
        <v>7290</v>
      </c>
      <c r="H167" s="2">
        <f t="shared" si="71"/>
        <v>14580</v>
      </c>
      <c r="I167" s="2">
        <f t="shared" si="71"/>
        <v>14580</v>
      </c>
      <c r="J167" s="2">
        <f t="shared" si="71"/>
        <v>14580</v>
      </c>
      <c r="K167" s="2">
        <f t="shared" si="71"/>
        <v>14580</v>
      </c>
      <c r="L167" s="3">
        <f t="shared" si="71"/>
        <v>14580</v>
      </c>
      <c r="P167" s="1305"/>
    </row>
    <row r="168" spans="1:16">
      <c r="A168" s="1299"/>
      <c r="D168" s="1299"/>
      <c r="F168" s="1294"/>
      <c r="G168" s="1294"/>
      <c r="H168" s="1294"/>
      <c r="I168" s="1294"/>
      <c r="J168" s="1294"/>
      <c r="K168" s="1294"/>
      <c r="L168" s="1295"/>
      <c r="P168" s="1305"/>
    </row>
    <row r="169" spans="1:16">
      <c r="A169" s="1299"/>
      <c r="D169" s="1299" t="s">
        <v>118</v>
      </c>
      <c r="F169" s="2087">
        <f t="shared" ref="F169:L169" si="72">F163</f>
        <v>0</v>
      </c>
      <c r="G169" s="2087">
        <f t="shared" si="72"/>
        <v>810000</v>
      </c>
      <c r="H169" s="2087">
        <f t="shared" si="72"/>
        <v>810000</v>
      </c>
      <c r="I169" s="2087">
        <f t="shared" si="72"/>
        <v>810000</v>
      </c>
      <c r="J169" s="2087">
        <f t="shared" si="72"/>
        <v>810000</v>
      </c>
      <c r="K169" s="2087">
        <f t="shared" si="72"/>
        <v>810000</v>
      </c>
      <c r="L169" s="2088">
        <f t="shared" si="72"/>
        <v>810000</v>
      </c>
      <c r="P169" s="1305"/>
    </row>
    <row r="170" spans="1:16">
      <c r="A170" s="1299"/>
      <c r="D170" s="1299" t="s">
        <v>191</v>
      </c>
      <c r="F170" s="2087">
        <f t="shared" ref="F170:L170" si="73">F167+E170</f>
        <v>0</v>
      </c>
      <c r="G170" s="2087">
        <f t="shared" si="73"/>
        <v>7290</v>
      </c>
      <c r="H170" s="2087">
        <f t="shared" si="73"/>
        <v>21870</v>
      </c>
      <c r="I170" s="2087">
        <f t="shared" si="73"/>
        <v>36450</v>
      </c>
      <c r="J170" s="2087">
        <f t="shared" si="73"/>
        <v>51030</v>
      </c>
      <c r="K170" s="2087">
        <f t="shared" si="73"/>
        <v>65610</v>
      </c>
      <c r="L170" s="2088">
        <f t="shared" si="73"/>
        <v>80190</v>
      </c>
      <c r="P170" s="1305"/>
    </row>
    <row r="171" spans="1:16" ht="13.5" thickBot="1">
      <c r="A171" s="1299"/>
      <c r="D171" s="1519" t="s">
        <v>189</v>
      </c>
      <c r="E171" s="1721"/>
      <c r="F171" s="2091">
        <f t="shared" ref="F171:L171" si="74">F169-F170</f>
        <v>0</v>
      </c>
      <c r="G171" s="2091">
        <f t="shared" si="74"/>
        <v>802710</v>
      </c>
      <c r="H171" s="2091">
        <f t="shared" si="74"/>
        <v>788130</v>
      </c>
      <c r="I171" s="2091">
        <f t="shared" si="74"/>
        <v>773550</v>
      </c>
      <c r="J171" s="2091">
        <f t="shared" si="74"/>
        <v>758970</v>
      </c>
      <c r="K171" s="2091">
        <f t="shared" si="74"/>
        <v>744390</v>
      </c>
      <c r="L171" s="2092">
        <f t="shared" si="74"/>
        <v>729810</v>
      </c>
      <c r="P171" s="1305"/>
    </row>
    <row r="172" spans="1:16">
      <c r="A172" s="1299"/>
      <c r="D172" s="1539"/>
      <c r="E172" s="1502"/>
      <c r="F172" s="1502"/>
      <c r="G172" s="1502"/>
      <c r="H172" s="1502"/>
      <c r="I172" s="1502"/>
      <c r="J172" s="1502"/>
      <c r="K172" s="1502"/>
      <c r="L172" s="1725"/>
      <c r="P172" s="1305"/>
    </row>
    <row r="173" spans="1:16">
      <c r="A173" s="1299"/>
      <c r="D173" s="1293" t="str">
        <f>Capex!B51</f>
        <v>Vine convertion subsidy program</v>
      </c>
      <c r="F173" s="1294"/>
      <c r="G173" s="1294"/>
      <c r="H173" s="1294"/>
      <c r="I173" s="1294"/>
      <c r="J173" s="1294"/>
      <c r="K173" s="1294"/>
      <c r="L173" s="1295"/>
      <c r="P173" s="1305"/>
    </row>
    <row r="174" spans="1:16">
      <c r="A174" s="1299"/>
      <c r="D174" s="1299" t="s">
        <v>185</v>
      </c>
      <c r="F174" s="1515">
        <f>IF(AND(F89=Capex!$I$51,Capex!$J$51="Yes"),Capex!$C$51,0)</f>
        <v>0</v>
      </c>
      <c r="G174" s="1515">
        <f>IF(AND(G89=Capex!$I$51,Capex!$J$51="Yes"),Capex!$C$51,0)</f>
        <v>850000</v>
      </c>
      <c r="H174" s="1515">
        <f>IF(AND(H89=Capex!$I$51,Capex!$J$51="Yes"),Capex!$C$51,0)</f>
        <v>0</v>
      </c>
      <c r="I174" s="1515">
        <f>IF(AND(I89=Capex!$I$51,Capex!$J$51="Yes"),Capex!$C$51,0)</f>
        <v>0</v>
      </c>
      <c r="J174" s="1515">
        <f>IF(AND(J89=Capex!$I$51,Capex!$J$51="Yes"),Capex!$C$51,0)</f>
        <v>0</v>
      </c>
      <c r="K174" s="1515">
        <f>IF(AND(K89=Capex!$I$51,Capex!$J$51="Yes"),Capex!$C$51,0)</f>
        <v>0</v>
      </c>
      <c r="L174" s="1516">
        <f>IF(AND(L89=Capex!$I$51,Capex!$J$51="Yes"),Capex!$C$51,0)</f>
        <v>0</v>
      </c>
      <c r="P174" s="1305"/>
    </row>
    <row r="175" spans="1:16">
      <c r="A175" s="1299"/>
      <c r="D175" s="1299" t="s">
        <v>186</v>
      </c>
      <c r="F175" s="2078">
        <f>E175+E174</f>
        <v>0</v>
      </c>
      <c r="G175" s="2078">
        <f t="shared" ref="G175:L175" si="75">F175+F174</f>
        <v>0</v>
      </c>
      <c r="H175" s="2078">
        <f t="shared" si="75"/>
        <v>850000</v>
      </c>
      <c r="I175" s="2078">
        <f t="shared" si="75"/>
        <v>850000</v>
      </c>
      <c r="J175" s="2078">
        <f t="shared" si="75"/>
        <v>850000</v>
      </c>
      <c r="K175" s="2078">
        <f t="shared" si="75"/>
        <v>850000</v>
      </c>
      <c r="L175" s="2079">
        <f t="shared" si="75"/>
        <v>850000</v>
      </c>
      <c r="P175" s="1305"/>
    </row>
    <row r="176" spans="1:16">
      <c r="A176" s="1299"/>
      <c r="D176" s="1299" t="s">
        <v>135</v>
      </c>
      <c r="F176" s="1515">
        <f t="shared" ref="F176:L176" si="76">F174+F175</f>
        <v>0</v>
      </c>
      <c r="G176" s="1515">
        <f t="shared" si="76"/>
        <v>850000</v>
      </c>
      <c r="H176" s="1515">
        <f t="shared" si="76"/>
        <v>850000</v>
      </c>
      <c r="I176" s="1515">
        <f t="shared" si="76"/>
        <v>850000</v>
      </c>
      <c r="J176" s="1515">
        <f t="shared" si="76"/>
        <v>850000</v>
      </c>
      <c r="K176" s="1515">
        <f t="shared" si="76"/>
        <v>850000</v>
      </c>
      <c r="L176" s="1516">
        <f t="shared" si="76"/>
        <v>850000</v>
      </c>
      <c r="P176" s="1305"/>
    </row>
    <row r="177" spans="1:16">
      <c r="A177" s="1299"/>
      <c r="D177" s="1299"/>
      <c r="F177" s="1515"/>
      <c r="G177" s="1515"/>
      <c r="H177" s="1515"/>
      <c r="I177" s="1515"/>
      <c r="J177" s="1515"/>
      <c r="K177" s="1515"/>
      <c r="L177" s="1516"/>
      <c r="P177" s="1305"/>
    </row>
    <row r="178" spans="1:16">
      <c r="A178" s="1299"/>
      <c r="D178" s="1293" t="str">
        <f>D160</f>
        <v>Subsidies</v>
      </c>
      <c r="F178" s="1515"/>
      <c r="G178" s="1515"/>
      <c r="H178" s="1515"/>
      <c r="I178" s="1515"/>
      <c r="J178" s="1515"/>
      <c r="K178" s="1515"/>
      <c r="L178" s="1516"/>
      <c r="P178" s="1305"/>
    </row>
    <row r="179" spans="1:16">
      <c r="A179" s="1299"/>
      <c r="D179" s="1299" t="str">
        <f>D161</f>
        <v>Subsidies</v>
      </c>
      <c r="F179" s="2087">
        <f>IF(AND(F89=Capex!$I$51,Capex!$J$51="Yes"),Capex!$E$51,0)</f>
        <v>0</v>
      </c>
      <c r="G179" s="2087">
        <f>IF(AND(G89=Capex!$I$51,Capex!$J$51="Yes"),Capex!$E$51,0)</f>
        <v>595000</v>
      </c>
      <c r="H179" s="2087">
        <f>IF(AND(H89=Capex!$I$51,Capex!$J$51="Yes"),Capex!$E$51,0)</f>
        <v>0</v>
      </c>
      <c r="I179" s="2087">
        <f>IF(AND(I89=Capex!$I$51,Capex!$J$51="Yes"),Capex!$E$51,0)</f>
        <v>0</v>
      </c>
      <c r="J179" s="2087">
        <f>IF(AND(J89=Capex!$I$51,Capex!$J$51="Yes"),Capex!$E$51,0)</f>
        <v>0</v>
      </c>
      <c r="K179" s="2087">
        <f>IF(AND(K89=Capex!$I$51,Capex!$J$51="Yes"),Capex!$E$51,0)</f>
        <v>0</v>
      </c>
      <c r="L179" s="2088">
        <f>IF(AND(L89=Capex!$I$51,Capex!$J$51="Yes"),Capex!$E$51,0)</f>
        <v>0</v>
      </c>
      <c r="P179" s="1305"/>
    </row>
    <row r="180" spans="1:16">
      <c r="A180" s="1299"/>
      <c r="D180" s="1299" t="str">
        <f>D162</f>
        <v>Former years</v>
      </c>
      <c r="F180" s="107">
        <f>IF(AND(F89=Capex!$I$51,Capex!$J$51="Yes"),Capex!$E$51,0)+E180</f>
        <v>0</v>
      </c>
      <c r="G180" s="107">
        <f t="shared" ref="G180:L180" si="77">F181</f>
        <v>0</v>
      </c>
      <c r="H180" s="107">
        <f t="shared" si="77"/>
        <v>595000</v>
      </c>
      <c r="I180" s="107">
        <f t="shared" si="77"/>
        <v>595000</v>
      </c>
      <c r="J180" s="107">
        <f t="shared" si="77"/>
        <v>595000</v>
      </c>
      <c r="K180" s="107">
        <f t="shared" si="77"/>
        <v>595000</v>
      </c>
      <c r="L180" s="108">
        <f t="shared" si="77"/>
        <v>595000</v>
      </c>
      <c r="P180" s="1305"/>
    </row>
    <row r="181" spans="1:16">
      <c r="A181" s="1299"/>
      <c r="D181" s="1293" t="str">
        <f>D163</f>
        <v>Total subsidies</v>
      </c>
      <c r="F181" s="2">
        <f>SUM(F179:F180)</f>
        <v>0</v>
      </c>
      <c r="G181" s="2">
        <f t="shared" ref="G181:L181" si="78">SUM(G179:G180)</f>
        <v>595000</v>
      </c>
      <c r="H181" s="2">
        <f t="shared" si="78"/>
        <v>595000</v>
      </c>
      <c r="I181" s="2">
        <f t="shared" si="78"/>
        <v>595000</v>
      </c>
      <c r="J181" s="2">
        <f t="shared" si="78"/>
        <v>595000</v>
      </c>
      <c r="K181" s="2">
        <f t="shared" si="78"/>
        <v>595000</v>
      </c>
      <c r="L181" s="3">
        <f t="shared" si="78"/>
        <v>595000</v>
      </c>
      <c r="P181" s="1305"/>
    </row>
    <row r="182" spans="1:16">
      <c r="A182" s="1299"/>
      <c r="D182" s="1299"/>
      <c r="F182" s="2"/>
      <c r="G182" s="2"/>
      <c r="H182" s="2"/>
      <c r="I182" s="2"/>
      <c r="J182" s="2"/>
      <c r="K182" s="2"/>
      <c r="L182" s="3"/>
      <c r="P182" s="1305"/>
    </row>
    <row r="183" spans="1:16">
      <c r="A183" s="1299"/>
      <c r="D183" s="1299" t="s">
        <v>187</v>
      </c>
      <c r="F183" s="71">
        <f>IF(F180=0,0,F180/F176)</f>
        <v>0</v>
      </c>
      <c r="G183" s="71">
        <f t="shared" ref="G183:L183" si="79">IF(G181=0,0,G181/G176)</f>
        <v>0.7</v>
      </c>
      <c r="H183" s="71">
        <f t="shared" si="79"/>
        <v>0.7</v>
      </c>
      <c r="I183" s="71">
        <f t="shared" si="79"/>
        <v>0.7</v>
      </c>
      <c r="J183" s="71">
        <f t="shared" si="79"/>
        <v>0.7</v>
      </c>
      <c r="K183" s="71">
        <f t="shared" si="79"/>
        <v>0.7</v>
      </c>
      <c r="L183" s="106">
        <f t="shared" si="79"/>
        <v>0.7</v>
      </c>
      <c r="P183" s="1305"/>
    </row>
    <row r="184" spans="1:16">
      <c r="A184" s="1299"/>
      <c r="D184" s="1299" t="str">
        <f>D166</f>
        <v>Depreciation investment</v>
      </c>
      <c r="E184" s="2086"/>
      <c r="F184" s="2078">
        <f t="shared" ref="F184:L184" si="80">IF(F174&gt;0,F174*$B$57*($B$86*(1-$B$77)),F175*(1-$B$77)*$B$57)</f>
        <v>0</v>
      </c>
      <c r="G184" s="2078">
        <f t="shared" si="80"/>
        <v>7650</v>
      </c>
      <c r="H184" s="2078">
        <f t="shared" si="80"/>
        <v>15300</v>
      </c>
      <c r="I184" s="2078">
        <f t="shared" si="80"/>
        <v>15300</v>
      </c>
      <c r="J184" s="2078">
        <f t="shared" si="80"/>
        <v>15300</v>
      </c>
      <c r="K184" s="2078">
        <f t="shared" si="80"/>
        <v>15300</v>
      </c>
      <c r="L184" s="2079">
        <f t="shared" si="80"/>
        <v>15300</v>
      </c>
      <c r="P184" s="1305"/>
    </row>
    <row r="185" spans="1:16">
      <c r="A185" s="1299"/>
      <c r="D185" s="1293" t="s">
        <v>188</v>
      </c>
      <c r="F185" s="2">
        <f t="shared" ref="F185:L185" si="81">F183*F184</f>
        <v>0</v>
      </c>
      <c r="G185" s="2">
        <f t="shared" si="81"/>
        <v>5355</v>
      </c>
      <c r="H185" s="2">
        <f t="shared" si="81"/>
        <v>10710</v>
      </c>
      <c r="I185" s="2">
        <f t="shared" si="81"/>
        <v>10710</v>
      </c>
      <c r="J185" s="2">
        <f t="shared" si="81"/>
        <v>10710</v>
      </c>
      <c r="K185" s="2">
        <f t="shared" si="81"/>
        <v>10710</v>
      </c>
      <c r="L185" s="3">
        <f t="shared" si="81"/>
        <v>10710</v>
      </c>
      <c r="P185" s="1305"/>
    </row>
    <row r="186" spans="1:16">
      <c r="A186" s="1299"/>
      <c r="D186" s="1293"/>
      <c r="F186" s="2"/>
      <c r="G186" s="2"/>
      <c r="H186" s="2"/>
      <c r="I186" s="2"/>
      <c r="J186" s="2"/>
      <c r="K186" s="2"/>
      <c r="L186" s="3"/>
      <c r="P186" s="1305"/>
    </row>
    <row r="187" spans="1:16">
      <c r="A187" s="1299"/>
      <c r="D187" s="1299" t="str">
        <f>D169</f>
        <v>Total subsidy</v>
      </c>
      <c r="E187" s="2093"/>
      <c r="F187" s="2087">
        <f t="shared" ref="F187:L187" si="82">F181</f>
        <v>0</v>
      </c>
      <c r="G187" s="2087">
        <f t="shared" si="82"/>
        <v>595000</v>
      </c>
      <c r="H187" s="2087">
        <f t="shared" si="82"/>
        <v>595000</v>
      </c>
      <c r="I187" s="2087">
        <f t="shared" si="82"/>
        <v>595000</v>
      </c>
      <c r="J187" s="2087">
        <f t="shared" si="82"/>
        <v>595000</v>
      </c>
      <c r="K187" s="2087">
        <f t="shared" si="82"/>
        <v>595000</v>
      </c>
      <c r="L187" s="2088">
        <f t="shared" si="82"/>
        <v>595000</v>
      </c>
      <c r="P187" s="1305"/>
    </row>
    <row r="188" spans="1:16">
      <c r="A188" s="1299"/>
      <c r="D188" s="1299" t="str">
        <f>D170</f>
        <v>Activated in results</v>
      </c>
      <c r="F188" s="2087">
        <f t="shared" ref="F188:L188" si="83">F185+E188</f>
        <v>0</v>
      </c>
      <c r="G188" s="2087">
        <f t="shared" si="83"/>
        <v>5355</v>
      </c>
      <c r="H188" s="2087">
        <f t="shared" si="83"/>
        <v>16065</v>
      </c>
      <c r="I188" s="2087">
        <f t="shared" si="83"/>
        <v>26775</v>
      </c>
      <c r="J188" s="2087">
        <f t="shared" si="83"/>
        <v>37485</v>
      </c>
      <c r="K188" s="2087">
        <f t="shared" si="83"/>
        <v>48195</v>
      </c>
      <c r="L188" s="2088">
        <f t="shared" si="83"/>
        <v>58905</v>
      </c>
      <c r="P188" s="1305"/>
    </row>
    <row r="189" spans="1:16" ht="13.5" thickBot="1">
      <c r="A189" s="1319"/>
      <c r="B189" s="1721"/>
      <c r="C189" s="1721"/>
      <c r="D189" s="1519" t="s">
        <v>189</v>
      </c>
      <c r="E189" s="1721"/>
      <c r="F189" s="2091">
        <f t="shared" ref="F189:L189" si="84">F187-F188</f>
        <v>0</v>
      </c>
      <c r="G189" s="2091">
        <f t="shared" si="84"/>
        <v>589645</v>
      </c>
      <c r="H189" s="2091">
        <f t="shared" si="84"/>
        <v>578935</v>
      </c>
      <c r="I189" s="2091">
        <f t="shared" si="84"/>
        <v>568225</v>
      </c>
      <c r="J189" s="2091">
        <f t="shared" si="84"/>
        <v>557515</v>
      </c>
      <c r="K189" s="2091">
        <f t="shared" si="84"/>
        <v>546805</v>
      </c>
      <c r="L189" s="2092">
        <f t="shared" si="84"/>
        <v>536095</v>
      </c>
      <c r="M189" s="1721"/>
      <c r="N189" s="1721"/>
      <c r="O189" s="1721"/>
      <c r="P189" s="2094"/>
    </row>
  </sheetData>
  <sheetProtection password="CD53" sheet="1" objects="1" scenarios="1" selectLockedCells="1"/>
  <mergeCells count="1">
    <mergeCell ref="A4:A5"/>
  </mergeCells>
  <dataValidations count="1">
    <dataValidation type="list" allowBlank="1" showInputMessage="1" showErrorMessage="1" sqref="B86">
      <mc:AlternateContent xmlns:x12ac="http://schemas.microsoft.com/office/spreadsheetml/2011/1/ac" xmlns:mc="http://schemas.openxmlformats.org/markup-compatibility/2006">
        <mc:Choice Requires="x12ac">
          <x12ac:list>"0,25","0,50","0,75",1</x12ac:list>
        </mc:Choice>
        <mc:Fallback>
          <formula1>"0,25,0,50,0,75,1"</formula1>
        </mc:Fallback>
      </mc:AlternateContent>
    </dataValidation>
  </dataValidations>
  <pageMargins left="0.7" right="0.7" top="0.75" bottom="0.75" header="0.3" footer="0.3"/>
  <ignoredErrors>
    <ignoredError sqref="E14:I1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5" tint="0.59999389629810485"/>
  </sheetPr>
  <dimension ref="A1:S102"/>
  <sheetViews>
    <sheetView zoomScale="60" zoomScaleNormal="60" workbookViewId="0">
      <selection activeCell="G73" sqref="G73"/>
    </sheetView>
  </sheetViews>
  <sheetFormatPr defaultColWidth="9.140625" defaultRowHeight="12.75"/>
  <cols>
    <col min="1" max="1" width="26" style="78" bestFit="1" customWidth="1"/>
    <col min="2" max="2" width="15.7109375" style="78" customWidth="1"/>
    <col min="3" max="3" width="2.28515625" style="78" customWidth="1"/>
    <col min="4" max="4" width="25.28515625" style="78" customWidth="1"/>
    <col min="5" max="5" width="10.140625" style="78" bestFit="1" customWidth="1"/>
    <col min="6" max="6" width="14.28515625" style="78" customWidth="1"/>
    <col min="7" max="7" width="12.140625" style="78" bestFit="1" customWidth="1"/>
    <col min="8" max="8" width="12.85546875" style="78" bestFit="1" customWidth="1"/>
    <col min="9" max="9" width="12.140625" style="78" bestFit="1" customWidth="1"/>
    <col min="10" max="10" width="13.85546875" style="78" customWidth="1"/>
    <col min="11" max="11" width="12.140625" style="78" bestFit="1" customWidth="1"/>
    <col min="12" max="12" width="14.140625" style="78" customWidth="1"/>
    <col min="13" max="13" width="12.140625" style="78" bestFit="1" customWidth="1"/>
    <col min="14" max="14" width="12.85546875" style="78" bestFit="1" customWidth="1"/>
    <col min="15" max="15" width="12.140625" style="78" bestFit="1" customWidth="1"/>
    <col min="16" max="16" width="13.28515625" style="78" bestFit="1" customWidth="1"/>
    <col min="17" max="17" width="12.140625" style="78" bestFit="1" customWidth="1"/>
    <col min="18" max="18" width="13.42578125" style="78" bestFit="1" customWidth="1"/>
    <col min="19" max="19" width="12.140625" style="78" bestFit="1" customWidth="1"/>
    <col min="20" max="16384" width="9.140625" style="78"/>
  </cols>
  <sheetData>
    <row r="1" spans="1:19">
      <c r="A1" s="13" t="s">
        <v>30</v>
      </c>
      <c r="B1" s="7"/>
    </row>
    <row r="2" spans="1:19" ht="13.5" thickBot="1">
      <c r="A2" s="13"/>
      <c r="B2" s="7"/>
    </row>
    <row r="3" spans="1:19" ht="13.5" thickBot="1">
      <c r="A3" s="12" t="s">
        <v>11</v>
      </c>
      <c r="B3" s="11">
        <v>5</v>
      </c>
      <c r="F3" s="79">
        <f>F43</f>
        <v>2023</v>
      </c>
      <c r="H3" s="79">
        <f>F3+1</f>
        <v>2024</v>
      </c>
      <c r="I3" s="87"/>
      <c r="J3" s="79">
        <f>H3+1</f>
        <v>2025</v>
      </c>
      <c r="L3" s="79">
        <f>J3+1</f>
        <v>2026</v>
      </c>
      <c r="N3" s="79">
        <f>L3+1</f>
        <v>2027</v>
      </c>
      <c r="P3" s="79">
        <f>N3+1</f>
        <v>2028</v>
      </c>
      <c r="Q3" s="80"/>
      <c r="R3" s="79">
        <f>R43</f>
        <v>2029</v>
      </c>
      <c r="S3" s="80"/>
    </row>
    <row r="4" spans="1:19" ht="13.5" thickBot="1">
      <c r="E4" s="81"/>
      <c r="F4" s="82" t="s">
        <v>120</v>
      </c>
      <c r="G4" s="83" t="str">
        <f>A1</f>
        <v>Depreciation</v>
      </c>
      <c r="H4" s="82" t="s">
        <v>120</v>
      </c>
      <c r="I4" s="83" t="str">
        <f>G4</f>
        <v>Depreciation</v>
      </c>
      <c r="J4" s="82" t="s">
        <v>120</v>
      </c>
      <c r="K4" s="83" t="str">
        <f>I4</f>
        <v>Depreciation</v>
      </c>
      <c r="L4" s="82" t="s">
        <v>120</v>
      </c>
      <c r="M4" s="84" t="str">
        <f>K4</f>
        <v>Depreciation</v>
      </c>
      <c r="N4" s="82" t="s">
        <v>120</v>
      </c>
      <c r="O4" s="84" t="str">
        <f>M4</f>
        <v>Depreciation</v>
      </c>
      <c r="P4" s="82" t="s">
        <v>120</v>
      </c>
      <c r="Q4" s="81" t="str">
        <f>O4</f>
        <v>Depreciation</v>
      </c>
      <c r="R4" s="82" t="s">
        <v>120</v>
      </c>
      <c r="S4" s="81" t="str">
        <f>Q4</f>
        <v>Depreciation</v>
      </c>
    </row>
    <row r="5" spans="1:19">
      <c r="A5" s="5" t="s">
        <v>121</v>
      </c>
      <c r="B5" s="85"/>
      <c r="D5" s="86" t="str">
        <f>A16</f>
        <v>Buildings</v>
      </c>
      <c r="F5" s="79"/>
      <c r="G5" s="87"/>
      <c r="H5" s="79"/>
      <c r="I5" s="87"/>
      <c r="J5" s="79"/>
      <c r="K5" s="87"/>
      <c r="L5" s="79"/>
      <c r="N5" s="79"/>
      <c r="P5" s="79"/>
      <c r="Q5" s="80"/>
      <c r="R5" s="8"/>
      <c r="S5" s="80"/>
    </row>
    <row r="6" spans="1:19">
      <c r="A6" s="4" t="str">
        <f>'RCE PP&amp;E'!A57</f>
        <v>Buildings</v>
      </c>
      <c r="B6" s="88">
        <f>'RCE PP&amp;E'!P36</f>
        <v>14192.680345428796</v>
      </c>
      <c r="D6" s="8" t="s">
        <v>44</v>
      </c>
      <c r="E6" s="89"/>
      <c r="F6" s="90">
        <f>'RCE PP&amp;E'!P36</f>
        <v>14192.680345428796</v>
      </c>
      <c r="G6" s="91">
        <f>IF($B$6*$B$16*(1-$B$26)&gt;F6,F6,$B$6*$B$16*(1-$B$26))*B35</f>
        <v>127.73412310885918</v>
      </c>
      <c r="H6" s="90">
        <f>F6-G6</f>
        <v>14064.946222319937</v>
      </c>
      <c r="I6" s="91">
        <f>IF($B$6*$B$16*(1-$B$26)&gt;H6,H6,$B$6*$B$16*(1-$B$26))</f>
        <v>255.46824621771836</v>
      </c>
      <c r="J6" s="90">
        <f>H6-I6</f>
        <v>13809.477976102218</v>
      </c>
      <c r="K6" s="91">
        <f>IF($B$6*$B$16*(1-$B$26)&gt;J6,J6,$B$6*$B$16*(1-$B$26))</f>
        <v>255.46824621771836</v>
      </c>
      <c r="L6" s="90">
        <f>J6-K6</f>
        <v>13554.009729884499</v>
      </c>
      <c r="M6" s="91">
        <f>IF($B$6*$B$16*(1-$B$26)&gt;L6,L6,$B$6*$B$16*(1-$B$26))</f>
        <v>255.46824621771836</v>
      </c>
      <c r="N6" s="90">
        <f>L6-M6</f>
        <v>13298.541483666781</v>
      </c>
      <c r="O6" s="91">
        <f>IF($B$6*$B$16*(1-$B$26)&gt;N6,N6,$B$6*$B$16*(1-$B$26))</f>
        <v>255.46824621771836</v>
      </c>
      <c r="P6" s="90">
        <f t="shared" ref="P6:P11" si="0">N6-O6</f>
        <v>13043.073237449062</v>
      </c>
      <c r="Q6" s="92">
        <f>IF($B$6*$B$16*(1-$B$26)&gt;P6,P6,$B$6*$B$16*(1-$B$26))</f>
        <v>255.46824621771836</v>
      </c>
      <c r="R6" s="90">
        <f>P6-Q6</f>
        <v>12787.604991231343</v>
      </c>
      <c r="S6" s="92">
        <f>IF($B$6*$B$16*(1-$B$26)&gt;R6,R6,$B$6*$B$16*(1-$B$26))</f>
        <v>255.46824621771836</v>
      </c>
    </row>
    <row r="7" spans="1:19">
      <c r="A7" s="4" t="str">
        <f>'RCE PP&amp;E'!A58</f>
        <v>Infrastructure</v>
      </c>
      <c r="B7" s="88">
        <v>0</v>
      </c>
      <c r="D7" s="90" t="str">
        <f>D5</f>
        <v>Buildings</v>
      </c>
      <c r="E7" s="93">
        <f>E20</f>
        <v>2023</v>
      </c>
      <c r="F7" s="90">
        <f>'RCE PP&amp;E'!F57</f>
        <v>0</v>
      </c>
      <c r="G7" s="91">
        <f>IF($F$7*$B$16*(1-$B$26)&gt;F7,F7,$F$7*$B$16*(1-$B$26))*B35</f>
        <v>0</v>
      </c>
      <c r="H7" s="90">
        <f>F7-G7</f>
        <v>0</v>
      </c>
      <c r="I7" s="91">
        <f>IF(H14&lt;$B$16,0,IF($F$7*$B$16*(1-$B$26)&gt;H7,H7,$F$7*$B$16*(1-$B$26)))</f>
        <v>0</v>
      </c>
      <c r="J7" s="90">
        <f>H7-I7</f>
        <v>0</v>
      </c>
      <c r="K7" s="91">
        <f>IF(J14&lt;$B$16,0,IF($F$7*$B$16*(1-$B$26)&gt;J7,J7,$F$7*$B$16*(1-$B$26)))</f>
        <v>0</v>
      </c>
      <c r="L7" s="90">
        <f>J7-K7</f>
        <v>0</v>
      </c>
      <c r="M7" s="91">
        <f>IF(L14&lt;$B$16,0,IF($F$7*$B$16*(1-$B$26)&gt;L7,L7,$F$7*$B$16*(1-$B$26)))</f>
        <v>0</v>
      </c>
      <c r="N7" s="90">
        <f>L7-M7</f>
        <v>0</v>
      </c>
      <c r="O7" s="91">
        <f>IF(N14&lt;$B$16,0,IF($F$7*$B$16*(1-$B$26)&gt;N7,N7,$F$7*$B$16*(1-$B$26)))</f>
        <v>0</v>
      </c>
      <c r="P7" s="90">
        <f t="shared" si="0"/>
        <v>0</v>
      </c>
      <c r="Q7" s="92">
        <f>IF(P14&lt;$B$16,0,IF($F$7*$B$16*(1-$B$26)&gt;P7,P7,$F$7*$B$16*(1-$B$26)))</f>
        <v>0</v>
      </c>
      <c r="R7" s="90">
        <f t="shared" ref="R7:R12" si="1">P7-Q7</f>
        <v>0</v>
      </c>
      <c r="S7" s="92">
        <f>IF(R14&lt;$B$16,0,IF($F$7*$B$16*(1-$B$26)&gt;R7,R7,$F$7*$B$16*(1-$B$26)))</f>
        <v>0</v>
      </c>
    </row>
    <row r="8" spans="1:19">
      <c r="A8" s="4" t="str">
        <f>'RCE PP&amp;E'!A59</f>
        <v>Machinery</v>
      </c>
      <c r="B8" s="88">
        <f>'RCE PP&amp;E'!P56</f>
        <v>351382.87069939618</v>
      </c>
      <c r="D8" s="90" t="str">
        <f t="shared" ref="D8:D13" si="2">D7</f>
        <v>Buildings</v>
      </c>
      <c r="E8" s="93">
        <f t="shared" ref="E8:E13" si="3">E7+1</f>
        <v>2024</v>
      </c>
      <c r="F8" s="90"/>
      <c r="H8" s="90">
        <f>'RCE PP&amp;E'!G57</f>
        <v>1695000</v>
      </c>
      <c r="I8" s="91">
        <f>IF(H14&lt;$B$16,0,IF($H$8*$B$16*(1-$B$26)&gt;H8,H8,$H$8*$B$16*(1-$B$26)))*B35</f>
        <v>15255</v>
      </c>
      <c r="J8" s="90">
        <f>H8-I8</f>
        <v>1679745</v>
      </c>
      <c r="K8" s="91">
        <f>IF(J14&lt;$B$16,0,IF($H$8*$B$16*(1-$B$26)&gt;J8,J8,$H$8*$B$16*(1-$B$26)))</f>
        <v>30510</v>
      </c>
      <c r="L8" s="90">
        <f>J8-K8</f>
        <v>1649235</v>
      </c>
      <c r="M8" s="91">
        <f>IF(L14&lt;$B$16,0,IF($H$8*$B$16*(1-$B$26)&gt;L8,L8,$H$8*$B$16*(1-$B$26)))</f>
        <v>30510</v>
      </c>
      <c r="N8" s="90">
        <f>L8-M8</f>
        <v>1618725</v>
      </c>
      <c r="O8" s="91">
        <f>IF(N14&lt;$B$16,0,IF($H$8*$B$16*(1-$B$26)&gt;N8,N8,$H$8*$B$16*(1-$B$26)))</f>
        <v>30510</v>
      </c>
      <c r="P8" s="90">
        <f t="shared" si="0"/>
        <v>1588215</v>
      </c>
      <c r="Q8" s="92">
        <f>IF(P14&lt;$B$16,0,IF($H$8*$B$16*(1-$B$26)&gt;P8,P8,$H$8*$B$16*(1-$B$26)))</f>
        <v>30510</v>
      </c>
      <c r="R8" s="90">
        <f t="shared" si="1"/>
        <v>1557705</v>
      </c>
      <c r="S8" s="92">
        <f>IF(R14&lt;$B$16,0,IF($H$8*$B$16*(1-$B$26)&gt;R8,R8,$H$8*$B$16*(1-$B$26)))</f>
        <v>30510</v>
      </c>
    </row>
    <row r="9" spans="1:19">
      <c r="A9" s="4" t="str">
        <f>'RCE PP&amp;E'!A61</f>
        <v>Barrels</v>
      </c>
      <c r="B9" s="88">
        <f>'RCE PP&amp;E'!P47</f>
        <v>47243.369822530593</v>
      </c>
      <c r="D9" s="90" t="str">
        <f t="shared" si="2"/>
        <v>Buildings</v>
      </c>
      <c r="E9" s="93">
        <f t="shared" si="3"/>
        <v>2025</v>
      </c>
      <c r="F9" s="95"/>
      <c r="G9" s="96"/>
      <c r="H9" s="90"/>
      <c r="J9" s="90">
        <f>'RCE PP&amp;E'!H57</f>
        <v>0</v>
      </c>
      <c r="K9" s="91">
        <f>IF(J14&lt;$B$16,0,IF($J$9*$B$16*(1-$B$26)&gt;J9,J9,$J$9*$B$16*(1-$B$26)))*B35</f>
        <v>0</v>
      </c>
      <c r="L9" s="90">
        <f>J9-K9</f>
        <v>0</v>
      </c>
      <c r="M9" s="91">
        <f>IF(L14&lt;$B$16,0,IF($J$9*$B$16*(1-$B$26)&gt;L9,L9,$J$9*$B$16*(1-$B$26)))</f>
        <v>0</v>
      </c>
      <c r="N9" s="90">
        <f>L9-M9</f>
        <v>0</v>
      </c>
      <c r="O9" s="91">
        <f>IF(N14&lt;$B$16,0,IF($J$9*$B$16*(1-$B$26)&gt;N9,N9,$J$9*$B$16*(1-$B$26)))</f>
        <v>0</v>
      </c>
      <c r="P9" s="90">
        <f t="shared" si="0"/>
        <v>0</v>
      </c>
      <c r="Q9" s="92">
        <f>IF(P14&lt;$B$16,0,IF($J$9*$B$16*(1-$B$26)&gt;P9,P9,$J$9*$B$16*(1-$B$26)))</f>
        <v>0</v>
      </c>
      <c r="R9" s="90">
        <f t="shared" si="1"/>
        <v>0</v>
      </c>
      <c r="S9" s="92">
        <f>IF(R14&lt;$B$16,0,IF($J$9*$B$16*(1-$B$26)&gt;R9,R9,$J$9*$B$16*(1-$B$26)))</f>
        <v>0</v>
      </c>
    </row>
    <row r="10" spans="1:19">
      <c r="A10" s="4" t="str">
        <f>'RCE PP&amp;E'!A62</f>
        <v>Vehicles</v>
      </c>
      <c r="B10" s="80">
        <v>0</v>
      </c>
      <c r="D10" s="90" t="str">
        <f t="shared" si="2"/>
        <v>Buildings</v>
      </c>
      <c r="E10" s="93">
        <f t="shared" si="3"/>
        <v>2026</v>
      </c>
      <c r="F10" s="90"/>
      <c r="G10" s="91"/>
      <c r="H10" s="90"/>
      <c r="J10" s="8"/>
      <c r="L10" s="90">
        <f>'RCE PP&amp;E'!I57</f>
        <v>0</v>
      </c>
      <c r="M10" s="91">
        <f>IF(L14&lt;$B$16,0,IF($L$10*$B$16*(1-$B$26)&gt;L10,L10,$L$10*$B$16*(1-$B$26)))*B35</f>
        <v>0</v>
      </c>
      <c r="N10" s="90">
        <f>L10-M10</f>
        <v>0</v>
      </c>
      <c r="O10" s="91">
        <f>IF(N14&lt;$B$16,0,IF($L$10*$B$16*(1-$B$26)&gt;N10,N10,$L$10*$B$16*(1-$B$26)))</f>
        <v>0</v>
      </c>
      <c r="P10" s="90">
        <f t="shared" si="0"/>
        <v>0</v>
      </c>
      <c r="Q10" s="92">
        <f>IF(P14&lt;$B$16,0,IF($L$10*$B$16*(1-$B$26)&gt;P10,P10,$L$10*$B$16*(1-$B$26)))</f>
        <v>0</v>
      </c>
      <c r="R10" s="90">
        <f t="shared" si="1"/>
        <v>0</v>
      </c>
      <c r="S10" s="92">
        <f>IF(R14&lt;$B$16,0,IF($L$10*$B$16*(1-$B$26)&gt;R10,R10,$L$10*$B$16*(1-$B$26)))</f>
        <v>0</v>
      </c>
    </row>
    <row r="11" spans="1:19">
      <c r="A11" s="4" t="str">
        <f>'RCE PP&amp;E'!A63</f>
        <v>Computer / IT</v>
      </c>
      <c r="B11" s="80">
        <v>0</v>
      </c>
      <c r="D11" s="90" t="str">
        <f t="shared" si="2"/>
        <v>Buildings</v>
      </c>
      <c r="E11" s="93">
        <f t="shared" si="3"/>
        <v>2027</v>
      </c>
      <c r="F11" s="90"/>
      <c r="G11" s="91"/>
      <c r="H11" s="90"/>
      <c r="I11" s="91"/>
      <c r="J11" s="8"/>
      <c r="L11" s="90"/>
      <c r="M11" s="91"/>
      <c r="N11" s="90">
        <f>'RCE PP&amp;E'!J57</f>
        <v>0</v>
      </c>
      <c r="O11" s="91">
        <f>IF(N14&lt;$B$16,0,IF($N$11*$B$16*(1-$B$26)&gt;N11,N11,$N$11*$B$16*(1-$B$26)))*B35</f>
        <v>0</v>
      </c>
      <c r="P11" s="90">
        <f t="shared" si="0"/>
        <v>0</v>
      </c>
      <c r="Q11" s="92">
        <f>IF(P14&lt;$B$16,0,IF($N$11*$B$16*(1-$B$26)&gt;P11,P11,$N$11*$B$16*(1-$B$26)))</f>
        <v>0</v>
      </c>
      <c r="R11" s="90">
        <f t="shared" si="1"/>
        <v>0</v>
      </c>
      <c r="S11" s="92">
        <f>IF(R14&lt;$B$16,0,IF($N$11*$B$16*(1-$B$26)&gt;R11,R11,$N$11*$B$16*(1-$B$26)))</f>
        <v>0</v>
      </c>
    </row>
    <row r="12" spans="1:19">
      <c r="A12" s="4" t="str">
        <f>'RCE PP&amp;E'!A64</f>
        <v>Others</v>
      </c>
      <c r="B12" s="80">
        <v>0</v>
      </c>
      <c r="D12" s="90" t="str">
        <f t="shared" si="2"/>
        <v>Buildings</v>
      </c>
      <c r="E12" s="93">
        <f t="shared" si="3"/>
        <v>2028</v>
      </c>
      <c r="F12" s="90"/>
      <c r="G12" s="91"/>
      <c r="H12" s="90"/>
      <c r="I12" s="91"/>
      <c r="J12" s="90"/>
      <c r="L12" s="90"/>
      <c r="M12" s="91"/>
      <c r="N12" s="90"/>
      <c r="O12" s="91"/>
      <c r="P12" s="90">
        <f>'RCE PP&amp;E'!K57</f>
        <v>0</v>
      </c>
      <c r="Q12" s="92">
        <f>IF(P14&lt;$B$16,0,IF($P$12*$B$16*(1-$B$26)&gt;P12,P12,$P$12*$B$16*B35*(1-$B$26)))</f>
        <v>0</v>
      </c>
      <c r="R12" s="90">
        <f t="shared" si="1"/>
        <v>0</v>
      </c>
      <c r="S12" s="92">
        <f>IF(R14&lt;$B$16,0,IF($P$12*$B$16*(1-$B$26)&gt;R12,R12,$P$12*$B$16*B35*(1-$B$26)))</f>
        <v>0</v>
      </c>
    </row>
    <row r="13" spans="1:19" ht="13.5" thickBot="1">
      <c r="A13" s="201"/>
      <c r="B13" s="81"/>
      <c r="D13" s="90" t="str">
        <f t="shared" si="2"/>
        <v>Buildings</v>
      </c>
      <c r="E13" s="93">
        <f t="shared" si="3"/>
        <v>2029</v>
      </c>
      <c r="F13" s="90"/>
      <c r="G13" s="91"/>
      <c r="H13" s="90"/>
      <c r="I13" s="91"/>
      <c r="J13" s="90"/>
      <c r="L13" s="90"/>
      <c r="M13" s="91"/>
      <c r="N13" s="90"/>
      <c r="O13" s="91"/>
      <c r="P13" s="90"/>
      <c r="Q13" s="92"/>
      <c r="R13" s="90">
        <f>'RCE PP&amp;E'!L57</f>
        <v>0</v>
      </c>
      <c r="S13" s="92">
        <f>IF(R14&lt;$B$16,0,IF($R$13*$B$16*(1-$B$26)&gt;R13,R13,$R$13*$B$16*B35*(1-$B$26)))</f>
        <v>0</v>
      </c>
    </row>
    <row r="14" spans="1:19" ht="13.5" thickBot="1">
      <c r="D14" s="97"/>
      <c r="E14" s="84"/>
      <c r="F14" s="98">
        <f>SUM(F6:F13)</f>
        <v>14192.680345428796</v>
      </c>
      <c r="G14" s="99">
        <f>SUM(G6:G13)</f>
        <v>127.73412310885918</v>
      </c>
      <c r="H14" s="98">
        <f>SUM(H6:H13)</f>
        <v>1709064.94622232</v>
      </c>
      <c r="I14" s="99">
        <f>SUM(I6:I13)</f>
        <v>15510.468246217719</v>
      </c>
      <c r="J14" s="98">
        <f t="shared" ref="J14:R14" si="4">SUM(J6:J13)</f>
        <v>1693554.4779761021</v>
      </c>
      <c r="K14" s="99">
        <f t="shared" si="4"/>
        <v>30765.468246217719</v>
      </c>
      <c r="L14" s="98">
        <f t="shared" si="4"/>
        <v>1662789.0097298846</v>
      </c>
      <c r="M14" s="99">
        <f t="shared" si="4"/>
        <v>30765.468246217719</v>
      </c>
      <c r="N14" s="98">
        <f t="shared" si="4"/>
        <v>1632023.5414836667</v>
      </c>
      <c r="O14" s="99">
        <f t="shared" si="4"/>
        <v>30765.468246217719</v>
      </c>
      <c r="P14" s="98">
        <f t="shared" si="4"/>
        <v>1601258.0732374492</v>
      </c>
      <c r="Q14" s="100">
        <f t="shared" si="4"/>
        <v>30765.468246217719</v>
      </c>
      <c r="R14" s="98">
        <f t="shared" si="4"/>
        <v>1570492.6049912313</v>
      </c>
      <c r="S14" s="100">
        <f>SUM(S6:S13)</f>
        <v>30765.468246217719</v>
      </c>
    </row>
    <row r="15" spans="1:19">
      <c r="A15" s="5" t="s">
        <v>138</v>
      </c>
      <c r="B15" s="164"/>
    </row>
    <row r="16" spans="1:19">
      <c r="A16" s="4" t="str">
        <f t="shared" ref="A16:A22" si="5">A6</f>
        <v>Buildings</v>
      </c>
      <c r="B16" s="109">
        <f>'RCE PP&amp;E'!B57</f>
        <v>0.02</v>
      </c>
      <c r="F16" s="79">
        <f>F3</f>
        <v>2023</v>
      </c>
      <c r="H16" s="79">
        <f>F16+1</f>
        <v>2024</v>
      </c>
      <c r="J16" s="79">
        <f>H16+1</f>
        <v>2025</v>
      </c>
      <c r="L16" s="79">
        <f>J16+1</f>
        <v>2026</v>
      </c>
      <c r="N16" s="79">
        <f>L16+1</f>
        <v>2027</v>
      </c>
      <c r="P16" s="79">
        <f>N16+1</f>
        <v>2028</v>
      </c>
      <c r="Q16" s="80"/>
      <c r="R16" s="79">
        <f>R3</f>
        <v>2029</v>
      </c>
      <c r="S16" s="80"/>
    </row>
    <row r="17" spans="1:19" ht="13.5" thickBot="1">
      <c r="A17" s="4" t="str">
        <f t="shared" si="5"/>
        <v>Infrastructure</v>
      </c>
      <c r="B17" s="109">
        <f>'RCE PP&amp;E'!B58</f>
        <v>0.08</v>
      </c>
      <c r="E17" s="81"/>
      <c r="F17" s="82" t="s">
        <v>120</v>
      </c>
      <c r="G17" s="83" t="str">
        <f>G4</f>
        <v>Depreciation</v>
      </c>
      <c r="H17" s="82" t="s">
        <v>120</v>
      </c>
      <c r="I17" s="83" t="str">
        <f>G17</f>
        <v>Depreciation</v>
      </c>
      <c r="J17" s="82" t="s">
        <v>120</v>
      </c>
      <c r="K17" s="83" t="str">
        <f>I17</f>
        <v>Depreciation</v>
      </c>
      <c r="L17" s="82" t="s">
        <v>120</v>
      </c>
      <c r="M17" s="84" t="str">
        <f>K17</f>
        <v>Depreciation</v>
      </c>
      <c r="N17" s="82" t="s">
        <v>120</v>
      </c>
      <c r="O17" s="84" t="str">
        <f>M17</f>
        <v>Depreciation</v>
      </c>
      <c r="P17" s="82" t="s">
        <v>120</v>
      </c>
      <c r="Q17" s="81" t="str">
        <f>O17</f>
        <v>Depreciation</v>
      </c>
      <c r="R17" s="97" t="s">
        <v>120</v>
      </c>
      <c r="S17" s="81" t="str">
        <f>Q17</f>
        <v>Depreciation</v>
      </c>
    </row>
    <row r="18" spans="1:19">
      <c r="A18" s="4" t="str">
        <f t="shared" si="5"/>
        <v>Machinery</v>
      </c>
      <c r="B18" s="109">
        <f>'RCE PP&amp;E'!B59</f>
        <v>0.1</v>
      </c>
      <c r="D18" s="86" t="str">
        <f>A17</f>
        <v>Infrastructure</v>
      </c>
      <c r="F18" s="79"/>
      <c r="G18" s="87"/>
      <c r="H18" s="79"/>
      <c r="I18" s="87"/>
      <c r="J18" s="79"/>
      <c r="K18" s="87"/>
      <c r="L18" s="79"/>
      <c r="N18" s="79"/>
      <c r="P18" s="79"/>
      <c r="Q18" s="80"/>
      <c r="R18" s="8"/>
      <c r="S18" s="80"/>
    </row>
    <row r="19" spans="1:19">
      <c r="A19" s="4" t="str">
        <f t="shared" si="5"/>
        <v>Barrels</v>
      </c>
      <c r="B19" s="109">
        <f>1/3</f>
        <v>0.33333333333333331</v>
      </c>
      <c r="D19" s="90" t="str">
        <f>D6</f>
        <v>Value at start</v>
      </c>
      <c r="E19" s="89"/>
      <c r="F19" s="90">
        <f>B7</f>
        <v>0</v>
      </c>
      <c r="G19" s="91">
        <f>IF($B$7*$B$17*(1-$B$27)&gt;F19,F19,$B$7*$B$17*B35*(1-$B$27))</f>
        <v>0</v>
      </c>
      <c r="H19" s="90">
        <f>F19-G19</f>
        <v>0</v>
      </c>
      <c r="I19" s="91">
        <f>IF($B$7*$B$17*(1-$B$27)&gt;H19,H19,$B$7*$B$17*(1-$B$27))</f>
        <v>0</v>
      </c>
      <c r="J19" s="90">
        <f>H19-I19</f>
        <v>0</v>
      </c>
      <c r="K19" s="91">
        <f>IF($B$7*$B$17*(1-$B$27)&gt;J19,J19,$B$7*$B$17*(1-$B$27))</f>
        <v>0</v>
      </c>
      <c r="L19" s="90">
        <f>J19-K19</f>
        <v>0</v>
      </c>
      <c r="M19" s="91">
        <f>IF($B$7*$B$17*(1-$B$27)&gt;L19,L19,$B$7*$B$17*(1-$B$27))</f>
        <v>0</v>
      </c>
      <c r="N19" s="90">
        <f>L19-M19</f>
        <v>0</v>
      </c>
      <c r="O19" s="91">
        <f>IF($B$7*$B$17&gt;N19*(1-$B$27),N19,$B$7*$B$17*(1-$B$27))</f>
        <v>0</v>
      </c>
      <c r="P19" s="90">
        <f t="shared" ref="P19:P24" si="6">N19-O19</f>
        <v>0</v>
      </c>
      <c r="Q19" s="92">
        <f>IF($B$7*$B$17*(1-$B$27)&gt;P19,P19,$B$7*$B$17*(1-$B$27))</f>
        <v>0</v>
      </c>
      <c r="R19" s="90">
        <f>P19-Q19</f>
        <v>0</v>
      </c>
      <c r="S19" s="92">
        <f>IF($B$7*$B$17*(1-$B$27)&gt;R19,R19,$B$7*$B$17*(1-$B$27))</f>
        <v>0</v>
      </c>
    </row>
    <row r="20" spans="1:19">
      <c r="A20" s="4" t="str">
        <f t="shared" si="5"/>
        <v>Vehicles</v>
      </c>
      <c r="B20" s="109">
        <f>'RCE PP&amp;E'!B62</f>
        <v>0.2</v>
      </c>
      <c r="D20" s="90" t="str">
        <f>D18</f>
        <v>Infrastructure</v>
      </c>
      <c r="E20" s="93">
        <f>F43</f>
        <v>2023</v>
      </c>
      <c r="F20" s="90">
        <f>'RCE PP&amp;E'!F58</f>
        <v>0</v>
      </c>
      <c r="G20" s="91">
        <f>IF($F$20*$B$17*(1-$B$27)&gt;F20,F20,$F$20*$B$17*B35*(1-$B$27))</f>
        <v>0</v>
      </c>
      <c r="H20" s="90">
        <f>F20-G20</f>
        <v>0</v>
      </c>
      <c r="I20" s="91">
        <f>IF($F$20*$B$17*(1-$B$27)&gt;H20,H20,$F$20*$B$17*(1-$B$27))</f>
        <v>0</v>
      </c>
      <c r="J20" s="90">
        <f>H20-I20</f>
        <v>0</v>
      </c>
      <c r="K20" s="91">
        <f>IF(J27&lt;$B$17,0,IF($F$20*$B$17*(1-$B$27)&gt;J20,J20,$F$20*$B$17*(1-$B$27)))</f>
        <v>0</v>
      </c>
      <c r="L20" s="90">
        <f>J20-K20</f>
        <v>0</v>
      </c>
      <c r="M20" s="91">
        <f>IF(L27&lt;$B$17,0,IF($F$20*$B$17*(1-$B$27)&gt;L20,L20,$F$20*$B$17*(1-$B$27)))</f>
        <v>0</v>
      </c>
      <c r="N20" s="90">
        <f>L20-M20</f>
        <v>0</v>
      </c>
      <c r="O20" s="91">
        <f ca="1">IF(N27&lt;$B$17,0,IF($F$20*$B$17*(1-$B$27)&gt;N20,N20,$F$20*$B$17*(1-$B$27)))</f>
        <v>0</v>
      </c>
      <c r="P20" s="90">
        <f t="shared" ca="1" si="6"/>
        <v>0</v>
      </c>
      <c r="Q20" s="92">
        <f ca="1">IF(P27&lt;$B$17,0,IF($F$20*$B$17*(1-$B$27)&gt;P20,P20,$F$20*$B$17*(1-$B$27)))</f>
        <v>0</v>
      </c>
      <c r="R20" s="90">
        <f t="shared" ref="R20:R25" ca="1" si="7">P20-Q20</f>
        <v>0</v>
      </c>
      <c r="S20" s="92">
        <f ca="1">IF(R27&lt;$B$17,0,IF($F$20*$B$17*(1-$B$27)&gt;R20,R20,$F$20*$B$17*(1-$B$27)))</f>
        <v>0</v>
      </c>
    </row>
    <row r="21" spans="1:19">
      <c r="A21" s="4" t="str">
        <f t="shared" si="5"/>
        <v>Computer / IT</v>
      </c>
      <c r="B21" s="109">
        <f>'RCE PP&amp;E'!B63</f>
        <v>0.15</v>
      </c>
      <c r="D21" s="8" t="str">
        <f t="shared" ref="D21:D26" si="8">D20</f>
        <v>Infrastructure</v>
      </c>
      <c r="E21" s="93">
        <f t="shared" ref="E21:E26" si="9">E20+1</f>
        <v>2024</v>
      </c>
      <c r="F21" s="8"/>
      <c r="H21" s="90">
        <f>'RCE PP&amp;E'!G58</f>
        <v>95000</v>
      </c>
      <c r="I21" s="91">
        <f>IF(H27&lt;$B$17,0,IF($H$21*$B$17*(1-$B$27)&gt;H21,H21,$H$21*$B$17*B35*(1-$B$27)))</f>
        <v>3800</v>
      </c>
      <c r="J21" s="90">
        <f>H21-I21</f>
        <v>91200</v>
      </c>
      <c r="K21" s="91">
        <f>IF(J27&lt;$B$17,0,IF($H$21*$B$17*(1-$B$27)&gt;J21,J21,$H$21*$B$17*(1-$B$27)))</f>
        <v>7600</v>
      </c>
      <c r="L21" s="90">
        <f>J21-K21</f>
        <v>83600</v>
      </c>
      <c r="M21" s="91">
        <f>IF(L27&lt;$B$17,0,IF($H$21*$B$17*(1-$B$27)&gt;L21,L21,$H$21*$B$17*(1-$B$27)))</f>
        <v>7600</v>
      </c>
      <c r="N21" s="90">
        <f>L21-M21</f>
        <v>76000</v>
      </c>
      <c r="O21" s="91">
        <f ca="1">IF(N27&lt;$B$17,0,IF($H$21*$B$17*(1-$B$27)&gt;N21,N21,$H$21*$B$17*(1-$B$27)))</f>
        <v>7600</v>
      </c>
      <c r="P21" s="90">
        <f t="shared" ca="1" si="6"/>
        <v>68400</v>
      </c>
      <c r="Q21" s="92">
        <f ca="1">IF(P27&lt;$B$17,0,IF($H$21*$B$17*(1-$B$27)&gt;P21,P21,$H$21*$B$17*(1-$B$27)))</f>
        <v>7600</v>
      </c>
      <c r="R21" s="90">
        <f t="shared" ca="1" si="7"/>
        <v>60800</v>
      </c>
      <c r="S21" s="92">
        <f ca="1">IF(R27&lt;$B$17,0,IF($H$21*$B$17*(1-$B$27)&gt;R21,R21,$H$21*$B$17*(1-$B$27)))</f>
        <v>7600</v>
      </c>
    </row>
    <row r="22" spans="1:19">
      <c r="A22" s="4" t="str">
        <f t="shared" si="5"/>
        <v>Others</v>
      </c>
      <c r="B22" s="109">
        <f>'RCE PP&amp;E'!B64</f>
        <v>0.15</v>
      </c>
      <c r="D22" s="8" t="str">
        <f t="shared" si="8"/>
        <v>Infrastructure</v>
      </c>
      <c r="E22" s="93">
        <f t="shared" si="9"/>
        <v>2025</v>
      </c>
      <c r="F22" s="95"/>
      <c r="G22" s="96"/>
      <c r="H22" s="90"/>
      <c r="J22" s="90">
        <f>'RCE PP&amp;E'!H58</f>
        <v>0</v>
      </c>
      <c r="K22" s="91">
        <f>IF(J27&lt;$B$17,0,IF($J$22*$B$17*(1-$B$27)&gt;J22,J22,$J$22*$B$17*B35*(1-$B$27)))</f>
        <v>0</v>
      </c>
      <c r="L22" s="90">
        <f>J22-K22</f>
        <v>0</v>
      </c>
      <c r="M22" s="91">
        <f>IF(L27&lt;$B$17,0,IF($J$22*$B$17*(1-$B$27)&gt;L22,L22,$J$22*$B$17*(1-$B$27)))</f>
        <v>0</v>
      </c>
      <c r="N22" s="90">
        <f>L22-M22</f>
        <v>0</v>
      </c>
      <c r="O22" s="91">
        <f ca="1">IF(N27&lt;$B$17,0,IF($J$22*$B$17*(1-$B$27)&gt;N22,N22,$J$22*$B$17*(1-$B$27)))</f>
        <v>0</v>
      </c>
      <c r="P22" s="90">
        <f t="shared" ca="1" si="6"/>
        <v>0</v>
      </c>
      <c r="Q22" s="92">
        <f ca="1">IF(P27&lt;$B$17,0,IF($J$22*$B$17*(1-$B$27)&gt;P22,P22,$J$22*$B$17*(1-$B$27)))</f>
        <v>0</v>
      </c>
      <c r="R22" s="90">
        <f t="shared" ca="1" si="7"/>
        <v>0</v>
      </c>
      <c r="S22" s="92">
        <f ca="1">IF(R27&lt;$B$17,0,IF($J$22*$B$17*(1-$B$27)&gt;R22,R22,$J$22*$B$17*(1-$B$27)))</f>
        <v>0</v>
      </c>
    </row>
    <row r="23" spans="1:19" ht="13.5" thickBot="1">
      <c r="A23" s="94"/>
      <c r="B23" s="110"/>
      <c r="D23" s="8" t="str">
        <f t="shared" si="8"/>
        <v>Infrastructure</v>
      </c>
      <c r="E23" s="93">
        <f t="shared" si="9"/>
        <v>2026</v>
      </c>
      <c r="F23" s="90"/>
      <c r="G23" s="91"/>
      <c r="H23" s="90"/>
      <c r="J23" s="8"/>
      <c r="L23" s="90">
        <f>'RCE PP&amp;E'!I58</f>
        <v>0</v>
      </c>
      <c r="M23" s="91">
        <f>IF(L27&lt;$B$17,0,IF($L$23*$B$17*(1-$B$27)&gt;L23,L23,$L$23*$B$17*B35*(1-$B$27)))</f>
        <v>0</v>
      </c>
      <c r="N23" s="90">
        <f>L23-M23</f>
        <v>0</v>
      </c>
      <c r="O23" s="91">
        <f ca="1">IF(N27&lt;$B$17,0,IF($L$23*$B$17*(1-$B$27)&gt;N23,N23,$L$23*$B$17*(1-$B$27)))</f>
        <v>0</v>
      </c>
      <c r="P23" s="90">
        <f t="shared" ca="1" si="6"/>
        <v>0</v>
      </c>
      <c r="Q23" s="92">
        <f ca="1">IF(P27&lt;$B$17,0,IF($L$23*$B$17*(1-$B$27)&gt;P23,P23,$L$23*$B$17*(1-$B$27)))</f>
        <v>0</v>
      </c>
      <c r="R23" s="90">
        <f t="shared" ca="1" si="7"/>
        <v>0</v>
      </c>
      <c r="S23" s="92">
        <f ca="1">IF(R27&lt;$B$17,0,IF($L$23*$B$17*(1-$B$27)&gt;R23,R23,$L$23*$B$17*(1-$B$27)))</f>
        <v>0</v>
      </c>
    </row>
    <row r="24" spans="1:19" ht="13.5" thickBot="1">
      <c r="D24" s="8" t="str">
        <f t="shared" si="8"/>
        <v>Infrastructure</v>
      </c>
      <c r="E24" s="93">
        <f t="shared" si="9"/>
        <v>2027</v>
      </c>
      <c r="F24" s="90"/>
      <c r="G24" s="91"/>
      <c r="H24" s="90"/>
      <c r="I24" s="91"/>
      <c r="J24" s="8"/>
      <c r="L24" s="90"/>
      <c r="M24" s="91"/>
      <c r="N24" s="90">
        <f ca="1">'RCE PP&amp;E'!J74</f>
        <v>33464.043521287495</v>
      </c>
      <c r="O24" s="91">
        <f ca="1">IF(N27&lt;$B$17,0,IF($N$24*$B$17*(1-$B$27)&gt;N24,N24,$N$24*$B$17*B35*(1-$B$27)))</f>
        <v>1338.5617408514997</v>
      </c>
      <c r="P24" s="90">
        <f t="shared" ca="1" si="6"/>
        <v>32125.481780435995</v>
      </c>
      <c r="Q24" s="92">
        <f ca="1">IF(P27&lt;$B$17,0,IF($N$24*$B$17*(1-$B$27)&gt;P24,P24,$N$24*$B$17*(1-$B$27)))</f>
        <v>2677.1234817029995</v>
      </c>
      <c r="R24" s="90">
        <f t="shared" ca="1" si="7"/>
        <v>29448.358298732997</v>
      </c>
      <c r="S24" s="92">
        <f ca="1">IF(R27&lt;$B$17,0,IF($N$24*$B$17*(1-$B$27)&gt;R24,R24,$N$24*$B$17*(1-$B$27)))</f>
        <v>2677.1234817029995</v>
      </c>
    </row>
    <row r="25" spans="1:19">
      <c r="A25" s="5" t="str">
        <f>'RCE PP&amp;E'!A76</f>
        <v>Residual value of investments</v>
      </c>
      <c r="B25" s="164"/>
      <c r="D25" s="8" t="str">
        <f t="shared" si="8"/>
        <v>Infrastructure</v>
      </c>
      <c r="E25" s="93">
        <f t="shared" si="9"/>
        <v>2028</v>
      </c>
      <c r="F25" s="90"/>
      <c r="G25" s="91"/>
      <c r="H25" s="90"/>
      <c r="I25" s="91"/>
      <c r="J25" s="90"/>
      <c r="L25" s="90"/>
      <c r="M25" s="91"/>
      <c r="N25" s="90"/>
      <c r="O25" s="91"/>
      <c r="P25" s="90">
        <f>'RCE PP&amp;E'!K58</f>
        <v>0</v>
      </c>
      <c r="Q25" s="92">
        <f ca="1">IF(P27&lt;$B$17,0,IF($P$25*$B$17*(1-$B$27)&gt;P25,P25,$P$25*$B$17*B35*(1-$B$27)))</f>
        <v>0</v>
      </c>
      <c r="R25" s="90">
        <f t="shared" ca="1" si="7"/>
        <v>0</v>
      </c>
      <c r="S25" s="92">
        <f ca="1">IF(R27&lt;$B$17,0,IF($P$25*$B$17*(1-$B$27)&gt;R25,R25,$P$25*$B$17*B35*(1-$B$27)))</f>
        <v>0</v>
      </c>
    </row>
    <row r="26" spans="1:19">
      <c r="A26" s="90" t="str">
        <f t="shared" ref="A26:A32" si="10">A16</f>
        <v>Buildings</v>
      </c>
      <c r="B26" s="111">
        <f>'RCE PP&amp;E'!B77</f>
        <v>0.1</v>
      </c>
      <c r="D26" s="8" t="str">
        <f t="shared" si="8"/>
        <v>Infrastructure</v>
      </c>
      <c r="E26" s="93">
        <f t="shared" si="9"/>
        <v>2029</v>
      </c>
      <c r="F26" s="90"/>
      <c r="G26" s="91"/>
      <c r="H26" s="90"/>
      <c r="I26" s="91"/>
      <c r="J26" s="90"/>
      <c r="L26" s="90"/>
      <c r="M26" s="91"/>
      <c r="N26" s="90"/>
      <c r="O26" s="91"/>
      <c r="P26" s="90"/>
      <c r="Q26" s="92"/>
      <c r="R26" s="90">
        <f>'RCE PP&amp;E'!L58</f>
        <v>0</v>
      </c>
      <c r="S26" s="92">
        <f ca="1">IF(R27&lt;$B$17,0,IF($R$26*$B$17*(1-$B$27)&gt;R26,R26,$R$26*$B$17*B35*(1-$B$27)))</f>
        <v>0</v>
      </c>
    </row>
    <row r="27" spans="1:19" ht="13.5" thickBot="1">
      <c r="A27" s="90" t="str">
        <f t="shared" si="10"/>
        <v>Infrastructure</v>
      </c>
      <c r="B27" s="111">
        <f>'RCE PP&amp;E'!B78</f>
        <v>0</v>
      </c>
      <c r="D27" s="97"/>
      <c r="E27" s="84"/>
      <c r="F27" s="98">
        <f t="shared" ref="F27:R27" si="11">SUM(F19:F26)</f>
        <v>0</v>
      </c>
      <c r="G27" s="99">
        <f t="shared" si="11"/>
        <v>0</v>
      </c>
      <c r="H27" s="98">
        <f t="shared" si="11"/>
        <v>95000</v>
      </c>
      <c r="I27" s="99">
        <f t="shared" si="11"/>
        <v>3800</v>
      </c>
      <c r="J27" s="98">
        <f t="shared" si="11"/>
        <v>91200</v>
      </c>
      <c r="K27" s="99">
        <f t="shared" si="11"/>
        <v>7600</v>
      </c>
      <c r="L27" s="98">
        <f t="shared" si="11"/>
        <v>83600</v>
      </c>
      <c r="M27" s="99">
        <f>SUM(M19:M26)</f>
        <v>7600</v>
      </c>
      <c r="N27" s="98">
        <f t="shared" ca="1" si="11"/>
        <v>109464.0435212875</v>
      </c>
      <c r="O27" s="99">
        <f t="shared" ca="1" si="11"/>
        <v>8938.5617408514991</v>
      </c>
      <c r="P27" s="98">
        <f t="shared" ca="1" si="11"/>
        <v>100525.48178043599</v>
      </c>
      <c r="Q27" s="100">
        <f t="shared" ca="1" si="11"/>
        <v>10277.123481703</v>
      </c>
      <c r="R27" s="98">
        <f t="shared" ca="1" si="11"/>
        <v>90248.358298733001</v>
      </c>
      <c r="S27" s="100">
        <f ca="1">SUM(S19:S26)</f>
        <v>10277.123481703</v>
      </c>
    </row>
    <row r="28" spans="1:19">
      <c r="A28" s="90" t="str">
        <f t="shared" si="10"/>
        <v>Machinery</v>
      </c>
      <c r="B28" s="111">
        <f>'RCE PP&amp;E'!B79</f>
        <v>0.05</v>
      </c>
    </row>
    <row r="29" spans="1:19">
      <c r="A29" s="90" t="str">
        <f t="shared" si="10"/>
        <v>Barrels</v>
      </c>
      <c r="B29" s="111">
        <f>'RCE PP&amp;E'!B80</f>
        <v>0</v>
      </c>
      <c r="F29" s="79">
        <f>F16</f>
        <v>2023</v>
      </c>
      <c r="H29" s="79">
        <f>F29+1</f>
        <v>2024</v>
      </c>
      <c r="J29" s="79">
        <f>H29+1</f>
        <v>2025</v>
      </c>
      <c r="L29" s="79">
        <f>J29+1</f>
        <v>2026</v>
      </c>
      <c r="N29" s="79">
        <f>L29+1</f>
        <v>2027</v>
      </c>
      <c r="P29" s="79">
        <f>N29+1</f>
        <v>2028</v>
      </c>
      <c r="Q29" s="80"/>
      <c r="R29" s="79">
        <f>R16</f>
        <v>2029</v>
      </c>
      <c r="S29" s="80"/>
    </row>
    <row r="30" spans="1:19" ht="13.5" thickBot="1">
      <c r="A30" s="90" t="str">
        <f t="shared" si="10"/>
        <v>Vehicles</v>
      </c>
      <c r="B30" s="111">
        <f>'RCE PP&amp;E'!B81</f>
        <v>0.1</v>
      </c>
      <c r="E30" s="81"/>
      <c r="F30" s="82" t="s">
        <v>120</v>
      </c>
      <c r="G30" s="83" t="str">
        <f>G17</f>
        <v>Depreciation</v>
      </c>
      <c r="H30" s="82" t="s">
        <v>120</v>
      </c>
      <c r="I30" s="83" t="str">
        <f>G30</f>
        <v>Depreciation</v>
      </c>
      <c r="J30" s="82" t="s">
        <v>120</v>
      </c>
      <c r="K30" s="83" t="str">
        <f>I30</f>
        <v>Depreciation</v>
      </c>
      <c r="L30" s="82" t="s">
        <v>120</v>
      </c>
      <c r="M30" s="84" t="str">
        <f>K30</f>
        <v>Depreciation</v>
      </c>
      <c r="N30" s="82" t="s">
        <v>120</v>
      </c>
      <c r="O30" s="84" t="str">
        <f>M30</f>
        <v>Depreciation</v>
      </c>
      <c r="P30" s="82" t="s">
        <v>120</v>
      </c>
      <c r="Q30" s="81" t="str">
        <f>O30</f>
        <v>Depreciation</v>
      </c>
      <c r="R30" s="97" t="s">
        <v>120</v>
      </c>
      <c r="S30" s="81" t="str">
        <f>Q30</f>
        <v>Depreciation</v>
      </c>
    </row>
    <row r="31" spans="1:19">
      <c r="A31" s="90" t="str">
        <f t="shared" si="10"/>
        <v>Computer / IT</v>
      </c>
      <c r="B31" s="111">
        <f>'RCE PP&amp;E'!B82</f>
        <v>0</v>
      </c>
      <c r="D31" s="86" t="str">
        <f>A18</f>
        <v>Machinery</v>
      </c>
      <c r="F31" s="79"/>
      <c r="G31" s="87"/>
      <c r="H31" s="79"/>
      <c r="I31" s="87"/>
      <c r="J31" s="79"/>
      <c r="K31" s="87"/>
      <c r="L31" s="79"/>
      <c r="N31" s="79"/>
      <c r="P31" s="79"/>
      <c r="Q31" s="80"/>
      <c r="R31" s="8"/>
      <c r="S31" s="80"/>
    </row>
    <row r="32" spans="1:19">
      <c r="A32" s="90" t="str">
        <f t="shared" si="10"/>
        <v>Others</v>
      </c>
      <c r="B32" s="111">
        <f>'RCE PP&amp;E'!B83</f>
        <v>0</v>
      </c>
      <c r="D32" s="90" t="str">
        <f>D19</f>
        <v>Value at start</v>
      </c>
      <c r="E32" s="89"/>
      <c r="F32" s="90">
        <f>'RCE PP&amp;E'!P58</f>
        <v>241166.13</v>
      </c>
      <c r="G32" s="91">
        <f>IF($B$8*$B$18*(1-$B$28)&gt;F32,F32,$B$8*$B$18*B35*(1-$B$28))</f>
        <v>16690.686358221319</v>
      </c>
      <c r="H32" s="90">
        <f>F32-G32</f>
        <v>224475.44364177869</v>
      </c>
      <c r="I32" s="91">
        <f>IF($B$8*$B$18*(1-$B$28)&gt;H32,H32,$B$8*$B$18*(1-$B$28))</f>
        <v>33381.372716442638</v>
      </c>
      <c r="J32" s="90">
        <f>H32-I32</f>
        <v>191094.07092533604</v>
      </c>
      <c r="K32" s="91">
        <f>IF($B$8*$B$18*(1-$B$28)&gt;J32,J32,$B$8*$B$18*(1-$B$28))</f>
        <v>33381.372716442638</v>
      </c>
      <c r="L32" s="90">
        <f>J32-K32</f>
        <v>157712.69820889342</v>
      </c>
      <c r="M32" s="91">
        <f>IF($B$8*$B$18*(1-$B$28)&gt;L32,L32,$B$8*$B$18*(1-$B$28))</f>
        <v>33381.372716442638</v>
      </c>
      <c r="N32" s="90">
        <f>L32-M32</f>
        <v>124331.32549245078</v>
      </c>
      <c r="O32" s="91">
        <f>IF($B$8*$B$18*(1-$B$28)&gt;N32,N32,$B$8*$B$18*(1-$B$28))</f>
        <v>33381.372716442638</v>
      </c>
      <c r="P32" s="90">
        <f t="shared" ref="P32:P37" si="12">N32-O32</f>
        <v>90949.95277600814</v>
      </c>
      <c r="Q32" s="92">
        <f>IF($B$8*$B$18*(1-$B$28)&gt;P32,P32,$B$8*$B$18*(1-$B$28))</f>
        <v>33381.372716442638</v>
      </c>
      <c r="R32" s="90">
        <f>P32-Q32</f>
        <v>57568.580059565502</v>
      </c>
      <c r="S32" s="92">
        <f>IF($B$8*$B$18*(1-$B$28)&gt;R32,R32,$B$8*$B$18*(1-$B$28))</f>
        <v>33381.372716442638</v>
      </c>
    </row>
    <row r="33" spans="1:19" ht="13.5" thickBot="1">
      <c r="A33" s="97"/>
      <c r="B33" s="112"/>
      <c r="D33" s="90" t="str">
        <f>D31</f>
        <v>Machinery</v>
      </c>
      <c r="E33" s="93">
        <f>F3</f>
        <v>2023</v>
      </c>
      <c r="F33" s="90">
        <f ca="1">'RCE PP&amp;E'!F59</f>
        <v>0</v>
      </c>
      <c r="G33" s="91">
        <f ca="1">IF($F$33*$B$18*(1-$B$28)&gt;F33,F33,$F$33*$B$18*B35*(1-$B$28))</f>
        <v>0</v>
      </c>
      <c r="H33" s="90">
        <f ca="1">F33-G33</f>
        <v>0</v>
      </c>
      <c r="I33" s="91">
        <f ca="1">IF($F$33*$B$18*(1-$B$28)&gt;H33,H33,$F$33*$B$18*(1-$B$28))</f>
        <v>0</v>
      </c>
      <c r="J33" s="90">
        <f ca="1">H33-I33</f>
        <v>0</v>
      </c>
      <c r="K33" s="91">
        <f ca="1">IF(J40&lt;$B$18,0,IF($F$33*$B$18*(1-$B$28)&gt;J33,J33,$F$33*$B$18*(1-$B$28)))</f>
        <v>0</v>
      </c>
      <c r="L33" s="90">
        <f ca="1">J33-K33</f>
        <v>0</v>
      </c>
      <c r="M33" s="91">
        <f ca="1">IF(L40&lt;$B$18,0,IF($F$33*$B$18*(1-$B$28)&gt;L33,L33,$F$33*$B$18*(1-$B$28)))</f>
        <v>0</v>
      </c>
      <c r="N33" s="90">
        <f ca="1">L33-M33</f>
        <v>0</v>
      </c>
      <c r="O33" s="91">
        <f ca="1">IF(N40&lt;$B$18,0,IF($F$33*$B$18*(1-$B$28)&gt;N33,N33,$F$33*$B$18*(1-$B$28)))</f>
        <v>0</v>
      </c>
      <c r="P33" s="90">
        <f t="shared" ca="1" si="12"/>
        <v>0</v>
      </c>
      <c r="Q33" s="92">
        <f ca="1">IF(P40&lt;$B$18,0,IF($F$33*$B$18*(1-$B$28)&gt;P33,P33,$F$33*$B$18*(1-$B$28)))</f>
        <v>0</v>
      </c>
      <c r="R33" s="90">
        <f t="shared" ref="R33:R38" ca="1" si="13">P33-Q33</f>
        <v>0</v>
      </c>
      <c r="S33" s="92">
        <f ca="1">IF(R40&lt;$B$18,0,IF($F$33*$B$18*(1-$B$28)&gt;R33,R33,$F$33*$B$18*(1-$B$28)))</f>
        <v>0</v>
      </c>
    </row>
    <row r="34" spans="1:19" ht="13.5" thickBot="1">
      <c r="D34" s="8" t="str">
        <f t="shared" ref="D34:D39" si="14">D33</f>
        <v>Machinery</v>
      </c>
      <c r="E34" s="93">
        <f t="shared" ref="E34:E39" si="15">E33+1</f>
        <v>2024</v>
      </c>
      <c r="F34" s="8"/>
      <c r="H34" s="90">
        <f ca="1">'RCE PP&amp;E'!G59</f>
        <v>249000</v>
      </c>
      <c r="I34" s="91">
        <f ca="1">IF(H40&lt;$B$18,0,IF($H$34*$B$18*(1-$B$28)&gt;H34,H34,$H$34*$B$18*B35*(1-$B$28)))</f>
        <v>11827.5</v>
      </c>
      <c r="J34" s="90">
        <f ca="1">H34-I34</f>
        <v>237172.5</v>
      </c>
      <c r="K34" s="91">
        <f ca="1">IF(J40&lt;$B$18,0,IF($H$34*$B$18*(1-$B$28)&gt;J34,J34,$H$34*$B$18*(1-$B$28)))</f>
        <v>23655</v>
      </c>
      <c r="L34" s="90">
        <f ca="1">J34-K34</f>
        <v>213517.5</v>
      </c>
      <c r="M34" s="91">
        <f ca="1">IF(L40&lt;$B$18,0,IF($H$34*$B$18*(1-$B$28)&gt;L34,L34,$H$34*$B$18*(1-$B$28)))</f>
        <v>23655</v>
      </c>
      <c r="N34" s="90">
        <f ca="1">L34-M34</f>
        <v>189862.5</v>
      </c>
      <c r="O34" s="91">
        <f ca="1">IF(N40&lt;$B$18,0,IF($H$34*$B$18*(1-$B$28)&gt;N34,N34,$H$34*$B$18*(1-$B$28)))</f>
        <v>23655</v>
      </c>
      <c r="P34" s="90">
        <f t="shared" ca="1" si="12"/>
        <v>166207.5</v>
      </c>
      <c r="Q34" s="92">
        <f ca="1">IF(P40&lt;$B$18,0,IF($H$34*$B$18*(1-$B$28)&gt;P34,P34,$H$34*$B$18*(1-$B$28)))</f>
        <v>23655</v>
      </c>
      <c r="R34" s="90">
        <f t="shared" ca="1" si="13"/>
        <v>142552.5</v>
      </c>
      <c r="S34" s="92">
        <f ca="1">IF(R40&lt;$B$18,0,IF($H$34*$B$18*(1-$B$28)&gt;R34,R34,$H$34*$B$18*(1-$B$28)))</f>
        <v>23655</v>
      </c>
    </row>
    <row r="35" spans="1:19" ht="13.5" thickBot="1">
      <c r="A35" s="113" t="str">
        <f>'RCE PP&amp;E'!A86</f>
        <v xml:space="preserve">Factor in year of investment </v>
      </c>
      <c r="B35" s="117">
        <f>'RCE PP&amp;E'!B86</f>
        <v>0.5</v>
      </c>
      <c r="D35" s="8" t="str">
        <f t="shared" si="14"/>
        <v>Machinery</v>
      </c>
      <c r="E35" s="93">
        <f t="shared" si="15"/>
        <v>2025</v>
      </c>
      <c r="F35" s="95"/>
      <c r="G35" s="96"/>
      <c r="H35" s="90"/>
      <c r="J35" s="90">
        <f ca="1">'RCE PP&amp;E'!H59</f>
        <v>19817.447323499997</v>
      </c>
      <c r="K35" s="91">
        <f ca="1">IF(J40&lt;$B$18,0,IF($J$35*$B$18*(1-$B$28)&gt;J35,J35,$J$35*$B$18*B35*(1-$B$28)))</f>
        <v>941.32874786624984</v>
      </c>
      <c r="L35" s="90">
        <f ca="1">J35-K35</f>
        <v>18876.118575633747</v>
      </c>
      <c r="M35" s="91">
        <f ca="1">IF(L40&lt;$B$18,0,IF($J$35*$B$18*(1-$B$28)&gt;L35,L35,$J$35*$B$18*(1-$B$28)))</f>
        <v>1882.6574957324997</v>
      </c>
      <c r="N35" s="90">
        <f ca="1">L35-M35</f>
        <v>16993.461079901248</v>
      </c>
      <c r="O35" s="91">
        <f ca="1">IF(N40&lt;$B$18,0,IF($J$35*$B$18*(1-$B$28)&gt;N35,N35,$J$35*$B$18*(1-$B$28)))</f>
        <v>1882.6574957324997</v>
      </c>
      <c r="P35" s="90">
        <f t="shared" ca="1" si="12"/>
        <v>15110.803584168749</v>
      </c>
      <c r="Q35" s="92">
        <f ca="1">IF(P40&lt;$B$18,0,IF($J$35*$B$18*(1-$B$28)&gt;P35,P35,$J$35*$B$18*(1-$B$28)))</f>
        <v>1882.6574957324997</v>
      </c>
      <c r="R35" s="90">
        <f t="shared" ca="1" si="13"/>
        <v>13228.14608843625</v>
      </c>
      <c r="S35" s="92">
        <f ca="1">IF(R40&lt;$B$18,0,IF($J$35*$B$18*(1-$B$28)&gt;R35,R35,$J$35*$B$18*(1-$B$28)))</f>
        <v>1882.6574957324997</v>
      </c>
    </row>
    <row r="36" spans="1:19">
      <c r="D36" s="8" t="str">
        <f t="shared" si="14"/>
        <v>Machinery</v>
      </c>
      <c r="E36" s="93">
        <f t="shared" si="15"/>
        <v>2026</v>
      </c>
      <c r="F36" s="90"/>
      <c r="G36" s="91"/>
      <c r="H36" s="90"/>
      <c r="J36" s="8"/>
      <c r="L36" s="90">
        <f ca="1">'RCE PP&amp;E'!I59</f>
        <v>86977.497221999976</v>
      </c>
      <c r="M36" s="91">
        <f ca="1">IF(L40&lt;$B$18,0,IF($L$36*$B$18*(1-$B$28)&gt;L36,L36,$L$36*$B$18*(1-$B$28)))</f>
        <v>8262.8622360899972</v>
      </c>
      <c r="N36" s="90">
        <f ca="1">L36-M36</f>
        <v>78714.634985909972</v>
      </c>
      <c r="O36" s="91">
        <f ca="1">IF(N40&lt;$B$18,0,IF($L$36*$B$18*(1-$B$28)&gt;N36,N36,$L$36*$B$18*(1-$B$28)))</f>
        <v>8262.8622360899972</v>
      </c>
      <c r="P36" s="90">
        <f t="shared" ca="1" si="12"/>
        <v>70451.772749819967</v>
      </c>
      <c r="Q36" s="92">
        <f ca="1">IF(P40&lt;$B$18,0,IF($L$36*$B$18*(1-$B$28)&gt;P36,P36,$L$36*$B$18*(1-$B$28)))</f>
        <v>8262.8622360899972</v>
      </c>
      <c r="R36" s="90">
        <f t="shared" ca="1" si="13"/>
        <v>62188.91051372997</v>
      </c>
      <c r="S36" s="92">
        <f ca="1">IF(R40&lt;$B$18,0,IF($L$36*$B$18*(1-$B$28)&gt;R36,R36,$L$36*$B$18*(1-$B$28)))</f>
        <v>8262.8622360899972</v>
      </c>
    </row>
    <row r="37" spans="1:19">
      <c r="D37" s="8" t="str">
        <f t="shared" si="14"/>
        <v>Machinery</v>
      </c>
      <c r="E37" s="93">
        <f t="shared" si="15"/>
        <v>2027</v>
      </c>
      <c r="F37" s="90"/>
      <c r="G37" s="91"/>
      <c r="H37" s="90"/>
      <c r="I37" s="91"/>
      <c r="J37" s="8"/>
      <c r="L37" s="90"/>
      <c r="M37" s="91"/>
      <c r="N37" s="90">
        <f ca="1">'RCE PP&amp;E'!J59</f>
        <v>14402.118046499996</v>
      </c>
      <c r="O37" s="91">
        <f ca="1">IF(N40&lt;$B$18,0,IF($N$37*$B$18*(1-$B$28)&gt;N37,N37,$N$37*$B$18*B35*(1-$B$28)))</f>
        <v>684.10060720874981</v>
      </c>
      <c r="P37" s="90">
        <f t="shared" ca="1" si="12"/>
        <v>13718.017439291247</v>
      </c>
      <c r="Q37" s="92">
        <f ca="1">IF(P40&lt;$B$18,0,IF($N$37*$B$18*(1-$B$28)&gt;P37,P37,$N$37*$B$18*(1-$B$28)))</f>
        <v>1368.2012144174996</v>
      </c>
      <c r="R37" s="90">
        <f t="shared" ca="1" si="13"/>
        <v>12349.816224873746</v>
      </c>
      <c r="S37" s="92">
        <f ca="1">IF(R40&lt;$B$18,0,IF($N$37*$B$18*(1-$B$28)&gt;R37,R37,$N$37*$B$18*(1-$B$28)))</f>
        <v>1368.2012144174996</v>
      </c>
    </row>
    <row r="38" spans="1:19">
      <c r="D38" s="8" t="str">
        <f t="shared" si="14"/>
        <v>Machinery</v>
      </c>
      <c r="E38" s="93">
        <f t="shared" si="15"/>
        <v>2028</v>
      </c>
      <c r="F38" s="90"/>
      <c r="G38" s="91"/>
      <c r="H38" s="90"/>
      <c r="I38" s="91"/>
      <c r="J38" s="90"/>
      <c r="L38" s="90"/>
      <c r="M38" s="91"/>
      <c r="N38" s="90"/>
      <c r="O38" s="91"/>
      <c r="P38" s="90">
        <f ca="1">'RCE PP&amp;E'!K59</f>
        <v>80031.993899678608</v>
      </c>
      <c r="Q38" s="92">
        <f ca="1">IF(P40&lt;$B$18,0,IF($P$38*$B$18*(1-$B$28)&gt;P38,P38,$P$38*$B$18*B35*(1-$B$28)))</f>
        <v>3801.5197102347338</v>
      </c>
      <c r="R38" s="90">
        <f t="shared" ca="1" si="13"/>
        <v>76230.474189443878</v>
      </c>
      <c r="S38" s="92">
        <f ca="1">IF(R40&lt;$B$18,0,IF($P$38*$B$18*(1-$B$28)&gt;R38,R38,$P$38*$B$18*B35*(1-$B$28)))</f>
        <v>3801.5197102347338</v>
      </c>
    </row>
    <row r="39" spans="1:19">
      <c r="D39" s="8" t="str">
        <f t="shared" si="14"/>
        <v>Machinery</v>
      </c>
      <c r="E39" s="93">
        <f t="shared" si="15"/>
        <v>2029</v>
      </c>
      <c r="F39" s="90"/>
      <c r="G39" s="91"/>
      <c r="H39" s="90"/>
      <c r="I39" s="91"/>
      <c r="J39" s="90"/>
      <c r="L39" s="90"/>
      <c r="M39" s="91"/>
      <c r="N39" s="90"/>
      <c r="O39" s="91"/>
      <c r="P39" s="90"/>
      <c r="Q39" s="92"/>
      <c r="R39" s="90">
        <f ca="1">'RCE PP&amp;E'!L59</f>
        <v>69519.597590838443</v>
      </c>
      <c r="S39" s="92">
        <f ca="1">IF(R40&lt;$B$18,0,IF($R$39*$B$18*(1-$B$28)&gt;R39,R39,$R$39*$B$18*B35*(1-$B$28)))</f>
        <v>3302.180885564826</v>
      </c>
    </row>
    <row r="40" spans="1:19" ht="13.5" thickBot="1">
      <c r="D40" s="97"/>
      <c r="E40" s="84"/>
      <c r="F40" s="98">
        <f t="shared" ref="F40:L40" ca="1" si="16">SUM(F32:F39)</f>
        <v>241166.13</v>
      </c>
      <c r="G40" s="99">
        <f t="shared" ca="1" si="16"/>
        <v>16690.686358221319</v>
      </c>
      <c r="H40" s="98">
        <f t="shared" ca="1" si="16"/>
        <v>473475.44364177866</v>
      </c>
      <c r="I40" s="99">
        <f t="shared" ca="1" si="16"/>
        <v>45208.872716442638</v>
      </c>
      <c r="J40" s="98">
        <f t="shared" ca="1" si="16"/>
        <v>448084.01824883604</v>
      </c>
      <c r="K40" s="99">
        <f t="shared" ca="1" si="16"/>
        <v>57977.701464308891</v>
      </c>
      <c r="L40" s="98">
        <f t="shared" ca="1" si="16"/>
        <v>477083.81400652713</v>
      </c>
      <c r="M40" s="99">
        <f t="shared" ref="M40:S40" ca="1" si="17">SUM(M32:M39)</f>
        <v>67181.892448265135</v>
      </c>
      <c r="N40" s="98">
        <f t="shared" ca="1" si="17"/>
        <v>424304.03960476205</v>
      </c>
      <c r="O40" s="99">
        <f t="shared" ca="1" si="17"/>
        <v>67865.993055473882</v>
      </c>
      <c r="P40" s="98">
        <f t="shared" ca="1" si="17"/>
        <v>436470.04044896667</v>
      </c>
      <c r="Q40" s="100">
        <f ca="1">SUM(Q32:Q39)</f>
        <v>72351.61337291736</v>
      </c>
      <c r="R40" s="98">
        <f t="shared" ca="1" si="17"/>
        <v>433638.02466688777</v>
      </c>
      <c r="S40" s="100">
        <f t="shared" ca="1" si="17"/>
        <v>75653.794258482187</v>
      </c>
    </row>
    <row r="41" spans="1:19">
      <c r="F41" s="101"/>
      <c r="G41" s="101"/>
      <c r="H41" s="101"/>
      <c r="I41" s="101"/>
      <c r="J41" s="101"/>
      <c r="K41" s="101"/>
      <c r="L41" s="101"/>
      <c r="M41" s="101"/>
      <c r="N41" s="101"/>
      <c r="O41" s="101"/>
      <c r="P41" s="101"/>
      <c r="Q41" s="101"/>
      <c r="R41" s="101"/>
      <c r="S41" s="101"/>
    </row>
    <row r="42" spans="1:19">
      <c r="F42" s="101"/>
      <c r="G42" s="101"/>
      <c r="H42" s="101"/>
      <c r="I42" s="101"/>
      <c r="J42" s="101"/>
      <c r="K42" s="101"/>
      <c r="L42" s="101"/>
      <c r="M42" s="101"/>
      <c r="N42" s="101"/>
      <c r="O42" s="101"/>
      <c r="P42" s="101"/>
      <c r="Q42" s="101"/>
      <c r="R42" s="101"/>
      <c r="S42" s="101"/>
    </row>
    <row r="43" spans="1:19">
      <c r="F43" s="79">
        <f>'RCF-F'!F3</f>
        <v>2023</v>
      </c>
      <c r="H43" s="79">
        <f>F43+1</f>
        <v>2024</v>
      </c>
      <c r="J43" s="79">
        <f>H43+1</f>
        <v>2025</v>
      </c>
      <c r="L43" s="79">
        <f>J43+1</f>
        <v>2026</v>
      </c>
      <c r="N43" s="79">
        <f>L43+1</f>
        <v>2027</v>
      </c>
      <c r="P43" s="79">
        <f>N43+1</f>
        <v>2028</v>
      </c>
      <c r="Q43" s="80"/>
      <c r="R43" s="79">
        <f>P43+1</f>
        <v>2029</v>
      </c>
      <c r="S43" s="80"/>
    </row>
    <row r="44" spans="1:19" ht="13.5" thickBot="1">
      <c r="E44" s="81"/>
      <c r="F44" s="82" t="s">
        <v>120</v>
      </c>
      <c r="G44" s="83" t="str">
        <f>G4</f>
        <v>Depreciation</v>
      </c>
      <c r="H44" s="82" t="s">
        <v>120</v>
      </c>
      <c r="I44" s="83" t="str">
        <f>G44</f>
        <v>Depreciation</v>
      </c>
      <c r="J44" s="82" t="s">
        <v>120</v>
      </c>
      <c r="K44" s="83" t="str">
        <f>I44</f>
        <v>Depreciation</v>
      </c>
      <c r="L44" s="82" t="s">
        <v>120</v>
      </c>
      <c r="M44" s="84" t="str">
        <f>K44</f>
        <v>Depreciation</v>
      </c>
      <c r="N44" s="82" t="s">
        <v>120</v>
      </c>
      <c r="O44" s="84" t="str">
        <f>M44</f>
        <v>Depreciation</v>
      </c>
      <c r="P44" s="82" t="s">
        <v>120</v>
      </c>
      <c r="Q44" s="81" t="str">
        <f>O44</f>
        <v>Depreciation</v>
      </c>
      <c r="R44" s="82" t="s">
        <v>120</v>
      </c>
      <c r="S44" s="81" t="str">
        <f>Q44</f>
        <v>Depreciation</v>
      </c>
    </row>
    <row r="45" spans="1:19">
      <c r="D45" s="86" t="str">
        <f>A19</f>
        <v>Barrels</v>
      </c>
      <c r="F45" s="79"/>
      <c r="G45" s="87"/>
      <c r="H45" s="79"/>
      <c r="I45" s="87"/>
      <c r="J45" s="79"/>
      <c r="K45" s="87"/>
      <c r="L45" s="79"/>
      <c r="N45" s="79"/>
      <c r="P45" s="79"/>
      <c r="Q45" s="80"/>
      <c r="R45" s="8"/>
      <c r="S45" s="80"/>
    </row>
    <row r="46" spans="1:19">
      <c r="D46" s="8" t="s">
        <v>44</v>
      </c>
      <c r="E46" s="89"/>
      <c r="F46" s="90">
        <f>B9</f>
        <v>47243.369822530593</v>
      </c>
      <c r="G46" s="567">
        <f>F46</f>
        <v>47243.369822530593</v>
      </c>
      <c r="H46" s="90">
        <f>F46-G46</f>
        <v>0</v>
      </c>
      <c r="I46" s="91">
        <f>IF($B$9*$B$19*(1-$B$29)&gt;H46,H46,$B$9*$B$19*(1-$B$29))</f>
        <v>0</v>
      </c>
      <c r="J46" s="90">
        <f>H46-I46</f>
        <v>0</v>
      </c>
      <c r="K46" s="91">
        <f>IF($B$9*$B$19*(1-$B$29)&gt;J46,J46,$B$9*$B$19*(1-$B$29))</f>
        <v>0</v>
      </c>
      <c r="L46" s="90">
        <f>J46-K46</f>
        <v>0</v>
      </c>
      <c r="M46" s="91">
        <f>IF($B$9*$B$19*(1-$B$29)&gt;L46,L46,$B$9*$B$19*(1-$B$29))</f>
        <v>0</v>
      </c>
      <c r="N46" s="90">
        <f>L46-M46</f>
        <v>0</v>
      </c>
      <c r="O46" s="91">
        <f>IF($B$9*$B$19*(1-$B$29)&gt;N46,N46,$B$9*$B$19*(1-$B$29))</f>
        <v>0</v>
      </c>
      <c r="P46" s="90">
        <f t="shared" ref="P46:P51" si="18">N46-O46</f>
        <v>0</v>
      </c>
      <c r="Q46" s="91">
        <f>IF($B$9*$B$19*(1-$B$29)&gt;P46,P46,$B$9*$B$19*(1-$B$29))</f>
        <v>0</v>
      </c>
      <c r="R46" s="90">
        <f>P46-Q46</f>
        <v>0</v>
      </c>
      <c r="S46" s="92">
        <f>IF($B$9*$B$19*(1-$B$29)&gt;R46,R46,$B$9*$B$19*(1-$B$29))</f>
        <v>0</v>
      </c>
    </row>
    <row r="47" spans="1:19">
      <c r="D47" s="90" t="str">
        <f>D45</f>
        <v>Barrels</v>
      </c>
      <c r="E47" s="93">
        <f>E7</f>
        <v>2023</v>
      </c>
      <c r="F47" s="90">
        <f>'RCE PP&amp;E'!F60</f>
        <v>123165</v>
      </c>
      <c r="G47" s="91">
        <f>IF($F$47*$B$19&gt;F47,F47,$F$47*$B$19)</f>
        <v>41055</v>
      </c>
      <c r="H47" s="90">
        <f>F47-G47</f>
        <v>82110</v>
      </c>
      <c r="I47" s="91">
        <f ca="1">IF(H54&lt;$B$19,0,IF($F$47*$B$19*(1-$B$29)&gt;H47,H47,$F$47*$B$19*(1-$B$29)))</f>
        <v>41055</v>
      </c>
      <c r="J47" s="90">
        <f ca="1">H47-I47</f>
        <v>41055</v>
      </c>
      <c r="K47" s="91">
        <f ca="1">IF(J54&lt;$B$19,0,IF($F$47*$B$19*(1-$B$29)&gt;J47,J47,$F$47*$B$19*(1-$B$29)))</f>
        <v>41055</v>
      </c>
      <c r="L47" s="90">
        <f ca="1">J47-K47</f>
        <v>0</v>
      </c>
      <c r="M47" s="91">
        <f ca="1">IF(L54&lt;$B$19,0,IF($F$47*$B$19*(1-$B$29)&gt;L47,L47,$F$47*$B$19*(1-$B$29)))</f>
        <v>0</v>
      </c>
      <c r="N47" s="90">
        <f ca="1">L47-M47</f>
        <v>0</v>
      </c>
      <c r="O47" s="91">
        <f ca="1">IF(N54&lt;$B$19,0,IF($F$47*$B$19*(1-$B$29)&gt;N47,N47,$F$47*$B$19*(1-$B$29)))</f>
        <v>0</v>
      </c>
      <c r="P47" s="90">
        <f t="shared" ca="1" si="18"/>
        <v>0</v>
      </c>
      <c r="Q47" s="92">
        <f ca="1">IF(P54&lt;$B$19,0,IF($F$47*$B$19*(1-$B$29)&gt;P47,P47,$F$47*$B$19*(1-$B$29)))</f>
        <v>0</v>
      </c>
      <c r="R47" s="90">
        <f t="shared" ref="R47:R52" ca="1" si="19">P47-Q47</f>
        <v>0</v>
      </c>
      <c r="S47" s="92">
        <f ca="1">IF(R54&lt;$B$19,0,IF($F$47*$B$19*(1-$B$29)&gt;R47,R47,$F$47*$B$19*(1-$B$29)))</f>
        <v>0</v>
      </c>
    </row>
    <row r="48" spans="1:19">
      <c r="D48" s="90" t="str">
        <f t="shared" ref="D48:D53" si="20">D47</f>
        <v>Barrels</v>
      </c>
      <c r="E48" s="93">
        <f t="shared" ref="E48:E53" si="21">E47+1</f>
        <v>2024</v>
      </c>
      <c r="F48" s="8"/>
      <c r="H48" s="90">
        <f ca="1">'RCE PP&amp;E'!G60</f>
        <v>131400.17787599997</v>
      </c>
      <c r="I48" s="91">
        <f ca="1">IF(H54&lt;$B$19,0,IF($H$48*$B$19*(1-$B$29)&gt;H48,H48,$H$48*$B$19*(1)))</f>
        <v>43800.059291999991</v>
      </c>
      <c r="J48" s="90">
        <f ca="1">H48-I48</f>
        <v>87600.118583999982</v>
      </c>
      <c r="K48" s="91">
        <f ca="1">IF(J54&lt;$B$19,0,IF($H$48*$B$19*(1-$B$29)&gt;J48,J48,$H$48*$B$19*(1-$B$29)))</f>
        <v>43800.059291999991</v>
      </c>
      <c r="L48" s="90">
        <f ca="1">J48-K48</f>
        <v>43800.059291999991</v>
      </c>
      <c r="M48" s="91">
        <f ca="1">IF(L54&lt;$B$19,0,IF($H$48*$B$19*(1-$B$29)&gt;L48,L48,$H$48*$B$19*(1-$B$29)))</f>
        <v>43800.059291999991</v>
      </c>
      <c r="N48" s="90">
        <f ca="1">L48-M48</f>
        <v>0</v>
      </c>
      <c r="O48" s="91">
        <f ca="1">IF(N54&lt;$B$19,0,IF($H$48*$B$19*(1-$B$29)&gt;N48,N48,$H$48*$B$19*(1-$B$29)))</f>
        <v>0</v>
      </c>
      <c r="P48" s="90">
        <f t="shared" ca="1" si="18"/>
        <v>0</v>
      </c>
      <c r="Q48" s="92">
        <f ca="1">IF(P54&lt;$B$19,0,IF($H$48*$B$19*(1-$B$29)&gt;P48,P48,$H$48*$B$19*(1-$B$29)))</f>
        <v>0</v>
      </c>
      <c r="R48" s="90">
        <f t="shared" ca="1" si="19"/>
        <v>0</v>
      </c>
      <c r="S48" s="92">
        <f ca="1">IF(R54&lt;$B$19,0,IF($H$48*$B$19*(1-$B$29)&gt;R48,R48,$H$48*$B$19*(1-$B$29)))</f>
        <v>0</v>
      </c>
    </row>
    <row r="49" spans="1:19">
      <c r="A49" s="91"/>
      <c r="D49" s="90" t="str">
        <f t="shared" si="20"/>
        <v>Barrels</v>
      </c>
      <c r="E49" s="93">
        <f t="shared" si="21"/>
        <v>2025</v>
      </c>
      <c r="F49" s="95"/>
      <c r="G49" s="96"/>
      <c r="H49" s="90"/>
      <c r="J49" s="90">
        <f ca="1">'RCE PP&amp;E'!H60</f>
        <v>192001.88380265996</v>
      </c>
      <c r="K49" s="91">
        <f ca="1">IF(J54&lt;$B$19,0,IF($J$54*$B$19*(1-$B$29)&gt;J49,J49,$J$54*$B$19*(1-$B$29)))</f>
        <v>106885.66746221998</v>
      </c>
      <c r="L49" s="90">
        <f ca="1">J49-K49</f>
        <v>85116.216340439976</v>
      </c>
      <c r="M49" s="91">
        <f ca="1">IF(L54&lt;$B$19,0,IF($J$49*$B$19*(1-$B$29)&gt;L49,L49,$J$49*$B$19*(1-$B$29)))</f>
        <v>64000.627934219985</v>
      </c>
      <c r="N49" s="90">
        <f ca="1">L49-M49</f>
        <v>21115.588406219991</v>
      </c>
      <c r="O49" s="91">
        <f>IF(N15&lt;$B$19,0,IF($L$49*$B$19*(1-$B$29)&gt;N49,N49,$L$49*$B$19*(1-$B$29)))</f>
        <v>0</v>
      </c>
      <c r="P49" s="90">
        <f t="shared" ca="1" si="18"/>
        <v>21115.588406219991</v>
      </c>
      <c r="Q49" s="92">
        <f ca="1">IF(P54&lt;$B$19,0,IF($J$49*$B$19*(1-$B$29)&gt;P49,P49,$J$49*$B$19*(1-$B$29)))</f>
        <v>21115.588406219991</v>
      </c>
      <c r="R49" s="90">
        <f t="shared" ca="1" si="19"/>
        <v>0</v>
      </c>
      <c r="S49" s="92">
        <f ca="1">IF(R54&lt;$B$19,0,IF($J$49*$B$19*(1-$B$29)&gt;R49,R49,$J$49*$B$19*(1-$B$29)))</f>
        <v>0</v>
      </c>
    </row>
    <row r="50" spans="1:19">
      <c r="D50" s="90" t="str">
        <f t="shared" si="20"/>
        <v>Barrels</v>
      </c>
      <c r="E50" s="93">
        <f t="shared" si="21"/>
        <v>2026</v>
      </c>
      <c r="F50" s="90"/>
      <c r="G50" s="91"/>
      <c r="H50" s="90"/>
      <c r="J50" s="8"/>
      <c r="L50" s="90">
        <f ca="1">'RCE PP&amp;E'!I60</f>
        <v>227634.11699576033</v>
      </c>
      <c r="M50" s="91">
        <f ca="1">IF(L54&lt;$B$19,0,IF($L$50*$B$19*(1-$B$29)&gt;L50,L50,$L$50*$B$19*(1-$B$29)))</f>
        <v>75878.038998586766</v>
      </c>
      <c r="N50" s="90">
        <f ca="1">L50-M50</f>
        <v>151756.07799717356</v>
      </c>
      <c r="O50" s="91">
        <f ca="1">IF(N3&lt;$B$19,0,IF($L$50*$B$19*(1-$B$29)&gt;N50,N50,$L$50*$B$19*(1-$B$29)))</f>
        <v>75878.038998586766</v>
      </c>
      <c r="P50" s="90">
        <f t="shared" ca="1" si="18"/>
        <v>75878.038998586795</v>
      </c>
      <c r="Q50" s="92">
        <f ca="1">IF(P54&lt;$B$19,0,IF($L$50*$B$19*(1-$B$29)&gt;P50,P50,$L$50*$B$19*(1-$B$29)))</f>
        <v>75878.038998586766</v>
      </c>
      <c r="R50" s="90">
        <f t="shared" ca="1" si="19"/>
        <v>0</v>
      </c>
      <c r="S50" s="92">
        <f ca="1">IF(R54&lt;$B$19,0,IF($L$50*$B$19*(1-$B$29)&gt;R50,R50,$L$50*$B$19*(1-$B$29)))</f>
        <v>0</v>
      </c>
    </row>
    <row r="51" spans="1:19">
      <c r="D51" s="90" t="str">
        <f t="shared" si="20"/>
        <v>Barrels</v>
      </c>
      <c r="E51" s="93">
        <f t="shared" si="21"/>
        <v>2027</v>
      </c>
      <c r="F51" s="90"/>
      <c r="G51" s="91"/>
      <c r="H51" s="90"/>
      <c r="I51" s="91"/>
      <c r="J51" s="8"/>
      <c r="L51" s="90"/>
      <c r="M51" s="91"/>
      <c r="N51" s="90">
        <f ca="1">'RCE PP&amp;E'!J60</f>
        <v>232382.66814110795</v>
      </c>
      <c r="O51" s="91">
        <f ca="1">IF(N54&lt;$B$19,0,IF($N$51*$B$19*(1-$B$29)&gt;N51,N51,$N$51*$B$19*(1-$B$29)))</f>
        <v>77460.889380369306</v>
      </c>
      <c r="P51" s="90">
        <f t="shared" ca="1" si="18"/>
        <v>154921.77876073864</v>
      </c>
      <c r="Q51" s="92">
        <f ca="1">IF(P54&lt;$B$19,0,IF($N$51*$B$19*(1-$B$29)&gt;P51,P51,$N$51*$B$19*(1-$B$29)))</f>
        <v>77460.889380369306</v>
      </c>
      <c r="R51" s="90">
        <f t="shared" ca="1" si="19"/>
        <v>77460.889380369335</v>
      </c>
      <c r="S51" s="92">
        <f ca="1">IF(R54&lt;$B$19,0,IF($N$51*$B$19*(1-$B$29)&gt;R51,R51,$N$51*$B$19*(1-$B$29)))</f>
        <v>77460.889380369306</v>
      </c>
    </row>
    <row r="52" spans="1:19">
      <c r="D52" s="90" t="str">
        <f t="shared" si="20"/>
        <v>Barrels</v>
      </c>
      <c r="E52" s="93">
        <f t="shared" si="21"/>
        <v>2028</v>
      </c>
      <c r="F52" s="90"/>
      <c r="G52" s="91"/>
      <c r="H52" s="90"/>
      <c r="I52" s="91"/>
      <c r="J52" s="90"/>
      <c r="L52" s="90"/>
      <c r="M52" s="91"/>
      <c r="N52" s="90"/>
      <c r="O52" s="91"/>
      <c r="P52" s="90">
        <f ca="1">'RCE PP&amp;E'!K60</f>
        <v>237030.32150393011</v>
      </c>
      <c r="Q52" s="92">
        <f ca="1">IF(P54&lt;$B$19,0,IF($P$52*$B$19*(1-$B$29)&gt;P52,P52,$P$52*$B$19*(1-$B$29)))</f>
        <v>79010.107167976705</v>
      </c>
      <c r="R52" s="90">
        <f t="shared" ca="1" si="19"/>
        <v>158020.21433595341</v>
      </c>
      <c r="S52" s="92">
        <f ca="1">IF(R54&lt;$B$19,0,IF($P$52*$B$19*(1-$B$29)&gt;R52,R52,$P$52*$B$19*(1-$B$29)))*B35</f>
        <v>39505.053583988352</v>
      </c>
    </row>
    <row r="53" spans="1:19">
      <c r="D53" s="90" t="str">
        <f t="shared" si="20"/>
        <v>Barrels</v>
      </c>
      <c r="E53" s="93">
        <f t="shared" si="21"/>
        <v>2029</v>
      </c>
      <c r="F53" s="90"/>
      <c r="G53" s="91"/>
      <c r="H53" s="90"/>
      <c r="I53" s="91"/>
      <c r="J53" s="90"/>
      <c r="L53" s="90"/>
      <c r="M53" s="91"/>
      <c r="N53" s="90"/>
      <c r="O53" s="91"/>
      <c r="P53" s="90"/>
      <c r="Q53" s="92"/>
      <c r="R53" s="90">
        <f ca="1">'RCE PP&amp;E'!L60</f>
        <v>241770.92793400868</v>
      </c>
      <c r="S53" s="92">
        <f ca="1">IF(R54&lt;$B$19,0,IF($R$53*$B$19*(1-$B$29)&gt;R53,R53,$R$53*$B$19*(1-$B$29)))</f>
        <v>80590.309311336227</v>
      </c>
    </row>
    <row r="54" spans="1:19" ht="13.5" thickBot="1">
      <c r="D54" s="97"/>
      <c r="E54" s="84"/>
      <c r="F54" s="98">
        <f t="shared" ref="F54:Q54" si="22">SUM(F46:F53)</f>
        <v>170408.3698225306</v>
      </c>
      <c r="G54" s="99">
        <f>SUM(G46:G53)</f>
        <v>88298.3698225306</v>
      </c>
      <c r="H54" s="98">
        <f t="shared" ca="1" si="22"/>
        <v>213510.17787599997</v>
      </c>
      <c r="I54" s="99">
        <f ca="1">SUM(I46:I53)</f>
        <v>84855.059291999991</v>
      </c>
      <c r="J54" s="98">
        <f t="shared" ca="1" si="22"/>
        <v>320657.00238665997</v>
      </c>
      <c r="K54" s="99">
        <f t="shared" ca="1" si="22"/>
        <v>191740.72675421997</v>
      </c>
      <c r="L54" s="98">
        <f ca="1">SUM(L46:L53)</f>
        <v>356550.39262820029</v>
      </c>
      <c r="M54" s="99">
        <f t="shared" ca="1" si="22"/>
        <v>183678.72622480674</v>
      </c>
      <c r="N54" s="98">
        <f t="shared" ca="1" si="22"/>
        <v>405254.3345445015</v>
      </c>
      <c r="O54" s="99">
        <f t="shared" ca="1" si="22"/>
        <v>153338.92837895607</v>
      </c>
      <c r="P54" s="98">
        <f t="shared" ca="1" si="22"/>
        <v>488945.72766947554</v>
      </c>
      <c r="Q54" s="100">
        <f t="shared" ca="1" si="22"/>
        <v>253464.62395315277</v>
      </c>
      <c r="R54" s="98">
        <f ca="1">SUM(R46:R53)</f>
        <v>477252.03165033145</v>
      </c>
      <c r="S54" s="100">
        <f ca="1">SUM(S46:S53)</f>
        <v>197556.25227569387</v>
      </c>
    </row>
    <row r="55" spans="1:19">
      <c r="F55" s="101"/>
      <c r="G55" s="101"/>
      <c r="H55" s="101"/>
      <c r="I55" s="101"/>
      <c r="J55" s="101"/>
      <c r="K55" s="101"/>
      <c r="L55" s="101"/>
      <c r="M55" s="101"/>
      <c r="N55" s="101"/>
      <c r="O55" s="101"/>
      <c r="P55" s="101"/>
      <c r="Q55" s="101"/>
      <c r="R55" s="101"/>
      <c r="S55" s="101"/>
    </row>
    <row r="56" spans="1:19">
      <c r="F56" s="79">
        <f>F43</f>
        <v>2023</v>
      </c>
      <c r="H56" s="79">
        <f>F56+1</f>
        <v>2024</v>
      </c>
      <c r="J56" s="79">
        <f>H56+1</f>
        <v>2025</v>
      </c>
      <c r="L56" s="79">
        <f>J56+1</f>
        <v>2026</v>
      </c>
      <c r="N56" s="79">
        <f>L56+1</f>
        <v>2027</v>
      </c>
      <c r="P56" s="79">
        <f>N56+1</f>
        <v>2028</v>
      </c>
      <c r="Q56" s="80"/>
      <c r="R56" s="79">
        <f>P56+1</f>
        <v>2029</v>
      </c>
      <c r="S56" s="80"/>
    </row>
    <row r="57" spans="1:19" ht="13.5" thickBot="1">
      <c r="E57" s="81"/>
      <c r="F57" s="82" t="s">
        <v>120</v>
      </c>
      <c r="G57" s="83" t="str">
        <f>G17</f>
        <v>Depreciation</v>
      </c>
      <c r="H57" s="82" t="s">
        <v>120</v>
      </c>
      <c r="I57" s="83" t="str">
        <f>G57</f>
        <v>Depreciation</v>
      </c>
      <c r="J57" s="82" t="s">
        <v>120</v>
      </c>
      <c r="K57" s="83" t="str">
        <f>I57</f>
        <v>Depreciation</v>
      </c>
      <c r="L57" s="82" t="s">
        <v>120</v>
      </c>
      <c r="M57" s="84" t="str">
        <f>K57</f>
        <v>Depreciation</v>
      </c>
      <c r="N57" s="82" t="s">
        <v>120</v>
      </c>
      <c r="O57" s="84" t="str">
        <f>M57</f>
        <v>Depreciation</v>
      </c>
      <c r="P57" s="82" t="s">
        <v>120</v>
      </c>
      <c r="Q57" s="81" t="str">
        <f>O57</f>
        <v>Depreciation</v>
      </c>
      <c r="R57" s="82" t="s">
        <v>120</v>
      </c>
      <c r="S57" s="496" t="str">
        <f>Q57</f>
        <v>Depreciation</v>
      </c>
    </row>
    <row r="58" spans="1:19">
      <c r="D58" s="86" t="str">
        <f>A20</f>
        <v>Vehicles</v>
      </c>
      <c r="F58" s="79"/>
      <c r="G58" s="87"/>
      <c r="H58" s="79"/>
      <c r="I58" s="87"/>
      <c r="J58" s="79"/>
      <c r="K58" s="87"/>
      <c r="L58" s="79"/>
      <c r="N58" s="79"/>
      <c r="P58" s="79"/>
      <c r="Q58" s="80"/>
      <c r="R58" s="8"/>
      <c r="S58" s="164"/>
    </row>
    <row r="59" spans="1:19">
      <c r="D59" s="8" t="s">
        <v>44</v>
      </c>
      <c r="E59" s="89"/>
      <c r="F59" s="90">
        <f>B10</f>
        <v>0</v>
      </c>
      <c r="G59" s="91">
        <f>IF($B$10*$B$20*(1-$B$30)&gt;F59,F59,$B$10*$B$20*B35*(1-$B$30))</f>
        <v>0</v>
      </c>
      <c r="H59" s="90">
        <f>F59-G59</f>
        <v>0</v>
      </c>
      <c r="I59" s="91">
        <f>IF($B$10*$B$20*(1-$B$30)&gt;H59,H59,$B$10*$B$20*(1-$B$30))</f>
        <v>0</v>
      </c>
      <c r="J59" s="90">
        <f>H59-I59</f>
        <v>0</v>
      </c>
      <c r="K59" s="91">
        <f>IF($B$10*$B$20*(1-$B$30)&gt;J59,J59,$B$10*$B$20*(1-$B$30))</f>
        <v>0</v>
      </c>
      <c r="L59" s="90">
        <f>J59-K59</f>
        <v>0</v>
      </c>
      <c r="M59" s="91">
        <f>IF($B$10*$B$20*(1-$B$30)&gt;L59,L59,$B$10*$B$20*(1-$B$30))</f>
        <v>0</v>
      </c>
      <c r="N59" s="90">
        <f>L59-M59</f>
        <v>0</v>
      </c>
      <c r="O59" s="91">
        <f>IF($B$10*$B$20*(1-$B$30)&gt;N59,N59,$B$10*$B$20*(1-$B$30))</f>
        <v>0</v>
      </c>
      <c r="P59" s="90">
        <f t="shared" ref="P59:P64" si="23">N59-O59</f>
        <v>0</v>
      </c>
      <c r="Q59" s="91">
        <f>IF($B$10*$B$20*(1-$B$30)&gt;P59,P59,$B$10*$B$20*(1-$B$30))</f>
        <v>0</v>
      </c>
      <c r="R59" s="90">
        <f t="shared" ref="R59:R65" si="24">P59-Q59</f>
        <v>0</v>
      </c>
      <c r="S59" s="92">
        <f>IF($B$10*$B$20*(1-$B$30)&gt;R59,R59,$B$10*$B$20*(1-$B$30))</f>
        <v>0</v>
      </c>
    </row>
    <row r="60" spans="1:19">
      <c r="D60" s="90" t="str">
        <f>D58</f>
        <v>Vehicles</v>
      </c>
      <c r="E60" s="93">
        <f>E20</f>
        <v>2023</v>
      </c>
      <c r="F60" s="90">
        <f>'RCE PP&amp;E'!F61</f>
        <v>0</v>
      </c>
      <c r="G60" s="91">
        <f>IF($F$60*$B$20&gt;F60,F60,$F$60*$B$20)*B35</f>
        <v>0</v>
      </c>
      <c r="H60" s="90">
        <f>F60-G60</f>
        <v>0</v>
      </c>
      <c r="I60" s="91">
        <f>IF(H67&lt;$B$20,0,IF($F$60*$B$20*(1-$B$29)&gt;H60,H60,$F$60*$B$20*(1-$B$29)))</f>
        <v>0</v>
      </c>
      <c r="J60" s="90">
        <f>H60-I60</f>
        <v>0</v>
      </c>
      <c r="K60" s="91">
        <f>IF(J67&lt;$B$20,0,IF($F$60*$B$20*(1-$B$29)&gt;J60,J60,$F$60*$B$20*(1-$B$29)))</f>
        <v>0</v>
      </c>
      <c r="L60" s="90">
        <f>J60-K60</f>
        <v>0</v>
      </c>
      <c r="M60" s="91">
        <f ca="1">IF(L67&lt;$B$20,0,IF($F$60*$B$20*(1-$B$29)&gt;L60,L60,$F$60*$B$20*(1-$B$29)))</f>
        <v>0</v>
      </c>
      <c r="N60" s="90">
        <f ca="1">L60-M60</f>
        <v>0</v>
      </c>
      <c r="O60" s="91">
        <f ca="1">IF(N67&lt;$B$20,0,IF($F$60*$B$20*(1-$B$29)&gt;N60,N60,$F$60*$B$20*(1-$B$29)))</f>
        <v>0</v>
      </c>
      <c r="P60" s="90">
        <f t="shared" ca="1" si="23"/>
        <v>0</v>
      </c>
      <c r="Q60" s="91">
        <f ca="1">IF(P67&lt;$B$20,0,IF($F$60*$B$20*(1-$B$29)&gt;P60,P60,$F$60*$B$20*(1-$B$29)))</f>
        <v>0</v>
      </c>
      <c r="R60" s="90">
        <f t="shared" ca="1" si="24"/>
        <v>0</v>
      </c>
      <c r="S60" s="92">
        <f ca="1">IF(R67&lt;$B$19,0,IF($F$60*$B$19*(1-$B$29)&gt;R60,R60,$F$60*$B$19*(1-$B$29)))</f>
        <v>0</v>
      </c>
    </row>
    <row r="61" spans="1:19">
      <c r="D61" s="90" t="str">
        <f t="shared" ref="D61:D66" si="25">D60</f>
        <v>Vehicles</v>
      </c>
      <c r="E61" s="93">
        <f t="shared" ref="E61:E66" si="26">E60+1</f>
        <v>2024</v>
      </c>
      <c r="F61" s="8"/>
      <c r="H61" s="90">
        <f>'RCE PP&amp;E'!G61</f>
        <v>80500</v>
      </c>
      <c r="I61" s="91">
        <f>IF(H67&lt;$B$20,0,IF($H$61*$B$20*(1-$B$30)&gt;H61,H61,$H$61*$B$20*(1-B35)))</f>
        <v>8050</v>
      </c>
      <c r="J61" s="90">
        <f>H61-I61</f>
        <v>72450</v>
      </c>
      <c r="K61" s="91">
        <f>IF(J67&lt;$B$20,0,IF($H$61*$B$20*(1-$B$30)&gt;J61,J61,$H$61*$B$20*(1-$B$30)))</f>
        <v>14490</v>
      </c>
      <c r="L61" s="90">
        <f>J61-K61</f>
        <v>57960</v>
      </c>
      <c r="M61" s="91">
        <f ca="1">IF(L67&lt;$B$20,0,IF($H$61*$B$20*(1-$B$30)&gt;L61,L61,$H$61*$B$20*(1-$B$30)))</f>
        <v>14490</v>
      </c>
      <c r="N61" s="90">
        <f ca="1">L61-M61</f>
        <v>43470</v>
      </c>
      <c r="O61" s="91">
        <f ca="1">IF(N67&lt;$B$20,0,IF($H$61*$B$20*(1-$B$30)&gt;N61,N61,$H$61*$B$20*(1-$B$30)))</f>
        <v>14490</v>
      </c>
      <c r="P61" s="90">
        <f t="shared" ca="1" si="23"/>
        <v>28980</v>
      </c>
      <c r="Q61" s="91">
        <f ca="1">IF(P67&lt;$B$20,0,IF($H$61*$B$20*(1-$B$30)&gt;P61,P61,$H$61*$B$20*(1-$B$30)))</f>
        <v>14490</v>
      </c>
      <c r="R61" s="90">
        <f t="shared" ca="1" si="24"/>
        <v>14490</v>
      </c>
      <c r="S61" s="92">
        <f ca="1">IF(R67&lt;$B$20,0,IF($H$61*$B$20*(1-$B$30)&gt;R61,R61,$H$61*$B$20*(1-$B$30)))</f>
        <v>14490</v>
      </c>
    </row>
    <row r="62" spans="1:19">
      <c r="D62" s="90" t="str">
        <f t="shared" si="25"/>
        <v>Vehicles</v>
      </c>
      <c r="E62" s="93">
        <f t="shared" si="26"/>
        <v>2025</v>
      </c>
      <c r="F62" s="95"/>
      <c r="G62" s="96"/>
      <c r="H62" s="90"/>
      <c r="J62" s="90">
        <f>'RCE PP&amp;E'!H61</f>
        <v>0</v>
      </c>
      <c r="K62" s="91">
        <f ca="1">IF(J67&lt;$B$20,0,IF($J$54*$B$20*(1-$B$30)&gt;J62,J62,$J$54*$B$20*(1-$B$30)))*B35</f>
        <v>0</v>
      </c>
      <c r="L62" s="90">
        <f ca="1">J62-K62</f>
        <v>0</v>
      </c>
      <c r="M62" s="91">
        <f ca="1">IF(L67&lt;$B$20,0,IF($J$62*$B$20*(1-$B$30)&gt;L62,L62,$J$62*$B$20*(1-$B$30)))</f>
        <v>0</v>
      </c>
      <c r="N62" s="90">
        <f ca="1">L62-M62</f>
        <v>0</v>
      </c>
      <c r="O62" s="91">
        <f ca="1">IF(N67&lt;$B$20,0,IF($J$62*$B$20*(1-$B$30)&gt;N62,N62,$J$62*$B$20*(1-$B$30)))</f>
        <v>0</v>
      </c>
      <c r="P62" s="90">
        <f t="shared" ca="1" si="23"/>
        <v>0</v>
      </c>
      <c r="Q62" s="91">
        <f ca="1">IF(P67&lt;$B$20,0,IF($J$62*$B$20*(1-$B$30)&gt;P62,P62,$J$62*$B$20*(1-$B$30)))</f>
        <v>0</v>
      </c>
      <c r="R62" s="90">
        <f t="shared" ca="1" si="24"/>
        <v>0</v>
      </c>
      <c r="S62" s="92">
        <f ca="1">IF(R67&lt;$B$20,0,IF($J$62*$B$20*(1-$B$30)&gt;R62,R62,$J$62*$B$20*(1-$B$30)))</f>
        <v>0</v>
      </c>
    </row>
    <row r="63" spans="1:19">
      <c r="D63" s="90" t="str">
        <f t="shared" si="25"/>
        <v>Vehicles</v>
      </c>
      <c r="E63" s="93">
        <f t="shared" si="26"/>
        <v>2026</v>
      </c>
      <c r="F63" s="90"/>
      <c r="G63" s="91"/>
      <c r="H63" s="90"/>
      <c r="J63" s="8"/>
      <c r="L63" s="90">
        <f>'RCE PP&amp;E'!I61</f>
        <v>0</v>
      </c>
      <c r="M63" s="91">
        <f ca="1">IF(L67&lt;$B$20,0,IF($L$63*$B$20*(1-$B$30)&gt;L63,L63,$L$63*$B$20*(1-$B$30)))*B35</f>
        <v>0</v>
      </c>
      <c r="N63" s="90">
        <f ca="1">L63-M63</f>
        <v>0</v>
      </c>
      <c r="O63" s="91">
        <f ca="1">IF(N16&lt;$B$20,0,IF($L$63*$B$20*(1-$B$30)&gt;N63,N63,$L$63*$B$20*(1-$B$30)))</f>
        <v>0</v>
      </c>
      <c r="P63" s="90">
        <f t="shared" ca="1" si="23"/>
        <v>0</v>
      </c>
      <c r="Q63" s="91">
        <f ca="1">IF(P16&lt;$B$20,0,IF($L$63*$B$20*(1-$B$30)&gt;P63,P63,$L$63*$B$20*(1-$B$30)))</f>
        <v>0</v>
      </c>
      <c r="R63" s="90">
        <f t="shared" ca="1" si="24"/>
        <v>0</v>
      </c>
      <c r="S63" s="92">
        <f ca="1">IF(R16&lt;$B$20,0,IF($L$63*$B$20*(1-$B$30)&gt;R63,R63,$L$63*$B$20*(1-$B$30)))</f>
        <v>0</v>
      </c>
    </row>
    <row r="64" spans="1:19">
      <c r="D64" s="90" t="str">
        <f t="shared" si="25"/>
        <v>Vehicles</v>
      </c>
      <c r="E64" s="93">
        <f t="shared" si="26"/>
        <v>2027</v>
      </c>
      <c r="F64" s="90"/>
      <c r="G64" s="91"/>
      <c r="H64" s="90"/>
      <c r="I64" s="91"/>
      <c r="J64" s="8"/>
      <c r="L64" s="90"/>
      <c r="M64" s="91"/>
      <c r="N64" s="90">
        <f>'RCE PP&amp;E'!J61</f>
        <v>0</v>
      </c>
      <c r="O64" s="91">
        <f ca="1">IF(N67&lt;$B$20,0,IF($N$64*$B$20*(1-$B$30)&gt;N64,N64,$N$64*$B$20*(1-$B$30)))*B35</f>
        <v>0</v>
      </c>
      <c r="P64" s="90">
        <f t="shared" ca="1" si="23"/>
        <v>0</v>
      </c>
      <c r="Q64" s="92">
        <f ca="1">IF(P67&lt;$B$20,0,IF($N$64*$B$20*(1-$B$30)&gt;P64,P64,$N$64*$B$20*(1-$B$30)))</f>
        <v>0</v>
      </c>
      <c r="R64" s="90">
        <f t="shared" ca="1" si="24"/>
        <v>0</v>
      </c>
      <c r="S64" s="92">
        <f ca="1">IF(R67&lt;$B$20,0,IF($N$64*$B$20*(1-$B$30)&gt;R64,R64,$N$64*$B$20*(1-$B$30)))</f>
        <v>0</v>
      </c>
    </row>
    <row r="65" spans="4:19">
      <c r="D65" s="90" t="str">
        <f t="shared" si="25"/>
        <v>Vehicles</v>
      </c>
      <c r="E65" s="93">
        <f t="shared" si="26"/>
        <v>2028</v>
      </c>
      <c r="F65" s="90"/>
      <c r="G65" s="91"/>
      <c r="H65" s="90"/>
      <c r="I65" s="91"/>
      <c r="J65" s="90"/>
      <c r="L65" s="90"/>
      <c r="M65" s="91"/>
      <c r="N65" s="90"/>
      <c r="O65" s="91"/>
      <c r="P65" s="90">
        <f>'RCE PP&amp;E'!K61</f>
        <v>0</v>
      </c>
      <c r="Q65" s="92">
        <f ca="1">IF(P67&lt;$B$20,0,IF($P$65*$B$20*(1-$B$30)&gt;P65,P65,$P$65*$B$20*(1-$B$30)))*B35</f>
        <v>0</v>
      </c>
      <c r="R65" s="90">
        <f t="shared" ca="1" si="24"/>
        <v>0</v>
      </c>
      <c r="S65" s="92">
        <f ca="1">IF(R67&lt;$B$20,0,IF($P$65*$B$20*(1-$B$30)&gt;R65,R65,$P$65*$B$20*(1-$B$30)))*B35</f>
        <v>0</v>
      </c>
    </row>
    <row r="66" spans="4:19">
      <c r="D66" s="90" t="str">
        <f t="shared" si="25"/>
        <v>Vehicles</v>
      </c>
      <c r="E66" s="93">
        <f t="shared" si="26"/>
        <v>2029</v>
      </c>
      <c r="F66" s="90"/>
      <c r="G66" s="91"/>
      <c r="H66" s="90"/>
      <c r="I66" s="91"/>
      <c r="J66" s="90"/>
      <c r="L66" s="90"/>
      <c r="M66" s="91"/>
      <c r="N66" s="90"/>
      <c r="O66" s="91"/>
      <c r="P66" s="90"/>
      <c r="Q66" s="92"/>
      <c r="R66" s="90">
        <f>'RCE PP&amp;E'!L61</f>
        <v>0</v>
      </c>
      <c r="S66" s="92">
        <f ca="1">IF(R67&lt;$B$20,0,IF($R$66*$B$20*(1-$B$30)&gt;R66,R66,$R$66*$B$20*(1-$B$30)))*B35</f>
        <v>0</v>
      </c>
    </row>
    <row r="67" spans="4:19" ht="13.5" thickBot="1">
      <c r="D67" s="97"/>
      <c r="E67" s="84"/>
      <c r="F67" s="98">
        <f>SUM(F59:F66)</f>
        <v>0</v>
      </c>
      <c r="G67" s="99">
        <f>SUM(G59:G66)</f>
        <v>0</v>
      </c>
      <c r="H67" s="98">
        <f>SUM(H59:H66)</f>
        <v>80500</v>
      </c>
      <c r="I67" s="99">
        <f>SUM(I59:I66)</f>
        <v>8050</v>
      </c>
      <c r="J67" s="98">
        <f t="shared" ref="J67:Q67" si="27">SUM(J59:J66)</f>
        <v>72450</v>
      </c>
      <c r="K67" s="99">
        <f t="shared" ca="1" si="27"/>
        <v>14490</v>
      </c>
      <c r="L67" s="98">
        <f t="shared" ca="1" si="27"/>
        <v>57960</v>
      </c>
      <c r="M67" s="99">
        <f t="shared" ca="1" si="27"/>
        <v>14490</v>
      </c>
      <c r="N67" s="98">
        <f t="shared" ca="1" si="27"/>
        <v>43470</v>
      </c>
      <c r="O67" s="99">
        <f t="shared" ca="1" si="27"/>
        <v>14490</v>
      </c>
      <c r="P67" s="98">
        <f t="shared" ca="1" si="27"/>
        <v>28980</v>
      </c>
      <c r="Q67" s="100">
        <f t="shared" ca="1" si="27"/>
        <v>14490</v>
      </c>
      <c r="R67" s="98">
        <f ca="1">SUM(R59:R66)</f>
        <v>14490</v>
      </c>
      <c r="S67" s="100">
        <f ca="1">SUM(S59:S66)</f>
        <v>14490</v>
      </c>
    </row>
    <row r="68" spans="4:19">
      <c r="F68" s="101"/>
      <c r="G68" s="101"/>
      <c r="H68" s="101"/>
      <c r="I68" s="101"/>
      <c r="J68" s="101"/>
      <c r="K68" s="101"/>
      <c r="L68" s="101"/>
      <c r="M68" s="101"/>
      <c r="N68" s="101"/>
      <c r="O68" s="101"/>
      <c r="P68" s="101"/>
      <c r="Q68" s="101"/>
      <c r="R68" s="101"/>
      <c r="S68" s="101"/>
    </row>
    <row r="69" spans="4:19">
      <c r="F69" s="79">
        <f>F56</f>
        <v>2023</v>
      </c>
      <c r="H69" s="79">
        <f>F69+1</f>
        <v>2024</v>
      </c>
      <c r="J69" s="79">
        <f>H69+1</f>
        <v>2025</v>
      </c>
      <c r="L69" s="79">
        <f>J69+1</f>
        <v>2026</v>
      </c>
      <c r="N69" s="79">
        <f>L69+1</f>
        <v>2027</v>
      </c>
      <c r="P69" s="79">
        <f>N69+1</f>
        <v>2028</v>
      </c>
      <c r="Q69" s="80"/>
      <c r="R69" s="79">
        <f>P69+1</f>
        <v>2029</v>
      </c>
      <c r="S69" s="80"/>
    </row>
    <row r="70" spans="4:19" ht="13.5" thickBot="1">
      <c r="E70" s="81"/>
      <c r="F70" s="82" t="s">
        <v>120</v>
      </c>
      <c r="G70" s="83" t="str">
        <f>G17</f>
        <v>Depreciation</v>
      </c>
      <c r="H70" s="82" t="s">
        <v>120</v>
      </c>
      <c r="I70" s="83" t="str">
        <f>G70</f>
        <v>Depreciation</v>
      </c>
      <c r="J70" s="82" t="s">
        <v>120</v>
      </c>
      <c r="K70" s="83" t="str">
        <f>I70</f>
        <v>Depreciation</v>
      </c>
      <c r="L70" s="82" t="s">
        <v>120</v>
      </c>
      <c r="M70" s="84" t="str">
        <f>K70</f>
        <v>Depreciation</v>
      </c>
      <c r="N70" s="82" t="s">
        <v>120</v>
      </c>
      <c r="O70" s="84" t="str">
        <f>M70</f>
        <v>Depreciation</v>
      </c>
      <c r="P70" s="82" t="s">
        <v>120</v>
      </c>
      <c r="Q70" s="81" t="str">
        <f>O70</f>
        <v>Depreciation</v>
      </c>
      <c r="R70" s="82" t="s">
        <v>120</v>
      </c>
      <c r="S70" s="81" t="str">
        <f>Q70</f>
        <v>Depreciation</v>
      </c>
    </row>
    <row r="71" spans="4:19">
      <c r="D71" s="86" t="str">
        <f>A21</f>
        <v>Computer / IT</v>
      </c>
      <c r="F71" s="79"/>
      <c r="G71" s="87"/>
      <c r="H71" s="79"/>
      <c r="I71" s="87"/>
      <c r="J71" s="79"/>
      <c r="K71" s="87"/>
      <c r="L71" s="79"/>
      <c r="N71" s="79"/>
      <c r="P71" s="79"/>
      <c r="Q71" s="80"/>
      <c r="R71" s="8"/>
      <c r="S71" s="164"/>
    </row>
    <row r="72" spans="4:19">
      <c r="D72" s="8" t="s">
        <v>44</v>
      </c>
      <c r="E72" s="89"/>
      <c r="F72" s="90">
        <f>B11</f>
        <v>0</v>
      </c>
      <c r="G72" s="91">
        <f>IF($B$12*$B$21*(1-$B$31)&gt;F72,F72,$B$12*$B$21*B35*(1-$B$31))</f>
        <v>0</v>
      </c>
      <c r="H72" s="90">
        <f>F72-G72</f>
        <v>0</v>
      </c>
      <c r="I72" s="91">
        <f>IF($B$11*$B$21*(1-$B$31)&gt;H72,H72,$B$11*$B$21*(1-$B$31))</f>
        <v>0</v>
      </c>
      <c r="J72" s="90">
        <f>H72-I72</f>
        <v>0</v>
      </c>
      <c r="K72" s="91">
        <f>IF($B$11*$B$21*(1-$B$31)&gt;J72,J72,$B$11*$B$21*(1-$B$31))</f>
        <v>0</v>
      </c>
      <c r="L72" s="90">
        <f>J72-K72</f>
        <v>0</v>
      </c>
      <c r="M72" s="91">
        <f>IF($B$11*$B$21*(1-$B$31)&gt;L72,L72,$B$11*$B$21*(1-$B$31))</f>
        <v>0</v>
      </c>
      <c r="N72" s="90">
        <f>L72-M72</f>
        <v>0</v>
      </c>
      <c r="O72" s="91">
        <f>IF($B$11*$B$21*(1-$B$31)&gt;N72,N72,$B$11*$B$21*(1-$B$31))</f>
        <v>0</v>
      </c>
      <c r="P72" s="90">
        <f t="shared" ref="P72:P77" si="28">N72-O72</f>
        <v>0</v>
      </c>
      <c r="Q72" s="91">
        <f>IF($B$11*$B$21*(1-$B$31)&gt;P72,P72,$B$11*$B$21*(1-$B$31))</f>
        <v>0</v>
      </c>
      <c r="R72" s="90">
        <f>P72-Q72</f>
        <v>0</v>
      </c>
      <c r="S72" s="92">
        <f>IF($B$11*$B$21*(1-$B$31)&gt;R72,R72,$B$11*$B$21*(1-$B$31))</f>
        <v>0</v>
      </c>
    </row>
    <row r="73" spans="4:19">
      <c r="D73" s="90" t="str">
        <f>D71</f>
        <v>Computer / IT</v>
      </c>
      <c r="E73" s="93">
        <f>E20</f>
        <v>2023</v>
      </c>
      <c r="F73" s="90">
        <f>'RCE PP&amp;E'!F62</f>
        <v>0</v>
      </c>
      <c r="G73" s="91">
        <f>IF($F$47*$B$21&gt;F73,F73,$F$47*$B$21)*B35</f>
        <v>0</v>
      </c>
      <c r="H73" s="90">
        <f>F73-G73</f>
        <v>0</v>
      </c>
      <c r="I73" s="91">
        <f>IF(H80&lt;$B$21,0,IF($F$73*$B$21*(1-$B$31)&gt;H73,H73,$F$73*$B$21*(1-$B$31)))</f>
        <v>0</v>
      </c>
      <c r="J73" s="90">
        <f>H73-I73</f>
        <v>0</v>
      </c>
      <c r="K73" s="91">
        <f>IF(J80&lt;$B$21,0,IF($F$73*$B$21*(1-$B$31)&gt;J73,J73,$F$73*$B$21*(1-$B$31)))</f>
        <v>0</v>
      </c>
      <c r="L73" s="90">
        <f>J73-K73</f>
        <v>0</v>
      </c>
      <c r="M73" s="91">
        <f>IF(L80&lt;$B$21,0,IF($F$73*$B$21*(1-$B$31)&gt;L73,L73,$F$73*$B$21*(1-$B$31)))</f>
        <v>0</v>
      </c>
      <c r="N73" s="90">
        <f>L73-M73</f>
        <v>0</v>
      </c>
      <c r="O73" s="91">
        <f>IF(N80&lt;$B$21,0,IF($F$73*$B$21*(1-$B$31)&gt;N73,N73,$F$73*$B$21*(1-$B$31)))</f>
        <v>0</v>
      </c>
      <c r="P73" s="90">
        <f t="shared" si="28"/>
        <v>0</v>
      </c>
      <c r="Q73" s="91">
        <f>IF(P80&lt;$B$21,0,IF($F$73*$B$21*(1-$B$31)&gt;P73,P73,$F$73*$B$21*(1-$B$31)))</f>
        <v>0</v>
      </c>
      <c r="R73" s="90">
        <f t="shared" ref="R73:R78" si="29">P73-Q73</f>
        <v>0</v>
      </c>
      <c r="S73" s="92">
        <f>IF(R80&lt;$B$21,0,IF($F$73*$B$21*(1-$B$31)&gt;R73,R73,$F$73*$B$21*(1-$B$31)))</f>
        <v>0</v>
      </c>
    </row>
    <row r="74" spans="4:19">
      <c r="D74" s="90" t="str">
        <f t="shared" ref="D74:D79" si="30">D73</f>
        <v>Computer / IT</v>
      </c>
      <c r="E74" s="93">
        <f t="shared" ref="E74:E79" si="31">E73+1</f>
        <v>2024</v>
      </c>
      <c r="F74" s="8"/>
      <c r="H74" s="90">
        <f>'RCE PP&amp;E'!G62</f>
        <v>22500</v>
      </c>
      <c r="I74" s="91">
        <f>IF(H80&lt;$B$21,0,IF($H$74*$B$21*(1-$B$31)&gt;H74,H74,$H$74*$B$21*(1-B35)))</f>
        <v>1687.5</v>
      </c>
      <c r="J74" s="90">
        <f>H74-I74</f>
        <v>20812.5</v>
      </c>
      <c r="K74" s="91">
        <f>IF(J80&lt;$B$21,0,IF($H$74*$B$21*(1-$B$31)&gt;J74,J74,$H$74*$B$21*(1-$B$31)))</f>
        <v>3375</v>
      </c>
      <c r="L74" s="90">
        <f>J74-K74</f>
        <v>17437.5</v>
      </c>
      <c r="M74" s="91">
        <f>IF(L80&lt;$B$21,0,IF($H$74*$B$21*(1-$B$31)&gt;L74,L74,$H$74*$B$21*(1-$B$31)))</f>
        <v>3375</v>
      </c>
      <c r="N74" s="90">
        <f>L74-M74</f>
        <v>14062.5</v>
      </c>
      <c r="O74" s="91">
        <f>IF(N80&lt;$B$21,0,IF($H$74*$B$21*(1-$B$31)&gt;N74,N74,$H$74*$B$21*(1-$B$31)))</f>
        <v>3375</v>
      </c>
      <c r="P74" s="90">
        <f t="shared" si="28"/>
        <v>10687.5</v>
      </c>
      <c r="Q74" s="91">
        <f>IF(P80&lt;$B$21,0,IF($H$74*$B$21*(1-$B$31)&gt;P74,P74,$H$74*$B$21*(1-$B$31)))</f>
        <v>3375</v>
      </c>
      <c r="R74" s="90">
        <f t="shared" si="29"/>
        <v>7312.5</v>
      </c>
      <c r="S74" s="92">
        <f>IF(R80&lt;$B$21,0,IF($H$74*$B$21*(1-$B$31)&gt;R74,R74,$H$74*$B$21*(1-$B$31)))</f>
        <v>3375</v>
      </c>
    </row>
    <row r="75" spans="4:19">
      <c r="D75" s="90" t="str">
        <f t="shared" si="30"/>
        <v>Computer / IT</v>
      </c>
      <c r="E75" s="93">
        <f t="shared" si="31"/>
        <v>2025</v>
      </c>
      <c r="F75" s="95"/>
      <c r="G75" s="96"/>
      <c r="H75" s="90"/>
      <c r="J75" s="90">
        <f>'RCE PP&amp;E'!H62</f>
        <v>0</v>
      </c>
      <c r="K75" s="91">
        <f>IF(J80&lt;$B$21,0,IF($J$75*$B$21*(1-$B$31)&gt;J75,J75,$J$75*$B$21*(1-$B$31)))*B35</f>
        <v>0</v>
      </c>
      <c r="L75" s="90">
        <f>J75-K75</f>
        <v>0</v>
      </c>
      <c r="M75" s="91">
        <f>IF(L80&lt;$B$21,0,IF($J$75*$B$21*(1-$B$31)&gt;L75,L75,$J$75*$B$21*(1-$B$31)))</f>
        <v>0</v>
      </c>
      <c r="N75" s="90">
        <f>L75-M75</f>
        <v>0</v>
      </c>
      <c r="O75" s="91">
        <f>IF(N75&lt;$B$21,0,IF($H$74*$B$21*(1-$B$31)&gt;N75,N75,$H$74*$B$21*(1-$B$31)))</f>
        <v>0</v>
      </c>
      <c r="P75" s="90">
        <f t="shared" si="28"/>
        <v>0</v>
      </c>
      <c r="Q75" s="91">
        <f>IF(P75&lt;$B$21,0,IF($H$74*$B$21*(1-$B$31)&gt;P75,P75,$H$74*$B$21*(1-$B$31)))</f>
        <v>0</v>
      </c>
      <c r="R75" s="90">
        <f t="shared" si="29"/>
        <v>0</v>
      </c>
      <c r="S75" s="92">
        <f>IF(R75&lt;$B$21,0,IF($H$74*$B$21*(1-$B$31)&gt;R75,R75,$H$74*$B$21*(1-$B$31)))</f>
        <v>0</v>
      </c>
    </row>
    <row r="76" spans="4:19">
      <c r="D76" s="90" t="str">
        <f t="shared" si="30"/>
        <v>Computer / IT</v>
      </c>
      <c r="E76" s="93">
        <f t="shared" si="31"/>
        <v>2026</v>
      </c>
      <c r="F76" s="90"/>
      <c r="G76" s="91"/>
      <c r="H76" s="90"/>
      <c r="J76" s="8"/>
      <c r="L76" s="90">
        <f>'RCE PP&amp;E'!I62</f>
        <v>0</v>
      </c>
      <c r="M76" s="91">
        <f>IF(L80&lt;$B$21,0,IF($L$76*$B$21*(1-$B$31)&gt;L76,L76,$L$76*$B$21*(1-$B$31)))*B35</f>
        <v>0</v>
      </c>
      <c r="N76" s="90">
        <f>L76-M76</f>
        <v>0</v>
      </c>
      <c r="O76" s="91">
        <f>IF(N80&lt;$B$21,0,IF($L$76*$B$21*(1-$B$31)&gt;N76,N76,$L$76*$B$21*(1-$B$31)))</f>
        <v>0</v>
      </c>
      <c r="P76" s="90">
        <f t="shared" si="28"/>
        <v>0</v>
      </c>
      <c r="Q76" s="91">
        <f>IF(P80&lt;$B$21,0,IF($L$76*$B$21*(1-$B$31)&gt;P76,P76,$L$76*$B$21*(1-$B$31)))</f>
        <v>0</v>
      </c>
      <c r="R76" s="90">
        <f t="shared" si="29"/>
        <v>0</v>
      </c>
      <c r="S76" s="92">
        <f>IF(R80&lt;$B$21,0,IF($L$76*$B$21*(1-$B$31)&gt;R76,R76,$L$76*$B$21*(1-$B$31)))</f>
        <v>0</v>
      </c>
    </row>
    <row r="77" spans="4:19">
      <c r="D77" s="90" t="str">
        <f t="shared" si="30"/>
        <v>Computer / IT</v>
      </c>
      <c r="E77" s="93">
        <f t="shared" si="31"/>
        <v>2027</v>
      </c>
      <c r="F77" s="90"/>
      <c r="G77" s="91"/>
      <c r="H77" s="90"/>
      <c r="I77" s="91"/>
      <c r="J77" s="8"/>
      <c r="L77" s="90"/>
      <c r="M77" s="91"/>
      <c r="N77" s="90">
        <f>'RCE PP&amp;E'!J62</f>
        <v>0</v>
      </c>
      <c r="O77" s="91">
        <f>IF(N80&lt;$B$21,0,IF($N$77*$B$21*(1-$B$31)&gt;N77,N77,$N$77*$B$21*(1-$B$31)))*B35</f>
        <v>0</v>
      </c>
      <c r="P77" s="90">
        <f t="shared" si="28"/>
        <v>0</v>
      </c>
      <c r="Q77" s="91">
        <f>IF(P80&lt;$B$21,0,IF($N$77*$B$21*(1-$B$31)&gt;P77,P77,$N$77*$B$21*(1-$B$31)))</f>
        <v>0</v>
      </c>
      <c r="R77" s="90">
        <f t="shared" si="29"/>
        <v>0</v>
      </c>
      <c r="S77" s="92">
        <f>IF(R80&lt;$B$21,0,IF($N$77*$B$21*(1-$B$31)&gt;R77,R77,$N$77*$B$21*(1-$B$31)))</f>
        <v>0</v>
      </c>
    </row>
    <row r="78" spans="4:19">
      <c r="D78" s="90" t="str">
        <f t="shared" si="30"/>
        <v>Computer / IT</v>
      </c>
      <c r="E78" s="93">
        <f t="shared" si="31"/>
        <v>2028</v>
      </c>
      <c r="F78" s="90"/>
      <c r="G78" s="91"/>
      <c r="H78" s="90"/>
      <c r="I78" s="91"/>
      <c r="J78" s="90"/>
      <c r="L78" s="90"/>
      <c r="M78" s="91"/>
      <c r="N78" s="90"/>
      <c r="O78" s="91"/>
      <c r="P78" s="90">
        <f>'RCE PP&amp;E'!K62</f>
        <v>0</v>
      </c>
      <c r="Q78" s="92">
        <f>IF(P80&lt;$B$21,0,IF($P$78*$B$21*(1-$B$31)&gt;P78,P78,$P$78*$B$21*(1-$B$31)))*B35</f>
        <v>0</v>
      </c>
      <c r="R78" s="90">
        <f t="shared" si="29"/>
        <v>0</v>
      </c>
      <c r="S78" s="92">
        <f>IF(R80&lt;$B$21,0,IF($P$78*$B$21*(1-$B$31)&gt;R78,R78,$P$78*$B$21*(1-$B$31)))</f>
        <v>0</v>
      </c>
    </row>
    <row r="79" spans="4:19">
      <c r="D79" s="90" t="str">
        <f t="shared" si="30"/>
        <v>Computer / IT</v>
      </c>
      <c r="E79" s="93">
        <f t="shared" si="31"/>
        <v>2029</v>
      </c>
      <c r="F79" s="90"/>
      <c r="G79" s="91"/>
      <c r="H79" s="90"/>
      <c r="I79" s="91"/>
      <c r="J79" s="90"/>
      <c r="L79" s="90"/>
      <c r="M79" s="91"/>
      <c r="N79" s="90"/>
      <c r="O79" s="91"/>
      <c r="P79" s="90"/>
      <c r="Q79" s="92"/>
      <c r="R79" s="90">
        <f>'RCE PP&amp;E'!L62</f>
        <v>0</v>
      </c>
      <c r="S79" s="92">
        <f>IF(R80&lt;$B$21,0,IF($R$79*$B$21*(1-$B$31)&gt;R79,R79,$R$79*$B$21*(1-$B$31)))*B35</f>
        <v>0</v>
      </c>
    </row>
    <row r="80" spans="4:19" ht="13.5" thickBot="1">
      <c r="D80" s="97"/>
      <c r="E80" s="84"/>
      <c r="F80" s="98">
        <f>SUM(F72:F79)</f>
        <v>0</v>
      </c>
      <c r="G80" s="99">
        <f>SUM(G72:G79)</f>
        <v>0</v>
      </c>
      <c r="H80" s="98">
        <f>SUM(H72:H79)</f>
        <v>22500</v>
      </c>
      <c r="I80" s="99">
        <f>SUM(I72:I79)</f>
        <v>1687.5</v>
      </c>
      <c r="J80" s="98">
        <f t="shared" ref="J80:Q80" si="32">SUM(J72:J79)</f>
        <v>20812.5</v>
      </c>
      <c r="K80" s="99">
        <f t="shared" si="32"/>
        <v>3375</v>
      </c>
      <c r="L80" s="98">
        <f t="shared" si="32"/>
        <v>17437.5</v>
      </c>
      <c r="M80" s="99">
        <f t="shared" si="32"/>
        <v>3375</v>
      </c>
      <c r="N80" s="98">
        <f t="shared" si="32"/>
        <v>14062.5</v>
      </c>
      <c r="O80" s="99">
        <f t="shared" si="32"/>
        <v>3375</v>
      </c>
      <c r="P80" s="98">
        <f t="shared" si="32"/>
        <v>10687.5</v>
      </c>
      <c r="Q80" s="100">
        <f t="shared" si="32"/>
        <v>3375</v>
      </c>
      <c r="R80" s="98">
        <f>SUM(R72:R79)</f>
        <v>7312.5</v>
      </c>
      <c r="S80" s="100">
        <f>SUM(S72:S79)</f>
        <v>3375</v>
      </c>
    </row>
    <row r="81" spans="4:19">
      <c r="F81" s="91"/>
      <c r="G81" s="91"/>
      <c r="H81" s="91"/>
      <c r="I81" s="91"/>
      <c r="J81" s="91"/>
      <c r="K81" s="91"/>
      <c r="L81" s="91"/>
      <c r="M81" s="91"/>
      <c r="N81" s="91"/>
      <c r="O81" s="91"/>
      <c r="P81" s="91"/>
      <c r="Q81" s="91"/>
      <c r="R81" s="91"/>
      <c r="S81" s="91"/>
    </row>
    <row r="82" spans="4:19">
      <c r="F82" s="79">
        <f>F69</f>
        <v>2023</v>
      </c>
      <c r="H82" s="79">
        <f>F82+1</f>
        <v>2024</v>
      </c>
      <c r="J82" s="79">
        <f>H82+1</f>
        <v>2025</v>
      </c>
      <c r="L82" s="79">
        <f>J82+1</f>
        <v>2026</v>
      </c>
      <c r="N82" s="79">
        <f>L82+1</f>
        <v>2027</v>
      </c>
      <c r="P82" s="79">
        <f>N82+1</f>
        <v>2028</v>
      </c>
      <c r="Q82" s="80"/>
      <c r="R82" s="79">
        <f>R69</f>
        <v>2029</v>
      </c>
      <c r="S82" s="80"/>
    </row>
    <row r="83" spans="4:19" ht="13.5" thickBot="1">
      <c r="E83" s="81"/>
      <c r="F83" s="82" t="s">
        <v>120</v>
      </c>
      <c r="G83" s="83" t="str">
        <f>G70</f>
        <v>Depreciation</v>
      </c>
      <c r="H83" s="82" t="s">
        <v>120</v>
      </c>
      <c r="I83" s="83" t="str">
        <f>G83</f>
        <v>Depreciation</v>
      </c>
      <c r="J83" s="82" t="s">
        <v>120</v>
      </c>
      <c r="K83" s="83" t="str">
        <f>I83</f>
        <v>Depreciation</v>
      </c>
      <c r="L83" s="82" t="s">
        <v>120</v>
      </c>
      <c r="M83" s="84" t="str">
        <f>K83</f>
        <v>Depreciation</v>
      </c>
      <c r="N83" s="82" t="s">
        <v>120</v>
      </c>
      <c r="O83" s="84" t="str">
        <f>M83</f>
        <v>Depreciation</v>
      </c>
      <c r="P83" s="82" t="s">
        <v>120</v>
      </c>
      <c r="Q83" s="81" t="str">
        <f>O83</f>
        <v>Depreciation</v>
      </c>
      <c r="R83" s="97" t="s">
        <v>120</v>
      </c>
      <c r="S83" s="81" t="str">
        <f>Q83</f>
        <v>Depreciation</v>
      </c>
    </row>
    <row r="84" spans="4:19">
      <c r="D84" s="86" t="str">
        <f>A32</f>
        <v>Others</v>
      </c>
      <c r="F84" s="79"/>
      <c r="G84" s="87"/>
      <c r="H84" s="79"/>
      <c r="I84" s="87"/>
      <c r="J84" s="79"/>
      <c r="K84" s="87"/>
      <c r="L84" s="79"/>
      <c r="N84" s="79"/>
      <c r="P84" s="79"/>
      <c r="Q84" s="80"/>
      <c r="R84" s="8"/>
      <c r="S84" s="80"/>
    </row>
    <row r="85" spans="4:19">
      <c r="D85" s="90" t="str">
        <f>D72</f>
        <v>Value at start</v>
      </c>
      <c r="E85" s="89"/>
      <c r="F85" s="90">
        <f>B12</f>
        <v>0</v>
      </c>
      <c r="G85" s="91">
        <f>IF($B$12*$B$22*(1-$B$32)&gt;F85,F85,$B$12*$B$22*B35*(1-$B$32))</f>
        <v>0</v>
      </c>
      <c r="H85" s="90">
        <f>F85-G85</f>
        <v>0</v>
      </c>
      <c r="I85" s="91">
        <f>IF($B$12*$B$22*(1-$B$32)&gt;H85,H85,$B$12*$B$22*(1-$B$32))</f>
        <v>0</v>
      </c>
      <c r="J85" s="90">
        <f>H85-I85</f>
        <v>0</v>
      </c>
      <c r="K85" s="91">
        <f>IF($B$12*$B$22*(1-$B$32)&gt;J85,J85,$B$12*$B$22*(1-$B$32))</f>
        <v>0</v>
      </c>
      <c r="L85" s="90">
        <f>J85-K85</f>
        <v>0</v>
      </c>
      <c r="M85" s="91">
        <f>IF($B$12*$B$22*(1-$B$32)&gt;L85,L85,$B$12*$B$22*(1-$B$32))</f>
        <v>0</v>
      </c>
      <c r="N85" s="90">
        <f>L85-M85</f>
        <v>0</v>
      </c>
      <c r="O85" s="91">
        <f>IF($B$12*$B$22*(1-$B$32)&gt;N85,N85,$B$12*$B$22*(1-$B$32))</f>
        <v>0</v>
      </c>
      <c r="P85" s="90">
        <f t="shared" ref="P85:P90" si="33">N85-O85</f>
        <v>0</v>
      </c>
      <c r="Q85" s="91">
        <f>IF($B$12*$B$22*(1-$B$32)&gt;P85,P85,$B$12*$B$22*(1-$B$32))</f>
        <v>0</v>
      </c>
      <c r="R85" s="90">
        <f>P85-Q85</f>
        <v>0</v>
      </c>
      <c r="S85" s="92">
        <f>IF($B$12*$B$22*(1-$B$32)&gt;R85,R85,$B$12*$B$22*(1-$B$32))</f>
        <v>0</v>
      </c>
    </row>
    <row r="86" spans="4:19">
      <c r="D86" s="90" t="str">
        <f>D84</f>
        <v>Others</v>
      </c>
      <c r="E86" s="93">
        <f>F29</f>
        <v>2023</v>
      </c>
      <c r="F86" s="90">
        <f>'RCE PP&amp;E'!F63</f>
        <v>0</v>
      </c>
      <c r="G86" s="91">
        <f>IF($F$86*$B$22&gt;F86,F86,$F$86*$B$22)*B35</f>
        <v>0</v>
      </c>
      <c r="H86" s="90">
        <f>F86-G86</f>
        <v>0</v>
      </c>
      <c r="I86" s="91">
        <f>IF($F$86*$B$22*(1-$B$32)&gt;H86,H86,$F$86*$B$22*(1-$B$32))</f>
        <v>0</v>
      </c>
      <c r="J86" s="90">
        <f>H86-I86</f>
        <v>0</v>
      </c>
      <c r="K86" s="91">
        <f>IF(J93&lt;$B$22,0,IF($F$86*$B$22*(1-$B$32)&gt;J86,J86,$F$86*$B$22*(1-$B$32)))</f>
        <v>0</v>
      </c>
      <c r="L86" s="90">
        <f>J86-K86</f>
        <v>0</v>
      </c>
      <c r="M86" s="91">
        <f>IF(L93&lt;$B$22,0,IF($F$86*$B$22*(1-$B$32)&gt;L86,L86,$F$86*$B$22*(1-$B$32)))</f>
        <v>0</v>
      </c>
      <c r="N86" s="90">
        <f>L86-M86</f>
        <v>0</v>
      </c>
      <c r="O86" s="91">
        <f>IF(N93&lt;$B$22,0,IF($F$86*$B$22*(1-$B$32)&gt;N86,N86,$F$86*$B$22*(1-$B$32)))</f>
        <v>0</v>
      </c>
      <c r="P86" s="90">
        <f t="shared" si="33"/>
        <v>0</v>
      </c>
      <c r="Q86" s="92">
        <f>IF(P93&lt;$B$22,0,IF($F$86*$B$22*(1-$B$32)&gt;P86,P86,$F$86*$B$22*(1-$B$32)))</f>
        <v>0</v>
      </c>
      <c r="R86" s="90">
        <f t="shared" ref="R86:R91" si="34">P86-Q86</f>
        <v>0</v>
      </c>
      <c r="S86" s="92">
        <f>IF(R93&lt;$B$22,0,IF($F$86*$B$22*(1-$B$32)&gt;R86,R86,$F$86*$B$22*(1-$B$32)))</f>
        <v>0</v>
      </c>
    </row>
    <row r="87" spans="4:19">
      <c r="D87" s="8" t="str">
        <f t="shared" ref="D87:D92" si="35">D86</f>
        <v>Others</v>
      </c>
      <c r="E87" s="93">
        <f t="shared" ref="E87:E92" si="36">E86+1</f>
        <v>2024</v>
      </c>
      <c r="F87" s="8"/>
      <c r="H87" s="90">
        <f>'RCE PP&amp;E'!G63</f>
        <v>137500</v>
      </c>
      <c r="I87" s="91">
        <f>IF(H93&lt;$B$22,0,IF($H$87*$B$22*(1-$B$32)&gt;H87,H87,$H$87*$B$22*B35*(1-$B$32)))</f>
        <v>10312.5</v>
      </c>
      <c r="J87" s="90">
        <f>H87-I87</f>
        <v>127187.5</v>
      </c>
      <c r="K87" s="91">
        <f>IF(J93&lt;$B$22,0,IF($H$87*$B$22*(1-$B$32)&gt;J87,J87,$H$87*$B$22*(1-$B$32)))</f>
        <v>20625</v>
      </c>
      <c r="L87" s="90">
        <f>J87-K87</f>
        <v>106562.5</v>
      </c>
      <c r="M87" s="91">
        <f>IF(L93&lt;$B$22,0,IF($H$87*$B$22*(1-$B$32)&gt;L87,L87,$H$87*$B$22*(1-$B$32)))</f>
        <v>20625</v>
      </c>
      <c r="N87" s="90">
        <f>L87-M87</f>
        <v>85937.5</v>
      </c>
      <c r="O87" s="91">
        <f>IF(N93&lt;$B$22,0,IF($H$87*$B$22*(1-$B$32)&gt;N87,N87,$H$87*$B$22*(1-$B$32)))</f>
        <v>20625</v>
      </c>
      <c r="P87" s="90">
        <f t="shared" si="33"/>
        <v>65312.5</v>
      </c>
      <c r="Q87" s="92">
        <f>IF(P93&lt;$B$22,0,IF($H$87*$B$22*(1-$B$32)&gt;P87,P87,$H$87*$B$22*(1-$B$32)))</f>
        <v>20625</v>
      </c>
      <c r="R87" s="90">
        <f t="shared" si="34"/>
        <v>44687.5</v>
      </c>
      <c r="S87" s="92">
        <f>IF(R93&lt;$B$22,0,IF($H$87*$B$22*(1-$B$32)&gt;R87,R87,$H$87*$B$22*(1-$B$32)))</f>
        <v>20625</v>
      </c>
    </row>
    <row r="88" spans="4:19">
      <c r="D88" s="8" t="str">
        <f t="shared" si="35"/>
        <v>Others</v>
      </c>
      <c r="E88" s="93">
        <f t="shared" si="36"/>
        <v>2025</v>
      </c>
      <c r="F88" s="95"/>
      <c r="G88" s="96"/>
      <c r="H88" s="90"/>
      <c r="J88" s="90">
        <f>'RCE PP&amp;E'!H63</f>
        <v>0</v>
      </c>
      <c r="K88" s="91">
        <f>IF(J93&lt;$B$22,0,IF($J$88*$B$22*(1-$B$32)&gt;J88,J88,$J$88*$B$22*B35*(1-$B$32)))</f>
        <v>0</v>
      </c>
      <c r="L88" s="90">
        <f>J88-K88</f>
        <v>0</v>
      </c>
      <c r="M88" s="91">
        <f>IF(L93&lt;$B$22,0,IF($J$88*$B$22*(1-$B$32)&gt;L88,L88,$J$88*$B$22*(1-$B$32)))</f>
        <v>0</v>
      </c>
      <c r="N88" s="90">
        <f>L88-M88</f>
        <v>0</v>
      </c>
      <c r="O88" s="91">
        <f>IF(N93&lt;$B$22,0,IF($J$88*$B$22*(1-$B$32)&gt;N88,N88,$J$88*$B$22*(1-$B$32)))</f>
        <v>0</v>
      </c>
      <c r="P88" s="90">
        <f t="shared" si="33"/>
        <v>0</v>
      </c>
      <c r="Q88" s="92">
        <f>IF(P93&lt;$B$22,0,IF($J$88*$B$22*(1-$B$32)&gt;P88,P88,$J$88*$B$22*(1-$B$32)))</f>
        <v>0</v>
      </c>
      <c r="R88" s="90">
        <f t="shared" si="34"/>
        <v>0</v>
      </c>
      <c r="S88" s="92">
        <f>IF(R93&lt;$B$22,0,IF($J$88*$B$22*(1-$B$32)&gt;R88,R88,$J$88*$B$22*(1-$B$32)))</f>
        <v>0</v>
      </c>
    </row>
    <row r="89" spans="4:19">
      <c r="D89" s="8" t="str">
        <f t="shared" si="35"/>
        <v>Others</v>
      </c>
      <c r="E89" s="93">
        <f t="shared" si="36"/>
        <v>2026</v>
      </c>
      <c r="F89" s="90"/>
      <c r="G89" s="91"/>
      <c r="H89" s="90"/>
      <c r="J89" s="8"/>
      <c r="L89" s="90">
        <f>'RCE PP&amp;E'!I63</f>
        <v>0</v>
      </c>
      <c r="M89" s="91">
        <f>IF(L93&lt;$B$22,0,IF($L$89*$B$22*(1-$B$32)&gt;L89,L89,$L$89*$B$22*B35*(1-$B$32)))</f>
        <v>0</v>
      </c>
      <c r="N89" s="90">
        <f>L89-M89</f>
        <v>0</v>
      </c>
      <c r="O89" s="91">
        <f>IF(N93&lt;$B$22,0,IF($L$89*$B$22*(1-$B$32)&gt;N89,N89,$L$89*$B$22*(1-$B$32)))</f>
        <v>0</v>
      </c>
      <c r="P89" s="90">
        <f t="shared" si="33"/>
        <v>0</v>
      </c>
      <c r="Q89" s="92">
        <f>IF(P93&lt;$B$22,0,IF($L$89*$B$22*(1-$B$32)&gt;P89,P89,$L$89*$B$22*(1-$B$32)))</f>
        <v>0</v>
      </c>
      <c r="R89" s="90">
        <f t="shared" si="34"/>
        <v>0</v>
      </c>
      <c r="S89" s="92">
        <f>IF(R93&lt;$B$22,0,IF($L$89*$B$22*(1-$B$32)&gt;R89,R89,$L$89*$B$22*(1-$B$32)))</f>
        <v>0</v>
      </c>
    </row>
    <row r="90" spans="4:19">
      <c r="D90" s="8" t="str">
        <f t="shared" si="35"/>
        <v>Others</v>
      </c>
      <c r="E90" s="93">
        <f t="shared" si="36"/>
        <v>2027</v>
      </c>
      <c r="F90" s="90"/>
      <c r="G90" s="91"/>
      <c r="H90" s="90"/>
      <c r="I90" s="91"/>
      <c r="J90" s="8"/>
      <c r="L90" s="90"/>
      <c r="M90" s="91"/>
      <c r="N90" s="90">
        <f>'RCE PP&amp;E'!J63</f>
        <v>0</v>
      </c>
      <c r="O90" s="91">
        <f>IF(N93&lt;$B$22,0,IF($N$90*$B$22*(1-$B$32)&gt;N90,N90,$N$90*$B$22*B35*(1-$B$32)))</f>
        <v>0</v>
      </c>
      <c r="P90" s="90">
        <f t="shared" si="33"/>
        <v>0</v>
      </c>
      <c r="Q90" s="92">
        <f>IF(P93&lt;$B$22,0,IF($N$90*$B$22*(1-$B$32)&gt;P90,P90,$N$90*$B$22*(1-$B$32)))</f>
        <v>0</v>
      </c>
      <c r="R90" s="90">
        <f t="shared" si="34"/>
        <v>0</v>
      </c>
      <c r="S90" s="92">
        <f>IF(R93&lt;$B$22,0,IF($N$90*$B$22*(1-$B$32)&gt;R90,R90,$N$90*$B$22*(1-$B$32)))</f>
        <v>0</v>
      </c>
    </row>
    <row r="91" spans="4:19">
      <c r="D91" s="8" t="str">
        <f t="shared" si="35"/>
        <v>Others</v>
      </c>
      <c r="E91" s="93">
        <f t="shared" si="36"/>
        <v>2028</v>
      </c>
      <c r="F91" s="90"/>
      <c r="G91" s="91"/>
      <c r="H91" s="90"/>
      <c r="I91" s="91"/>
      <c r="J91" s="90"/>
      <c r="L91" s="90"/>
      <c r="M91" s="91"/>
      <c r="N91" s="90"/>
      <c r="O91" s="91"/>
      <c r="P91" s="90">
        <f>'RCE PP&amp;E'!K63</f>
        <v>0</v>
      </c>
      <c r="Q91" s="92">
        <f>IF(P93&lt;$B$22,0,IF($P$91*$B$22*(1-$B$32)&gt;P91,P91,P91*$B$22*B35*(1-$B$32)))</f>
        <v>0</v>
      </c>
      <c r="R91" s="90">
        <f t="shared" si="34"/>
        <v>0</v>
      </c>
      <c r="S91" s="92">
        <f>IF(R93&lt;$B$22,0,IF($P$91*$B$22*(1-$B$32)&gt;R91,R91,$P$91*$B$22*B35*(1-$B$32)))</f>
        <v>0</v>
      </c>
    </row>
    <row r="92" spans="4:19">
      <c r="D92" s="8" t="str">
        <f t="shared" si="35"/>
        <v>Others</v>
      </c>
      <c r="E92" s="93">
        <f t="shared" si="36"/>
        <v>2029</v>
      </c>
      <c r="F92" s="90"/>
      <c r="G92" s="91"/>
      <c r="H92" s="90"/>
      <c r="I92" s="91"/>
      <c r="J92" s="90"/>
      <c r="L92" s="90"/>
      <c r="M92" s="91"/>
      <c r="N92" s="90"/>
      <c r="O92" s="91"/>
      <c r="P92" s="90"/>
      <c r="Q92" s="92"/>
      <c r="R92" s="90">
        <f>'RCE PP&amp;E'!L63</f>
        <v>0</v>
      </c>
      <c r="S92" s="92">
        <f>IF(R93&lt;$B$22,0,IF($R$92*$B$22*(1-$B$32)&gt;R92,R92,R92*$B$22*B35*(1-$B$32)))</f>
        <v>0</v>
      </c>
    </row>
    <row r="93" spans="4:19" ht="13.5" thickBot="1">
      <c r="D93" s="97"/>
      <c r="E93" s="84"/>
      <c r="F93" s="98">
        <f t="shared" ref="F93:L93" si="37">SUM(F85:F92)</f>
        <v>0</v>
      </c>
      <c r="G93" s="99">
        <f t="shared" si="37"/>
        <v>0</v>
      </c>
      <c r="H93" s="98">
        <f t="shared" si="37"/>
        <v>137500</v>
      </c>
      <c r="I93" s="99">
        <f t="shared" si="37"/>
        <v>10312.5</v>
      </c>
      <c r="J93" s="98">
        <f t="shared" si="37"/>
        <v>127187.5</v>
      </c>
      <c r="K93" s="99">
        <f t="shared" si="37"/>
        <v>20625</v>
      </c>
      <c r="L93" s="98">
        <f t="shared" si="37"/>
        <v>106562.5</v>
      </c>
      <c r="M93" s="99">
        <f t="shared" ref="M93:S93" si="38">SUM(M85:M92)</f>
        <v>20625</v>
      </c>
      <c r="N93" s="98">
        <f t="shared" si="38"/>
        <v>85937.5</v>
      </c>
      <c r="O93" s="99">
        <f t="shared" si="38"/>
        <v>20625</v>
      </c>
      <c r="P93" s="98">
        <f t="shared" si="38"/>
        <v>65312.5</v>
      </c>
      <c r="Q93" s="100">
        <f t="shared" si="38"/>
        <v>20625</v>
      </c>
      <c r="R93" s="98">
        <f t="shared" si="38"/>
        <v>44687.5</v>
      </c>
      <c r="S93" s="100">
        <f t="shared" si="38"/>
        <v>20625</v>
      </c>
    </row>
    <row r="94" spans="4:19">
      <c r="F94" s="101"/>
      <c r="G94" s="101"/>
      <c r="H94" s="101"/>
      <c r="I94" s="101"/>
      <c r="J94" s="101"/>
      <c r="K94" s="101"/>
      <c r="L94" s="101"/>
      <c r="M94" s="101"/>
      <c r="N94" s="101"/>
      <c r="O94" s="101"/>
      <c r="P94" s="101"/>
      <c r="Q94" s="101"/>
      <c r="R94" s="101"/>
      <c r="S94" s="101"/>
    </row>
    <row r="96" spans="4:19" ht="13.5" thickBot="1">
      <c r="F96" s="102">
        <f ca="1">F14+F27+F54+F40+F93+F80+F67</f>
        <v>425767.18016795942</v>
      </c>
      <c r="G96" s="102">
        <f ca="1">G14+G27+G54+G40+G93+G80+G67</f>
        <v>105116.79030386079</v>
      </c>
      <c r="H96" s="102">
        <f t="shared" ref="H96:S96" ca="1" si="39">H14+H27+H54+H40+H93+H80+H67</f>
        <v>2731550.5677400986</v>
      </c>
      <c r="I96" s="102">
        <f t="shared" ca="1" si="39"/>
        <v>169424.40025466034</v>
      </c>
      <c r="J96" s="102">
        <f t="shared" ca="1" si="39"/>
        <v>2773945.4986115983</v>
      </c>
      <c r="K96" s="102">
        <f t="shared" ca="1" si="39"/>
        <v>326573.89646474656</v>
      </c>
      <c r="L96" s="102">
        <f t="shared" ca="1" si="39"/>
        <v>2761983.2163646119</v>
      </c>
      <c r="M96" s="102">
        <f t="shared" ca="1" si="39"/>
        <v>327716.08691928955</v>
      </c>
      <c r="N96" s="102">
        <f t="shared" ca="1" si="39"/>
        <v>2714515.959154218</v>
      </c>
      <c r="O96" s="102">
        <f t="shared" ca="1" si="39"/>
        <v>299398.95142149919</v>
      </c>
      <c r="P96" s="102">
        <f t="shared" ca="1" si="39"/>
        <v>2732179.3231363269</v>
      </c>
      <c r="Q96" s="102">
        <f t="shared" ca="1" si="39"/>
        <v>405348.82905399083</v>
      </c>
      <c r="R96" s="102">
        <f t="shared" ca="1" si="39"/>
        <v>2638121.0196071835</v>
      </c>
      <c r="S96" s="102">
        <f t="shared" ca="1" si="39"/>
        <v>352742.63826209679</v>
      </c>
    </row>
    <row r="97" spans="6:19" ht="13.5" thickTop="1"/>
    <row r="98" spans="6:19">
      <c r="F98" s="91" t="s">
        <v>46</v>
      </c>
      <c r="G98" s="91">
        <f ca="1">F96-G96</f>
        <v>320650.38986409863</v>
      </c>
      <c r="I98" s="91">
        <f ca="1">H96-I96</f>
        <v>2562126.1674854383</v>
      </c>
      <c r="K98" s="91">
        <f ca="1">J96-K96</f>
        <v>2447371.6021468518</v>
      </c>
      <c r="M98" s="91">
        <f ca="1">L96-M96</f>
        <v>2434267.1294453223</v>
      </c>
      <c r="O98" s="91">
        <f ca="1">N96-O96</f>
        <v>2415117.0077327187</v>
      </c>
      <c r="Q98" s="91">
        <f ca="1">P96-Q96</f>
        <v>2326830.4940823358</v>
      </c>
      <c r="S98" s="91">
        <f ca="1">R96-S96</f>
        <v>2285378.3813450867</v>
      </c>
    </row>
    <row r="100" spans="6:19">
      <c r="F100" s="91" t="s">
        <v>122</v>
      </c>
      <c r="G100" s="103"/>
      <c r="I100" s="103"/>
      <c r="J100" s="91"/>
      <c r="K100" s="103"/>
      <c r="M100" s="103"/>
      <c r="O100" s="103"/>
      <c r="Q100" s="103"/>
      <c r="S100" s="103"/>
    </row>
    <row r="101" spans="6:19">
      <c r="F101" s="91"/>
    </row>
    <row r="102" spans="6:19">
      <c r="F102" s="91" t="s">
        <v>123</v>
      </c>
      <c r="G102" s="103">
        <f ca="1">G98+G100</f>
        <v>320650.38986409863</v>
      </c>
      <c r="I102" s="103">
        <f ca="1">I98+I100</f>
        <v>2562126.1674854383</v>
      </c>
      <c r="K102" s="103">
        <f ca="1">K98+K100</f>
        <v>2447371.6021468518</v>
      </c>
      <c r="M102" s="103">
        <f ca="1">M98+M100</f>
        <v>2434267.1294453223</v>
      </c>
      <c r="O102" s="103">
        <f ca="1">O98+O100</f>
        <v>2415117.0077327187</v>
      </c>
      <c r="Q102" s="103">
        <f ca="1">Q98+Q100</f>
        <v>2326830.4940823358</v>
      </c>
      <c r="S102" s="103">
        <f ca="1">S98+S100</f>
        <v>2285378.3813450867</v>
      </c>
    </row>
  </sheetData>
  <sheetProtection password="CD53"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7" tint="0.59999389629810485"/>
  </sheetPr>
  <dimension ref="A1:AD239"/>
  <sheetViews>
    <sheetView zoomScale="60" zoomScaleNormal="60" workbookViewId="0">
      <selection activeCell="H212" sqref="H212"/>
    </sheetView>
  </sheetViews>
  <sheetFormatPr defaultRowHeight="12.75"/>
  <cols>
    <col min="1" max="1" width="2.42578125" style="544" customWidth="1"/>
    <col min="2" max="2" width="25.5703125" style="544" customWidth="1"/>
    <col min="3" max="3" width="11.5703125" style="544" bestFit="1" customWidth="1"/>
    <col min="4" max="4" width="18" style="544" customWidth="1"/>
    <col min="5" max="5" width="14.5703125" style="544" customWidth="1"/>
    <col min="6" max="6" width="10.85546875" style="544" bestFit="1" customWidth="1"/>
    <col min="7" max="7" width="12.28515625" style="544" customWidth="1"/>
    <col min="8" max="8" width="13.5703125" style="544" customWidth="1"/>
    <col min="9" max="9" width="14" style="544" customWidth="1"/>
    <col min="10" max="10" width="16.5703125" style="544" customWidth="1"/>
    <col min="11" max="11" width="17.28515625" style="544" customWidth="1"/>
    <col min="12" max="12" width="14" style="544" bestFit="1" customWidth="1"/>
    <col min="13" max="13" width="15" style="544" customWidth="1"/>
    <col min="14" max="15" width="15.140625" style="544" customWidth="1"/>
    <col min="16" max="16" width="2.7109375" style="544" customWidth="1"/>
    <col min="17" max="17" width="15.7109375" style="544" bestFit="1" customWidth="1"/>
    <col min="18" max="18" width="11.140625" style="544" bestFit="1" customWidth="1"/>
    <col min="19" max="19" width="11.85546875" style="544" bestFit="1" customWidth="1"/>
    <col min="20" max="20" width="11.140625" style="544" bestFit="1" customWidth="1"/>
    <col min="21" max="22" width="11.85546875" style="544" bestFit="1" customWidth="1"/>
    <col min="23" max="23" width="11.140625" style="544" bestFit="1" customWidth="1"/>
    <col min="24" max="24" width="11.85546875" style="544" bestFit="1" customWidth="1"/>
    <col min="25" max="25" width="11.28515625" style="544" bestFit="1" customWidth="1"/>
    <col min="26" max="26" width="11.140625" style="544" bestFit="1" customWidth="1"/>
    <col min="27" max="27" width="10.5703125" style="544" bestFit="1" customWidth="1"/>
    <col min="28" max="29" width="11.28515625" style="544" bestFit="1" customWidth="1"/>
    <col min="30" max="30" width="12.28515625" style="544" customWidth="1"/>
    <col min="31" max="256" width="9.140625" style="544"/>
    <col min="257" max="257" width="2.42578125" style="544" customWidth="1"/>
    <col min="258" max="258" width="13.28515625" style="544" customWidth="1"/>
    <col min="259" max="259" width="11.5703125" style="544" bestFit="1" customWidth="1"/>
    <col min="260" max="260" width="14.5703125" style="544" customWidth="1"/>
    <col min="261" max="261" width="9.85546875" style="544" bestFit="1" customWidth="1"/>
    <col min="262" max="262" width="12.28515625" style="544" bestFit="1" customWidth="1"/>
    <col min="263" max="263" width="9.85546875" style="544" bestFit="1" customWidth="1"/>
    <col min="264" max="264" width="14" style="544" customWidth="1"/>
    <col min="265" max="265" width="11.140625" style="544" bestFit="1" customWidth="1"/>
    <col min="266" max="267" width="10.85546875" style="544" bestFit="1" customWidth="1"/>
    <col min="268" max="270" width="11.140625" style="544" bestFit="1" customWidth="1"/>
    <col min="271" max="271" width="9.140625" style="544"/>
    <col min="272" max="272" width="15.7109375" style="544" bestFit="1" customWidth="1"/>
    <col min="273" max="273" width="11.140625" style="544" bestFit="1" customWidth="1"/>
    <col min="274" max="274" width="11.85546875" style="544" bestFit="1" customWidth="1"/>
    <col min="275" max="275" width="11.140625" style="544" bestFit="1" customWidth="1"/>
    <col min="276" max="277" width="11.85546875" style="544" bestFit="1" customWidth="1"/>
    <col min="278" max="278" width="11.140625" style="544" bestFit="1" customWidth="1"/>
    <col min="279" max="281" width="11.85546875" style="544" bestFit="1" customWidth="1"/>
    <col min="282" max="512" width="9.140625" style="544"/>
    <col min="513" max="513" width="2.42578125" style="544" customWidth="1"/>
    <col min="514" max="514" width="13.28515625" style="544" customWidth="1"/>
    <col min="515" max="515" width="11.5703125" style="544" bestFit="1" customWidth="1"/>
    <col min="516" max="516" width="14.5703125" style="544" customWidth="1"/>
    <col min="517" max="517" width="9.85546875" style="544" bestFit="1" customWidth="1"/>
    <col min="518" max="518" width="12.28515625" style="544" bestFit="1" customWidth="1"/>
    <col min="519" max="519" width="9.85546875" style="544" bestFit="1" customWidth="1"/>
    <col min="520" max="520" width="14" style="544" customWidth="1"/>
    <col min="521" max="521" width="11.140625" style="544" bestFit="1" customWidth="1"/>
    <col min="522" max="523" width="10.85546875" style="544" bestFit="1" customWidth="1"/>
    <col min="524" max="526" width="11.140625" style="544" bestFit="1" customWidth="1"/>
    <col min="527" max="527" width="9.140625" style="544"/>
    <col min="528" max="528" width="15.7109375" style="544" bestFit="1" customWidth="1"/>
    <col min="529" max="529" width="11.140625" style="544" bestFit="1" customWidth="1"/>
    <col min="530" max="530" width="11.85546875" style="544" bestFit="1" customWidth="1"/>
    <col min="531" max="531" width="11.140625" style="544" bestFit="1" customWidth="1"/>
    <col min="532" max="533" width="11.85546875" style="544" bestFit="1" customWidth="1"/>
    <col min="534" max="534" width="11.140625" style="544" bestFit="1" customWidth="1"/>
    <col min="535" max="537" width="11.85546875" style="544" bestFit="1" customWidth="1"/>
    <col min="538" max="768" width="9.140625" style="544"/>
    <col min="769" max="769" width="2.42578125" style="544" customWidth="1"/>
    <col min="770" max="770" width="13.28515625" style="544" customWidth="1"/>
    <col min="771" max="771" width="11.5703125" style="544" bestFit="1" customWidth="1"/>
    <col min="772" max="772" width="14.5703125" style="544" customWidth="1"/>
    <col min="773" max="773" width="9.85546875" style="544" bestFit="1" customWidth="1"/>
    <col min="774" max="774" width="12.28515625" style="544" bestFit="1" customWidth="1"/>
    <col min="775" max="775" width="9.85546875" style="544" bestFit="1" customWidth="1"/>
    <col min="776" max="776" width="14" style="544" customWidth="1"/>
    <col min="777" max="777" width="11.140625" style="544" bestFit="1" customWidth="1"/>
    <col min="778" max="779" width="10.85546875" style="544" bestFit="1" customWidth="1"/>
    <col min="780" max="782" width="11.140625" style="544" bestFit="1" customWidth="1"/>
    <col min="783" max="783" width="9.140625" style="544"/>
    <col min="784" max="784" width="15.7109375" style="544" bestFit="1" customWidth="1"/>
    <col min="785" max="785" width="11.140625" style="544" bestFit="1" customWidth="1"/>
    <col min="786" max="786" width="11.85546875" style="544" bestFit="1" customWidth="1"/>
    <col min="787" max="787" width="11.140625" style="544" bestFit="1" customWidth="1"/>
    <col min="788" max="789" width="11.85546875" style="544" bestFit="1" customWidth="1"/>
    <col min="790" max="790" width="11.140625" style="544" bestFit="1" customWidth="1"/>
    <col min="791" max="793" width="11.85546875" style="544" bestFit="1" customWidth="1"/>
    <col min="794" max="1024" width="9.140625" style="544"/>
    <col min="1025" max="1025" width="2.42578125" style="544" customWidth="1"/>
    <col min="1026" max="1026" width="13.28515625" style="544" customWidth="1"/>
    <col min="1027" max="1027" width="11.5703125" style="544" bestFit="1" customWidth="1"/>
    <col min="1028" max="1028" width="14.5703125" style="544" customWidth="1"/>
    <col min="1029" max="1029" width="9.85546875" style="544" bestFit="1" customWidth="1"/>
    <col min="1030" max="1030" width="12.28515625" style="544" bestFit="1" customWidth="1"/>
    <col min="1031" max="1031" width="9.85546875" style="544" bestFit="1" customWidth="1"/>
    <col min="1032" max="1032" width="14" style="544" customWidth="1"/>
    <col min="1033" max="1033" width="11.140625" style="544" bestFit="1" customWidth="1"/>
    <col min="1034" max="1035" width="10.85546875" style="544" bestFit="1" customWidth="1"/>
    <col min="1036" max="1038" width="11.140625" style="544" bestFit="1" customWidth="1"/>
    <col min="1039" max="1039" width="9.140625" style="544"/>
    <col min="1040" max="1040" width="15.7109375" style="544" bestFit="1" customWidth="1"/>
    <col min="1041" max="1041" width="11.140625" style="544" bestFit="1" customWidth="1"/>
    <col min="1042" max="1042" width="11.85546875" style="544" bestFit="1" customWidth="1"/>
    <col min="1043" max="1043" width="11.140625" style="544" bestFit="1" customWidth="1"/>
    <col min="1044" max="1045" width="11.85546875" style="544" bestFit="1" customWidth="1"/>
    <col min="1046" max="1046" width="11.140625" style="544" bestFit="1" customWidth="1"/>
    <col min="1047" max="1049" width="11.85546875" style="544" bestFit="1" customWidth="1"/>
    <col min="1050" max="1280" width="9.140625" style="544"/>
    <col min="1281" max="1281" width="2.42578125" style="544" customWidth="1"/>
    <col min="1282" max="1282" width="13.28515625" style="544" customWidth="1"/>
    <col min="1283" max="1283" width="11.5703125" style="544" bestFit="1" customWidth="1"/>
    <col min="1284" max="1284" width="14.5703125" style="544" customWidth="1"/>
    <col min="1285" max="1285" width="9.85546875" style="544" bestFit="1" customWidth="1"/>
    <col min="1286" max="1286" width="12.28515625" style="544" bestFit="1" customWidth="1"/>
    <col min="1287" max="1287" width="9.85546875" style="544" bestFit="1" customWidth="1"/>
    <col min="1288" max="1288" width="14" style="544" customWidth="1"/>
    <col min="1289" max="1289" width="11.140625" style="544" bestFit="1" customWidth="1"/>
    <col min="1290" max="1291" width="10.85546875" style="544" bestFit="1" customWidth="1"/>
    <col min="1292" max="1294" width="11.140625" style="544" bestFit="1" customWidth="1"/>
    <col min="1295" max="1295" width="9.140625" style="544"/>
    <col min="1296" max="1296" width="15.7109375" style="544" bestFit="1" customWidth="1"/>
    <col min="1297" max="1297" width="11.140625" style="544" bestFit="1" customWidth="1"/>
    <col min="1298" max="1298" width="11.85546875" style="544" bestFit="1" customWidth="1"/>
    <col min="1299" max="1299" width="11.140625" style="544" bestFit="1" customWidth="1"/>
    <col min="1300" max="1301" width="11.85546875" style="544" bestFit="1" customWidth="1"/>
    <col min="1302" max="1302" width="11.140625" style="544" bestFit="1" customWidth="1"/>
    <col min="1303" max="1305" width="11.85546875" style="544" bestFit="1" customWidth="1"/>
    <col min="1306" max="1536" width="9.140625" style="544"/>
    <col min="1537" max="1537" width="2.42578125" style="544" customWidth="1"/>
    <col min="1538" max="1538" width="13.28515625" style="544" customWidth="1"/>
    <col min="1539" max="1539" width="11.5703125" style="544" bestFit="1" customWidth="1"/>
    <col min="1540" max="1540" width="14.5703125" style="544" customWidth="1"/>
    <col min="1541" max="1541" width="9.85546875" style="544" bestFit="1" customWidth="1"/>
    <col min="1542" max="1542" width="12.28515625" style="544" bestFit="1" customWidth="1"/>
    <col min="1543" max="1543" width="9.85546875" style="544" bestFit="1" customWidth="1"/>
    <col min="1544" max="1544" width="14" style="544" customWidth="1"/>
    <col min="1545" max="1545" width="11.140625" style="544" bestFit="1" customWidth="1"/>
    <col min="1546" max="1547" width="10.85546875" style="544" bestFit="1" customWidth="1"/>
    <col min="1548" max="1550" width="11.140625" style="544" bestFit="1" customWidth="1"/>
    <col min="1551" max="1551" width="9.140625" style="544"/>
    <col min="1552" max="1552" width="15.7109375" style="544" bestFit="1" customWidth="1"/>
    <col min="1553" max="1553" width="11.140625" style="544" bestFit="1" customWidth="1"/>
    <col min="1554" max="1554" width="11.85546875" style="544" bestFit="1" customWidth="1"/>
    <col min="1555" max="1555" width="11.140625" style="544" bestFit="1" customWidth="1"/>
    <col min="1556" max="1557" width="11.85546875" style="544" bestFit="1" customWidth="1"/>
    <col min="1558" max="1558" width="11.140625" style="544" bestFit="1" customWidth="1"/>
    <col min="1559" max="1561" width="11.85546875" style="544" bestFit="1" customWidth="1"/>
    <col min="1562" max="1792" width="9.140625" style="544"/>
    <col min="1793" max="1793" width="2.42578125" style="544" customWidth="1"/>
    <col min="1794" max="1794" width="13.28515625" style="544" customWidth="1"/>
    <col min="1795" max="1795" width="11.5703125" style="544" bestFit="1" customWidth="1"/>
    <col min="1796" max="1796" width="14.5703125" style="544" customWidth="1"/>
    <col min="1797" max="1797" width="9.85546875" style="544" bestFit="1" customWidth="1"/>
    <col min="1798" max="1798" width="12.28515625" style="544" bestFit="1" customWidth="1"/>
    <col min="1799" max="1799" width="9.85546875" style="544" bestFit="1" customWidth="1"/>
    <col min="1800" max="1800" width="14" style="544" customWidth="1"/>
    <col min="1801" max="1801" width="11.140625" style="544" bestFit="1" customWidth="1"/>
    <col min="1802" max="1803" width="10.85546875" style="544" bestFit="1" customWidth="1"/>
    <col min="1804" max="1806" width="11.140625" style="544" bestFit="1" customWidth="1"/>
    <col min="1807" max="1807" width="9.140625" style="544"/>
    <col min="1808" max="1808" width="15.7109375" style="544" bestFit="1" customWidth="1"/>
    <col min="1809" max="1809" width="11.140625" style="544" bestFit="1" customWidth="1"/>
    <col min="1810" max="1810" width="11.85546875" style="544" bestFit="1" customWidth="1"/>
    <col min="1811" max="1811" width="11.140625" style="544" bestFit="1" customWidth="1"/>
    <col min="1812" max="1813" width="11.85546875" style="544" bestFit="1" customWidth="1"/>
    <col min="1814" max="1814" width="11.140625" style="544" bestFit="1" customWidth="1"/>
    <col min="1815" max="1817" width="11.85546875" style="544" bestFit="1" customWidth="1"/>
    <col min="1818" max="2048" width="9.140625" style="544"/>
    <col min="2049" max="2049" width="2.42578125" style="544" customWidth="1"/>
    <col min="2050" max="2050" width="13.28515625" style="544" customWidth="1"/>
    <col min="2051" max="2051" width="11.5703125" style="544" bestFit="1" customWidth="1"/>
    <col min="2052" max="2052" width="14.5703125" style="544" customWidth="1"/>
    <col min="2053" max="2053" width="9.85546875" style="544" bestFit="1" customWidth="1"/>
    <col min="2054" max="2054" width="12.28515625" style="544" bestFit="1" customWidth="1"/>
    <col min="2055" max="2055" width="9.85546875" style="544" bestFit="1" customWidth="1"/>
    <col min="2056" max="2056" width="14" style="544" customWidth="1"/>
    <col min="2057" max="2057" width="11.140625" style="544" bestFit="1" customWidth="1"/>
    <col min="2058" max="2059" width="10.85546875" style="544" bestFit="1" customWidth="1"/>
    <col min="2060" max="2062" width="11.140625" style="544" bestFit="1" customWidth="1"/>
    <col min="2063" max="2063" width="9.140625" style="544"/>
    <col min="2064" max="2064" width="15.7109375" style="544" bestFit="1" customWidth="1"/>
    <col min="2065" max="2065" width="11.140625" style="544" bestFit="1" customWidth="1"/>
    <col min="2066" max="2066" width="11.85546875" style="544" bestFit="1" customWidth="1"/>
    <col min="2067" max="2067" width="11.140625" style="544" bestFit="1" customWidth="1"/>
    <col min="2068" max="2069" width="11.85546875" style="544" bestFit="1" customWidth="1"/>
    <col min="2070" max="2070" width="11.140625" style="544" bestFit="1" customWidth="1"/>
    <col min="2071" max="2073" width="11.85546875" style="544" bestFit="1" customWidth="1"/>
    <col min="2074" max="2304" width="9.140625" style="544"/>
    <col min="2305" max="2305" width="2.42578125" style="544" customWidth="1"/>
    <col min="2306" max="2306" width="13.28515625" style="544" customWidth="1"/>
    <col min="2307" max="2307" width="11.5703125" style="544" bestFit="1" customWidth="1"/>
    <col min="2308" max="2308" width="14.5703125" style="544" customWidth="1"/>
    <col min="2309" max="2309" width="9.85546875" style="544" bestFit="1" customWidth="1"/>
    <col min="2310" max="2310" width="12.28515625" style="544" bestFit="1" customWidth="1"/>
    <col min="2311" max="2311" width="9.85546875" style="544" bestFit="1" customWidth="1"/>
    <col min="2312" max="2312" width="14" style="544" customWidth="1"/>
    <col min="2313" max="2313" width="11.140625" style="544" bestFit="1" customWidth="1"/>
    <col min="2314" max="2315" width="10.85546875" style="544" bestFit="1" customWidth="1"/>
    <col min="2316" max="2318" width="11.140625" style="544" bestFit="1" customWidth="1"/>
    <col min="2319" max="2319" width="9.140625" style="544"/>
    <col min="2320" max="2320" width="15.7109375" style="544" bestFit="1" customWidth="1"/>
    <col min="2321" max="2321" width="11.140625" style="544" bestFit="1" customWidth="1"/>
    <col min="2322" max="2322" width="11.85546875" style="544" bestFit="1" customWidth="1"/>
    <col min="2323" max="2323" width="11.140625" style="544" bestFit="1" customWidth="1"/>
    <col min="2324" max="2325" width="11.85546875" style="544" bestFit="1" customWidth="1"/>
    <col min="2326" max="2326" width="11.140625" style="544" bestFit="1" customWidth="1"/>
    <col min="2327" max="2329" width="11.85546875" style="544" bestFit="1" customWidth="1"/>
    <col min="2330" max="2560" width="9.140625" style="544"/>
    <col min="2561" max="2561" width="2.42578125" style="544" customWidth="1"/>
    <col min="2562" max="2562" width="13.28515625" style="544" customWidth="1"/>
    <col min="2563" max="2563" width="11.5703125" style="544" bestFit="1" customWidth="1"/>
    <col min="2564" max="2564" width="14.5703125" style="544" customWidth="1"/>
    <col min="2565" max="2565" width="9.85546875" style="544" bestFit="1" customWidth="1"/>
    <col min="2566" max="2566" width="12.28515625" style="544" bestFit="1" customWidth="1"/>
    <col min="2567" max="2567" width="9.85546875" style="544" bestFit="1" customWidth="1"/>
    <col min="2568" max="2568" width="14" style="544" customWidth="1"/>
    <col min="2569" max="2569" width="11.140625" style="544" bestFit="1" customWidth="1"/>
    <col min="2570" max="2571" width="10.85546875" style="544" bestFit="1" customWidth="1"/>
    <col min="2572" max="2574" width="11.140625" style="544" bestFit="1" customWidth="1"/>
    <col min="2575" max="2575" width="9.140625" style="544"/>
    <col min="2576" max="2576" width="15.7109375" style="544" bestFit="1" customWidth="1"/>
    <col min="2577" max="2577" width="11.140625" style="544" bestFit="1" customWidth="1"/>
    <col min="2578" max="2578" width="11.85546875" style="544" bestFit="1" customWidth="1"/>
    <col min="2579" max="2579" width="11.140625" style="544" bestFit="1" customWidth="1"/>
    <col min="2580" max="2581" width="11.85546875" style="544" bestFit="1" customWidth="1"/>
    <col min="2582" max="2582" width="11.140625" style="544" bestFit="1" customWidth="1"/>
    <col min="2583" max="2585" width="11.85546875" style="544" bestFit="1" customWidth="1"/>
    <col min="2586" max="2816" width="9.140625" style="544"/>
    <col min="2817" max="2817" width="2.42578125" style="544" customWidth="1"/>
    <col min="2818" max="2818" width="13.28515625" style="544" customWidth="1"/>
    <col min="2819" max="2819" width="11.5703125" style="544" bestFit="1" customWidth="1"/>
    <col min="2820" max="2820" width="14.5703125" style="544" customWidth="1"/>
    <col min="2821" max="2821" width="9.85546875" style="544" bestFit="1" customWidth="1"/>
    <col min="2822" max="2822" width="12.28515625" style="544" bestFit="1" customWidth="1"/>
    <col min="2823" max="2823" width="9.85546875" style="544" bestFit="1" customWidth="1"/>
    <col min="2824" max="2824" width="14" style="544" customWidth="1"/>
    <col min="2825" max="2825" width="11.140625" style="544" bestFit="1" customWidth="1"/>
    <col min="2826" max="2827" width="10.85546875" style="544" bestFit="1" customWidth="1"/>
    <col min="2828" max="2830" width="11.140625" style="544" bestFit="1" customWidth="1"/>
    <col min="2831" max="2831" width="9.140625" style="544"/>
    <col min="2832" max="2832" width="15.7109375" style="544" bestFit="1" customWidth="1"/>
    <col min="2833" max="2833" width="11.140625" style="544" bestFit="1" customWidth="1"/>
    <col min="2834" max="2834" width="11.85546875" style="544" bestFit="1" customWidth="1"/>
    <col min="2835" max="2835" width="11.140625" style="544" bestFit="1" customWidth="1"/>
    <col min="2836" max="2837" width="11.85546875" style="544" bestFit="1" customWidth="1"/>
    <col min="2838" max="2838" width="11.140625" style="544" bestFit="1" customWidth="1"/>
    <col min="2839" max="2841" width="11.85546875" style="544" bestFit="1" customWidth="1"/>
    <col min="2842" max="3072" width="9.140625" style="544"/>
    <col min="3073" max="3073" width="2.42578125" style="544" customWidth="1"/>
    <col min="3074" max="3074" width="13.28515625" style="544" customWidth="1"/>
    <col min="3075" max="3075" width="11.5703125" style="544" bestFit="1" customWidth="1"/>
    <col min="3076" max="3076" width="14.5703125" style="544" customWidth="1"/>
    <col min="3077" max="3077" width="9.85546875" style="544" bestFit="1" customWidth="1"/>
    <col min="3078" max="3078" width="12.28515625" style="544" bestFit="1" customWidth="1"/>
    <col min="3079" max="3079" width="9.85546875" style="544" bestFit="1" customWidth="1"/>
    <col min="3080" max="3080" width="14" style="544" customWidth="1"/>
    <col min="3081" max="3081" width="11.140625" style="544" bestFit="1" customWidth="1"/>
    <col min="3082" max="3083" width="10.85546875" style="544" bestFit="1" customWidth="1"/>
    <col min="3084" max="3086" width="11.140625" style="544" bestFit="1" customWidth="1"/>
    <col min="3087" max="3087" width="9.140625" style="544"/>
    <col min="3088" max="3088" width="15.7109375" style="544" bestFit="1" customWidth="1"/>
    <col min="3089" max="3089" width="11.140625" style="544" bestFit="1" customWidth="1"/>
    <col min="3090" max="3090" width="11.85546875" style="544" bestFit="1" customWidth="1"/>
    <col min="3091" max="3091" width="11.140625" style="544" bestFit="1" customWidth="1"/>
    <col min="3092" max="3093" width="11.85546875" style="544" bestFit="1" customWidth="1"/>
    <col min="3094" max="3094" width="11.140625" style="544" bestFit="1" customWidth="1"/>
    <col min="3095" max="3097" width="11.85546875" style="544" bestFit="1" customWidth="1"/>
    <col min="3098" max="3328" width="9.140625" style="544"/>
    <col min="3329" max="3329" width="2.42578125" style="544" customWidth="1"/>
    <col min="3330" max="3330" width="13.28515625" style="544" customWidth="1"/>
    <col min="3331" max="3331" width="11.5703125" style="544" bestFit="1" customWidth="1"/>
    <col min="3332" max="3332" width="14.5703125" style="544" customWidth="1"/>
    <col min="3333" max="3333" width="9.85546875" style="544" bestFit="1" customWidth="1"/>
    <col min="3334" max="3334" width="12.28515625" style="544" bestFit="1" customWidth="1"/>
    <col min="3335" max="3335" width="9.85546875" style="544" bestFit="1" customWidth="1"/>
    <col min="3336" max="3336" width="14" style="544" customWidth="1"/>
    <col min="3337" max="3337" width="11.140625" style="544" bestFit="1" customWidth="1"/>
    <col min="3338" max="3339" width="10.85546875" style="544" bestFit="1" customWidth="1"/>
    <col min="3340" max="3342" width="11.140625" style="544" bestFit="1" customWidth="1"/>
    <col min="3343" max="3343" width="9.140625" style="544"/>
    <col min="3344" max="3344" width="15.7109375" style="544" bestFit="1" customWidth="1"/>
    <col min="3345" max="3345" width="11.140625" style="544" bestFit="1" customWidth="1"/>
    <col min="3346" max="3346" width="11.85546875" style="544" bestFit="1" customWidth="1"/>
    <col min="3347" max="3347" width="11.140625" style="544" bestFit="1" customWidth="1"/>
    <col min="3348" max="3349" width="11.85546875" style="544" bestFit="1" customWidth="1"/>
    <col min="3350" max="3350" width="11.140625" style="544" bestFit="1" customWidth="1"/>
    <col min="3351" max="3353" width="11.85546875" style="544" bestFit="1" customWidth="1"/>
    <col min="3354" max="3584" width="9.140625" style="544"/>
    <col min="3585" max="3585" width="2.42578125" style="544" customWidth="1"/>
    <col min="3586" max="3586" width="13.28515625" style="544" customWidth="1"/>
    <col min="3587" max="3587" width="11.5703125" style="544" bestFit="1" customWidth="1"/>
    <col min="3588" max="3588" width="14.5703125" style="544" customWidth="1"/>
    <col min="3589" max="3589" width="9.85546875" style="544" bestFit="1" customWidth="1"/>
    <col min="3590" max="3590" width="12.28515625" style="544" bestFit="1" customWidth="1"/>
    <col min="3591" max="3591" width="9.85546875" style="544" bestFit="1" customWidth="1"/>
    <col min="3592" max="3592" width="14" style="544" customWidth="1"/>
    <col min="3593" max="3593" width="11.140625" style="544" bestFit="1" customWidth="1"/>
    <col min="3594" max="3595" width="10.85546875" style="544" bestFit="1" customWidth="1"/>
    <col min="3596" max="3598" width="11.140625" style="544" bestFit="1" customWidth="1"/>
    <col min="3599" max="3599" width="9.140625" style="544"/>
    <col min="3600" max="3600" width="15.7109375" style="544" bestFit="1" customWidth="1"/>
    <col min="3601" max="3601" width="11.140625" style="544" bestFit="1" customWidth="1"/>
    <col min="3602" max="3602" width="11.85546875" style="544" bestFit="1" customWidth="1"/>
    <col min="3603" max="3603" width="11.140625" style="544" bestFit="1" customWidth="1"/>
    <col min="3604" max="3605" width="11.85546875" style="544" bestFit="1" customWidth="1"/>
    <col min="3606" max="3606" width="11.140625" style="544" bestFit="1" customWidth="1"/>
    <col min="3607" max="3609" width="11.85546875" style="544" bestFit="1" customWidth="1"/>
    <col min="3610" max="3840" width="9.140625" style="544"/>
    <col min="3841" max="3841" width="2.42578125" style="544" customWidth="1"/>
    <col min="3842" max="3842" width="13.28515625" style="544" customWidth="1"/>
    <col min="3843" max="3843" width="11.5703125" style="544" bestFit="1" customWidth="1"/>
    <col min="3844" max="3844" width="14.5703125" style="544" customWidth="1"/>
    <col min="3845" max="3845" width="9.85546875" style="544" bestFit="1" customWidth="1"/>
    <col min="3846" max="3846" width="12.28515625" style="544" bestFit="1" customWidth="1"/>
    <col min="3847" max="3847" width="9.85546875" style="544" bestFit="1" customWidth="1"/>
    <col min="3848" max="3848" width="14" style="544" customWidth="1"/>
    <col min="3849" max="3849" width="11.140625" style="544" bestFit="1" customWidth="1"/>
    <col min="3850" max="3851" width="10.85546875" style="544" bestFit="1" customWidth="1"/>
    <col min="3852" max="3854" width="11.140625" style="544" bestFit="1" customWidth="1"/>
    <col min="3855" max="3855" width="9.140625" style="544"/>
    <col min="3856" max="3856" width="15.7109375" style="544" bestFit="1" customWidth="1"/>
    <col min="3857" max="3857" width="11.140625" style="544" bestFit="1" customWidth="1"/>
    <col min="3858" max="3858" width="11.85546875" style="544" bestFit="1" customWidth="1"/>
    <col min="3859" max="3859" width="11.140625" style="544" bestFit="1" customWidth="1"/>
    <col min="3860" max="3861" width="11.85546875" style="544" bestFit="1" customWidth="1"/>
    <col min="3862" max="3862" width="11.140625" style="544" bestFit="1" customWidth="1"/>
    <col min="3863" max="3865" width="11.85546875" style="544" bestFit="1" customWidth="1"/>
    <col min="3866" max="4096" width="9.140625" style="544"/>
    <col min="4097" max="4097" width="2.42578125" style="544" customWidth="1"/>
    <col min="4098" max="4098" width="13.28515625" style="544" customWidth="1"/>
    <col min="4099" max="4099" width="11.5703125" style="544" bestFit="1" customWidth="1"/>
    <col min="4100" max="4100" width="14.5703125" style="544" customWidth="1"/>
    <col min="4101" max="4101" width="9.85546875" style="544" bestFit="1" customWidth="1"/>
    <col min="4102" max="4102" width="12.28515625" style="544" bestFit="1" customWidth="1"/>
    <col min="4103" max="4103" width="9.85546875" style="544" bestFit="1" customWidth="1"/>
    <col min="4104" max="4104" width="14" style="544" customWidth="1"/>
    <col min="4105" max="4105" width="11.140625" style="544" bestFit="1" customWidth="1"/>
    <col min="4106" max="4107" width="10.85546875" style="544" bestFit="1" customWidth="1"/>
    <col min="4108" max="4110" width="11.140625" style="544" bestFit="1" customWidth="1"/>
    <col min="4111" max="4111" width="9.140625" style="544"/>
    <col min="4112" max="4112" width="15.7109375" style="544" bestFit="1" customWidth="1"/>
    <col min="4113" max="4113" width="11.140625" style="544" bestFit="1" customWidth="1"/>
    <col min="4114" max="4114" width="11.85546875" style="544" bestFit="1" customWidth="1"/>
    <col min="4115" max="4115" width="11.140625" style="544" bestFit="1" customWidth="1"/>
    <col min="4116" max="4117" width="11.85546875" style="544" bestFit="1" customWidth="1"/>
    <col min="4118" max="4118" width="11.140625" style="544" bestFit="1" customWidth="1"/>
    <col min="4119" max="4121" width="11.85546875" style="544" bestFit="1" customWidth="1"/>
    <col min="4122" max="4352" width="9.140625" style="544"/>
    <col min="4353" max="4353" width="2.42578125" style="544" customWidth="1"/>
    <col min="4354" max="4354" width="13.28515625" style="544" customWidth="1"/>
    <col min="4355" max="4355" width="11.5703125" style="544" bestFit="1" customWidth="1"/>
    <col min="4356" max="4356" width="14.5703125" style="544" customWidth="1"/>
    <col min="4357" max="4357" width="9.85546875" style="544" bestFit="1" customWidth="1"/>
    <col min="4358" max="4358" width="12.28515625" style="544" bestFit="1" customWidth="1"/>
    <col min="4359" max="4359" width="9.85546875" style="544" bestFit="1" customWidth="1"/>
    <col min="4360" max="4360" width="14" style="544" customWidth="1"/>
    <col min="4361" max="4361" width="11.140625" style="544" bestFit="1" customWidth="1"/>
    <col min="4362" max="4363" width="10.85546875" style="544" bestFit="1" customWidth="1"/>
    <col min="4364" max="4366" width="11.140625" style="544" bestFit="1" customWidth="1"/>
    <col min="4367" max="4367" width="9.140625" style="544"/>
    <col min="4368" max="4368" width="15.7109375" style="544" bestFit="1" customWidth="1"/>
    <col min="4369" max="4369" width="11.140625" style="544" bestFit="1" customWidth="1"/>
    <col min="4370" max="4370" width="11.85546875" style="544" bestFit="1" customWidth="1"/>
    <col min="4371" max="4371" width="11.140625" style="544" bestFit="1" customWidth="1"/>
    <col min="4372" max="4373" width="11.85546875" style="544" bestFit="1" customWidth="1"/>
    <col min="4374" max="4374" width="11.140625" style="544" bestFit="1" customWidth="1"/>
    <col min="4375" max="4377" width="11.85546875" style="544" bestFit="1" customWidth="1"/>
    <col min="4378" max="4608" width="9.140625" style="544"/>
    <col min="4609" max="4609" width="2.42578125" style="544" customWidth="1"/>
    <col min="4610" max="4610" width="13.28515625" style="544" customWidth="1"/>
    <col min="4611" max="4611" width="11.5703125" style="544" bestFit="1" customWidth="1"/>
    <col min="4612" max="4612" width="14.5703125" style="544" customWidth="1"/>
    <col min="4613" max="4613" width="9.85546875" style="544" bestFit="1" customWidth="1"/>
    <col min="4614" max="4614" width="12.28515625" style="544" bestFit="1" customWidth="1"/>
    <col min="4615" max="4615" width="9.85546875" style="544" bestFit="1" customWidth="1"/>
    <col min="4616" max="4616" width="14" style="544" customWidth="1"/>
    <col min="4617" max="4617" width="11.140625" style="544" bestFit="1" customWidth="1"/>
    <col min="4618" max="4619" width="10.85546875" style="544" bestFit="1" customWidth="1"/>
    <col min="4620" max="4622" width="11.140625" style="544" bestFit="1" customWidth="1"/>
    <col min="4623" max="4623" width="9.140625" style="544"/>
    <col min="4624" max="4624" width="15.7109375" style="544" bestFit="1" customWidth="1"/>
    <col min="4625" max="4625" width="11.140625" style="544" bestFit="1" customWidth="1"/>
    <col min="4626" max="4626" width="11.85546875" style="544" bestFit="1" customWidth="1"/>
    <col min="4627" max="4627" width="11.140625" style="544" bestFit="1" customWidth="1"/>
    <col min="4628" max="4629" width="11.85546875" style="544" bestFit="1" customWidth="1"/>
    <col min="4630" max="4630" width="11.140625" style="544" bestFit="1" customWidth="1"/>
    <col min="4631" max="4633" width="11.85546875" style="544" bestFit="1" customWidth="1"/>
    <col min="4634" max="4864" width="9.140625" style="544"/>
    <col min="4865" max="4865" width="2.42578125" style="544" customWidth="1"/>
    <col min="4866" max="4866" width="13.28515625" style="544" customWidth="1"/>
    <col min="4867" max="4867" width="11.5703125" style="544" bestFit="1" customWidth="1"/>
    <col min="4868" max="4868" width="14.5703125" style="544" customWidth="1"/>
    <col min="4869" max="4869" width="9.85546875" style="544" bestFit="1" customWidth="1"/>
    <col min="4870" max="4870" width="12.28515625" style="544" bestFit="1" customWidth="1"/>
    <col min="4871" max="4871" width="9.85546875" style="544" bestFit="1" customWidth="1"/>
    <col min="4872" max="4872" width="14" style="544" customWidth="1"/>
    <col min="4873" max="4873" width="11.140625" style="544" bestFit="1" customWidth="1"/>
    <col min="4874" max="4875" width="10.85546875" style="544" bestFit="1" customWidth="1"/>
    <col min="4876" max="4878" width="11.140625" style="544" bestFit="1" customWidth="1"/>
    <col min="4879" max="4879" width="9.140625" style="544"/>
    <col min="4880" max="4880" width="15.7109375" style="544" bestFit="1" customWidth="1"/>
    <col min="4881" max="4881" width="11.140625" style="544" bestFit="1" customWidth="1"/>
    <col min="4882" max="4882" width="11.85546875" style="544" bestFit="1" customWidth="1"/>
    <col min="4883" max="4883" width="11.140625" style="544" bestFit="1" customWidth="1"/>
    <col min="4884" max="4885" width="11.85546875" style="544" bestFit="1" customWidth="1"/>
    <col min="4886" max="4886" width="11.140625" style="544" bestFit="1" customWidth="1"/>
    <col min="4887" max="4889" width="11.85546875" style="544" bestFit="1" customWidth="1"/>
    <col min="4890" max="5120" width="9.140625" style="544"/>
    <col min="5121" max="5121" width="2.42578125" style="544" customWidth="1"/>
    <col min="5122" max="5122" width="13.28515625" style="544" customWidth="1"/>
    <col min="5123" max="5123" width="11.5703125" style="544" bestFit="1" customWidth="1"/>
    <col min="5124" max="5124" width="14.5703125" style="544" customWidth="1"/>
    <col min="5125" max="5125" width="9.85546875" style="544" bestFit="1" customWidth="1"/>
    <col min="5126" max="5126" width="12.28515625" style="544" bestFit="1" customWidth="1"/>
    <col min="5127" max="5127" width="9.85546875" style="544" bestFit="1" customWidth="1"/>
    <col min="5128" max="5128" width="14" style="544" customWidth="1"/>
    <col min="5129" max="5129" width="11.140625" style="544" bestFit="1" customWidth="1"/>
    <col min="5130" max="5131" width="10.85546875" style="544" bestFit="1" customWidth="1"/>
    <col min="5132" max="5134" width="11.140625" style="544" bestFit="1" customWidth="1"/>
    <col min="5135" max="5135" width="9.140625" style="544"/>
    <col min="5136" max="5136" width="15.7109375" style="544" bestFit="1" customWidth="1"/>
    <col min="5137" max="5137" width="11.140625" style="544" bestFit="1" customWidth="1"/>
    <col min="5138" max="5138" width="11.85546875" style="544" bestFit="1" customWidth="1"/>
    <col min="5139" max="5139" width="11.140625" style="544" bestFit="1" customWidth="1"/>
    <col min="5140" max="5141" width="11.85546875" style="544" bestFit="1" customWidth="1"/>
    <col min="5142" max="5142" width="11.140625" style="544" bestFit="1" customWidth="1"/>
    <col min="5143" max="5145" width="11.85546875" style="544" bestFit="1" customWidth="1"/>
    <col min="5146" max="5376" width="9.140625" style="544"/>
    <col min="5377" max="5377" width="2.42578125" style="544" customWidth="1"/>
    <col min="5378" max="5378" width="13.28515625" style="544" customWidth="1"/>
    <col min="5379" max="5379" width="11.5703125" style="544" bestFit="1" customWidth="1"/>
    <col min="5380" max="5380" width="14.5703125" style="544" customWidth="1"/>
    <col min="5381" max="5381" width="9.85546875" style="544" bestFit="1" customWidth="1"/>
    <col min="5382" max="5382" width="12.28515625" style="544" bestFit="1" customWidth="1"/>
    <col min="5383" max="5383" width="9.85546875" style="544" bestFit="1" customWidth="1"/>
    <col min="5384" max="5384" width="14" style="544" customWidth="1"/>
    <col min="5385" max="5385" width="11.140625" style="544" bestFit="1" customWidth="1"/>
    <col min="5386" max="5387" width="10.85546875" style="544" bestFit="1" customWidth="1"/>
    <col min="5388" max="5390" width="11.140625" style="544" bestFit="1" customWidth="1"/>
    <col min="5391" max="5391" width="9.140625" style="544"/>
    <col min="5392" max="5392" width="15.7109375" style="544" bestFit="1" customWidth="1"/>
    <col min="5393" max="5393" width="11.140625" style="544" bestFit="1" customWidth="1"/>
    <col min="5394" max="5394" width="11.85546875" style="544" bestFit="1" customWidth="1"/>
    <col min="5395" max="5395" width="11.140625" style="544" bestFit="1" customWidth="1"/>
    <col min="5396" max="5397" width="11.85546875" style="544" bestFit="1" customWidth="1"/>
    <col min="5398" max="5398" width="11.140625" style="544" bestFit="1" customWidth="1"/>
    <col min="5399" max="5401" width="11.85546875" style="544" bestFit="1" customWidth="1"/>
    <col min="5402" max="5632" width="9.140625" style="544"/>
    <col min="5633" max="5633" width="2.42578125" style="544" customWidth="1"/>
    <col min="5634" max="5634" width="13.28515625" style="544" customWidth="1"/>
    <col min="5635" max="5635" width="11.5703125" style="544" bestFit="1" customWidth="1"/>
    <col min="5636" max="5636" width="14.5703125" style="544" customWidth="1"/>
    <col min="5637" max="5637" width="9.85546875" style="544" bestFit="1" customWidth="1"/>
    <col min="5638" max="5638" width="12.28515625" style="544" bestFit="1" customWidth="1"/>
    <col min="5639" max="5639" width="9.85546875" style="544" bestFit="1" customWidth="1"/>
    <col min="5640" max="5640" width="14" style="544" customWidth="1"/>
    <col min="5641" max="5641" width="11.140625" style="544" bestFit="1" customWidth="1"/>
    <col min="5642" max="5643" width="10.85546875" style="544" bestFit="1" customWidth="1"/>
    <col min="5644" max="5646" width="11.140625" style="544" bestFit="1" customWidth="1"/>
    <col min="5647" max="5647" width="9.140625" style="544"/>
    <col min="5648" max="5648" width="15.7109375" style="544" bestFit="1" customWidth="1"/>
    <col min="5649" max="5649" width="11.140625" style="544" bestFit="1" customWidth="1"/>
    <col min="5650" max="5650" width="11.85546875" style="544" bestFit="1" customWidth="1"/>
    <col min="5651" max="5651" width="11.140625" style="544" bestFit="1" customWidth="1"/>
    <col min="5652" max="5653" width="11.85546875" style="544" bestFit="1" customWidth="1"/>
    <col min="5654" max="5654" width="11.140625" style="544" bestFit="1" customWidth="1"/>
    <col min="5655" max="5657" width="11.85546875" style="544" bestFit="1" customWidth="1"/>
    <col min="5658" max="5888" width="9.140625" style="544"/>
    <col min="5889" max="5889" width="2.42578125" style="544" customWidth="1"/>
    <col min="5890" max="5890" width="13.28515625" style="544" customWidth="1"/>
    <col min="5891" max="5891" width="11.5703125" style="544" bestFit="1" customWidth="1"/>
    <col min="5892" max="5892" width="14.5703125" style="544" customWidth="1"/>
    <col min="5893" max="5893" width="9.85546875" style="544" bestFit="1" customWidth="1"/>
    <col min="5894" max="5894" width="12.28515625" style="544" bestFit="1" customWidth="1"/>
    <col min="5895" max="5895" width="9.85546875" style="544" bestFit="1" customWidth="1"/>
    <col min="5896" max="5896" width="14" style="544" customWidth="1"/>
    <col min="5897" max="5897" width="11.140625" style="544" bestFit="1" customWidth="1"/>
    <col min="5898" max="5899" width="10.85546875" style="544" bestFit="1" customWidth="1"/>
    <col min="5900" max="5902" width="11.140625" style="544" bestFit="1" customWidth="1"/>
    <col min="5903" max="5903" width="9.140625" style="544"/>
    <col min="5904" max="5904" width="15.7109375" style="544" bestFit="1" customWidth="1"/>
    <col min="5905" max="5905" width="11.140625" style="544" bestFit="1" customWidth="1"/>
    <col min="5906" max="5906" width="11.85546875" style="544" bestFit="1" customWidth="1"/>
    <col min="5907" max="5907" width="11.140625" style="544" bestFit="1" customWidth="1"/>
    <col min="5908" max="5909" width="11.85546875" style="544" bestFit="1" customWidth="1"/>
    <col min="5910" max="5910" width="11.140625" style="544" bestFit="1" customWidth="1"/>
    <col min="5911" max="5913" width="11.85546875" style="544" bestFit="1" customWidth="1"/>
    <col min="5914" max="6144" width="9.140625" style="544"/>
    <col min="6145" max="6145" width="2.42578125" style="544" customWidth="1"/>
    <col min="6146" max="6146" width="13.28515625" style="544" customWidth="1"/>
    <col min="6147" max="6147" width="11.5703125" style="544" bestFit="1" customWidth="1"/>
    <col min="6148" max="6148" width="14.5703125" style="544" customWidth="1"/>
    <col min="6149" max="6149" width="9.85546875" style="544" bestFit="1" customWidth="1"/>
    <col min="6150" max="6150" width="12.28515625" style="544" bestFit="1" customWidth="1"/>
    <col min="6151" max="6151" width="9.85546875" style="544" bestFit="1" customWidth="1"/>
    <col min="6152" max="6152" width="14" style="544" customWidth="1"/>
    <col min="6153" max="6153" width="11.140625" style="544" bestFit="1" customWidth="1"/>
    <col min="6154" max="6155" width="10.85546875" style="544" bestFit="1" customWidth="1"/>
    <col min="6156" max="6158" width="11.140625" style="544" bestFit="1" customWidth="1"/>
    <col min="6159" max="6159" width="9.140625" style="544"/>
    <col min="6160" max="6160" width="15.7109375" style="544" bestFit="1" customWidth="1"/>
    <col min="6161" max="6161" width="11.140625" style="544" bestFit="1" customWidth="1"/>
    <col min="6162" max="6162" width="11.85546875" style="544" bestFit="1" customWidth="1"/>
    <col min="6163" max="6163" width="11.140625" style="544" bestFit="1" customWidth="1"/>
    <col min="6164" max="6165" width="11.85546875" style="544" bestFit="1" customWidth="1"/>
    <col min="6166" max="6166" width="11.140625" style="544" bestFit="1" customWidth="1"/>
    <col min="6167" max="6169" width="11.85546875" style="544" bestFit="1" customWidth="1"/>
    <col min="6170" max="6400" width="9.140625" style="544"/>
    <col min="6401" max="6401" width="2.42578125" style="544" customWidth="1"/>
    <col min="6402" max="6402" width="13.28515625" style="544" customWidth="1"/>
    <col min="6403" max="6403" width="11.5703125" style="544" bestFit="1" customWidth="1"/>
    <col min="6404" max="6404" width="14.5703125" style="544" customWidth="1"/>
    <col min="6405" max="6405" width="9.85546875" style="544" bestFit="1" customWidth="1"/>
    <col min="6406" max="6406" width="12.28515625" style="544" bestFit="1" customWidth="1"/>
    <col min="6407" max="6407" width="9.85546875" style="544" bestFit="1" customWidth="1"/>
    <col min="6408" max="6408" width="14" style="544" customWidth="1"/>
    <col min="6409" max="6409" width="11.140625" style="544" bestFit="1" customWidth="1"/>
    <col min="6410" max="6411" width="10.85546875" style="544" bestFit="1" customWidth="1"/>
    <col min="6412" max="6414" width="11.140625" style="544" bestFit="1" customWidth="1"/>
    <col min="6415" max="6415" width="9.140625" style="544"/>
    <col min="6416" max="6416" width="15.7109375" style="544" bestFit="1" customWidth="1"/>
    <col min="6417" max="6417" width="11.140625" style="544" bestFit="1" customWidth="1"/>
    <col min="6418" max="6418" width="11.85546875" style="544" bestFit="1" customWidth="1"/>
    <col min="6419" max="6419" width="11.140625" style="544" bestFit="1" customWidth="1"/>
    <col min="6420" max="6421" width="11.85546875" style="544" bestFit="1" customWidth="1"/>
    <col min="6422" max="6422" width="11.140625" style="544" bestFit="1" customWidth="1"/>
    <col min="6423" max="6425" width="11.85546875" style="544" bestFit="1" customWidth="1"/>
    <col min="6426" max="6656" width="9.140625" style="544"/>
    <col min="6657" max="6657" width="2.42578125" style="544" customWidth="1"/>
    <col min="6658" max="6658" width="13.28515625" style="544" customWidth="1"/>
    <col min="6659" max="6659" width="11.5703125" style="544" bestFit="1" customWidth="1"/>
    <col min="6660" max="6660" width="14.5703125" style="544" customWidth="1"/>
    <col min="6661" max="6661" width="9.85546875" style="544" bestFit="1" customWidth="1"/>
    <col min="6662" max="6662" width="12.28515625" style="544" bestFit="1" customWidth="1"/>
    <col min="6663" max="6663" width="9.85546875" style="544" bestFit="1" customWidth="1"/>
    <col min="6664" max="6664" width="14" style="544" customWidth="1"/>
    <col min="6665" max="6665" width="11.140625" style="544" bestFit="1" customWidth="1"/>
    <col min="6666" max="6667" width="10.85546875" style="544" bestFit="1" customWidth="1"/>
    <col min="6668" max="6670" width="11.140625" style="544" bestFit="1" customWidth="1"/>
    <col min="6671" max="6671" width="9.140625" style="544"/>
    <col min="6672" max="6672" width="15.7109375" style="544" bestFit="1" customWidth="1"/>
    <col min="6673" max="6673" width="11.140625" style="544" bestFit="1" customWidth="1"/>
    <col min="6674" max="6674" width="11.85546875" style="544" bestFit="1" customWidth="1"/>
    <col min="6675" max="6675" width="11.140625" style="544" bestFit="1" customWidth="1"/>
    <col min="6676" max="6677" width="11.85546875" style="544" bestFit="1" customWidth="1"/>
    <col min="6678" max="6678" width="11.140625" style="544" bestFit="1" customWidth="1"/>
    <col min="6679" max="6681" width="11.85546875" style="544" bestFit="1" customWidth="1"/>
    <col min="6682" max="6912" width="9.140625" style="544"/>
    <col min="6913" max="6913" width="2.42578125" style="544" customWidth="1"/>
    <col min="6914" max="6914" width="13.28515625" style="544" customWidth="1"/>
    <col min="6915" max="6915" width="11.5703125" style="544" bestFit="1" customWidth="1"/>
    <col min="6916" max="6916" width="14.5703125" style="544" customWidth="1"/>
    <col min="6917" max="6917" width="9.85546875" style="544" bestFit="1" customWidth="1"/>
    <col min="6918" max="6918" width="12.28515625" style="544" bestFit="1" customWidth="1"/>
    <col min="6919" max="6919" width="9.85546875" style="544" bestFit="1" customWidth="1"/>
    <col min="6920" max="6920" width="14" style="544" customWidth="1"/>
    <col min="6921" max="6921" width="11.140625" style="544" bestFit="1" customWidth="1"/>
    <col min="6922" max="6923" width="10.85546875" style="544" bestFit="1" customWidth="1"/>
    <col min="6924" max="6926" width="11.140625" style="544" bestFit="1" customWidth="1"/>
    <col min="6927" max="6927" width="9.140625" style="544"/>
    <col min="6928" max="6928" width="15.7109375" style="544" bestFit="1" customWidth="1"/>
    <col min="6929" max="6929" width="11.140625" style="544" bestFit="1" customWidth="1"/>
    <col min="6930" max="6930" width="11.85546875" style="544" bestFit="1" customWidth="1"/>
    <col min="6931" max="6931" width="11.140625" style="544" bestFit="1" customWidth="1"/>
    <col min="6932" max="6933" width="11.85546875" style="544" bestFit="1" customWidth="1"/>
    <col min="6934" max="6934" width="11.140625" style="544" bestFit="1" customWidth="1"/>
    <col min="6935" max="6937" width="11.85546875" style="544" bestFit="1" customWidth="1"/>
    <col min="6938" max="7168" width="9.140625" style="544"/>
    <col min="7169" max="7169" width="2.42578125" style="544" customWidth="1"/>
    <col min="7170" max="7170" width="13.28515625" style="544" customWidth="1"/>
    <col min="7171" max="7171" width="11.5703125" style="544" bestFit="1" customWidth="1"/>
    <col min="7172" max="7172" width="14.5703125" style="544" customWidth="1"/>
    <col min="7173" max="7173" width="9.85546875" style="544" bestFit="1" customWidth="1"/>
    <col min="7174" max="7174" width="12.28515625" style="544" bestFit="1" customWidth="1"/>
    <col min="7175" max="7175" width="9.85546875" style="544" bestFit="1" customWidth="1"/>
    <col min="7176" max="7176" width="14" style="544" customWidth="1"/>
    <col min="7177" max="7177" width="11.140625" style="544" bestFit="1" customWidth="1"/>
    <col min="7178" max="7179" width="10.85546875" style="544" bestFit="1" customWidth="1"/>
    <col min="7180" max="7182" width="11.140625" style="544" bestFit="1" customWidth="1"/>
    <col min="7183" max="7183" width="9.140625" style="544"/>
    <col min="7184" max="7184" width="15.7109375" style="544" bestFit="1" customWidth="1"/>
    <col min="7185" max="7185" width="11.140625" style="544" bestFit="1" customWidth="1"/>
    <col min="7186" max="7186" width="11.85546875" style="544" bestFit="1" customWidth="1"/>
    <col min="7187" max="7187" width="11.140625" style="544" bestFit="1" customWidth="1"/>
    <col min="7188" max="7189" width="11.85546875" style="544" bestFit="1" customWidth="1"/>
    <col min="7190" max="7190" width="11.140625" style="544" bestFit="1" customWidth="1"/>
    <col min="7191" max="7193" width="11.85546875" style="544" bestFit="1" customWidth="1"/>
    <col min="7194" max="7424" width="9.140625" style="544"/>
    <col min="7425" max="7425" width="2.42578125" style="544" customWidth="1"/>
    <col min="7426" max="7426" width="13.28515625" style="544" customWidth="1"/>
    <col min="7427" max="7427" width="11.5703125" style="544" bestFit="1" customWidth="1"/>
    <col min="7428" max="7428" width="14.5703125" style="544" customWidth="1"/>
    <col min="7429" max="7429" width="9.85546875" style="544" bestFit="1" customWidth="1"/>
    <col min="7430" max="7430" width="12.28515625" style="544" bestFit="1" customWidth="1"/>
    <col min="7431" max="7431" width="9.85546875" style="544" bestFit="1" customWidth="1"/>
    <col min="7432" max="7432" width="14" style="544" customWidth="1"/>
    <col min="7433" max="7433" width="11.140625" style="544" bestFit="1" customWidth="1"/>
    <col min="7434" max="7435" width="10.85546875" style="544" bestFit="1" customWidth="1"/>
    <col min="7436" max="7438" width="11.140625" style="544" bestFit="1" customWidth="1"/>
    <col min="7439" max="7439" width="9.140625" style="544"/>
    <col min="7440" max="7440" width="15.7109375" style="544" bestFit="1" customWidth="1"/>
    <col min="7441" max="7441" width="11.140625" style="544" bestFit="1" customWidth="1"/>
    <col min="7442" max="7442" width="11.85546875" style="544" bestFit="1" customWidth="1"/>
    <col min="7443" max="7443" width="11.140625" style="544" bestFit="1" customWidth="1"/>
    <col min="7444" max="7445" width="11.85546875" style="544" bestFit="1" customWidth="1"/>
    <col min="7446" max="7446" width="11.140625" style="544" bestFit="1" customWidth="1"/>
    <col min="7447" max="7449" width="11.85546875" style="544" bestFit="1" customWidth="1"/>
    <col min="7450" max="7680" width="9.140625" style="544"/>
    <col min="7681" max="7681" width="2.42578125" style="544" customWidth="1"/>
    <col min="7682" max="7682" width="13.28515625" style="544" customWidth="1"/>
    <col min="7683" max="7683" width="11.5703125" style="544" bestFit="1" customWidth="1"/>
    <col min="7684" max="7684" width="14.5703125" style="544" customWidth="1"/>
    <col min="7685" max="7685" width="9.85546875" style="544" bestFit="1" customWidth="1"/>
    <col min="7686" max="7686" width="12.28515625" style="544" bestFit="1" customWidth="1"/>
    <col min="7687" max="7687" width="9.85546875" style="544" bestFit="1" customWidth="1"/>
    <col min="7688" max="7688" width="14" style="544" customWidth="1"/>
    <col min="7689" max="7689" width="11.140625" style="544" bestFit="1" customWidth="1"/>
    <col min="7690" max="7691" width="10.85546875" style="544" bestFit="1" customWidth="1"/>
    <col min="7692" max="7694" width="11.140625" style="544" bestFit="1" customWidth="1"/>
    <col min="7695" max="7695" width="9.140625" style="544"/>
    <col min="7696" max="7696" width="15.7109375" style="544" bestFit="1" customWidth="1"/>
    <col min="7697" max="7697" width="11.140625" style="544" bestFit="1" customWidth="1"/>
    <col min="7698" max="7698" width="11.85546875" style="544" bestFit="1" customWidth="1"/>
    <col min="7699" max="7699" width="11.140625" style="544" bestFit="1" customWidth="1"/>
    <col min="7700" max="7701" width="11.85546875" style="544" bestFit="1" customWidth="1"/>
    <col min="7702" max="7702" width="11.140625" style="544" bestFit="1" customWidth="1"/>
    <col min="7703" max="7705" width="11.85546875" style="544" bestFit="1" customWidth="1"/>
    <col min="7706" max="7936" width="9.140625" style="544"/>
    <col min="7937" max="7937" width="2.42578125" style="544" customWidth="1"/>
    <col min="7938" max="7938" width="13.28515625" style="544" customWidth="1"/>
    <col min="7939" max="7939" width="11.5703125" style="544" bestFit="1" customWidth="1"/>
    <col min="7940" max="7940" width="14.5703125" style="544" customWidth="1"/>
    <col min="7941" max="7941" width="9.85546875" style="544" bestFit="1" customWidth="1"/>
    <col min="7942" max="7942" width="12.28515625" style="544" bestFit="1" customWidth="1"/>
    <col min="7943" max="7943" width="9.85546875" style="544" bestFit="1" customWidth="1"/>
    <col min="7944" max="7944" width="14" style="544" customWidth="1"/>
    <col min="7945" max="7945" width="11.140625" style="544" bestFit="1" customWidth="1"/>
    <col min="7946" max="7947" width="10.85546875" style="544" bestFit="1" customWidth="1"/>
    <col min="7948" max="7950" width="11.140625" style="544" bestFit="1" customWidth="1"/>
    <col min="7951" max="7951" width="9.140625" style="544"/>
    <col min="7952" max="7952" width="15.7109375" style="544" bestFit="1" customWidth="1"/>
    <col min="7953" max="7953" width="11.140625" style="544" bestFit="1" customWidth="1"/>
    <col min="7954" max="7954" width="11.85546875" style="544" bestFit="1" customWidth="1"/>
    <col min="7955" max="7955" width="11.140625" style="544" bestFit="1" customWidth="1"/>
    <col min="7956" max="7957" width="11.85546875" style="544" bestFit="1" customWidth="1"/>
    <col min="7958" max="7958" width="11.140625" style="544" bestFit="1" customWidth="1"/>
    <col min="7959" max="7961" width="11.85546875" style="544" bestFit="1" customWidth="1"/>
    <col min="7962" max="8192" width="9.140625" style="544"/>
    <col min="8193" max="8193" width="2.42578125" style="544" customWidth="1"/>
    <col min="8194" max="8194" width="13.28515625" style="544" customWidth="1"/>
    <col min="8195" max="8195" width="11.5703125" style="544" bestFit="1" customWidth="1"/>
    <col min="8196" max="8196" width="14.5703125" style="544" customWidth="1"/>
    <col min="8197" max="8197" width="9.85546875" style="544" bestFit="1" customWidth="1"/>
    <col min="8198" max="8198" width="12.28515625" style="544" bestFit="1" customWidth="1"/>
    <col min="8199" max="8199" width="9.85546875" style="544" bestFit="1" customWidth="1"/>
    <col min="8200" max="8200" width="14" style="544" customWidth="1"/>
    <col min="8201" max="8201" width="11.140625" style="544" bestFit="1" customWidth="1"/>
    <col min="8202" max="8203" width="10.85546875" style="544" bestFit="1" customWidth="1"/>
    <col min="8204" max="8206" width="11.140625" style="544" bestFit="1" customWidth="1"/>
    <col min="8207" max="8207" width="9.140625" style="544"/>
    <col min="8208" max="8208" width="15.7109375" style="544" bestFit="1" customWidth="1"/>
    <col min="8209" max="8209" width="11.140625" style="544" bestFit="1" customWidth="1"/>
    <col min="8210" max="8210" width="11.85546875" style="544" bestFit="1" customWidth="1"/>
    <col min="8211" max="8211" width="11.140625" style="544" bestFit="1" customWidth="1"/>
    <col min="8212" max="8213" width="11.85546875" style="544" bestFit="1" customWidth="1"/>
    <col min="8214" max="8214" width="11.140625" style="544" bestFit="1" customWidth="1"/>
    <col min="8215" max="8217" width="11.85546875" style="544" bestFit="1" customWidth="1"/>
    <col min="8218" max="8448" width="9.140625" style="544"/>
    <col min="8449" max="8449" width="2.42578125" style="544" customWidth="1"/>
    <col min="8450" max="8450" width="13.28515625" style="544" customWidth="1"/>
    <col min="8451" max="8451" width="11.5703125" style="544" bestFit="1" customWidth="1"/>
    <col min="8452" max="8452" width="14.5703125" style="544" customWidth="1"/>
    <col min="8453" max="8453" width="9.85546875" style="544" bestFit="1" customWidth="1"/>
    <col min="8454" max="8454" width="12.28515625" style="544" bestFit="1" customWidth="1"/>
    <col min="8455" max="8455" width="9.85546875" style="544" bestFit="1" customWidth="1"/>
    <col min="8456" max="8456" width="14" style="544" customWidth="1"/>
    <col min="8457" max="8457" width="11.140625" style="544" bestFit="1" customWidth="1"/>
    <col min="8458" max="8459" width="10.85546875" style="544" bestFit="1" customWidth="1"/>
    <col min="8460" max="8462" width="11.140625" style="544" bestFit="1" customWidth="1"/>
    <col min="8463" max="8463" width="9.140625" style="544"/>
    <col min="8464" max="8464" width="15.7109375" style="544" bestFit="1" customWidth="1"/>
    <col min="8465" max="8465" width="11.140625" style="544" bestFit="1" customWidth="1"/>
    <col min="8466" max="8466" width="11.85546875" style="544" bestFit="1" customWidth="1"/>
    <col min="8467" max="8467" width="11.140625" style="544" bestFit="1" customWidth="1"/>
    <col min="8468" max="8469" width="11.85546875" style="544" bestFit="1" customWidth="1"/>
    <col min="8470" max="8470" width="11.140625" style="544" bestFit="1" customWidth="1"/>
    <col min="8471" max="8473" width="11.85546875" style="544" bestFit="1" customWidth="1"/>
    <col min="8474" max="8704" width="9.140625" style="544"/>
    <col min="8705" max="8705" width="2.42578125" style="544" customWidth="1"/>
    <col min="8706" max="8706" width="13.28515625" style="544" customWidth="1"/>
    <col min="8707" max="8707" width="11.5703125" style="544" bestFit="1" customWidth="1"/>
    <col min="8708" max="8708" width="14.5703125" style="544" customWidth="1"/>
    <col min="8709" max="8709" width="9.85546875" style="544" bestFit="1" customWidth="1"/>
    <col min="8710" max="8710" width="12.28515625" style="544" bestFit="1" customWidth="1"/>
    <col min="8711" max="8711" width="9.85546875" style="544" bestFit="1" customWidth="1"/>
    <col min="8712" max="8712" width="14" style="544" customWidth="1"/>
    <col min="8713" max="8713" width="11.140625" style="544" bestFit="1" customWidth="1"/>
    <col min="8714" max="8715" width="10.85546875" style="544" bestFit="1" customWidth="1"/>
    <col min="8716" max="8718" width="11.140625" style="544" bestFit="1" customWidth="1"/>
    <col min="8719" max="8719" width="9.140625" style="544"/>
    <col min="8720" max="8720" width="15.7109375" style="544" bestFit="1" customWidth="1"/>
    <col min="8721" max="8721" width="11.140625" style="544" bestFit="1" customWidth="1"/>
    <col min="8722" max="8722" width="11.85546875" style="544" bestFit="1" customWidth="1"/>
    <col min="8723" max="8723" width="11.140625" style="544" bestFit="1" customWidth="1"/>
    <col min="8724" max="8725" width="11.85546875" style="544" bestFit="1" customWidth="1"/>
    <col min="8726" max="8726" width="11.140625" style="544" bestFit="1" customWidth="1"/>
    <col min="8727" max="8729" width="11.85546875" style="544" bestFit="1" customWidth="1"/>
    <col min="8730" max="8960" width="9.140625" style="544"/>
    <col min="8961" max="8961" width="2.42578125" style="544" customWidth="1"/>
    <col min="8962" max="8962" width="13.28515625" style="544" customWidth="1"/>
    <col min="8963" max="8963" width="11.5703125" style="544" bestFit="1" customWidth="1"/>
    <col min="8964" max="8964" width="14.5703125" style="544" customWidth="1"/>
    <col min="8965" max="8965" width="9.85546875" style="544" bestFit="1" customWidth="1"/>
    <col min="8966" max="8966" width="12.28515625" style="544" bestFit="1" customWidth="1"/>
    <col min="8967" max="8967" width="9.85546875" style="544" bestFit="1" customWidth="1"/>
    <col min="8968" max="8968" width="14" style="544" customWidth="1"/>
    <col min="8969" max="8969" width="11.140625" style="544" bestFit="1" customWidth="1"/>
    <col min="8970" max="8971" width="10.85546875" style="544" bestFit="1" customWidth="1"/>
    <col min="8972" max="8974" width="11.140625" style="544" bestFit="1" customWidth="1"/>
    <col min="8975" max="8975" width="9.140625" style="544"/>
    <col min="8976" max="8976" width="15.7109375" style="544" bestFit="1" customWidth="1"/>
    <col min="8977" max="8977" width="11.140625" style="544" bestFit="1" customWidth="1"/>
    <col min="8978" max="8978" width="11.85546875" style="544" bestFit="1" customWidth="1"/>
    <col min="8979" max="8979" width="11.140625" style="544" bestFit="1" customWidth="1"/>
    <col min="8980" max="8981" width="11.85546875" style="544" bestFit="1" customWidth="1"/>
    <col min="8982" max="8982" width="11.140625" style="544" bestFit="1" customWidth="1"/>
    <col min="8983" max="8985" width="11.85546875" style="544" bestFit="1" customWidth="1"/>
    <col min="8986" max="9216" width="9.140625" style="544"/>
    <col min="9217" max="9217" width="2.42578125" style="544" customWidth="1"/>
    <col min="9218" max="9218" width="13.28515625" style="544" customWidth="1"/>
    <col min="9219" max="9219" width="11.5703125" style="544" bestFit="1" customWidth="1"/>
    <col min="9220" max="9220" width="14.5703125" style="544" customWidth="1"/>
    <col min="9221" max="9221" width="9.85546875" style="544" bestFit="1" customWidth="1"/>
    <col min="9222" max="9222" width="12.28515625" style="544" bestFit="1" customWidth="1"/>
    <col min="9223" max="9223" width="9.85546875" style="544" bestFit="1" customWidth="1"/>
    <col min="9224" max="9224" width="14" style="544" customWidth="1"/>
    <col min="9225" max="9225" width="11.140625" style="544" bestFit="1" customWidth="1"/>
    <col min="9226" max="9227" width="10.85546875" style="544" bestFit="1" customWidth="1"/>
    <col min="9228" max="9230" width="11.140625" style="544" bestFit="1" customWidth="1"/>
    <col min="9231" max="9231" width="9.140625" style="544"/>
    <col min="9232" max="9232" width="15.7109375" style="544" bestFit="1" customWidth="1"/>
    <col min="9233" max="9233" width="11.140625" style="544" bestFit="1" customWidth="1"/>
    <col min="9234" max="9234" width="11.85546875" style="544" bestFit="1" customWidth="1"/>
    <col min="9235" max="9235" width="11.140625" style="544" bestFit="1" customWidth="1"/>
    <col min="9236" max="9237" width="11.85546875" style="544" bestFit="1" customWidth="1"/>
    <col min="9238" max="9238" width="11.140625" style="544" bestFit="1" customWidth="1"/>
    <col min="9239" max="9241" width="11.85546875" style="544" bestFit="1" customWidth="1"/>
    <col min="9242" max="9472" width="9.140625" style="544"/>
    <col min="9473" max="9473" width="2.42578125" style="544" customWidth="1"/>
    <col min="9474" max="9474" width="13.28515625" style="544" customWidth="1"/>
    <col min="9475" max="9475" width="11.5703125" style="544" bestFit="1" customWidth="1"/>
    <col min="9476" max="9476" width="14.5703125" style="544" customWidth="1"/>
    <col min="9477" max="9477" width="9.85546875" style="544" bestFit="1" customWidth="1"/>
    <col min="9478" max="9478" width="12.28515625" style="544" bestFit="1" customWidth="1"/>
    <col min="9479" max="9479" width="9.85546875" style="544" bestFit="1" customWidth="1"/>
    <col min="9480" max="9480" width="14" style="544" customWidth="1"/>
    <col min="9481" max="9481" width="11.140625" style="544" bestFit="1" customWidth="1"/>
    <col min="9482" max="9483" width="10.85546875" style="544" bestFit="1" customWidth="1"/>
    <col min="9484" max="9486" width="11.140625" style="544" bestFit="1" customWidth="1"/>
    <col min="9487" max="9487" width="9.140625" style="544"/>
    <col min="9488" max="9488" width="15.7109375" style="544" bestFit="1" customWidth="1"/>
    <col min="9489" max="9489" width="11.140625" style="544" bestFit="1" customWidth="1"/>
    <col min="9490" max="9490" width="11.85546875" style="544" bestFit="1" customWidth="1"/>
    <col min="9491" max="9491" width="11.140625" style="544" bestFit="1" customWidth="1"/>
    <col min="9492" max="9493" width="11.85546875" style="544" bestFit="1" customWidth="1"/>
    <col min="9494" max="9494" width="11.140625" style="544" bestFit="1" customWidth="1"/>
    <col min="9495" max="9497" width="11.85546875" style="544" bestFit="1" customWidth="1"/>
    <col min="9498" max="9728" width="9.140625" style="544"/>
    <col min="9729" max="9729" width="2.42578125" style="544" customWidth="1"/>
    <col min="9730" max="9730" width="13.28515625" style="544" customWidth="1"/>
    <col min="9731" max="9731" width="11.5703125" style="544" bestFit="1" customWidth="1"/>
    <col min="9732" max="9732" width="14.5703125" style="544" customWidth="1"/>
    <col min="9733" max="9733" width="9.85546875" style="544" bestFit="1" customWidth="1"/>
    <col min="9734" max="9734" width="12.28515625" style="544" bestFit="1" customWidth="1"/>
    <col min="9735" max="9735" width="9.85546875" style="544" bestFit="1" customWidth="1"/>
    <col min="9736" max="9736" width="14" style="544" customWidth="1"/>
    <col min="9737" max="9737" width="11.140625" style="544" bestFit="1" customWidth="1"/>
    <col min="9738" max="9739" width="10.85546875" style="544" bestFit="1" customWidth="1"/>
    <col min="9740" max="9742" width="11.140625" style="544" bestFit="1" customWidth="1"/>
    <col min="9743" max="9743" width="9.140625" style="544"/>
    <col min="9744" max="9744" width="15.7109375" style="544" bestFit="1" customWidth="1"/>
    <col min="9745" max="9745" width="11.140625" style="544" bestFit="1" customWidth="1"/>
    <col min="9746" max="9746" width="11.85546875" style="544" bestFit="1" customWidth="1"/>
    <col min="9747" max="9747" width="11.140625" style="544" bestFit="1" customWidth="1"/>
    <col min="9748" max="9749" width="11.85546875" style="544" bestFit="1" customWidth="1"/>
    <col min="9750" max="9750" width="11.140625" style="544" bestFit="1" customWidth="1"/>
    <col min="9751" max="9753" width="11.85546875" style="544" bestFit="1" customWidth="1"/>
    <col min="9754" max="9984" width="9.140625" style="544"/>
    <col min="9985" max="9985" width="2.42578125" style="544" customWidth="1"/>
    <col min="9986" max="9986" width="13.28515625" style="544" customWidth="1"/>
    <col min="9987" max="9987" width="11.5703125" style="544" bestFit="1" customWidth="1"/>
    <col min="9988" max="9988" width="14.5703125" style="544" customWidth="1"/>
    <col min="9989" max="9989" width="9.85546875" style="544" bestFit="1" customWidth="1"/>
    <col min="9990" max="9990" width="12.28515625" style="544" bestFit="1" customWidth="1"/>
    <col min="9991" max="9991" width="9.85546875" style="544" bestFit="1" customWidth="1"/>
    <col min="9992" max="9992" width="14" style="544" customWidth="1"/>
    <col min="9993" max="9993" width="11.140625" style="544" bestFit="1" customWidth="1"/>
    <col min="9994" max="9995" width="10.85546875" style="544" bestFit="1" customWidth="1"/>
    <col min="9996" max="9998" width="11.140625" style="544" bestFit="1" customWidth="1"/>
    <col min="9999" max="9999" width="9.140625" style="544"/>
    <col min="10000" max="10000" width="15.7109375" style="544" bestFit="1" customWidth="1"/>
    <col min="10001" max="10001" width="11.140625" style="544" bestFit="1" customWidth="1"/>
    <col min="10002" max="10002" width="11.85546875" style="544" bestFit="1" customWidth="1"/>
    <col min="10003" max="10003" width="11.140625" style="544" bestFit="1" customWidth="1"/>
    <col min="10004" max="10005" width="11.85546875" style="544" bestFit="1" customWidth="1"/>
    <col min="10006" max="10006" width="11.140625" style="544" bestFit="1" customWidth="1"/>
    <col min="10007" max="10009" width="11.85546875" style="544" bestFit="1" customWidth="1"/>
    <col min="10010" max="10240" width="9.140625" style="544"/>
    <col min="10241" max="10241" width="2.42578125" style="544" customWidth="1"/>
    <col min="10242" max="10242" width="13.28515625" style="544" customWidth="1"/>
    <col min="10243" max="10243" width="11.5703125" style="544" bestFit="1" customWidth="1"/>
    <col min="10244" max="10244" width="14.5703125" style="544" customWidth="1"/>
    <col min="10245" max="10245" width="9.85546875" style="544" bestFit="1" customWidth="1"/>
    <col min="10246" max="10246" width="12.28515625" style="544" bestFit="1" customWidth="1"/>
    <col min="10247" max="10247" width="9.85546875" style="544" bestFit="1" customWidth="1"/>
    <col min="10248" max="10248" width="14" style="544" customWidth="1"/>
    <col min="10249" max="10249" width="11.140625" style="544" bestFit="1" customWidth="1"/>
    <col min="10250" max="10251" width="10.85546875" style="544" bestFit="1" customWidth="1"/>
    <col min="10252" max="10254" width="11.140625" style="544" bestFit="1" customWidth="1"/>
    <col min="10255" max="10255" width="9.140625" style="544"/>
    <col min="10256" max="10256" width="15.7109375" style="544" bestFit="1" customWidth="1"/>
    <col min="10257" max="10257" width="11.140625" style="544" bestFit="1" customWidth="1"/>
    <col min="10258" max="10258" width="11.85546875" style="544" bestFit="1" customWidth="1"/>
    <col min="10259" max="10259" width="11.140625" style="544" bestFit="1" customWidth="1"/>
    <col min="10260" max="10261" width="11.85546875" style="544" bestFit="1" customWidth="1"/>
    <col min="10262" max="10262" width="11.140625" style="544" bestFit="1" customWidth="1"/>
    <col min="10263" max="10265" width="11.85546875" style="544" bestFit="1" customWidth="1"/>
    <col min="10266" max="10496" width="9.140625" style="544"/>
    <col min="10497" max="10497" width="2.42578125" style="544" customWidth="1"/>
    <col min="10498" max="10498" width="13.28515625" style="544" customWidth="1"/>
    <col min="10499" max="10499" width="11.5703125" style="544" bestFit="1" customWidth="1"/>
    <col min="10500" max="10500" width="14.5703125" style="544" customWidth="1"/>
    <col min="10501" max="10501" width="9.85546875" style="544" bestFit="1" customWidth="1"/>
    <col min="10502" max="10502" width="12.28515625" style="544" bestFit="1" customWidth="1"/>
    <col min="10503" max="10503" width="9.85546875" style="544" bestFit="1" customWidth="1"/>
    <col min="10504" max="10504" width="14" style="544" customWidth="1"/>
    <col min="10505" max="10505" width="11.140625" style="544" bestFit="1" customWidth="1"/>
    <col min="10506" max="10507" width="10.85546875" style="544" bestFit="1" customWidth="1"/>
    <col min="10508" max="10510" width="11.140625" style="544" bestFit="1" customWidth="1"/>
    <col min="10511" max="10511" width="9.140625" style="544"/>
    <col min="10512" max="10512" width="15.7109375" style="544" bestFit="1" customWidth="1"/>
    <col min="10513" max="10513" width="11.140625" style="544" bestFit="1" customWidth="1"/>
    <col min="10514" max="10514" width="11.85546875" style="544" bestFit="1" customWidth="1"/>
    <col min="10515" max="10515" width="11.140625" style="544" bestFit="1" customWidth="1"/>
    <col min="10516" max="10517" width="11.85546875" style="544" bestFit="1" customWidth="1"/>
    <col min="10518" max="10518" width="11.140625" style="544" bestFit="1" customWidth="1"/>
    <col min="10519" max="10521" width="11.85546875" style="544" bestFit="1" customWidth="1"/>
    <col min="10522" max="10752" width="9.140625" style="544"/>
    <col min="10753" max="10753" width="2.42578125" style="544" customWidth="1"/>
    <col min="10754" max="10754" width="13.28515625" style="544" customWidth="1"/>
    <col min="10755" max="10755" width="11.5703125" style="544" bestFit="1" customWidth="1"/>
    <col min="10756" max="10756" width="14.5703125" style="544" customWidth="1"/>
    <col min="10757" max="10757" width="9.85546875" style="544" bestFit="1" customWidth="1"/>
    <col min="10758" max="10758" width="12.28515625" style="544" bestFit="1" customWidth="1"/>
    <col min="10759" max="10759" width="9.85546875" style="544" bestFit="1" customWidth="1"/>
    <col min="10760" max="10760" width="14" style="544" customWidth="1"/>
    <col min="10761" max="10761" width="11.140625" style="544" bestFit="1" customWidth="1"/>
    <col min="10762" max="10763" width="10.85546875" style="544" bestFit="1" customWidth="1"/>
    <col min="10764" max="10766" width="11.140625" style="544" bestFit="1" customWidth="1"/>
    <col min="10767" max="10767" width="9.140625" style="544"/>
    <col min="10768" max="10768" width="15.7109375" style="544" bestFit="1" customWidth="1"/>
    <col min="10769" max="10769" width="11.140625" style="544" bestFit="1" customWidth="1"/>
    <col min="10770" max="10770" width="11.85546875" style="544" bestFit="1" customWidth="1"/>
    <col min="10771" max="10771" width="11.140625" style="544" bestFit="1" customWidth="1"/>
    <col min="10772" max="10773" width="11.85546875" style="544" bestFit="1" customWidth="1"/>
    <col min="10774" max="10774" width="11.140625" style="544" bestFit="1" customWidth="1"/>
    <col min="10775" max="10777" width="11.85546875" style="544" bestFit="1" customWidth="1"/>
    <col min="10778" max="11008" width="9.140625" style="544"/>
    <col min="11009" max="11009" width="2.42578125" style="544" customWidth="1"/>
    <col min="11010" max="11010" width="13.28515625" style="544" customWidth="1"/>
    <col min="11011" max="11011" width="11.5703125" style="544" bestFit="1" customWidth="1"/>
    <col min="11012" max="11012" width="14.5703125" style="544" customWidth="1"/>
    <col min="11013" max="11013" width="9.85546875" style="544" bestFit="1" customWidth="1"/>
    <col min="11014" max="11014" width="12.28515625" style="544" bestFit="1" customWidth="1"/>
    <col min="11015" max="11015" width="9.85546875" style="544" bestFit="1" customWidth="1"/>
    <col min="11016" max="11016" width="14" style="544" customWidth="1"/>
    <col min="11017" max="11017" width="11.140625" style="544" bestFit="1" customWidth="1"/>
    <col min="11018" max="11019" width="10.85546875" style="544" bestFit="1" customWidth="1"/>
    <col min="11020" max="11022" width="11.140625" style="544" bestFit="1" customWidth="1"/>
    <col min="11023" max="11023" width="9.140625" style="544"/>
    <col min="11024" max="11024" width="15.7109375" style="544" bestFit="1" customWidth="1"/>
    <col min="11025" max="11025" width="11.140625" style="544" bestFit="1" customWidth="1"/>
    <col min="11026" max="11026" width="11.85546875" style="544" bestFit="1" customWidth="1"/>
    <col min="11027" max="11027" width="11.140625" style="544" bestFit="1" customWidth="1"/>
    <col min="11028" max="11029" width="11.85546875" style="544" bestFit="1" customWidth="1"/>
    <col min="11030" max="11030" width="11.140625" style="544" bestFit="1" customWidth="1"/>
    <col min="11031" max="11033" width="11.85546875" style="544" bestFit="1" customWidth="1"/>
    <col min="11034" max="11264" width="9.140625" style="544"/>
    <col min="11265" max="11265" width="2.42578125" style="544" customWidth="1"/>
    <col min="11266" max="11266" width="13.28515625" style="544" customWidth="1"/>
    <col min="11267" max="11267" width="11.5703125" style="544" bestFit="1" customWidth="1"/>
    <col min="11268" max="11268" width="14.5703125" style="544" customWidth="1"/>
    <col min="11269" max="11269" width="9.85546875" style="544" bestFit="1" customWidth="1"/>
    <col min="11270" max="11270" width="12.28515625" style="544" bestFit="1" customWidth="1"/>
    <col min="11271" max="11271" width="9.85546875" style="544" bestFit="1" customWidth="1"/>
    <col min="11272" max="11272" width="14" style="544" customWidth="1"/>
    <col min="11273" max="11273" width="11.140625" style="544" bestFit="1" customWidth="1"/>
    <col min="11274" max="11275" width="10.85546875" style="544" bestFit="1" customWidth="1"/>
    <col min="11276" max="11278" width="11.140625" style="544" bestFit="1" customWidth="1"/>
    <col min="11279" max="11279" width="9.140625" style="544"/>
    <col min="11280" max="11280" width="15.7109375" style="544" bestFit="1" customWidth="1"/>
    <col min="11281" max="11281" width="11.140625" style="544" bestFit="1" customWidth="1"/>
    <col min="11282" max="11282" width="11.85546875" style="544" bestFit="1" customWidth="1"/>
    <col min="11283" max="11283" width="11.140625" style="544" bestFit="1" customWidth="1"/>
    <col min="11284" max="11285" width="11.85546875" style="544" bestFit="1" customWidth="1"/>
    <col min="11286" max="11286" width="11.140625" style="544" bestFit="1" customWidth="1"/>
    <col min="11287" max="11289" width="11.85546875" style="544" bestFit="1" customWidth="1"/>
    <col min="11290" max="11520" width="9.140625" style="544"/>
    <col min="11521" max="11521" width="2.42578125" style="544" customWidth="1"/>
    <col min="11522" max="11522" width="13.28515625" style="544" customWidth="1"/>
    <col min="11523" max="11523" width="11.5703125" style="544" bestFit="1" customWidth="1"/>
    <col min="11524" max="11524" width="14.5703125" style="544" customWidth="1"/>
    <col min="11525" max="11525" width="9.85546875" style="544" bestFit="1" customWidth="1"/>
    <col min="11526" max="11526" width="12.28515625" style="544" bestFit="1" customWidth="1"/>
    <col min="11527" max="11527" width="9.85546875" style="544" bestFit="1" customWidth="1"/>
    <col min="11528" max="11528" width="14" style="544" customWidth="1"/>
    <col min="11529" max="11529" width="11.140625" style="544" bestFit="1" customWidth="1"/>
    <col min="11530" max="11531" width="10.85546875" style="544" bestFit="1" customWidth="1"/>
    <col min="11532" max="11534" width="11.140625" style="544" bestFit="1" customWidth="1"/>
    <col min="11535" max="11535" width="9.140625" style="544"/>
    <col min="11536" max="11536" width="15.7109375" style="544" bestFit="1" customWidth="1"/>
    <col min="11537" max="11537" width="11.140625" style="544" bestFit="1" customWidth="1"/>
    <col min="11538" max="11538" width="11.85546875" style="544" bestFit="1" customWidth="1"/>
    <col min="11539" max="11539" width="11.140625" style="544" bestFit="1" customWidth="1"/>
    <col min="11540" max="11541" width="11.85546875" style="544" bestFit="1" customWidth="1"/>
    <col min="11542" max="11542" width="11.140625" style="544" bestFit="1" customWidth="1"/>
    <col min="11543" max="11545" width="11.85546875" style="544" bestFit="1" customWidth="1"/>
    <col min="11546" max="11776" width="9.140625" style="544"/>
    <col min="11777" max="11777" width="2.42578125" style="544" customWidth="1"/>
    <col min="11778" max="11778" width="13.28515625" style="544" customWidth="1"/>
    <col min="11779" max="11779" width="11.5703125" style="544" bestFit="1" customWidth="1"/>
    <col min="11780" max="11780" width="14.5703125" style="544" customWidth="1"/>
    <col min="11781" max="11781" width="9.85546875" style="544" bestFit="1" customWidth="1"/>
    <col min="11782" max="11782" width="12.28515625" style="544" bestFit="1" customWidth="1"/>
    <col min="11783" max="11783" width="9.85546875" style="544" bestFit="1" customWidth="1"/>
    <col min="11784" max="11784" width="14" style="544" customWidth="1"/>
    <col min="11785" max="11785" width="11.140625" style="544" bestFit="1" customWidth="1"/>
    <col min="11786" max="11787" width="10.85546875" style="544" bestFit="1" customWidth="1"/>
    <col min="11788" max="11790" width="11.140625" style="544" bestFit="1" customWidth="1"/>
    <col min="11791" max="11791" width="9.140625" style="544"/>
    <col min="11792" max="11792" width="15.7109375" style="544" bestFit="1" customWidth="1"/>
    <col min="11793" max="11793" width="11.140625" style="544" bestFit="1" customWidth="1"/>
    <col min="11794" max="11794" width="11.85546875" style="544" bestFit="1" customWidth="1"/>
    <col min="11795" max="11795" width="11.140625" style="544" bestFit="1" customWidth="1"/>
    <col min="11796" max="11797" width="11.85546875" style="544" bestFit="1" customWidth="1"/>
    <col min="11798" max="11798" width="11.140625" style="544" bestFit="1" customWidth="1"/>
    <col min="11799" max="11801" width="11.85546875" style="544" bestFit="1" customWidth="1"/>
    <col min="11802" max="12032" width="9.140625" style="544"/>
    <col min="12033" max="12033" width="2.42578125" style="544" customWidth="1"/>
    <col min="12034" max="12034" width="13.28515625" style="544" customWidth="1"/>
    <col min="12035" max="12035" width="11.5703125" style="544" bestFit="1" customWidth="1"/>
    <col min="12036" max="12036" width="14.5703125" style="544" customWidth="1"/>
    <col min="12037" max="12037" width="9.85546875" style="544" bestFit="1" customWidth="1"/>
    <col min="12038" max="12038" width="12.28515625" style="544" bestFit="1" customWidth="1"/>
    <col min="12039" max="12039" width="9.85546875" style="544" bestFit="1" customWidth="1"/>
    <col min="12040" max="12040" width="14" style="544" customWidth="1"/>
    <col min="12041" max="12041" width="11.140625" style="544" bestFit="1" customWidth="1"/>
    <col min="12042" max="12043" width="10.85546875" style="544" bestFit="1" customWidth="1"/>
    <col min="12044" max="12046" width="11.140625" style="544" bestFit="1" customWidth="1"/>
    <col min="12047" max="12047" width="9.140625" style="544"/>
    <col min="12048" max="12048" width="15.7109375" style="544" bestFit="1" customWidth="1"/>
    <col min="12049" max="12049" width="11.140625" style="544" bestFit="1" customWidth="1"/>
    <col min="12050" max="12050" width="11.85546875" style="544" bestFit="1" customWidth="1"/>
    <col min="12051" max="12051" width="11.140625" style="544" bestFit="1" customWidth="1"/>
    <col min="12052" max="12053" width="11.85546875" style="544" bestFit="1" customWidth="1"/>
    <col min="12054" max="12054" width="11.140625" style="544" bestFit="1" customWidth="1"/>
    <col min="12055" max="12057" width="11.85546875" style="544" bestFit="1" customWidth="1"/>
    <col min="12058" max="12288" width="9.140625" style="544"/>
    <col min="12289" max="12289" width="2.42578125" style="544" customWidth="1"/>
    <col min="12290" max="12290" width="13.28515625" style="544" customWidth="1"/>
    <col min="12291" max="12291" width="11.5703125" style="544" bestFit="1" customWidth="1"/>
    <col min="12292" max="12292" width="14.5703125" style="544" customWidth="1"/>
    <col min="12293" max="12293" width="9.85546875" style="544" bestFit="1" customWidth="1"/>
    <col min="12294" max="12294" width="12.28515625" style="544" bestFit="1" customWidth="1"/>
    <col min="12295" max="12295" width="9.85546875" style="544" bestFit="1" customWidth="1"/>
    <col min="12296" max="12296" width="14" style="544" customWidth="1"/>
    <col min="12297" max="12297" width="11.140625" style="544" bestFit="1" customWidth="1"/>
    <col min="12298" max="12299" width="10.85546875" style="544" bestFit="1" customWidth="1"/>
    <col min="12300" max="12302" width="11.140625" style="544" bestFit="1" customWidth="1"/>
    <col min="12303" max="12303" width="9.140625" style="544"/>
    <col min="12304" max="12304" width="15.7109375" style="544" bestFit="1" customWidth="1"/>
    <col min="12305" max="12305" width="11.140625" style="544" bestFit="1" customWidth="1"/>
    <col min="12306" max="12306" width="11.85546875" style="544" bestFit="1" customWidth="1"/>
    <col min="12307" max="12307" width="11.140625" style="544" bestFit="1" customWidth="1"/>
    <col min="12308" max="12309" width="11.85546875" style="544" bestFit="1" customWidth="1"/>
    <col min="12310" max="12310" width="11.140625" style="544" bestFit="1" customWidth="1"/>
    <col min="12311" max="12313" width="11.85546875" style="544" bestFit="1" customWidth="1"/>
    <col min="12314" max="12544" width="9.140625" style="544"/>
    <col min="12545" max="12545" width="2.42578125" style="544" customWidth="1"/>
    <col min="12546" max="12546" width="13.28515625" style="544" customWidth="1"/>
    <col min="12547" max="12547" width="11.5703125" style="544" bestFit="1" customWidth="1"/>
    <col min="12548" max="12548" width="14.5703125" style="544" customWidth="1"/>
    <col min="12549" max="12549" width="9.85546875" style="544" bestFit="1" customWidth="1"/>
    <col min="12550" max="12550" width="12.28515625" style="544" bestFit="1" customWidth="1"/>
    <col min="12551" max="12551" width="9.85546875" style="544" bestFit="1" customWidth="1"/>
    <col min="12552" max="12552" width="14" style="544" customWidth="1"/>
    <col min="12553" max="12553" width="11.140625" style="544" bestFit="1" customWidth="1"/>
    <col min="12554" max="12555" width="10.85546875" style="544" bestFit="1" customWidth="1"/>
    <col min="12556" max="12558" width="11.140625" style="544" bestFit="1" customWidth="1"/>
    <col min="12559" max="12559" width="9.140625" style="544"/>
    <col min="12560" max="12560" width="15.7109375" style="544" bestFit="1" customWidth="1"/>
    <col min="12561" max="12561" width="11.140625" style="544" bestFit="1" customWidth="1"/>
    <col min="12562" max="12562" width="11.85546875" style="544" bestFit="1" customWidth="1"/>
    <col min="12563" max="12563" width="11.140625" style="544" bestFit="1" customWidth="1"/>
    <col min="12564" max="12565" width="11.85546875" style="544" bestFit="1" customWidth="1"/>
    <col min="12566" max="12566" width="11.140625" style="544" bestFit="1" customWidth="1"/>
    <col min="12567" max="12569" width="11.85546875" style="544" bestFit="1" customWidth="1"/>
    <col min="12570" max="12800" width="9.140625" style="544"/>
    <col min="12801" max="12801" width="2.42578125" style="544" customWidth="1"/>
    <col min="12802" max="12802" width="13.28515625" style="544" customWidth="1"/>
    <col min="12803" max="12803" width="11.5703125" style="544" bestFit="1" customWidth="1"/>
    <col min="12804" max="12804" width="14.5703125" style="544" customWidth="1"/>
    <col min="12805" max="12805" width="9.85546875" style="544" bestFit="1" customWidth="1"/>
    <col min="12806" max="12806" width="12.28515625" style="544" bestFit="1" customWidth="1"/>
    <col min="12807" max="12807" width="9.85546875" style="544" bestFit="1" customWidth="1"/>
    <col min="12808" max="12808" width="14" style="544" customWidth="1"/>
    <col min="12809" max="12809" width="11.140625" style="544" bestFit="1" customWidth="1"/>
    <col min="12810" max="12811" width="10.85546875" style="544" bestFit="1" customWidth="1"/>
    <col min="12812" max="12814" width="11.140625" style="544" bestFit="1" customWidth="1"/>
    <col min="12815" max="12815" width="9.140625" style="544"/>
    <col min="12816" max="12816" width="15.7109375" style="544" bestFit="1" customWidth="1"/>
    <col min="12817" max="12817" width="11.140625" style="544" bestFit="1" customWidth="1"/>
    <col min="12818" max="12818" width="11.85546875" style="544" bestFit="1" customWidth="1"/>
    <col min="12819" max="12819" width="11.140625" style="544" bestFit="1" customWidth="1"/>
    <col min="12820" max="12821" width="11.85546875" style="544" bestFit="1" customWidth="1"/>
    <col min="12822" max="12822" width="11.140625" style="544" bestFit="1" customWidth="1"/>
    <col min="12823" max="12825" width="11.85546875" style="544" bestFit="1" customWidth="1"/>
    <col min="12826" max="13056" width="9.140625" style="544"/>
    <col min="13057" max="13057" width="2.42578125" style="544" customWidth="1"/>
    <col min="13058" max="13058" width="13.28515625" style="544" customWidth="1"/>
    <col min="13059" max="13059" width="11.5703125" style="544" bestFit="1" customWidth="1"/>
    <col min="13060" max="13060" width="14.5703125" style="544" customWidth="1"/>
    <col min="13061" max="13061" width="9.85546875" style="544" bestFit="1" customWidth="1"/>
    <col min="13062" max="13062" width="12.28515625" style="544" bestFit="1" customWidth="1"/>
    <col min="13063" max="13063" width="9.85546875" style="544" bestFit="1" customWidth="1"/>
    <col min="13064" max="13064" width="14" style="544" customWidth="1"/>
    <col min="13065" max="13065" width="11.140625" style="544" bestFit="1" customWidth="1"/>
    <col min="13066" max="13067" width="10.85546875" style="544" bestFit="1" customWidth="1"/>
    <col min="13068" max="13070" width="11.140625" style="544" bestFit="1" customWidth="1"/>
    <col min="13071" max="13071" width="9.140625" style="544"/>
    <col min="13072" max="13072" width="15.7109375" style="544" bestFit="1" customWidth="1"/>
    <col min="13073" max="13073" width="11.140625" style="544" bestFit="1" customWidth="1"/>
    <col min="13074" max="13074" width="11.85546875" style="544" bestFit="1" customWidth="1"/>
    <col min="13075" max="13075" width="11.140625" style="544" bestFit="1" customWidth="1"/>
    <col min="13076" max="13077" width="11.85546875" style="544" bestFit="1" customWidth="1"/>
    <col min="13078" max="13078" width="11.140625" style="544" bestFit="1" customWidth="1"/>
    <col min="13079" max="13081" width="11.85546875" style="544" bestFit="1" customWidth="1"/>
    <col min="13082" max="13312" width="9.140625" style="544"/>
    <col min="13313" max="13313" width="2.42578125" style="544" customWidth="1"/>
    <col min="13314" max="13314" width="13.28515625" style="544" customWidth="1"/>
    <col min="13315" max="13315" width="11.5703125" style="544" bestFit="1" customWidth="1"/>
    <col min="13316" max="13316" width="14.5703125" style="544" customWidth="1"/>
    <col min="13317" max="13317" width="9.85546875" style="544" bestFit="1" customWidth="1"/>
    <col min="13318" max="13318" width="12.28515625" style="544" bestFit="1" customWidth="1"/>
    <col min="13319" max="13319" width="9.85546875" style="544" bestFit="1" customWidth="1"/>
    <col min="13320" max="13320" width="14" style="544" customWidth="1"/>
    <col min="13321" max="13321" width="11.140625" style="544" bestFit="1" customWidth="1"/>
    <col min="13322" max="13323" width="10.85546875" style="544" bestFit="1" customWidth="1"/>
    <col min="13324" max="13326" width="11.140625" style="544" bestFit="1" customWidth="1"/>
    <col min="13327" max="13327" width="9.140625" style="544"/>
    <col min="13328" max="13328" width="15.7109375" style="544" bestFit="1" customWidth="1"/>
    <col min="13329" max="13329" width="11.140625" style="544" bestFit="1" customWidth="1"/>
    <col min="13330" max="13330" width="11.85546875" style="544" bestFit="1" customWidth="1"/>
    <col min="13331" max="13331" width="11.140625" style="544" bestFit="1" customWidth="1"/>
    <col min="13332" max="13333" width="11.85546875" style="544" bestFit="1" customWidth="1"/>
    <col min="13334" max="13334" width="11.140625" style="544" bestFit="1" customWidth="1"/>
    <col min="13335" max="13337" width="11.85546875" style="544" bestFit="1" customWidth="1"/>
    <col min="13338" max="13568" width="9.140625" style="544"/>
    <col min="13569" max="13569" width="2.42578125" style="544" customWidth="1"/>
    <col min="13570" max="13570" width="13.28515625" style="544" customWidth="1"/>
    <col min="13571" max="13571" width="11.5703125" style="544" bestFit="1" customWidth="1"/>
    <col min="13572" max="13572" width="14.5703125" style="544" customWidth="1"/>
    <col min="13573" max="13573" width="9.85546875" style="544" bestFit="1" customWidth="1"/>
    <col min="13574" max="13574" width="12.28515625" style="544" bestFit="1" customWidth="1"/>
    <col min="13575" max="13575" width="9.85546875" style="544" bestFit="1" customWidth="1"/>
    <col min="13576" max="13576" width="14" style="544" customWidth="1"/>
    <col min="13577" max="13577" width="11.140625" style="544" bestFit="1" customWidth="1"/>
    <col min="13578" max="13579" width="10.85546875" style="544" bestFit="1" customWidth="1"/>
    <col min="13580" max="13582" width="11.140625" style="544" bestFit="1" customWidth="1"/>
    <col min="13583" max="13583" width="9.140625" style="544"/>
    <col min="13584" max="13584" width="15.7109375" style="544" bestFit="1" customWidth="1"/>
    <col min="13585" max="13585" width="11.140625" style="544" bestFit="1" customWidth="1"/>
    <col min="13586" max="13586" width="11.85546875" style="544" bestFit="1" customWidth="1"/>
    <col min="13587" max="13587" width="11.140625" style="544" bestFit="1" customWidth="1"/>
    <col min="13588" max="13589" width="11.85546875" style="544" bestFit="1" customWidth="1"/>
    <col min="13590" max="13590" width="11.140625" style="544" bestFit="1" customWidth="1"/>
    <col min="13591" max="13593" width="11.85546875" style="544" bestFit="1" customWidth="1"/>
    <col min="13594" max="13824" width="9.140625" style="544"/>
    <col min="13825" max="13825" width="2.42578125" style="544" customWidth="1"/>
    <col min="13826" max="13826" width="13.28515625" style="544" customWidth="1"/>
    <col min="13827" max="13827" width="11.5703125" style="544" bestFit="1" customWidth="1"/>
    <col min="13828" max="13828" width="14.5703125" style="544" customWidth="1"/>
    <col min="13829" max="13829" width="9.85546875" style="544" bestFit="1" customWidth="1"/>
    <col min="13830" max="13830" width="12.28515625" style="544" bestFit="1" customWidth="1"/>
    <col min="13831" max="13831" width="9.85546875" style="544" bestFit="1" customWidth="1"/>
    <col min="13832" max="13832" width="14" style="544" customWidth="1"/>
    <col min="13833" max="13833" width="11.140625" style="544" bestFit="1" customWidth="1"/>
    <col min="13834" max="13835" width="10.85546875" style="544" bestFit="1" customWidth="1"/>
    <col min="13836" max="13838" width="11.140625" style="544" bestFit="1" customWidth="1"/>
    <col min="13839" max="13839" width="9.140625" style="544"/>
    <col min="13840" max="13840" width="15.7109375" style="544" bestFit="1" customWidth="1"/>
    <col min="13841" max="13841" width="11.140625" style="544" bestFit="1" customWidth="1"/>
    <col min="13842" max="13842" width="11.85546875" style="544" bestFit="1" customWidth="1"/>
    <col min="13843" max="13843" width="11.140625" style="544" bestFit="1" customWidth="1"/>
    <col min="13844" max="13845" width="11.85546875" style="544" bestFit="1" customWidth="1"/>
    <col min="13846" max="13846" width="11.140625" style="544" bestFit="1" customWidth="1"/>
    <col min="13847" max="13849" width="11.85546875" style="544" bestFit="1" customWidth="1"/>
    <col min="13850" max="14080" width="9.140625" style="544"/>
    <col min="14081" max="14081" width="2.42578125" style="544" customWidth="1"/>
    <col min="14082" max="14082" width="13.28515625" style="544" customWidth="1"/>
    <col min="14083" max="14083" width="11.5703125" style="544" bestFit="1" customWidth="1"/>
    <col min="14084" max="14084" width="14.5703125" style="544" customWidth="1"/>
    <col min="14085" max="14085" width="9.85546875" style="544" bestFit="1" customWidth="1"/>
    <col min="14086" max="14086" width="12.28515625" style="544" bestFit="1" customWidth="1"/>
    <col min="14087" max="14087" width="9.85546875" style="544" bestFit="1" customWidth="1"/>
    <col min="14088" max="14088" width="14" style="544" customWidth="1"/>
    <col min="14089" max="14089" width="11.140625" style="544" bestFit="1" customWidth="1"/>
    <col min="14090" max="14091" width="10.85546875" style="544" bestFit="1" customWidth="1"/>
    <col min="14092" max="14094" width="11.140625" style="544" bestFit="1" customWidth="1"/>
    <col min="14095" max="14095" width="9.140625" style="544"/>
    <col min="14096" max="14096" width="15.7109375" style="544" bestFit="1" customWidth="1"/>
    <col min="14097" max="14097" width="11.140625" style="544" bestFit="1" customWidth="1"/>
    <col min="14098" max="14098" width="11.85546875" style="544" bestFit="1" customWidth="1"/>
    <col min="14099" max="14099" width="11.140625" style="544" bestFit="1" customWidth="1"/>
    <col min="14100" max="14101" width="11.85546875" style="544" bestFit="1" customWidth="1"/>
    <col min="14102" max="14102" width="11.140625" style="544" bestFit="1" customWidth="1"/>
    <col min="14103" max="14105" width="11.85546875" style="544" bestFit="1" customWidth="1"/>
    <col min="14106" max="14336" width="9.140625" style="544"/>
    <col min="14337" max="14337" width="2.42578125" style="544" customWidth="1"/>
    <col min="14338" max="14338" width="13.28515625" style="544" customWidth="1"/>
    <col min="14339" max="14339" width="11.5703125" style="544" bestFit="1" customWidth="1"/>
    <col min="14340" max="14340" width="14.5703125" style="544" customWidth="1"/>
    <col min="14341" max="14341" width="9.85546875" style="544" bestFit="1" customWidth="1"/>
    <col min="14342" max="14342" width="12.28515625" style="544" bestFit="1" customWidth="1"/>
    <col min="14343" max="14343" width="9.85546875" style="544" bestFit="1" customWidth="1"/>
    <col min="14344" max="14344" width="14" style="544" customWidth="1"/>
    <col min="14345" max="14345" width="11.140625" style="544" bestFit="1" customWidth="1"/>
    <col min="14346" max="14347" width="10.85546875" style="544" bestFit="1" customWidth="1"/>
    <col min="14348" max="14350" width="11.140625" style="544" bestFit="1" customWidth="1"/>
    <col min="14351" max="14351" width="9.140625" style="544"/>
    <col min="14352" max="14352" width="15.7109375" style="544" bestFit="1" customWidth="1"/>
    <col min="14353" max="14353" width="11.140625" style="544" bestFit="1" customWidth="1"/>
    <col min="14354" max="14354" width="11.85546875" style="544" bestFit="1" customWidth="1"/>
    <col min="14355" max="14355" width="11.140625" style="544" bestFit="1" customWidth="1"/>
    <col min="14356" max="14357" width="11.85546875" style="544" bestFit="1" customWidth="1"/>
    <col min="14358" max="14358" width="11.140625" style="544" bestFit="1" customWidth="1"/>
    <col min="14359" max="14361" width="11.85546875" style="544" bestFit="1" customWidth="1"/>
    <col min="14362" max="14592" width="9.140625" style="544"/>
    <col min="14593" max="14593" width="2.42578125" style="544" customWidth="1"/>
    <col min="14594" max="14594" width="13.28515625" style="544" customWidth="1"/>
    <col min="14595" max="14595" width="11.5703125" style="544" bestFit="1" customWidth="1"/>
    <col min="14596" max="14596" width="14.5703125" style="544" customWidth="1"/>
    <col min="14597" max="14597" width="9.85546875" style="544" bestFit="1" customWidth="1"/>
    <col min="14598" max="14598" width="12.28515625" style="544" bestFit="1" customWidth="1"/>
    <col min="14599" max="14599" width="9.85546875" style="544" bestFit="1" customWidth="1"/>
    <col min="14600" max="14600" width="14" style="544" customWidth="1"/>
    <col min="14601" max="14601" width="11.140625" style="544" bestFit="1" customWidth="1"/>
    <col min="14602" max="14603" width="10.85546875" style="544" bestFit="1" customWidth="1"/>
    <col min="14604" max="14606" width="11.140625" style="544" bestFit="1" customWidth="1"/>
    <col min="14607" max="14607" width="9.140625" style="544"/>
    <col min="14608" max="14608" width="15.7109375" style="544" bestFit="1" customWidth="1"/>
    <col min="14609" max="14609" width="11.140625" style="544" bestFit="1" customWidth="1"/>
    <col min="14610" max="14610" width="11.85546875" style="544" bestFit="1" customWidth="1"/>
    <col min="14611" max="14611" width="11.140625" style="544" bestFit="1" customWidth="1"/>
    <col min="14612" max="14613" width="11.85546875" style="544" bestFit="1" customWidth="1"/>
    <col min="14614" max="14614" width="11.140625" style="544" bestFit="1" customWidth="1"/>
    <col min="14615" max="14617" width="11.85546875" style="544" bestFit="1" customWidth="1"/>
    <col min="14618" max="14848" width="9.140625" style="544"/>
    <col min="14849" max="14849" width="2.42578125" style="544" customWidth="1"/>
    <col min="14850" max="14850" width="13.28515625" style="544" customWidth="1"/>
    <col min="14851" max="14851" width="11.5703125" style="544" bestFit="1" customWidth="1"/>
    <col min="14852" max="14852" width="14.5703125" style="544" customWidth="1"/>
    <col min="14853" max="14853" width="9.85546875" style="544" bestFit="1" customWidth="1"/>
    <col min="14854" max="14854" width="12.28515625" style="544" bestFit="1" customWidth="1"/>
    <col min="14855" max="14855" width="9.85546875" style="544" bestFit="1" customWidth="1"/>
    <col min="14856" max="14856" width="14" style="544" customWidth="1"/>
    <col min="14857" max="14857" width="11.140625" style="544" bestFit="1" customWidth="1"/>
    <col min="14858" max="14859" width="10.85546875" style="544" bestFit="1" customWidth="1"/>
    <col min="14860" max="14862" width="11.140625" style="544" bestFit="1" customWidth="1"/>
    <col min="14863" max="14863" width="9.140625" style="544"/>
    <col min="14864" max="14864" width="15.7109375" style="544" bestFit="1" customWidth="1"/>
    <col min="14865" max="14865" width="11.140625" style="544" bestFit="1" customWidth="1"/>
    <col min="14866" max="14866" width="11.85546875" style="544" bestFit="1" customWidth="1"/>
    <col min="14867" max="14867" width="11.140625" style="544" bestFit="1" customWidth="1"/>
    <col min="14868" max="14869" width="11.85546875" style="544" bestFit="1" customWidth="1"/>
    <col min="14870" max="14870" width="11.140625" style="544" bestFit="1" customWidth="1"/>
    <col min="14871" max="14873" width="11.85546875" style="544" bestFit="1" customWidth="1"/>
    <col min="14874" max="15104" width="9.140625" style="544"/>
    <col min="15105" max="15105" width="2.42578125" style="544" customWidth="1"/>
    <col min="15106" max="15106" width="13.28515625" style="544" customWidth="1"/>
    <col min="15107" max="15107" width="11.5703125" style="544" bestFit="1" customWidth="1"/>
    <col min="15108" max="15108" width="14.5703125" style="544" customWidth="1"/>
    <col min="15109" max="15109" width="9.85546875" style="544" bestFit="1" customWidth="1"/>
    <col min="15110" max="15110" width="12.28515625" style="544" bestFit="1" customWidth="1"/>
    <col min="15111" max="15111" width="9.85546875" style="544" bestFit="1" customWidth="1"/>
    <col min="15112" max="15112" width="14" style="544" customWidth="1"/>
    <col min="15113" max="15113" width="11.140625" style="544" bestFit="1" customWidth="1"/>
    <col min="15114" max="15115" width="10.85546875" style="544" bestFit="1" customWidth="1"/>
    <col min="15116" max="15118" width="11.140625" style="544" bestFit="1" customWidth="1"/>
    <col min="15119" max="15119" width="9.140625" style="544"/>
    <col min="15120" max="15120" width="15.7109375" style="544" bestFit="1" customWidth="1"/>
    <col min="15121" max="15121" width="11.140625" style="544" bestFit="1" customWidth="1"/>
    <col min="15122" max="15122" width="11.85546875" style="544" bestFit="1" customWidth="1"/>
    <col min="15123" max="15123" width="11.140625" style="544" bestFit="1" customWidth="1"/>
    <col min="15124" max="15125" width="11.85546875" style="544" bestFit="1" customWidth="1"/>
    <col min="15126" max="15126" width="11.140625" style="544" bestFit="1" customWidth="1"/>
    <col min="15127" max="15129" width="11.85546875" style="544" bestFit="1" customWidth="1"/>
    <col min="15130" max="15360" width="9.140625" style="544"/>
    <col min="15361" max="15361" width="2.42578125" style="544" customWidth="1"/>
    <col min="15362" max="15362" width="13.28515625" style="544" customWidth="1"/>
    <col min="15363" max="15363" width="11.5703125" style="544" bestFit="1" customWidth="1"/>
    <col min="15364" max="15364" width="14.5703125" style="544" customWidth="1"/>
    <col min="15365" max="15365" width="9.85546875" style="544" bestFit="1" customWidth="1"/>
    <col min="15366" max="15366" width="12.28515625" style="544" bestFit="1" customWidth="1"/>
    <col min="15367" max="15367" width="9.85546875" style="544" bestFit="1" customWidth="1"/>
    <col min="15368" max="15368" width="14" style="544" customWidth="1"/>
    <col min="15369" max="15369" width="11.140625" style="544" bestFit="1" customWidth="1"/>
    <col min="15370" max="15371" width="10.85546875" style="544" bestFit="1" customWidth="1"/>
    <col min="15372" max="15374" width="11.140625" style="544" bestFit="1" customWidth="1"/>
    <col min="15375" max="15375" width="9.140625" style="544"/>
    <col min="15376" max="15376" width="15.7109375" style="544" bestFit="1" customWidth="1"/>
    <col min="15377" max="15377" width="11.140625" style="544" bestFit="1" customWidth="1"/>
    <col min="15378" max="15378" width="11.85546875" style="544" bestFit="1" customWidth="1"/>
    <col min="15379" max="15379" width="11.140625" style="544" bestFit="1" customWidth="1"/>
    <col min="15380" max="15381" width="11.85546875" style="544" bestFit="1" customWidth="1"/>
    <col min="15382" max="15382" width="11.140625" style="544" bestFit="1" customWidth="1"/>
    <col min="15383" max="15385" width="11.85546875" style="544" bestFit="1" customWidth="1"/>
    <col min="15386" max="15616" width="9.140625" style="544"/>
    <col min="15617" max="15617" width="2.42578125" style="544" customWidth="1"/>
    <col min="15618" max="15618" width="13.28515625" style="544" customWidth="1"/>
    <col min="15619" max="15619" width="11.5703125" style="544" bestFit="1" customWidth="1"/>
    <col min="15620" max="15620" width="14.5703125" style="544" customWidth="1"/>
    <col min="15621" max="15621" width="9.85546875" style="544" bestFit="1" customWidth="1"/>
    <col min="15622" max="15622" width="12.28515625" style="544" bestFit="1" customWidth="1"/>
    <col min="15623" max="15623" width="9.85546875" style="544" bestFit="1" customWidth="1"/>
    <col min="15624" max="15624" width="14" style="544" customWidth="1"/>
    <col min="15625" max="15625" width="11.140625" style="544" bestFit="1" customWidth="1"/>
    <col min="15626" max="15627" width="10.85546875" style="544" bestFit="1" customWidth="1"/>
    <col min="15628" max="15630" width="11.140625" style="544" bestFit="1" customWidth="1"/>
    <col min="15631" max="15631" width="9.140625" style="544"/>
    <col min="15632" max="15632" width="15.7109375" style="544" bestFit="1" customWidth="1"/>
    <col min="15633" max="15633" width="11.140625" style="544" bestFit="1" customWidth="1"/>
    <col min="15634" max="15634" width="11.85546875" style="544" bestFit="1" customWidth="1"/>
    <col min="15635" max="15635" width="11.140625" style="544" bestFit="1" customWidth="1"/>
    <col min="15636" max="15637" width="11.85546875" style="544" bestFit="1" customWidth="1"/>
    <col min="15638" max="15638" width="11.140625" style="544" bestFit="1" customWidth="1"/>
    <col min="15639" max="15641" width="11.85546875" style="544" bestFit="1" customWidth="1"/>
    <col min="15642" max="15872" width="9.140625" style="544"/>
    <col min="15873" max="15873" width="2.42578125" style="544" customWidth="1"/>
    <col min="15874" max="15874" width="13.28515625" style="544" customWidth="1"/>
    <col min="15875" max="15875" width="11.5703125" style="544" bestFit="1" customWidth="1"/>
    <col min="15876" max="15876" width="14.5703125" style="544" customWidth="1"/>
    <col min="15877" max="15877" width="9.85546875" style="544" bestFit="1" customWidth="1"/>
    <col min="15878" max="15878" width="12.28515625" style="544" bestFit="1" customWidth="1"/>
    <col min="15879" max="15879" width="9.85546875" style="544" bestFit="1" customWidth="1"/>
    <col min="15880" max="15880" width="14" style="544" customWidth="1"/>
    <col min="15881" max="15881" width="11.140625" style="544" bestFit="1" customWidth="1"/>
    <col min="15882" max="15883" width="10.85546875" style="544" bestFit="1" customWidth="1"/>
    <col min="15884" max="15886" width="11.140625" style="544" bestFit="1" customWidth="1"/>
    <col min="15887" max="15887" width="9.140625" style="544"/>
    <col min="15888" max="15888" width="15.7109375" style="544" bestFit="1" customWidth="1"/>
    <col min="15889" max="15889" width="11.140625" style="544" bestFit="1" customWidth="1"/>
    <col min="15890" max="15890" width="11.85546875" style="544" bestFit="1" customWidth="1"/>
    <col min="15891" max="15891" width="11.140625" style="544" bestFit="1" customWidth="1"/>
    <col min="15892" max="15893" width="11.85546875" style="544" bestFit="1" customWidth="1"/>
    <col min="15894" max="15894" width="11.140625" style="544" bestFit="1" customWidth="1"/>
    <col min="15895" max="15897" width="11.85546875" style="544" bestFit="1" customWidth="1"/>
    <col min="15898" max="16128" width="9.140625" style="544"/>
    <col min="16129" max="16129" width="2.42578125" style="544" customWidth="1"/>
    <col min="16130" max="16130" width="13.28515625" style="544" customWidth="1"/>
    <col min="16131" max="16131" width="11.5703125" style="544" bestFit="1" customWidth="1"/>
    <col min="16132" max="16132" width="14.5703125" style="544" customWidth="1"/>
    <col min="16133" max="16133" width="9.85546875" style="544" bestFit="1" customWidth="1"/>
    <col min="16134" max="16134" width="12.28515625" style="544" bestFit="1" customWidth="1"/>
    <col min="16135" max="16135" width="9.85546875" style="544" bestFit="1" customWidth="1"/>
    <col min="16136" max="16136" width="14" style="544" customWidth="1"/>
    <col min="16137" max="16137" width="11.140625" style="544" bestFit="1" customWidth="1"/>
    <col min="16138" max="16139" width="10.85546875" style="544" bestFit="1" customWidth="1"/>
    <col min="16140" max="16142" width="11.140625" style="544" bestFit="1" customWidth="1"/>
    <col min="16143" max="16143" width="9.140625" style="544"/>
    <col min="16144" max="16144" width="15.7109375" style="544" bestFit="1" customWidth="1"/>
    <col min="16145" max="16145" width="11.140625" style="544" bestFit="1" customWidth="1"/>
    <col min="16146" max="16146" width="11.85546875" style="544" bestFit="1" customWidth="1"/>
    <col min="16147" max="16147" width="11.140625" style="544" bestFit="1" customWidth="1"/>
    <col min="16148" max="16149" width="11.85546875" style="544" bestFit="1" customWidth="1"/>
    <col min="16150" max="16150" width="11.140625" style="544" bestFit="1" customWidth="1"/>
    <col min="16151" max="16153" width="11.85546875" style="544" bestFit="1" customWidth="1"/>
    <col min="16154" max="16384" width="9.140625" style="544"/>
  </cols>
  <sheetData>
    <row r="1" spans="1:30">
      <c r="B1" s="556" t="s">
        <v>590</v>
      </c>
      <c r="N1" s="552"/>
      <c r="O1" s="552"/>
    </row>
    <row r="2" spans="1:30" ht="13.5" thickBot="1">
      <c r="B2" s="556"/>
    </row>
    <row r="3" spans="1:30" ht="13.5" thickBot="1">
      <c r="B3" s="599" t="s">
        <v>591</v>
      </c>
      <c r="C3" s="546"/>
      <c r="D3" s="546"/>
      <c r="E3" s="621">
        <v>2022</v>
      </c>
      <c r="F3" s="621">
        <v>2022</v>
      </c>
      <c r="G3" s="621">
        <v>2022</v>
      </c>
      <c r="H3" s="621">
        <v>2022</v>
      </c>
      <c r="I3" s="621">
        <v>2023</v>
      </c>
      <c r="J3" s="621">
        <v>2024</v>
      </c>
      <c r="K3" s="621">
        <v>2025</v>
      </c>
      <c r="L3" s="621">
        <v>2026</v>
      </c>
      <c r="M3" s="621">
        <v>2027</v>
      </c>
      <c r="N3" s="621">
        <v>2028</v>
      </c>
      <c r="O3" s="619">
        <v>2029</v>
      </c>
    </row>
    <row r="4" spans="1:30">
      <c r="B4" s="599" t="str">
        <f>Q12</f>
        <v>White</v>
      </c>
      <c r="C4" s="546"/>
      <c r="D4" s="546"/>
      <c r="E4" s="631">
        <f>T59</f>
        <v>0</v>
      </c>
      <c r="F4" s="631">
        <f>U59</f>
        <v>0</v>
      </c>
      <c r="G4" s="631">
        <f t="shared" ref="G4:O4" si="0">V59</f>
        <v>0</v>
      </c>
      <c r="H4" s="631">
        <f>W59</f>
        <v>0</v>
      </c>
      <c r="I4" s="631">
        <f>X59</f>
        <v>18408.12</v>
      </c>
      <c r="J4" s="631">
        <f t="shared" si="0"/>
        <v>39966.767609999995</v>
      </c>
      <c r="K4" s="631">
        <f t="shared" si="0"/>
        <v>67265.868921300003</v>
      </c>
      <c r="L4" s="631">
        <f t="shared" si="0"/>
        <v>80630.530248996001</v>
      </c>
      <c r="M4" s="631">
        <f t="shared" si="0"/>
        <v>82654.918072634886</v>
      </c>
      <c r="N4" s="631">
        <f t="shared" si="0"/>
        <v>84308.016434087564</v>
      </c>
      <c r="O4" s="598">
        <f t="shared" si="0"/>
        <v>85994.176762769333</v>
      </c>
    </row>
    <row r="5" spans="1:30">
      <c r="B5" s="439" t="str">
        <f>Q62</f>
        <v>Rose</v>
      </c>
      <c r="C5" s="909"/>
      <c r="D5" s="909"/>
      <c r="E5" s="912">
        <f>T110</f>
        <v>0</v>
      </c>
      <c r="F5" s="912">
        <f>U110</f>
        <v>0</v>
      </c>
      <c r="G5" s="912">
        <f>V110</f>
        <v>0</v>
      </c>
      <c r="H5" s="912">
        <f>W110</f>
        <v>0</v>
      </c>
      <c r="I5" s="912">
        <f>X110</f>
        <v>88848.666666666672</v>
      </c>
      <c r="J5" s="912">
        <f t="shared" ref="J5:O5" si="1">Y110</f>
        <v>0</v>
      </c>
      <c r="K5" s="912">
        <f t="shared" si="1"/>
        <v>0</v>
      </c>
      <c r="L5" s="912">
        <f t="shared" si="1"/>
        <v>0</v>
      </c>
      <c r="M5" s="912">
        <f t="shared" si="1"/>
        <v>0</v>
      </c>
      <c r="N5" s="912">
        <f t="shared" si="1"/>
        <v>0</v>
      </c>
      <c r="O5" s="553">
        <f t="shared" si="1"/>
        <v>0</v>
      </c>
    </row>
    <row r="6" spans="1:30">
      <c r="B6" s="439" t="str">
        <f>B12</f>
        <v>Classic</v>
      </c>
      <c r="C6" s="909"/>
      <c r="D6" s="909"/>
      <c r="E6" s="549">
        <f>E67+E90</f>
        <v>0</v>
      </c>
      <c r="F6" s="549">
        <f>F67+F90</f>
        <v>0</v>
      </c>
      <c r="G6" s="549">
        <f>G67+G90</f>
        <v>0</v>
      </c>
      <c r="H6" s="549">
        <f t="shared" ref="H6:O6" si="2">H90+H136</f>
        <v>0</v>
      </c>
      <c r="I6" s="549">
        <f t="shared" ca="1" si="2"/>
        <v>0</v>
      </c>
      <c r="J6" s="549">
        <f t="shared" ca="1" si="2"/>
        <v>191193.83138407819</v>
      </c>
      <c r="K6" s="549">
        <f t="shared" ca="1" si="2"/>
        <v>43253.672414431196</v>
      </c>
      <c r="L6" s="549">
        <f t="shared" ca="1" si="2"/>
        <v>0</v>
      </c>
      <c r="M6" s="549">
        <f t="shared" ca="1" si="2"/>
        <v>134671.06423733811</v>
      </c>
      <c r="N6" s="549">
        <f t="shared" ca="1" si="2"/>
        <v>0</v>
      </c>
      <c r="O6" s="441">
        <f t="shared" ca="1" si="2"/>
        <v>0</v>
      </c>
    </row>
    <row r="7" spans="1:30">
      <c r="B7" s="439" t="str">
        <f>B139</f>
        <v>Premium</v>
      </c>
      <c r="C7" s="909"/>
      <c r="D7" s="909"/>
      <c r="E7" s="549">
        <f t="shared" ref="E7:O7" si="3">E186</f>
        <v>0</v>
      </c>
      <c r="F7" s="549">
        <f t="shared" si="3"/>
        <v>0</v>
      </c>
      <c r="G7" s="549">
        <f t="shared" si="3"/>
        <v>0</v>
      </c>
      <c r="H7" s="549">
        <f t="shared" si="3"/>
        <v>0</v>
      </c>
      <c r="I7" s="549">
        <f t="shared" si="3"/>
        <v>0</v>
      </c>
      <c r="J7" s="549">
        <f ca="1">J186</f>
        <v>2201454.0288</v>
      </c>
      <c r="K7" s="549">
        <f t="shared" ca="1" si="3"/>
        <v>1577811.6619200003</v>
      </c>
      <c r="L7" s="549">
        <f t="shared" ca="1" si="3"/>
        <v>2365426.8720575999</v>
      </c>
      <c r="M7" s="549">
        <f t="shared" ca="1" si="3"/>
        <v>2846359.6366673512</v>
      </c>
      <c r="N7" s="549">
        <f t="shared" ca="1" si="3"/>
        <v>2948774.8359250301</v>
      </c>
      <c r="O7" s="441">
        <f t="shared" ca="1" si="3"/>
        <v>3051981.9551824057</v>
      </c>
    </row>
    <row r="8" spans="1:30" ht="13.5" thickBot="1">
      <c r="B8" s="440" t="str">
        <f>B189</f>
        <v>Selection individuelle</v>
      </c>
      <c r="C8" s="555"/>
      <c r="D8" s="555"/>
      <c r="E8" s="603">
        <f t="shared" ref="E8:O8" si="4">E236</f>
        <v>0</v>
      </c>
      <c r="F8" s="603">
        <f t="shared" si="4"/>
        <v>0</v>
      </c>
      <c r="G8" s="603">
        <f t="shared" si="4"/>
        <v>0</v>
      </c>
      <c r="H8" s="603">
        <f t="shared" si="4"/>
        <v>0</v>
      </c>
      <c r="I8" s="603">
        <f t="shared" si="4"/>
        <v>0</v>
      </c>
      <c r="J8" s="603">
        <f t="shared" si="4"/>
        <v>434391.41899999999</v>
      </c>
      <c r="K8" s="603">
        <f t="shared" si="4"/>
        <v>0</v>
      </c>
      <c r="L8" s="603">
        <f t="shared" si="4"/>
        <v>778977.84477109567</v>
      </c>
      <c r="M8" s="603">
        <f t="shared" si="4"/>
        <v>1055719.9738345111</v>
      </c>
      <c r="N8" s="603">
        <f t="shared" si="4"/>
        <v>1261374.224737474</v>
      </c>
      <c r="O8" s="604">
        <f t="shared" si="4"/>
        <v>1299215.4514795982</v>
      </c>
    </row>
    <row r="9" spans="1:30" ht="13.5" thickBot="1">
      <c r="B9" s="440" t="s">
        <v>26</v>
      </c>
      <c r="C9" s="555"/>
      <c r="D9" s="555"/>
      <c r="E9" s="632">
        <f>SUM(E4:E8)</f>
        <v>0</v>
      </c>
      <c r="F9" s="632">
        <f t="shared" ref="F9:N9" si="5">SUM(F4:F8)</f>
        <v>0</v>
      </c>
      <c r="G9" s="632">
        <f t="shared" si="5"/>
        <v>0</v>
      </c>
      <c r="H9" s="632">
        <f t="shared" si="5"/>
        <v>0</v>
      </c>
      <c r="I9" s="632">
        <f ca="1">SUM(I4:I8)</f>
        <v>107256.78666666667</v>
      </c>
      <c r="J9" s="632">
        <f t="shared" ca="1" si="5"/>
        <v>2867006.0467940783</v>
      </c>
      <c r="K9" s="632">
        <f t="shared" ca="1" si="5"/>
        <v>1688331.2032557316</v>
      </c>
      <c r="L9" s="632">
        <f t="shared" ca="1" si="5"/>
        <v>3225035.2470776914</v>
      </c>
      <c r="M9" s="632">
        <f t="shared" ca="1" si="5"/>
        <v>4119405.592811835</v>
      </c>
      <c r="N9" s="632">
        <f t="shared" ca="1" si="5"/>
        <v>4294457.0770965917</v>
      </c>
      <c r="O9" s="939">
        <f ca="1">SUM(O4:O8)</f>
        <v>4437191.5834247731</v>
      </c>
      <c r="R9" s="552"/>
      <c r="S9" s="552"/>
      <c r="T9" s="552"/>
      <c r="U9" s="552"/>
      <c r="V9" s="552"/>
      <c r="W9" s="552"/>
      <c r="X9" s="552"/>
      <c r="Y9" s="552"/>
    </row>
    <row r="10" spans="1:30" ht="13.5" thickBot="1">
      <c r="A10" s="552"/>
      <c r="B10" s="552"/>
      <c r="C10" s="552"/>
      <c r="D10" s="552"/>
      <c r="E10" s="552"/>
      <c r="F10" s="552"/>
      <c r="G10" s="552"/>
      <c r="H10" s="552"/>
      <c r="I10" s="552"/>
      <c r="J10" s="552"/>
      <c r="K10" s="552"/>
      <c r="L10" s="552"/>
      <c r="M10" s="552"/>
      <c r="N10" s="552"/>
      <c r="O10" s="552"/>
      <c r="R10" s="552"/>
      <c r="S10" s="552"/>
      <c r="T10" s="552"/>
      <c r="U10" s="552"/>
      <c r="V10" s="552"/>
      <c r="W10" s="552"/>
      <c r="X10" s="552"/>
      <c r="Y10" s="552"/>
      <c r="Z10" s="552"/>
      <c r="AA10" s="552"/>
      <c r="AB10" s="552"/>
      <c r="AC10" s="552"/>
      <c r="AD10" s="552"/>
    </row>
    <row r="11" spans="1:30">
      <c r="B11" s="599" t="s">
        <v>591</v>
      </c>
      <c r="C11" s="619" t="s">
        <v>592</v>
      </c>
      <c r="D11" s="557"/>
      <c r="Q11" s="599" t="s">
        <v>591</v>
      </c>
      <c r="R11" s="619" t="s">
        <v>592</v>
      </c>
      <c r="S11" s="557"/>
    </row>
    <row r="12" spans="1:30" ht="13.5" thickBot="1">
      <c r="B12" s="601" t="str">
        <f>'Prod info'!B256</f>
        <v>Classic</v>
      </c>
      <c r="C12" s="620">
        <f>'Prod info'!F7</f>
        <v>2</v>
      </c>
      <c r="Q12" s="547" t="str">
        <f>'Prod info'!B254</f>
        <v>White</v>
      </c>
      <c r="R12" s="548">
        <v>1</v>
      </c>
    </row>
    <row r="13" spans="1:30">
      <c r="B13" s="599" t="s">
        <v>552</v>
      </c>
      <c r="C13" s="546"/>
      <c r="D13" s="546"/>
      <c r="E13" s="621">
        <f t="shared" ref="E13:O13" si="6">T$17-$C$12</f>
        <v>2017</v>
      </c>
      <c r="F13" s="621">
        <f t="shared" si="6"/>
        <v>2018</v>
      </c>
      <c r="G13" s="621">
        <f t="shared" si="6"/>
        <v>2019</v>
      </c>
      <c r="H13" s="621">
        <f t="shared" si="6"/>
        <v>2020</v>
      </c>
      <c r="I13" s="621">
        <f t="shared" si="6"/>
        <v>2021</v>
      </c>
      <c r="J13" s="621">
        <f t="shared" si="6"/>
        <v>2022</v>
      </c>
      <c r="K13" s="621">
        <f t="shared" si="6"/>
        <v>2023</v>
      </c>
      <c r="L13" s="621">
        <f t="shared" si="6"/>
        <v>2024</v>
      </c>
      <c r="M13" s="621">
        <f t="shared" si="6"/>
        <v>2025</v>
      </c>
      <c r="N13" s="621">
        <f t="shared" si="6"/>
        <v>2026</v>
      </c>
      <c r="O13" s="619">
        <f t="shared" si="6"/>
        <v>2027</v>
      </c>
      <c r="Q13" s="599" t="s">
        <v>552</v>
      </c>
      <c r="R13" s="546"/>
      <c r="S13" s="546"/>
      <c r="T13" s="621">
        <f t="shared" ref="T13:AD13" si="7">T$17-$R$12</f>
        <v>2018</v>
      </c>
      <c r="U13" s="621">
        <f t="shared" si="7"/>
        <v>2019</v>
      </c>
      <c r="V13" s="621">
        <f t="shared" si="7"/>
        <v>2020</v>
      </c>
      <c r="W13" s="621">
        <f t="shared" si="7"/>
        <v>2021</v>
      </c>
      <c r="X13" s="621">
        <f t="shared" si="7"/>
        <v>2022</v>
      </c>
      <c r="Y13" s="621">
        <f t="shared" si="7"/>
        <v>2023</v>
      </c>
      <c r="Z13" s="621">
        <f t="shared" si="7"/>
        <v>2024</v>
      </c>
      <c r="AA13" s="621">
        <f t="shared" si="7"/>
        <v>2025</v>
      </c>
      <c r="AB13" s="621">
        <f t="shared" si="7"/>
        <v>2026</v>
      </c>
      <c r="AC13" s="621">
        <f t="shared" si="7"/>
        <v>2027</v>
      </c>
      <c r="AD13" s="619">
        <f t="shared" si="7"/>
        <v>2028</v>
      </c>
    </row>
    <row r="14" spans="1:30" ht="13.5" thickBot="1">
      <c r="B14" s="440" t="s">
        <v>737</v>
      </c>
      <c r="C14" s="555"/>
      <c r="D14" s="555"/>
      <c r="E14" s="558">
        <f t="shared" ref="E14:N14" si="8">E16</f>
        <v>2019</v>
      </c>
      <c r="F14" s="558">
        <f t="shared" si="8"/>
        <v>2020</v>
      </c>
      <c r="G14" s="558">
        <f t="shared" si="8"/>
        <v>2021</v>
      </c>
      <c r="H14" s="558">
        <f t="shared" si="8"/>
        <v>2022</v>
      </c>
      <c r="I14" s="558">
        <f t="shared" si="8"/>
        <v>2023</v>
      </c>
      <c r="J14" s="558">
        <f t="shared" si="8"/>
        <v>2024</v>
      </c>
      <c r="K14" s="558">
        <f t="shared" si="8"/>
        <v>2025</v>
      </c>
      <c r="L14" s="558">
        <f t="shared" si="8"/>
        <v>2026</v>
      </c>
      <c r="M14" s="558">
        <f t="shared" si="8"/>
        <v>2027</v>
      </c>
      <c r="N14" s="558">
        <f t="shared" si="8"/>
        <v>2028</v>
      </c>
      <c r="O14" s="559">
        <f>O16</f>
        <v>2029</v>
      </c>
      <c r="Q14" s="440" t="s">
        <v>737</v>
      </c>
      <c r="R14" s="555"/>
      <c r="S14" s="555"/>
      <c r="T14" s="558">
        <f t="shared" ref="T14:AC14" si="9">T17</f>
        <v>2019</v>
      </c>
      <c r="U14" s="558">
        <f t="shared" si="9"/>
        <v>2020</v>
      </c>
      <c r="V14" s="558">
        <f t="shared" si="9"/>
        <v>2021</v>
      </c>
      <c r="W14" s="558">
        <f t="shared" si="9"/>
        <v>2022</v>
      </c>
      <c r="X14" s="558">
        <f t="shared" si="9"/>
        <v>2023</v>
      </c>
      <c r="Y14" s="558">
        <f t="shared" si="9"/>
        <v>2024</v>
      </c>
      <c r="Z14" s="558">
        <f t="shared" si="9"/>
        <v>2025</v>
      </c>
      <c r="AA14" s="558">
        <f t="shared" si="9"/>
        <v>2026</v>
      </c>
      <c r="AB14" s="558">
        <f t="shared" si="9"/>
        <v>2027</v>
      </c>
      <c r="AC14" s="558">
        <f t="shared" si="9"/>
        <v>2028</v>
      </c>
      <c r="AD14" s="559">
        <f>AD17</f>
        <v>2029</v>
      </c>
    </row>
    <row r="15" spans="1:30">
      <c r="B15" s="599"/>
      <c r="C15" s="546"/>
      <c r="D15" s="546"/>
      <c r="E15" s="546"/>
      <c r="F15" s="546"/>
      <c r="G15" s="546"/>
      <c r="H15" s="546"/>
      <c r="I15" s="546"/>
      <c r="J15" s="546"/>
      <c r="K15" s="546"/>
      <c r="L15" s="546"/>
      <c r="M15" s="546"/>
      <c r="N15" s="546"/>
      <c r="O15" s="597"/>
      <c r="Q15" s="439"/>
      <c r="R15" s="909"/>
      <c r="S15" s="909"/>
      <c r="T15" s="909"/>
      <c r="U15" s="909"/>
      <c r="V15" s="909"/>
      <c r="W15" s="909"/>
      <c r="X15" s="909"/>
      <c r="Y15" s="909"/>
      <c r="Z15" s="909"/>
      <c r="AA15" s="909"/>
      <c r="AB15" s="909"/>
      <c r="AC15" s="909"/>
      <c r="AD15" s="597"/>
    </row>
    <row r="16" spans="1:30">
      <c r="B16" s="547"/>
      <c r="C16" s="909" t="s">
        <v>738</v>
      </c>
      <c r="D16" s="913"/>
      <c r="E16" s="626">
        <v>2019</v>
      </c>
      <c r="F16" s="626">
        <v>2020</v>
      </c>
      <c r="G16" s="626">
        <v>2021</v>
      </c>
      <c r="H16" s="626">
        <v>2022</v>
      </c>
      <c r="I16" s="626">
        <v>2023</v>
      </c>
      <c r="J16" s="626">
        <v>2024</v>
      </c>
      <c r="K16" s="626">
        <v>2025</v>
      </c>
      <c r="L16" s="626">
        <v>2026</v>
      </c>
      <c r="M16" s="626">
        <v>2027</v>
      </c>
      <c r="N16" s="626">
        <v>2028</v>
      </c>
      <c r="O16" s="627">
        <v>2029</v>
      </c>
      <c r="Q16" s="439"/>
      <c r="R16" s="909"/>
      <c r="S16" s="909"/>
      <c r="T16" s="909"/>
      <c r="U16" s="909"/>
      <c r="V16" s="909"/>
      <c r="W16" s="909"/>
      <c r="X16" s="909"/>
      <c r="Y16" s="909"/>
      <c r="Z16" s="909"/>
      <c r="AA16" s="909"/>
      <c r="AB16" s="909"/>
      <c r="AC16" s="909"/>
      <c r="AD16" s="548"/>
    </row>
    <row r="17" spans="2:30">
      <c r="B17" s="439" t="s">
        <v>542</v>
      </c>
      <c r="C17" s="909"/>
      <c r="D17" s="909"/>
      <c r="E17" s="909"/>
      <c r="F17" s="909"/>
      <c r="G17" s="909"/>
      <c r="H17" s="909"/>
      <c r="I17" s="909"/>
      <c r="J17" s="909"/>
      <c r="K17" s="909"/>
      <c r="L17" s="909"/>
      <c r="M17" s="909"/>
      <c r="N17" s="909"/>
      <c r="O17" s="548"/>
      <c r="Q17" s="547"/>
      <c r="R17" s="909" t="s">
        <v>738</v>
      </c>
      <c r="S17" s="913"/>
      <c r="T17" s="626">
        <v>2019</v>
      </c>
      <c r="U17" s="626">
        <v>2020</v>
      </c>
      <c r="V17" s="626">
        <v>2021</v>
      </c>
      <c r="W17" s="626">
        <v>2022</v>
      </c>
      <c r="X17" s="626">
        <v>2023</v>
      </c>
      <c r="Y17" s="626">
        <v>2024</v>
      </c>
      <c r="Z17" s="626">
        <v>2025</v>
      </c>
      <c r="AA17" s="626">
        <v>2026</v>
      </c>
      <c r="AB17" s="626">
        <v>2027</v>
      </c>
      <c r="AC17" s="626">
        <v>2028</v>
      </c>
      <c r="AD17" s="627">
        <v>2029</v>
      </c>
    </row>
    <row r="18" spans="2:30">
      <c r="B18" s="439">
        <v>2018</v>
      </c>
      <c r="C18" s="909"/>
      <c r="D18" s="115"/>
      <c r="E18" s="605"/>
      <c r="F18" s="605"/>
      <c r="G18" s="605"/>
      <c r="H18" s="605"/>
      <c r="I18" s="605">
        <f>'Inv. start'!B141/'Prod info'!C207</f>
        <v>21582</v>
      </c>
      <c r="J18" s="934"/>
      <c r="K18" s="909"/>
      <c r="L18" s="909"/>
      <c r="M18" s="909"/>
      <c r="N18" s="909"/>
      <c r="O18" s="548"/>
      <c r="Q18" s="439" t="s">
        <v>415</v>
      </c>
      <c r="R18" s="909"/>
      <c r="S18" s="909"/>
      <c r="T18" s="909"/>
      <c r="U18" s="909"/>
      <c r="V18" s="909"/>
      <c r="W18" s="909"/>
      <c r="X18" s="909"/>
      <c r="Y18" s="909"/>
      <c r="Z18" s="909"/>
      <c r="AA18" s="909"/>
      <c r="AB18" s="909"/>
      <c r="AC18" s="909"/>
      <c r="AD18" s="548"/>
    </row>
    <row r="19" spans="2:30">
      <c r="B19" s="439">
        <v>2019</v>
      </c>
      <c r="C19" s="909"/>
      <c r="D19" s="115"/>
      <c r="E19" s="605"/>
      <c r="F19" s="605"/>
      <c r="G19" s="605"/>
      <c r="H19" s="605"/>
      <c r="I19" s="605">
        <f>'Inv. wine'!U133/'Inv. wine'!V3</f>
        <v>0</v>
      </c>
      <c r="J19" s="605">
        <f>'Inv. wine'!V133/'Inv. wine'!V3</f>
        <v>30210.666666666668</v>
      </c>
      <c r="K19" s="909"/>
      <c r="L19" s="909"/>
      <c r="M19" s="909"/>
      <c r="N19" s="909"/>
      <c r="O19" s="548"/>
      <c r="Q19" s="439">
        <v>2018</v>
      </c>
      <c r="R19" s="909"/>
      <c r="S19" s="115"/>
      <c r="T19" s="605"/>
      <c r="U19" s="605"/>
      <c r="V19" s="605"/>
      <c r="W19" s="605"/>
      <c r="X19" s="605"/>
      <c r="Y19" s="115">
        <f>IF(Y$17-$Q19='Prod info'!$F$4,'Prod info'!Q$277,0)</f>
        <v>0</v>
      </c>
      <c r="Z19" s="115">
        <f>IF(Z$17-$Q19='Prod info'!$F$4,'Prod info'!R$277,0)</f>
        <v>0</v>
      </c>
      <c r="AA19" s="115">
        <f>IF(AA$17-$Q19='Prod info'!$F$4,'Prod info'!S$277,0)</f>
        <v>0</v>
      </c>
      <c r="AB19" s="115">
        <f>IF(AB$17-$Q19='Prod info'!$F$4,'Prod info'!T$277,0)</f>
        <v>0</v>
      </c>
      <c r="AC19" s="115">
        <f>IF(AC$17-$Q19='Prod info'!$F$4,'Prod info'!U$277,0)</f>
        <v>0</v>
      </c>
      <c r="AD19" s="508">
        <f>IF(AD$17-$Q19='Prod info'!$F$4,'Prod info'!V$277,0)</f>
        <v>0</v>
      </c>
    </row>
    <row r="20" spans="2:30">
      <c r="B20" s="439">
        <v>2020</v>
      </c>
      <c r="C20" s="909"/>
      <c r="D20" s="115"/>
      <c r="E20" s="605"/>
      <c r="F20" s="605"/>
      <c r="G20" s="605"/>
      <c r="H20" s="605"/>
      <c r="I20" s="605">
        <f>'Inv. wine'!U134/'Inv. wine'!V3</f>
        <v>0</v>
      </c>
      <c r="J20" s="605">
        <f>'Inv. wine'!V134/'Inv. wine'!V3</f>
        <v>27666.666666666668</v>
      </c>
      <c r="K20" s="909"/>
      <c r="L20" s="909"/>
      <c r="M20" s="909"/>
      <c r="N20" s="909"/>
      <c r="O20" s="548"/>
      <c r="Q20" s="439">
        <f>'Prod info'!N125</f>
        <v>2019</v>
      </c>
      <c r="R20" s="909"/>
      <c r="S20" s="115"/>
      <c r="T20" s="605"/>
      <c r="U20" s="605"/>
      <c r="V20" s="605"/>
      <c r="W20" s="605"/>
      <c r="X20" s="605"/>
      <c r="Y20" s="115">
        <f>IF(Y$17-$Q20='Prod info'!$F$4,'Prod info'!Q$277,0)</f>
        <v>0</v>
      </c>
      <c r="Z20" s="115">
        <f>IF(Z$17-$Q20='Prod info'!$F$4,'Prod info'!R$277,0)</f>
        <v>0</v>
      </c>
      <c r="AA20" s="115">
        <f>IF(AA$17-$Q20='Prod info'!$F$4,'Prod info'!S$277,0)</f>
        <v>0</v>
      </c>
      <c r="AB20" s="115">
        <f>IF(AB$17-$Q20='Prod info'!$F$4,'Prod info'!T$277,0)</f>
        <v>0</v>
      </c>
      <c r="AC20" s="115">
        <f>IF(AC$17-$Q20='Prod info'!$F$4,'Prod info'!U$277,0)</f>
        <v>0</v>
      </c>
      <c r="AD20" s="508">
        <f>IF(AD$17-$Q20='Prod info'!$F$4,'Prod info'!V$277,0)</f>
        <v>0</v>
      </c>
    </row>
    <row r="21" spans="2:30">
      <c r="B21" s="439">
        <v>2021</v>
      </c>
      <c r="C21" s="909"/>
      <c r="D21" s="115"/>
      <c r="E21" s="605"/>
      <c r="F21" s="605"/>
      <c r="G21" s="605"/>
      <c r="H21" s="605"/>
      <c r="I21" s="605"/>
      <c r="J21" s="605">
        <f>'Inv. wine'!V135/'Inv. wine'!V3</f>
        <v>0</v>
      </c>
      <c r="K21" s="909"/>
      <c r="L21" s="909"/>
      <c r="M21" s="909"/>
      <c r="N21" s="909"/>
      <c r="O21" s="548"/>
      <c r="Q21" s="439">
        <f>'Prod info'!N126</f>
        <v>2020</v>
      </c>
      <c r="R21" s="909"/>
      <c r="S21" s="115"/>
      <c r="T21" s="605"/>
      <c r="U21" s="605"/>
      <c r="V21" s="605"/>
      <c r="W21" s="605"/>
      <c r="X21" s="605"/>
      <c r="Y21" s="115">
        <f>IF(Y$17-$Q21='Prod info'!$F$4,'Prod info'!Q$277,0)</f>
        <v>0</v>
      </c>
      <c r="Z21" s="115">
        <f>IF(Z$17-$Q21='Prod info'!$F$4,'Prod info'!R$277,0)</f>
        <v>0</v>
      </c>
      <c r="AA21" s="115">
        <f>IF(AA$17-$Q21='Prod info'!$F$4,'Prod info'!S$277,0)</f>
        <v>0</v>
      </c>
      <c r="AB21" s="115">
        <f>IF(AB$17-$Q21='Prod info'!$F$4,'Prod info'!T$277,0)</f>
        <v>0</v>
      </c>
      <c r="AC21" s="115">
        <f>IF(AC$17-$Q21='Prod info'!$F$4,'Prod info'!U$277,0)</f>
        <v>0</v>
      </c>
      <c r="AD21" s="508">
        <f>IF(AD$17-$Q21='Prod info'!$F$4,'Prod info'!V$277,0)</f>
        <v>0</v>
      </c>
    </row>
    <row r="22" spans="2:30">
      <c r="B22" s="439">
        <v>2022</v>
      </c>
      <c r="C22" s="909"/>
      <c r="D22" s="115"/>
      <c r="E22" s="115"/>
      <c r="F22" s="115"/>
      <c r="G22" s="115"/>
      <c r="H22" s="115"/>
      <c r="I22" s="115"/>
      <c r="J22" s="115"/>
      <c r="K22" s="115">
        <f>IF(Z$17-$B22=$C$12,'Prod info'!R$279,0)</f>
        <v>0</v>
      </c>
      <c r="L22" s="115">
        <f>IF(AA$17-$B22=$C$12,'Prod info'!S$279,0)</f>
        <v>0</v>
      </c>
      <c r="M22" s="115">
        <f>IF(AB$17-$B22=$C$12,'Prod info'!T$279,0)</f>
        <v>0</v>
      </c>
      <c r="N22" s="115">
        <f>IF(AC$17-$B22=$C$12,'Prod info'!U$279,0)</f>
        <v>0</v>
      </c>
      <c r="O22" s="508">
        <f>IF(AD$17-$B22=$C$12,'Prod info'!V$279,0)</f>
        <v>0</v>
      </c>
      <c r="Q22" s="439">
        <f>'Prod info'!N127</f>
        <v>2021</v>
      </c>
      <c r="R22" s="909"/>
      <c r="S22" s="115"/>
      <c r="T22" s="605"/>
      <c r="U22" s="605"/>
      <c r="V22" s="605"/>
      <c r="W22" s="605"/>
      <c r="X22" s="605">
        <f>'Inv. start'!E139/'Prod info'!C207</f>
        <v>2342</v>
      </c>
      <c r="Y22" s="115">
        <f>IF(Y$17-$Q22='Prod info'!$F$4,'Prod info'!Q$277,0)</f>
        <v>0</v>
      </c>
      <c r="Z22" s="115">
        <f>IF(Z$17-$Q22='Prod info'!$F$4,'Prod info'!R$277,0)</f>
        <v>0</v>
      </c>
      <c r="AA22" s="115">
        <f>IF(AA$17-$Q22='Prod info'!$F$4,'Prod info'!S$277,0)</f>
        <v>0</v>
      </c>
      <c r="AB22" s="115">
        <f>IF(AB$17-$Q22='Prod info'!$F$4,'Prod info'!T$277,0)</f>
        <v>0</v>
      </c>
      <c r="AC22" s="115">
        <f>IF(AC$17-$Q22='Prod info'!$F$4,'Prod info'!U$277,0)</f>
        <v>0</v>
      </c>
      <c r="AD22" s="508">
        <f>IF(AD$17-$Q22='Prod info'!$F$4,'Prod info'!V$277,0)</f>
        <v>0</v>
      </c>
    </row>
    <row r="23" spans="2:30">
      <c r="B23" s="439">
        <v>2023</v>
      </c>
      <c r="C23" s="909"/>
      <c r="D23" s="115"/>
      <c r="E23" s="115"/>
      <c r="F23" s="115"/>
      <c r="G23" s="115">
        <f>IF(V$17-$B23=$C$12,'Prod info'!N$279,0)</f>
        <v>0</v>
      </c>
      <c r="H23" s="115">
        <f>IF(W$17-$B23=$C$12,'Prod info'!O$279,0)</f>
        <v>0</v>
      </c>
      <c r="I23" s="115">
        <f>IF(X$17-$B23=$C$12,'Prod info'!P$279,0)</f>
        <v>0</v>
      </c>
      <c r="J23" s="115">
        <f>IF(Y$17-$B23=$C$12,'Prod info'!Q$279,0)</f>
        <v>0</v>
      </c>
      <c r="K23" s="115">
        <f>IF(Z$17-$B23=$C$12,'Prod info'!R$279,0)</f>
        <v>0</v>
      </c>
      <c r="L23" s="115">
        <f>IF(AA$17-$B23=$C$12,'Prod info'!S$279,0)</f>
        <v>0</v>
      </c>
      <c r="M23" s="115">
        <f>IF(AB$17-$B23=$C$12,'Prod info'!T$279,0)</f>
        <v>0</v>
      </c>
      <c r="N23" s="115">
        <f>IF(AC$17-$B23=$C$12,'Prod info'!U$279,0)</f>
        <v>0</v>
      </c>
      <c r="O23" s="508">
        <f>IF(AD$17-$B23=$C$12,'Prod info'!V$279,0)</f>
        <v>0</v>
      </c>
      <c r="Q23" s="439">
        <f>'Prod info'!N129</f>
        <v>2023</v>
      </c>
      <c r="R23" s="909"/>
      <c r="S23" s="115"/>
      <c r="T23" s="605"/>
      <c r="U23" s="605"/>
      <c r="V23" s="605"/>
      <c r="W23" s="605"/>
      <c r="X23" s="605"/>
      <c r="Y23" s="115">
        <f>IF(Y$17-$Q23='Prod info'!$F$4,'Prod info'!Q$277,0)</f>
        <v>2266</v>
      </c>
      <c r="Z23" s="115">
        <f>IF(Z$17-$Q23='Prod info'!$F$4,'Prod info'!R$277,0)</f>
        <v>0</v>
      </c>
      <c r="AA23" s="115">
        <f>IF(AA$17-$Q23='Prod info'!$F$4,'Prod info'!S$277,0)</f>
        <v>0</v>
      </c>
      <c r="AB23" s="115">
        <f>IF(AB$17-$Q23='Prod info'!$F$4,'Prod info'!T$277,0)</f>
        <v>0</v>
      </c>
      <c r="AC23" s="115">
        <f>IF(AC$17-$Q23='Prod info'!$F$4,'Prod info'!U$277,0)</f>
        <v>0</v>
      </c>
      <c r="AD23" s="508">
        <f>IF(AD$17-$Q23='Prod info'!$F$4,'Prod info'!V$277,0)</f>
        <v>0</v>
      </c>
    </row>
    <row r="24" spans="2:30">
      <c r="B24" s="439">
        <v>2024</v>
      </c>
      <c r="C24" s="909"/>
      <c r="D24" s="115"/>
      <c r="E24" s="115"/>
      <c r="F24" s="115"/>
      <c r="G24" s="115">
        <f>IF(V$17-$B24=$C$12,'Prod info'!N$279,0)</f>
        <v>0</v>
      </c>
      <c r="H24" s="115">
        <f>IF(W$17-$B24=$C$12,'Prod info'!O$279,0)</f>
        <v>0</v>
      </c>
      <c r="I24" s="115">
        <f>IF(X$17-$B24=$C$12,'Prod info'!P$279,0)</f>
        <v>0</v>
      </c>
      <c r="J24" s="115">
        <f>IF(Y$17-$B24=$C$12,'Prod info'!Q$279,0)</f>
        <v>0</v>
      </c>
      <c r="K24" s="115">
        <f>IF(Z$17-$B24=$C$12,'Prod info'!R$279,0)</f>
        <v>0</v>
      </c>
      <c r="L24" s="115">
        <f>IF(AA$17-$B24=$C$12,'Prod info'!S$279,0)</f>
        <v>0</v>
      </c>
      <c r="M24" s="115">
        <f>IF(AB$17-$B24=$C$12,'Prod info'!T$279,0)</f>
        <v>0</v>
      </c>
      <c r="N24" s="115">
        <f>IF(AC$17-$B24=$C$12,'Prod info'!U$279,0)</f>
        <v>0</v>
      </c>
      <c r="O24" s="508">
        <f>IF(AD$17-$B24=$C$12,'Prod info'!V$279,0)</f>
        <v>0</v>
      </c>
      <c r="Q24" s="439">
        <f>'Prod info'!N130</f>
        <v>2024</v>
      </c>
      <c r="R24" s="909"/>
      <c r="S24" s="115"/>
      <c r="T24" s="115"/>
      <c r="U24" s="115"/>
      <c r="V24" s="115"/>
      <c r="W24" s="115">
        <f>IF(W$17-$Q24='Prod info'!$F$4,'Prod info'!O$277,0)</f>
        <v>0</v>
      </c>
      <c r="X24" s="115">
        <f>IF(X$17-$Q24='Prod info'!$F$4,'Prod info'!P$277,0)</f>
        <v>0</v>
      </c>
      <c r="Y24" s="115">
        <f>IF(Y$17-$Q24='Prod info'!$F$4,'Prod info'!Q$277,0)</f>
        <v>0</v>
      </c>
      <c r="Z24" s="115">
        <f>IF(Z$17-$Q24='Prod info'!$F$4,'Prod info'!R$277,0)</f>
        <v>3739</v>
      </c>
      <c r="AA24" s="115">
        <f>IF(AA$17-$Q24='Prod info'!$F$4,'Prod info'!S$277,0)</f>
        <v>0</v>
      </c>
      <c r="AB24" s="115">
        <f>IF(AB$17-$Q24='Prod info'!$F$4,'Prod info'!T$277,0)</f>
        <v>0</v>
      </c>
      <c r="AC24" s="115">
        <f>IF(AC$17-$Q24='Prod info'!$F$4,'Prod info'!U$277,0)</f>
        <v>0</v>
      </c>
      <c r="AD24" s="508">
        <f>IF(AD$17-$Q24='Prod info'!$F$4,'Prod info'!V$277,0)</f>
        <v>0</v>
      </c>
    </row>
    <row r="25" spans="2:30">
      <c r="B25" s="439">
        <v>2025</v>
      </c>
      <c r="C25" s="909"/>
      <c r="D25" s="115"/>
      <c r="E25" s="115"/>
      <c r="F25" s="115"/>
      <c r="G25" s="115">
        <f>IF(V$17-$B25=$C$12,'Prod info'!N$279,0)</f>
        <v>0</v>
      </c>
      <c r="H25" s="115">
        <f>IF(W$17-$B25=$C$12,'Prod info'!O$279,0)</f>
        <v>0</v>
      </c>
      <c r="I25" s="115">
        <f>IF(X$17-$B25=$C$12,'Prod info'!P$279,0)</f>
        <v>0</v>
      </c>
      <c r="J25" s="115">
        <f>IF(Y$17-$B25=$C$12,'Prod info'!Q$279,0)</f>
        <v>0</v>
      </c>
      <c r="K25" s="115">
        <f>IF(Z$17-$B25=$C$12,'Prod info'!R$279,0)</f>
        <v>0</v>
      </c>
      <c r="L25" s="115">
        <f>IF(AA$17-$B25=$C$12,'Prod info'!S$279,0)</f>
        <v>0</v>
      </c>
      <c r="M25" s="115">
        <f>IF(AB$17-$B25=$C$12,'Prod info'!T$279,0)</f>
        <v>0</v>
      </c>
      <c r="N25" s="115">
        <f>IF(AC$17-$B25=$C$12,'Prod info'!U$279,0)</f>
        <v>0</v>
      </c>
      <c r="O25" s="508">
        <f>IF(AD$17-$B25=$C$12,'Prod info'!V$279,0)</f>
        <v>0</v>
      </c>
      <c r="Q25" s="439">
        <f>'Prod info'!N131</f>
        <v>2025</v>
      </c>
      <c r="R25" s="909"/>
      <c r="S25" s="115"/>
      <c r="T25" s="115"/>
      <c r="U25" s="115"/>
      <c r="V25" s="115"/>
      <c r="W25" s="115">
        <f>IF(W$17-$Q25='Prod info'!$F$4,'Prod info'!O$277,0)</f>
        <v>0</v>
      </c>
      <c r="X25" s="115">
        <f>IF(X$17-$Q25='Prod info'!$F$4,'Prod info'!P$277,0)</f>
        <v>0</v>
      </c>
      <c r="Y25" s="115">
        <f>IF(Y$17-$Q25='Prod info'!$F$4,'Prod info'!Q$277,0)</f>
        <v>0</v>
      </c>
      <c r="Z25" s="115">
        <f>IF(Z$17-$Q25='Prod info'!$F$4,'Prod info'!R$277,0)</f>
        <v>0</v>
      </c>
      <c r="AA25" s="115">
        <f>IF(AA$17-$Q25='Prod info'!$F$4,'Prod info'!S$277,0)</f>
        <v>4394</v>
      </c>
      <c r="AB25" s="115">
        <f>IF(AB$17-$Q25='Prod info'!$F$4,'Prod info'!T$277,0)</f>
        <v>0</v>
      </c>
      <c r="AC25" s="115">
        <f>IF(AC$17-$Q25='Prod info'!$F$4,'Prod info'!U$277,0)</f>
        <v>0</v>
      </c>
      <c r="AD25" s="508">
        <f>IF(AD$17-$Q25='Prod info'!$F$4,'Prod info'!V$277,0)</f>
        <v>0</v>
      </c>
    </row>
    <row r="26" spans="2:30">
      <c r="B26" s="439">
        <v>2026</v>
      </c>
      <c r="C26" s="909"/>
      <c r="D26" s="115"/>
      <c r="E26" s="115"/>
      <c r="F26" s="115"/>
      <c r="G26" s="115">
        <f>IF(V$17-$B26=$C$12,'Prod info'!N$279,0)</f>
        <v>0</v>
      </c>
      <c r="H26" s="115">
        <f>IF(W$17-$B26=$C$12,'Prod info'!O$279,0)</f>
        <v>0</v>
      </c>
      <c r="I26" s="115">
        <f>IF(X$17-$B26=$C$12,'Prod info'!P$279,0)</f>
        <v>0</v>
      </c>
      <c r="J26" s="115">
        <f>IF(Y$17-$B26=$C$12,'Prod info'!Q$279,0)</f>
        <v>0</v>
      </c>
      <c r="K26" s="115">
        <f>IF(Z$17-$B26=$C$12,'Prod info'!R$279,0)</f>
        <v>0</v>
      </c>
      <c r="L26" s="115">
        <f>IF(AA$17-$B26=$C$12,'Prod info'!S$279,0)</f>
        <v>0</v>
      </c>
      <c r="M26" s="115">
        <f>IF(AB$17-$B26=$C$12,'Prod info'!T$279,0)</f>
        <v>0</v>
      </c>
      <c r="N26" s="115">
        <f>IF(AC$17-$B26=$C$12,'Prod info'!U$279,0)</f>
        <v>0</v>
      </c>
      <c r="O26" s="508">
        <f>IF(AD$17-$B26=$C$12,'Prod info'!V$279,0)</f>
        <v>0</v>
      </c>
      <c r="Q26" s="439">
        <f>'Prod info'!N132</f>
        <v>2026</v>
      </c>
      <c r="R26" s="909"/>
      <c r="S26" s="115"/>
      <c r="T26" s="115"/>
      <c r="U26" s="115"/>
      <c r="V26" s="115"/>
      <c r="W26" s="115">
        <f>IF(W$17-$Q26='Prod info'!$F$4,'Prod info'!O$277,0)</f>
        <v>0</v>
      </c>
      <c r="X26" s="115">
        <f>IF(X$17-$Q26='Prod info'!$F$4,'Prod info'!P$277,0)</f>
        <v>0</v>
      </c>
      <c r="Y26" s="115">
        <f>IF(Y$17-$Q26='Prod info'!$F$4,'Prod info'!Q$277,0)</f>
        <v>0</v>
      </c>
      <c r="Z26" s="115">
        <f>IF(Z$17-$Q26='Prod info'!$F$4,'Prod info'!R$277,0)</f>
        <v>0</v>
      </c>
      <c r="AA26" s="115">
        <f>IF(AA$17-$Q26='Prod info'!$F$4,'Prod info'!S$277,0)</f>
        <v>0</v>
      </c>
      <c r="AB26" s="115">
        <f>IF(AB$17-$Q26='Prod info'!$F$4,'Prod info'!T$277,0)</f>
        <v>4416</v>
      </c>
      <c r="AC26" s="115">
        <f>IF(AC$17-$Q26='Prod info'!$F$4,'Prod info'!U$277,0)</f>
        <v>0</v>
      </c>
      <c r="AD26" s="508">
        <f>IF(AD$17-$Q26='Prod info'!$F$4,'Prod info'!V$277,0)</f>
        <v>0</v>
      </c>
    </row>
    <row r="27" spans="2:30">
      <c r="B27" s="439">
        <v>2027</v>
      </c>
      <c r="C27" s="909"/>
      <c r="D27" s="115"/>
      <c r="E27" s="115"/>
      <c r="F27" s="115"/>
      <c r="G27" s="115">
        <f>IF(V$17-$B27=$C$12,'Prod info'!N$279,0)</f>
        <v>0</v>
      </c>
      <c r="H27" s="115">
        <f>IF(W$17-$B27=$C$12,'Prod info'!O$279,0)</f>
        <v>0</v>
      </c>
      <c r="I27" s="115">
        <f>IF(X$17-$B27=$C$12,'Prod info'!P$279,0)</f>
        <v>0</v>
      </c>
      <c r="J27" s="115">
        <f>IF(Y$17-$B27=$C$12,'Prod info'!Q$279,0)</f>
        <v>0</v>
      </c>
      <c r="K27" s="115">
        <f>IF(Z$17-$B27=$C$12,'Prod info'!R$279,0)</f>
        <v>0</v>
      </c>
      <c r="L27" s="115">
        <f>IF(AA$17-$B27=$C$12,'Prod info'!S$279,0)</f>
        <v>0</v>
      </c>
      <c r="M27" s="115">
        <f>IF(AB$17-$B27=$C$12,'Prod info'!T$279,0)</f>
        <v>0</v>
      </c>
      <c r="N27" s="115">
        <f>IF(AC$17-$B27=$C$12,'Prod info'!U$279,0)</f>
        <v>0</v>
      </c>
      <c r="O27" s="508">
        <f>IF(AD$17-$B27=$C$12,'Prod info'!V$279,0)</f>
        <v>0</v>
      </c>
      <c r="Q27" s="439">
        <f>'Prod info'!N133</f>
        <v>2027</v>
      </c>
      <c r="R27" s="909"/>
      <c r="S27" s="115"/>
      <c r="T27" s="115"/>
      <c r="U27" s="115"/>
      <c r="V27" s="115"/>
      <c r="W27" s="115">
        <f>IF(W$17-$Q27='Prod info'!$F$4,'Prod info'!O$277,0)</f>
        <v>0</v>
      </c>
      <c r="X27" s="115">
        <f>IF(X$17-$Q27='Prod info'!$F$4,'Prod info'!P$277,0)</f>
        <v>0</v>
      </c>
      <c r="Y27" s="115">
        <f>IF(Y$17-$Q27='Prod info'!$F$4,'Prod info'!Q$277,0)</f>
        <v>0</v>
      </c>
      <c r="Z27" s="115">
        <f>IF(Z$17-$Q27='Prod info'!$F$4,'Prod info'!R$277,0)</f>
        <v>0</v>
      </c>
      <c r="AA27" s="115">
        <f>IF(AA$17-$Q27='Prod info'!$F$4,'Prod info'!S$277,0)</f>
        <v>0</v>
      </c>
      <c r="AB27" s="115">
        <f>IF(AB$17-$Q27='Prod info'!$F$4,'Prod info'!T$277,0)</f>
        <v>0</v>
      </c>
      <c r="AC27" s="115">
        <f>IF(AC$17-$Q27='Prod info'!$F$4,'Prod info'!U$277,0)</f>
        <v>4416</v>
      </c>
      <c r="AD27" s="508">
        <f>IF(AD$17-$Q27='Prod info'!$F$4,'Prod info'!V$277,0)</f>
        <v>0</v>
      </c>
    </row>
    <row r="28" spans="2:30">
      <c r="B28" s="439">
        <v>2028</v>
      </c>
      <c r="C28" s="909"/>
      <c r="D28" s="115"/>
      <c r="E28" s="114"/>
      <c r="F28" s="114"/>
      <c r="G28" s="114">
        <f>IF(V$17-$B28=$C$12,'Prod info'!N$279,0)</f>
        <v>0</v>
      </c>
      <c r="H28" s="114">
        <f>IF(W$17-$B28=$C$12,'Prod info'!O$279,0)</f>
        <v>0</v>
      </c>
      <c r="I28" s="114">
        <f>IF(X$17-$B28=$C$12,'Prod info'!P$279,0)</f>
        <v>0</v>
      </c>
      <c r="J28" s="114">
        <f>IF(Y$17-$B28=$C$12,'Prod info'!Q$279,0)</f>
        <v>0</v>
      </c>
      <c r="K28" s="114">
        <f>IF(Z$17-$B28=$C$12,'Prod info'!R$279,0)</f>
        <v>0</v>
      </c>
      <c r="L28" s="114">
        <f>IF(AA$17-$B28=$C$12,'Prod info'!S$279,0)</f>
        <v>0</v>
      </c>
      <c r="M28" s="114">
        <f>IF(AB$17-$B28=$C$12,'Prod info'!T$279,0)</f>
        <v>0</v>
      </c>
      <c r="N28" s="114">
        <f>IF(AC$17-$B28=$C$12,'Prod info'!U$279,0)</f>
        <v>0</v>
      </c>
      <c r="O28" s="561">
        <f>IF(AD$17-$B28=$C$12,'Prod info'!V$279,0)</f>
        <v>0</v>
      </c>
      <c r="Q28" s="439">
        <f>'Prod info'!N134</f>
        <v>2028</v>
      </c>
      <c r="R28" s="909"/>
      <c r="S28" s="115"/>
      <c r="T28" s="115"/>
      <c r="U28" s="115"/>
      <c r="V28" s="115"/>
      <c r="W28" s="115">
        <f>IF(W$17-$Q28='Prod info'!$F$4,'Prod info'!O$277,0)</f>
        <v>0</v>
      </c>
      <c r="X28" s="115">
        <f>IF(X$17-$Q28='Prod info'!$F$4,'Prod info'!P$277,0)</f>
        <v>0</v>
      </c>
      <c r="Y28" s="115">
        <f>IF(Y$17-$Q28='Prod info'!$F$4,'Prod info'!Q$277,0)</f>
        <v>0</v>
      </c>
      <c r="Z28" s="115">
        <f>IF(Z$17-$Q28='Prod info'!$F$4,'Prod info'!R$277,0)</f>
        <v>0</v>
      </c>
      <c r="AA28" s="115">
        <f>IF(AA$17-$Q28='Prod info'!$F$4,'Prod info'!S$277,0)</f>
        <v>0</v>
      </c>
      <c r="AB28" s="115">
        <f>IF(AB$17-$Q28='Prod info'!$F$4,'Prod info'!T$277,0)</f>
        <v>0</v>
      </c>
      <c r="AC28" s="115">
        <f>IF(AC$17-$Q28='Prod info'!$F$4,'Prod info'!U$277,0)</f>
        <v>0</v>
      </c>
      <c r="AD28" s="508">
        <f>IF(AD$17-$Q28='Prod info'!$F$4,'Prod info'!V$277,0)</f>
        <v>4416</v>
      </c>
    </row>
    <row r="29" spans="2:30">
      <c r="B29" s="439" t="s">
        <v>630</v>
      </c>
      <c r="C29" s="909"/>
      <c r="D29" s="115"/>
      <c r="E29" s="115">
        <f t="shared" ref="E29:N29" si="10">SUM(E18:E28)</f>
        <v>0</v>
      </c>
      <c r="F29" s="115">
        <f t="shared" si="10"/>
        <v>0</v>
      </c>
      <c r="G29" s="115">
        <f t="shared" si="10"/>
        <v>0</v>
      </c>
      <c r="H29" s="115">
        <f t="shared" si="10"/>
        <v>0</v>
      </c>
      <c r="I29" s="115">
        <f>SUM(I18:I28)</f>
        <v>21582</v>
      </c>
      <c r="J29" s="115">
        <f>SUM(J18:J28)</f>
        <v>57877.333333333336</v>
      </c>
      <c r="K29" s="115">
        <f t="shared" si="10"/>
        <v>0</v>
      </c>
      <c r="L29" s="115">
        <f t="shared" si="10"/>
        <v>0</v>
      </c>
      <c r="M29" s="115">
        <f t="shared" si="10"/>
        <v>0</v>
      </c>
      <c r="N29" s="115">
        <f t="shared" si="10"/>
        <v>0</v>
      </c>
      <c r="O29" s="508">
        <f>SUM(O18:O28)</f>
        <v>0</v>
      </c>
      <c r="Q29" s="439">
        <f>'Prod info'!N135</f>
        <v>2029</v>
      </c>
      <c r="R29" s="909"/>
      <c r="S29" s="115"/>
      <c r="T29" s="114"/>
      <c r="U29" s="114"/>
      <c r="V29" s="114"/>
      <c r="W29" s="114">
        <f>IF(W$17-$Q29='Prod info'!$F$4,'Prod info'!O$277,0)</f>
        <v>0</v>
      </c>
      <c r="X29" s="114">
        <f>IF(X$17-$Q29='Prod info'!$F$4,'Prod info'!P$277,0)</f>
        <v>0</v>
      </c>
      <c r="Y29" s="114">
        <f>IF(Y$17-$Q29='Prod info'!$F$4,'Prod info'!Q$277,0)</f>
        <v>0</v>
      </c>
      <c r="Z29" s="114">
        <f>IF(Z$17-$Q29='Prod info'!$F$4,'Prod info'!R$277,0)</f>
        <v>0</v>
      </c>
      <c r="AA29" s="114">
        <f>IF(AA$17-$Q29='Prod info'!$F$4,'Prod info'!S$277,0)</f>
        <v>0</v>
      </c>
      <c r="AB29" s="114">
        <f>IF(AB$17-$Q29='Prod info'!$F$4,'Prod info'!T$277,0)</f>
        <v>0</v>
      </c>
      <c r="AC29" s="114">
        <f>IF(AC$17-$Q29='Prod info'!$F$4,'Prod info'!U$277,0)</f>
        <v>0</v>
      </c>
      <c r="AD29" s="561">
        <f>IF(AD$17-$Q29='Prod info'!$F$4,'Prod info'!V$277,0)</f>
        <v>0</v>
      </c>
    </row>
    <row r="30" spans="2:30">
      <c r="B30" s="439"/>
      <c r="C30" s="909"/>
      <c r="D30" s="909"/>
      <c r="E30" s="909"/>
      <c r="F30" s="909"/>
      <c r="G30" s="909"/>
      <c r="H30" s="909"/>
      <c r="I30" s="909"/>
      <c r="J30" s="909"/>
      <c r="K30" s="909"/>
      <c r="L30" s="909"/>
      <c r="M30" s="909"/>
      <c r="N30" s="909"/>
      <c r="O30" s="548"/>
      <c r="Q30" s="439" t="s">
        <v>630</v>
      </c>
      <c r="R30" s="909"/>
      <c r="S30" s="115"/>
      <c r="T30" s="115">
        <f t="shared" ref="T30:AC30" si="11">SUM(T19:T29)</f>
        <v>0</v>
      </c>
      <c r="U30" s="115">
        <f t="shared" si="11"/>
        <v>0</v>
      </c>
      <c r="V30" s="115">
        <f t="shared" si="11"/>
        <v>0</v>
      </c>
      <c r="W30" s="115">
        <f t="shared" si="11"/>
        <v>0</v>
      </c>
      <c r="X30" s="115">
        <f>SUM(X19:X29)</f>
        <v>2342</v>
      </c>
      <c r="Y30" s="115">
        <f t="shared" si="11"/>
        <v>2266</v>
      </c>
      <c r="Z30" s="115">
        <f t="shared" si="11"/>
        <v>3739</v>
      </c>
      <c r="AA30" s="115">
        <f t="shared" si="11"/>
        <v>4394</v>
      </c>
      <c r="AB30" s="115">
        <f t="shared" si="11"/>
        <v>4416</v>
      </c>
      <c r="AC30" s="115">
        <f t="shared" si="11"/>
        <v>4416</v>
      </c>
      <c r="AD30" s="508">
        <f>SUM(AD19:AD29)</f>
        <v>4416</v>
      </c>
    </row>
    <row r="31" spans="2:30">
      <c r="B31" s="439" t="s">
        <v>736</v>
      </c>
      <c r="C31" s="909"/>
      <c r="D31" s="909"/>
      <c r="E31" s="909"/>
      <c r="F31" s="909"/>
      <c r="G31" s="909"/>
      <c r="H31" s="115"/>
      <c r="I31" s="115">
        <f>Bond!F53</f>
        <v>344</v>
      </c>
      <c r="J31" s="115">
        <f>Bond!G53</f>
        <v>17934</v>
      </c>
      <c r="K31" s="115">
        <f>Bond!H53</f>
        <v>17934</v>
      </c>
      <c r="L31" s="115">
        <f>Bond!I53</f>
        <v>17934</v>
      </c>
      <c r="M31" s="115">
        <f>Bond!J53</f>
        <v>17934</v>
      </c>
      <c r="N31" s="115">
        <f>Bond!K53</f>
        <v>0</v>
      </c>
      <c r="O31" s="508">
        <f>Bond!L53</f>
        <v>0</v>
      </c>
      <c r="Q31" s="439"/>
      <c r="R31" s="909"/>
      <c r="S31" s="909"/>
      <c r="T31" s="909"/>
      <c r="U31" s="909"/>
      <c r="V31" s="909"/>
      <c r="W31" s="909"/>
      <c r="X31" s="909"/>
      <c r="Y31" s="909"/>
      <c r="Z31" s="909"/>
      <c r="AA31" s="909"/>
      <c r="AB31" s="909"/>
      <c r="AC31" s="909"/>
      <c r="AD31" s="548"/>
    </row>
    <row r="32" spans="2:30">
      <c r="B32" s="439" t="s">
        <v>1178</v>
      </c>
      <c r="C32" s="909"/>
      <c r="D32" s="909"/>
      <c r="E32" s="550"/>
      <c r="F32" s="550"/>
      <c r="G32" s="550"/>
      <c r="H32" s="554">
        <f>I36</f>
        <v>0</v>
      </c>
      <c r="I32" s="554">
        <f>I29-(I29+J29+K29+L29+M29-(+J31+K31+L31+M31))</f>
        <v>13858.666666666657</v>
      </c>
      <c r="J32" s="554">
        <f>I32-J31+J29</f>
        <v>53801.999999999993</v>
      </c>
      <c r="K32" s="554">
        <f>J32-K31</f>
        <v>35867.999999999993</v>
      </c>
      <c r="L32" s="554">
        <f>K32-L31</f>
        <v>17933.999999999993</v>
      </c>
      <c r="M32" s="554">
        <f>L32-M31</f>
        <v>0</v>
      </c>
      <c r="N32" s="554"/>
      <c r="O32" s="551"/>
      <c r="Q32" s="547" t="s">
        <v>742</v>
      </c>
      <c r="R32" s="909" t="s">
        <v>738</v>
      </c>
      <c r="S32" s="909"/>
      <c r="T32" s="626">
        <f>T17</f>
        <v>2019</v>
      </c>
      <c r="U32" s="626">
        <f t="shared" ref="U32:AC32" si="12">U17</f>
        <v>2020</v>
      </c>
      <c r="V32" s="626">
        <f t="shared" si="12"/>
        <v>2021</v>
      </c>
      <c r="W32" s="626">
        <f t="shared" si="12"/>
        <v>2022</v>
      </c>
      <c r="X32" s="626">
        <f t="shared" si="12"/>
        <v>2023</v>
      </c>
      <c r="Y32" s="626">
        <f t="shared" si="12"/>
        <v>2024</v>
      </c>
      <c r="Z32" s="626">
        <f t="shared" si="12"/>
        <v>2025</v>
      </c>
      <c r="AA32" s="626">
        <f t="shared" si="12"/>
        <v>2026</v>
      </c>
      <c r="AB32" s="626">
        <f t="shared" si="12"/>
        <v>2027</v>
      </c>
      <c r="AC32" s="626">
        <f t="shared" si="12"/>
        <v>2028</v>
      </c>
      <c r="AD32" s="627">
        <f>AD17</f>
        <v>2029</v>
      </c>
    </row>
    <row r="33" spans="2:30">
      <c r="B33" s="547" t="s">
        <v>26</v>
      </c>
      <c r="C33" s="909"/>
      <c r="D33" s="909"/>
      <c r="E33" s="935"/>
      <c r="F33" s="935"/>
      <c r="G33" s="935"/>
      <c r="H33" s="910">
        <f>H31+H32</f>
        <v>0</v>
      </c>
      <c r="I33" s="910">
        <f>I31+I32</f>
        <v>14202.666666666657</v>
      </c>
      <c r="J33" s="910">
        <f t="shared" ref="J33:O33" si="13">J31+J32</f>
        <v>71736</v>
      </c>
      <c r="K33" s="910">
        <f t="shared" si="13"/>
        <v>53801.999999999993</v>
      </c>
      <c r="L33" s="910">
        <f t="shared" si="13"/>
        <v>35867.999999999993</v>
      </c>
      <c r="M33" s="910">
        <f t="shared" si="13"/>
        <v>17934</v>
      </c>
      <c r="N33" s="910">
        <f t="shared" si="13"/>
        <v>0</v>
      </c>
      <c r="O33" s="600">
        <f t="shared" si="13"/>
        <v>0</v>
      </c>
      <c r="Q33" s="439" t="s">
        <v>542</v>
      </c>
      <c r="R33" s="909"/>
      <c r="S33" s="909"/>
      <c r="T33" s="912"/>
      <c r="U33" s="912"/>
      <c r="V33" s="912"/>
      <c r="W33" s="912"/>
      <c r="X33" s="912"/>
      <c r="Y33" s="912"/>
      <c r="Z33" s="912"/>
      <c r="AA33" s="912"/>
      <c r="AB33" s="912"/>
      <c r="AC33" s="912"/>
      <c r="AD33" s="553"/>
    </row>
    <row r="34" spans="2:30">
      <c r="B34" s="439"/>
      <c r="C34" s="909"/>
      <c r="D34" s="909"/>
      <c r="E34" s="909"/>
      <c r="F34" s="909"/>
      <c r="G34" s="909"/>
      <c r="H34" s="115"/>
      <c r="I34" s="115"/>
      <c r="J34" s="115"/>
      <c r="K34" s="115"/>
      <c r="L34" s="115"/>
      <c r="M34" s="115"/>
      <c r="N34" s="115"/>
      <c r="O34" s="508"/>
      <c r="Q34" s="439">
        <f>Q19</f>
        <v>2018</v>
      </c>
      <c r="R34" s="909"/>
      <c r="S34" s="909"/>
      <c r="T34" s="933">
        <v>6.5</v>
      </c>
      <c r="U34" s="933">
        <v>6.5</v>
      </c>
      <c r="V34" s="933">
        <v>6.5</v>
      </c>
      <c r="W34" s="933">
        <v>6.5</v>
      </c>
      <c r="X34" s="933">
        <v>6.5</v>
      </c>
      <c r="Y34" s="464">
        <f>SUMIF(Price!$N$29:$N$37,Sale!$Q$34,Price!R29:R37)</f>
        <v>0</v>
      </c>
      <c r="Z34" s="464">
        <f>SUMIF(Price!$N$29:$N$37,Sale!$Q$34,Price!S29:S37)</f>
        <v>0</v>
      </c>
      <c r="AA34" s="464">
        <f>SUMIF(Price!$N$29:$N$37,Sale!$Q$34,Price!T29:T37)</f>
        <v>0</v>
      </c>
      <c r="AB34" s="464">
        <f>SUMIF(Price!$N$29:$N$37,Sale!$Q$34,Price!U29:U37)</f>
        <v>0</v>
      </c>
      <c r="AC34" s="464">
        <f>SUMIF(Price!$N$29:$N$37,Sale!$Q$34,Price!V29:V37)</f>
        <v>0</v>
      </c>
      <c r="AD34" s="468">
        <f>SUMIF(Price!$N$29:$N$37,Sale!$Q$34,Price!W29:W37)</f>
        <v>0</v>
      </c>
    </row>
    <row r="35" spans="2:30">
      <c r="B35" s="439" t="s">
        <v>739</v>
      </c>
      <c r="C35" s="909"/>
      <c r="D35" s="909"/>
      <c r="E35" s="115"/>
      <c r="F35" s="115"/>
      <c r="G35" s="115"/>
      <c r="H35" s="115">
        <f>IF(SUMIF($B$18:$B$28,H16-$C$12+1,H17:H28)&gt;H31,H31,SUMIF($B$18:$B$28,H16-$C$12+1,H17:H28))</f>
        <v>0</v>
      </c>
      <c r="I35" s="115"/>
      <c r="J35" s="115"/>
      <c r="K35" s="115"/>
      <c r="L35" s="115"/>
      <c r="M35" s="115"/>
      <c r="N35" s="115"/>
      <c r="O35" s="508"/>
      <c r="Q35" s="439">
        <f t="shared" ref="Q35:Q44" si="14">Q20</f>
        <v>2019</v>
      </c>
      <c r="R35" s="909"/>
      <c r="S35" s="909"/>
      <c r="T35" s="933">
        <v>6.75</v>
      </c>
      <c r="U35" s="933">
        <v>6.75</v>
      </c>
      <c r="V35" s="933">
        <v>6.75</v>
      </c>
      <c r="W35" s="933">
        <v>6.75</v>
      </c>
      <c r="X35" s="933">
        <v>6.75</v>
      </c>
      <c r="Y35" s="464">
        <f>SUMIF(Price!$N$29:$N$37,Sale!$Q$35,Price!R29:R37)</f>
        <v>0</v>
      </c>
      <c r="Z35" s="464">
        <f>SUMIF(Price!$N$29:$N$37,Sale!$Q$35,Price!S29:S37)</f>
        <v>0</v>
      </c>
      <c r="AA35" s="464">
        <f>SUMIF(Price!$N$29:$N$37,Sale!$Q$35,Price!T29:T37)</f>
        <v>0</v>
      </c>
      <c r="AB35" s="464">
        <f>SUMIF(Price!$N$29:$N$37,Sale!$Q$35,Price!U29:U37)</f>
        <v>0</v>
      </c>
      <c r="AC35" s="464">
        <f>SUMIF(Price!$N$29:$N$37,Sale!$Q$35,Price!V29:V37)</f>
        <v>0</v>
      </c>
      <c r="AD35" s="468">
        <f>SUMIF(Price!$N$29:$N$37,Sale!$Q$35,Price!W29:W37)</f>
        <v>0</v>
      </c>
    </row>
    <row r="36" spans="2:30">
      <c r="B36" s="439" t="s">
        <v>1031</v>
      </c>
      <c r="C36" s="909"/>
      <c r="D36" s="909"/>
      <c r="E36" s="909"/>
      <c r="F36" s="909"/>
      <c r="G36" s="909"/>
      <c r="H36" s="115">
        <f>IF(H29&gt;H31,0,IF(AND(H35=0,H29&gt;H31),0,IF(AND(H29&lt;H31,G29-G31&gt;H31),H31,H31-H29)))</f>
        <v>0</v>
      </c>
      <c r="I36" s="115"/>
      <c r="J36" s="115"/>
      <c r="K36" s="115"/>
      <c r="L36" s="115"/>
      <c r="M36" s="115"/>
      <c r="N36" s="115"/>
      <c r="O36" s="508"/>
      <c r="Q36" s="439">
        <f t="shared" si="14"/>
        <v>2020</v>
      </c>
      <c r="R36" s="909"/>
      <c r="S36" s="909"/>
      <c r="T36" s="933">
        <v>7</v>
      </c>
      <c r="U36" s="933">
        <v>7</v>
      </c>
      <c r="V36" s="933">
        <v>7</v>
      </c>
      <c r="W36" s="933">
        <v>7</v>
      </c>
      <c r="X36" s="933">
        <v>7</v>
      </c>
      <c r="Y36" s="464">
        <f>SUMIF(Price!$N$29:$N$37,Sale!$Q$36,Price!R29:R37)</f>
        <v>0</v>
      </c>
      <c r="Z36" s="464">
        <f>SUMIF(Price!$N$29:$N$37,Sale!$Q$36,Price!S29:S37)</f>
        <v>0</v>
      </c>
      <c r="AA36" s="464">
        <f>SUMIF(Price!$N$29:$N$37,Sale!$Q$36,Price!T29:T37)</f>
        <v>0</v>
      </c>
      <c r="AB36" s="464">
        <f>SUMIF(Price!$N$29:$N$37,Sale!$Q$36,Price!U29:U37)</f>
        <v>0</v>
      </c>
      <c r="AC36" s="464">
        <f>SUMIF(Price!$N$29:$N$37,Sale!$Q$36,Price!V29:V37)</f>
        <v>0</v>
      </c>
      <c r="AD36" s="468">
        <f>SUMIF(Price!$N$29:$N$37,Sale!$Q$36,Price!W29:W37)</f>
        <v>0</v>
      </c>
    </row>
    <row r="37" spans="2:30">
      <c r="B37" s="439" t="s">
        <v>740</v>
      </c>
      <c r="C37" s="909"/>
      <c r="D37" s="909"/>
      <c r="E37" s="550"/>
      <c r="F37" s="550"/>
      <c r="G37" s="550"/>
      <c r="H37" s="114">
        <f>IF(H29+H36&lt;H31,IF(I29-I31&gt;=H31-H29,H31-H29,IF(I31-I29&gt;0,I31-I29,0)),0)</f>
        <v>0</v>
      </c>
      <c r="I37" s="114"/>
      <c r="J37" s="114"/>
      <c r="K37" s="114"/>
      <c r="L37" s="114"/>
      <c r="M37" s="114"/>
      <c r="N37" s="114"/>
      <c r="O37" s="561"/>
      <c r="Q37" s="439">
        <f t="shared" si="14"/>
        <v>2021</v>
      </c>
      <c r="R37" s="909"/>
      <c r="S37" s="909"/>
      <c r="T37" s="630">
        <v>7.86</v>
      </c>
      <c r="U37" s="630">
        <v>7.86</v>
      </c>
      <c r="V37" s="630">
        <v>7.86</v>
      </c>
      <c r="W37" s="630">
        <v>7.86</v>
      </c>
      <c r="X37" s="630">
        <v>7.86</v>
      </c>
      <c r="Y37" s="464">
        <f>SUMIF(Price!$N$29:$N$37,Sale!$Q$37,Price!R29:R37)</f>
        <v>0</v>
      </c>
      <c r="Z37" s="464">
        <f>SUMIF(Price!$N$29:$N$37,Sale!$Q$37,Price!S29:S37)</f>
        <v>0</v>
      </c>
      <c r="AA37" s="464">
        <f>SUMIF(Price!$N$29:$N$37,Sale!$Q$37,Price!T29:T37)</f>
        <v>0</v>
      </c>
      <c r="AB37" s="464">
        <f>SUMIF(Price!$N$29:$N$37,Sale!$Q$37,Price!U29:U37)</f>
        <v>0</v>
      </c>
      <c r="AC37" s="464">
        <f>SUMIF(Price!$N$29:$N$37,Sale!$Q$37,Price!V29:V37)</f>
        <v>0</v>
      </c>
      <c r="AD37" s="468">
        <f>SUMIF(Price!$N$29:$N$37,Sale!$Q$37,Price!W29:W37)</f>
        <v>0</v>
      </c>
    </row>
    <row r="38" spans="2:30">
      <c r="B38" s="439" t="s">
        <v>741</v>
      </c>
      <c r="C38" s="909"/>
      <c r="D38" s="909"/>
      <c r="E38" s="562">
        <f>IF(E33=D32,E29,E29-E33)</f>
        <v>0</v>
      </c>
      <c r="F38" s="562">
        <f>IF(F33=E32,F29,F29-F33)</f>
        <v>0</v>
      </c>
      <c r="G38" s="562">
        <f>IF(G33=F32,G29,G29-G33)</f>
        <v>0</v>
      </c>
      <c r="H38" s="562">
        <f>IF(H33=G32,H29,H29-H33)</f>
        <v>0</v>
      </c>
      <c r="I38" s="562">
        <f>I29-I33</f>
        <v>7379.333333333343</v>
      </c>
      <c r="J38" s="562">
        <f>J29-J33+I32</f>
        <v>0</v>
      </c>
      <c r="K38" s="562">
        <f>K29-K33+J32</f>
        <v>0</v>
      </c>
      <c r="L38" s="562">
        <f>L29-L33+K32</f>
        <v>0</v>
      </c>
      <c r="M38" s="562">
        <f>M29-M33+L32</f>
        <v>0</v>
      </c>
      <c r="N38" s="562">
        <f>IF(N33=M32,N29,N29-N33)</f>
        <v>0</v>
      </c>
      <c r="O38" s="563">
        <f>IF(O33=N32,O29,O29-O33)</f>
        <v>0</v>
      </c>
      <c r="Q38" s="439">
        <f t="shared" si="14"/>
        <v>2023</v>
      </c>
      <c r="R38" s="909"/>
      <c r="S38" s="909"/>
      <c r="T38" s="912"/>
      <c r="U38" s="912"/>
      <c r="V38" s="912"/>
      <c r="W38" s="464">
        <f>SUMIF(Price!$N$29:$N$37,Sale!$Q$38,Price!P29:P37)</f>
        <v>0</v>
      </c>
      <c r="X38" s="464">
        <f>SUMIF(Price!$N$29:$N$37,Sale!$Q$38,Price!Q29:Q37)</f>
        <v>17.2074</v>
      </c>
      <c r="Y38" s="464">
        <f>SUMIF(Price!$N$29:$N$37,Sale!$Q$38,Price!R29:R37)</f>
        <v>17.637584999999998</v>
      </c>
      <c r="Z38" s="464">
        <f>SUMIF(Price!$N$29:$N$37,Sale!$Q$38,Price!S29:S37)</f>
        <v>17.637584999999998</v>
      </c>
      <c r="AA38" s="464">
        <f>SUMIF(Price!$N$29:$N$37,Sale!$Q$38,Price!T29:T37)</f>
        <v>17.637584999999998</v>
      </c>
      <c r="AB38" s="464">
        <f>SUMIF(Price!$N$29:$N$37,Sale!$Q$38,Price!U29:U37)</f>
        <v>17.637584999999998</v>
      </c>
      <c r="AC38" s="464">
        <f>SUMIF(Price!$N$29:$N$37,Sale!$Q$38,Price!V29:V37)</f>
        <v>17.637584999999998</v>
      </c>
      <c r="AD38" s="468">
        <f>SUMIF(Price!$N$29:$N$37,Sale!$Q$38,Price!W29:W37)</f>
        <v>17.637584999999998</v>
      </c>
    </row>
    <row r="39" spans="2:30">
      <c r="B39" s="439"/>
      <c r="C39" s="909"/>
      <c r="D39" s="909"/>
      <c r="E39" s="912"/>
      <c r="F39" s="912"/>
      <c r="G39" s="912"/>
      <c r="H39" s="912"/>
      <c r="I39" s="912"/>
      <c r="J39" s="912"/>
      <c r="K39" s="912"/>
      <c r="L39" s="912"/>
      <c r="M39" s="912"/>
      <c r="N39" s="912"/>
      <c r="O39" s="553"/>
      <c r="Q39" s="439">
        <f t="shared" si="14"/>
        <v>2024</v>
      </c>
      <c r="R39" s="909"/>
      <c r="S39" s="909"/>
      <c r="T39" s="912"/>
      <c r="U39" s="912"/>
      <c r="V39" s="912"/>
      <c r="W39" s="464">
        <f>SUMIF(Price!$N$29:$N$37,Sale!$Q$39,Price!P29:P37)</f>
        <v>0</v>
      </c>
      <c r="X39" s="464">
        <f>SUMIF(Price!$N$29:$N$37,Sale!$Q$39,Price!Q29:Q37)</f>
        <v>0</v>
      </c>
      <c r="Y39" s="464">
        <f>SUMIF(Price!$N$29:$N$37,Sale!$Q$39,Price!R29:R37)</f>
        <v>17.551548</v>
      </c>
      <c r="Z39" s="464">
        <f>SUMIF(Price!$N$29:$N$37,Sale!$Q$39,Price!S29:S37)</f>
        <v>17.9903367</v>
      </c>
      <c r="AA39" s="464">
        <f>SUMIF(Price!$N$29:$N$37,Sale!$Q$39,Price!T29:T37)</f>
        <v>17.9903367</v>
      </c>
      <c r="AB39" s="464">
        <f>SUMIF(Price!$N$29:$N$37,Sale!$Q$39,Price!U29:U37)</f>
        <v>17.9903367</v>
      </c>
      <c r="AC39" s="464">
        <f>SUMIF(Price!$N$29:$N$37,Sale!$Q$39,Price!V29:V37)</f>
        <v>17.9903367</v>
      </c>
      <c r="AD39" s="468">
        <f>SUMIF(Price!$N$29:$N$37,Sale!$Q$39,Price!W29:W37)</f>
        <v>17.9903367</v>
      </c>
    </row>
    <row r="40" spans="2:30">
      <c r="B40" s="439"/>
      <c r="C40" s="909"/>
      <c r="D40" s="909"/>
      <c r="E40" s="912"/>
      <c r="F40" s="912"/>
      <c r="G40" s="912"/>
      <c r="H40" s="912"/>
      <c r="I40" s="912"/>
      <c r="J40" s="912"/>
      <c r="K40" s="912"/>
      <c r="L40" s="912"/>
      <c r="M40" s="912"/>
      <c r="N40" s="912"/>
      <c r="O40" s="553"/>
      <c r="Q40" s="439">
        <f t="shared" si="14"/>
        <v>2025</v>
      </c>
      <c r="R40" s="909"/>
      <c r="S40" s="909"/>
      <c r="T40" s="912"/>
      <c r="U40" s="912"/>
      <c r="V40" s="912"/>
      <c r="W40" s="464">
        <f>SUMIF(Price!$N$29:$N$37,Sale!$Q$40,Price!P29:P37)</f>
        <v>0</v>
      </c>
      <c r="X40" s="464">
        <f>SUMIF(Price!$N$29:$N$37,Sale!$Q$40,Price!Q29:Q37)</f>
        <v>0</v>
      </c>
      <c r="Y40" s="464">
        <f>SUMIF(Price!$N$29:$N$37,Sale!$Q$40,Price!R29:R37)</f>
        <v>0</v>
      </c>
      <c r="Z40" s="464">
        <f>SUMIF(Price!$N$29:$N$37,Sale!$Q$40,Price!S29:S37)</f>
        <v>17.90257896</v>
      </c>
      <c r="AA40" s="464">
        <f>SUMIF(Price!$N$29:$N$37,Sale!$Q$40,Price!T29:T37)</f>
        <v>18.350143434</v>
      </c>
      <c r="AB40" s="464">
        <f>SUMIF(Price!$N$29:$N$37,Sale!$Q$40,Price!U29:U37)</f>
        <v>18.350143434</v>
      </c>
      <c r="AC40" s="464">
        <f>SUMIF(Price!$N$29:$N$37,Sale!$Q$40,Price!V29:V37)</f>
        <v>18.350143434</v>
      </c>
      <c r="AD40" s="468">
        <f>SUMIF(Price!$N$29:$N$37,Sale!$Q$40,Price!W29:W37)</f>
        <v>18.350143434</v>
      </c>
    </row>
    <row r="41" spans="2:30">
      <c r="B41" s="547" t="s">
        <v>808</v>
      </c>
      <c r="C41" s="909"/>
      <c r="D41" s="909"/>
      <c r="E41" s="626">
        <f t="shared" ref="E41:O41" si="15">E16</f>
        <v>2019</v>
      </c>
      <c r="F41" s="626">
        <f t="shared" si="15"/>
        <v>2020</v>
      </c>
      <c r="G41" s="626">
        <f t="shared" si="15"/>
        <v>2021</v>
      </c>
      <c r="H41" s="626">
        <f t="shared" si="15"/>
        <v>2022</v>
      </c>
      <c r="I41" s="626">
        <f t="shared" si="15"/>
        <v>2023</v>
      </c>
      <c r="J41" s="626">
        <f t="shared" si="15"/>
        <v>2024</v>
      </c>
      <c r="K41" s="626">
        <f t="shared" si="15"/>
        <v>2025</v>
      </c>
      <c r="L41" s="626">
        <f t="shared" si="15"/>
        <v>2026</v>
      </c>
      <c r="M41" s="626">
        <f t="shared" si="15"/>
        <v>2027</v>
      </c>
      <c r="N41" s="626">
        <f t="shared" si="15"/>
        <v>2028</v>
      </c>
      <c r="O41" s="627">
        <f t="shared" si="15"/>
        <v>2029</v>
      </c>
      <c r="Q41" s="439">
        <f t="shared" si="14"/>
        <v>2026</v>
      </c>
      <c r="R41" s="909"/>
      <c r="S41" s="909"/>
      <c r="T41" s="912"/>
      <c r="U41" s="912"/>
      <c r="V41" s="912"/>
      <c r="W41" s="464">
        <f>SUMIF(Price!$N$29:$N$37,Sale!$Q$41,Price!P29:P37)</f>
        <v>0</v>
      </c>
      <c r="X41" s="464">
        <f>SUMIF(Price!$N$29:$N$37,Sale!$Q$41,Price!Q29:Q37)</f>
        <v>0</v>
      </c>
      <c r="Y41" s="464">
        <f>SUMIF(Price!$N$29:$N$37,Sale!$Q$41,Price!R29:R37)</f>
        <v>0</v>
      </c>
      <c r="Z41" s="464">
        <f>SUMIF(Price!$N$29:$N$37,Sale!$Q$41,Price!S29:S37)</f>
        <v>0</v>
      </c>
      <c r="AA41" s="464">
        <f>SUMIF(Price!$N$29:$N$37,Sale!$Q$41,Price!T29:T37)</f>
        <v>18.260630539200001</v>
      </c>
      <c r="AB41" s="464">
        <f>SUMIF(Price!$N$29:$N$37,Sale!$Q$41,Price!U29:U37)</f>
        <v>18.71714630268</v>
      </c>
      <c r="AC41" s="464">
        <f>SUMIF(Price!$N$29:$N$37,Sale!$Q$41,Price!V29:V37)</f>
        <v>18.71714630268</v>
      </c>
      <c r="AD41" s="468">
        <f>SUMIF(Price!$N$29:$N$37,Sale!$Q$41,Price!W29:W37)</f>
        <v>18.71714630268</v>
      </c>
    </row>
    <row r="42" spans="2:30">
      <c r="B42" s="439">
        <f t="shared" ref="B42:B52" si="16">B18</f>
        <v>2018</v>
      </c>
      <c r="C42" s="909"/>
      <c r="D42" s="909"/>
      <c r="E42" s="912"/>
      <c r="F42" s="912"/>
      <c r="G42" s="912"/>
      <c r="H42" s="912"/>
      <c r="I42" s="936"/>
      <c r="J42" s="936">
        <v>7379</v>
      </c>
      <c r="K42" s="912">
        <f>IF(K$16-$B18=$C$12,K18-K$35,IF(AND(K18&gt;0,K$36&gt;0,K18&gt;=K$36),K18-K$36,K18))</f>
        <v>0</v>
      </c>
      <c r="L42" s="912">
        <f>IF(L$16-$B18=$C$12,L18-L$35,IF(AND(L18&gt;0,L$36&gt;0,L18&gt;=L$36),L18-L$36,L18))</f>
        <v>0</v>
      </c>
      <c r="M42" s="912">
        <f>IF(M$16-$B18=$C$12,M18-M$35,IF(AND(M18&gt;0,M$36&gt;0,M18&gt;=M$36),M18-M$36,M18))</f>
        <v>0</v>
      </c>
      <c r="N42" s="912">
        <f>IF(N$16-$B18=$C$12,N18-N$35,IF(AND(N18&gt;0,N$36&gt;0,N18&gt;=N$36),N18-N$36,N18))</f>
        <v>0</v>
      </c>
      <c r="O42" s="553">
        <f>IF(O$16-$B18=$C$12,O18-O$35,IF(AND(O18&gt;0,O$36&gt;0,O18&gt;=O$36),O18-O$36,O18))</f>
        <v>0</v>
      </c>
      <c r="Q42" s="439">
        <f t="shared" si="14"/>
        <v>2027</v>
      </c>
      <c r="R42" s="909"/>
      <c r="S42" s="909"/>
      <c r="T42" s="912"/>
      <c r="U42" s="912"/>
      <c r="V42" s="912"/>
      <c r="W42" s="464">
        <f>SUMIF(Price!$N$29:$N$37,Sale!$Q$42,Price!P29:P37)</f>
        <v>0</v>
      </c>
      <c r="X42" s="464">
        <f>SUMIF(Price!$N$29:$N$37,Sale!$Q$42,Price!Q29:Q37)</f>
        <v>0</v>
      </c>
      <c r="Y42" s="464">
        <f>SUMIF(Price!$N$29:$N$37,Sale!$Q$42,Price!R29:R37)</f>
        <v>0</v>
      </c>
      <c r="Z42" s="464">
        <f>SUMIF(Price!$N$29:$N$37,Sale!$Q$42,Price!S29:S37)</f>
        <v>0</v>
      </c>
      <c r="AA42" s="464">
        <f>SUMIF(Price!$N$29:$N$37,Sale!$Q$42,Price!T29:T37)</f>
        <v>0</v>
      </c>
      <c r="AB42" s="464">
        <f>SUMIF(Price!$N$29:$N$37,Sale!$Q$42,Price!U29:U37)</f>
        <v>18.625843149984</v>
      </c>
      <c r="AC42" s="464">
        <f>SUMIF(Price!$N$29:$N$37,Sale!$Q$42,Price!V29:V37)</f>
        <v>19.091489228733597</v>
      </c>
      <c r="AD42" s="468">
        <f>SUMIF(Price!$N$29:$N$37,Sale!$Q$42,Price!W29:W37)</f>
        <v>19.091489228733597</v>
      </c>
    </row>
    <row r="43" spans="2:30">
      <c r="B43" s="439">
        <f t="shared" si="16"/>
        <v>2019</v>
      </c>
      <c r="C43" s="909"/>
      <c r="D43" s="909"/>
      <c r="E43" s="912"/>
      <c r="F43" s="912"/>
      <c r="G43" s="912"/>
      <c r="H43" s="912"/>
      <c r="I43" s="936"/>
      <c r="J43" s="936">
        <f>I19</f>
        <v>0</v>
      </c>
      <c r="K43" s="912">
        <f>IF(K42&gt;0,K19,IF(K19&gt;0,K19-K33+K35+K36+K37,0))</f>
        <v>0</v>
      </c>
      <c r="L43" s="912">
        <f>IF(L42&gt;0,L19,IF(L19&gt;0,L19-L33+L35+L36+L37,0))</f>
        <v>0</v>
      </c>
      <c r="M43" s="912">
        <f>IF(M42&gt;0,M19,IF(M19&gt;0,M19-M33+M35+M36+M37,0))</f>
        <v>0</v>
      </c>
      <c r="N43" s="912">
        <f>IF(N42&gt;0,N19,IF(N19&gt;0,N19-N33+N35+N36+N37,0))</f>
        <v>0</v>
      </c>
      <c r="O43" s="553">
        <f t="shared" ref="O43:O52" si="17">IF(O$16-$B19=$C$12,O19-O$35,IF(AND(O19&gt;0,O$36&gt;0,O19&gt;=O$36),O19-O$36,O19))</f>
        <v>0</v>
      </c>
      <c r="Q43" s="439">
        <f t="shared" si="14"/>
        <v>2028</v>
      </c>
      <c r="R43" s="909"/>
      <c r="S43" s="909"/>
      <c r="T43" s="912"/>
      <c r="U43" s="912"/>
      <c r="V43" s="912"/>
      <c r="W43" s="464">
        <f>SUMIF(Price!$N$29:$N$37,Sale!$Q$43,Price!P29:P37)</f>
        <v>0</v>
      </c>
      <c r="X43" s="464">
        <f>SUMIF(Price!$N$29:$N$37,Sale!$Q$43,Price!Q29:Q37)</f>
        <v>0</v>
      </c>
      <c r="Y43" s="464">
        <f>SUMIF(Price!$N$29:$N$37,Sale!$Q$43,Price!R29:R37)</f>
        <v>0</v>
      </c>
      <c r="Z43" s="464">
        <f>SUMIF(Price!$N$29:$N$37,Sale!$Q$43,Price!S29:S37)</f>
        <v>0</v>
      </c>
      <c r="AA43" s="464">
        <f>SUMIF(Price!$N$29:$N$37,Sale!$Q$43,Price!T29:T37)</f>
        <v>0</v>
      </c>
      <c r="AB43" s="464">
        <f>SUMIF(Price!$N$29:$N$37,Sale!$Q$43,Price!U29:U37)</f>
        <v>0</v>
      </c>
      <c r="AC43" s="464">
        <f>SUMIF(Price!$N$29:$N$37,Sale!$Q$43,Price!V29:V37)</f>
        <v>18.998360012983682</v>
      </c>
      <c r="AD43" s="468">
        <f>SUMIF(Price!$N$29:$N$37,Sale!$Q$43,Price!W29:W37)</f>
        <v>19.473319013308274</v>
      </c>
    </row>
    <row r="44" spans="2:30">
      <c r="B44" s="439">
        <f t="shared" si="16"/>
        <v>2020</v>
      </c>
      <c r="C44" s="909"/>
      <c r="D44" s="909"/>
      <c r="E44" s="912"/>
      <c r="F44" s="912"/>
      <c r="G44" s="912"/>
      <c r="H44" s="912"/>
      <c r="I44" s="936"/>
      <c r="J44" s="936">
        <f>I20</f>
        <v>0</v>
      </c>
      <c r="K44" s="912">
        <f>IF(K$16-$B20=$C$12,K20-K$35,IF(AND(K20&gt;0,K$36&gt;0,K20&gt;=K$36),K20-K$36,K20))</f>
        <v>0</v>
      </c>
      <c r="L44" s="912">
        <f>IF(L$16-$B20=$C$12,L20-L$35,IF(AND(L20&gt;0,L$36&gt;0,L20&gt;=L$36),L20-L$36,L20))</f>
        <v>0</v>
      </c>
      <c r="M44" s="912">
        <f>IF(M$16-$B20=$C$12,M20-M$35,IF(AND(M20&gt;0,M$36&gt;0,M20&gt;=M$36),M20-M$36,M20))</f>
        <v>0</v>
      </c>
      <c r="N44" s="912">
        <f>IF(N$16-$B20=$C$12,N20-N$35,IF(AND(N20&gt;0,N$36&gt;0,N20&gt;=N$36),N20-N$36,N20))</f>
        <v>0</v>
      </c>
      <c r="O44" s="553">
        <f t="shared" si="17"/>
        <v>0</v>
      </c>
      <c r="Q44" s="439">
        <f t="shared" si="14"/>
        <v>2029</v>
      </c>
      <c r="R44" s="909"/>
      <c r="S44" s="909"/>
      <c r="T44" s="912"/>
      <c r="U44" s="912"/>
      <c r="V44" s="912"/>
      <c r="W44" s="464">
        <f>SUMIF(Price!$N$29:$N$37,Sale!$Q$44,Price!P29:P37)</f>
        <v>0</v>
      </c>
      <c r="X44" s="464">
        <f>SUMIF(Price!$N$29:$N$37,Sale!$Q$44,Price!Q29:Q37)</f>
        <v>0</v>
      </c>
      <c r="Y44" s="464">
        <f>SUMIF(Price!$N$29:$N$37,Sale!$Q$44,Price!R29:R37)</f>
        <v>0</v>
      </c>
      <c r="Z44" s="464">
        <f>SUMIF(Price!$N$29:$N$37,Sale!$Q$44,Price!S29:S37)</f>
        <v>0</v>
      </c>
      <c r="AA44" s="464">
        <f>SUMIF(Price!$N$29:$N$37,Sale!$Q$44,Price!T29:T37)</f>
        <v>0</v>
      </c>
      <c r="AB44" s="464">
        <f>SUMIF(Price!$N$29:$N$37,Sale!$Q$44,Price!U29:U37)</f>
        <v>0</v>
      </c>
      <c r="AC44" s="464">
        <f>SUMIF(Price!$N$29:$N$37,Sale!$Q$44,Price!V29:V37)</f>
        <v>0</v>
      </c>
      <c r="AD44" s="468">
        <f>SUMIF(Price!$N$29:$N$37,Sale!$Q$44,Price!W29:W37)</f>
        <v>19.378327213243356</v>
      </c>
    </row>
    <row r="45" spans="2:30">
      <c r="B45" s="439">
        <f t="shared" si="16"/>
        <v>2021</v>
      </c>
      <c r="C45" s="909"/>
      <c r="D45" s="909"/>
      <c r="E45" s="912"/>
      <c r="F45" s="912"/>
      <c r="G45" s="912"/>
      <c r="H45" s="912"/>
      <c r="I45" s="912"/>
      <c r="J45" s="936">
        <f>J38</f>
        <v>0</v>
      </c>
      <c r="K45" s="912">
        <f t="shared" ref="K45:N52" si="18">IF(K$16-$B21=$C$12,K21-K$35,IF(AND(K21&gt;0,K$36&gt;0,K21&gt;=K$36),K21-K$36,K21))</f>
        <v>0</v>
      </c>
      <c r="L45" s="912">
        <f t="shared" si="18"/>
        <v>0</v>
      </c>
      <c r="M45" s="912">
        <f t="shared" si="18"/>
        <v>0</v>
      </c>
      <c r="N45" s="912">
        <f t="shared" si="18"/>
        <v>0</v>
      </c>
      <c r="O45" s="553">
        <f t="shared" si="17"/>
        <v>0</v>
      </c>
      <c r="Q45" s="439"/>
      <c r="R45" s="909"/>
      <c r="S45" s="909"/>
      <c r="T45" s="909"/>
      <c r="U45" s="909"/>
      <c r="V45" s="909"/>
      <c r="W45" s="909"/>
      <c r="X45" s="464"/>
      <c r="Y45" s="464"/>
      <c r="Z45" s="464"/>
      <c r="AA45" s="464"/>
      <c r="AB45" s="464"/>
      <c r="AC45" s="464"/>
      <c r="AD45" s="468"/>
    </row>
    <row r="46" spans="2:30">
      <c r="B46" s="439">
        <f t="shared" si="16"/>
        <v>2022</v>
      </c>
      <c r="C46" s="909"/>
      <c r="D46" s="909"/>
      <c r="E46" s="912"/>
      <c r="F46" s="912"/>
      <c r="G46" s="912"/>
      <c r="H46" s="912"/>
      <c r="I46" s="912"/>
      <c r="J46" s="912"/>
      <c r="K46" s="912">
        <f t="shared" si="18"/>
        <v>0</v>
      </c>
      <c r="L46" s="912">
        <f t="shared" si="18"/>
        <v>0</v>
      </c>
      <c r="M46" s="912">
        <f t="shared" si="18"/>
        <v>0</v>
      </c>
      <c r="N46" s="912">
        <f t="shared" si="18"/>
        <v>0</v>
      </c>
      <c r="O46" s="553">
        <f t="shared" si="17"/>
        <v>0</v>
      </c>
      <c r="Q46" s="439" t="s">
        <v>590</v>
      </c>
      <c r="R46" s="909"/>
      <c r="S46" s="909"/>
      <c r="T46" s="626">
        <f>T32</f>
        <v>2019</v>
      </c>
      <c r="U46" s="626">
        <f t="shared" ref="U46:AC46" si="19">U32</f>
        <v>2020</v>
      </c>
      <c r="V46" s="626">
        <f t="shared" si="19"/>
        <v>2021</v>
      </c>
      <c r="W46" s="626">
        <f t="shared" si="19"/>
        <v>2022</v>
      </c>
      <c r="X46" s="626">
        <f t="shared" si="19"/>
        <v>2023</v>
      </c>
      <c r="Y46" s="626">
        <f t="shared" si="19"/>
        <v>2024</v>
      </c>
      <c r="Z46" s="626">
        <f t="shared" si="19"/>
        <v>2025</v>
      </c>
      <c r="AA46" s="626">
        <f t="shared" si="19"/>
        <v>2026</v>
      </c>
      <c r="AB46" s="626">
        <f t="shared" si="19"/>
        <v>2027</v>
      </c>
      <c r="AC46" s="626">
        <f t="shared" si="19"/>
        <v>2028</v>
      </c>
      <c r="AD46" s="627">
        <f>AD32</f>
        <v>2029</v>
      </c>
    </row>
    <row r="47" spans="2:30">
      <c r="B47" s="439">
        <f t="shared" si="16"/>
        <v>2023</v>
      </c>
      <c r="C47" s="909"/>
      <c r="D47" s="909"/>
      <c r="E47" s="912"/>
      <c r="F47" s="912"/>
      <c r="G47" s="912"/>
      <c r="H47" s="912"/>
      <c r="I47" s="912"/>
      <c r="J47" s="912"/>
      <c r="K47" s="912">
        <f t="shared" si="18"/>
        <v>0</v>
      </c>
      <c r="L47" s="912">
        <f t="shared" si="18"/>
        <v>0</v>
      </c>
      <c r="M47" s="912">
        <f t="shared" si="18"/>
        <v>0</v>
      </c>
      <c r="N47" s="912">
        <f t="shared" si="18"/>
        <v>0</v>
      </c>
      <c r="O47" s="553">
        <f t="shared" si="17"/>
        <v>0</v>
      </c>
      <c r="Q47" s="439">
        <f>Q34</f>
        <v>2018</v>
      </c>
      <c r="R47" s="909"/>
      <c r="S47" s="909"/>
      <c r="T47" s="115">
        <f>T34*T19</f>
        <v>0</v>
      </c>
      <c r="U47" s="115">
        <f t="shared" ref="U47:AC47" si="20">U34*U19</f>
        <v>0</v>
      </c>
      <c r="V47" s="115">
        <f t="shared" si="20"/>
        <v>0</v>
      </c>
      <c r="W47" s="115">
        <f t="shared" si="20"/>
        <v>0</v>
      </c>
      <c r="X47" s="115">
        <f t="shared" si="20"/>
        <v>0</v>
      </c>
      <c r="Y47" s="115">
        <f t="shared" si="20"/>
        <v>0</v>
      </c>
      <c r="Z47" s="115">
        <f t="shared" si="20"/>
        <v>0</v>
      </c>
      <c r="AA47" s="115">
        <f t="shared" si="20"/>
        <v>0</v>
      </c>
      <c r="AB47" s="115">
        <f t="shared" si="20"/>
        <v>0</v>
      </c>
      <c r="AC47" s="115">
        <f t="shared" si="20"/>
        <v>0</v>
      </c>
      <c r="AD47" s="508">
        <f t="shared" ref="AD47:AD58" si="21">AD34*AD19</f>
        <v>0</v>
      </c>
    </row>
    <row r="48" spans="2:30">
      <c r="B48" s="439">
        <f t="shared" si="16"/>
        <v>2024</v>
      </c>
      <c r="C48" s="909"/>
      <c r="D48" s="909"/>
      <c r="E48" s="912"/>
      <c r="F48" s="912"/>
      <c r="G48" s="912"/>
      <c r="H48" s="912"/>
      <c r="I48" s="912"/>
      <c r="J48" s="912"/>
      <c r="K48" s="912">
        <f t="shared" si="18"/>
        <v>0</v>
      </c>
      <c r="L48" s="912">
        <f t="shared" si="18"/>
        <v>0</v>
      </c>
      <c r="M48" s="912">
        <f t="shared" si="18"/>
        <v>0</v>
      </c>
      <c r="N48" s="912">
        <f t="shared" si="18"/>
        <v>0</v>
      </c>
      <c r="O48" s="553">
        <f t="shared" si="17"/>
        <v>0</v>
      </c>
      <c r="Q48" s="439">
        <f t="shared" ref="Q48:Q57" si="22">Q35</f>
        <v>2019</v>
      </c>
      <c r="R48" s="909"/>
      <c r="S48" s="909"/>
      <c r="T48" s="115">
        <f t="shared" ref="T48:AC48" si="23">T35*T20</f>
        <v>0</v>
      </c>
      <c r="U48" s="115">
        <f>U35*U20</f>
        <v>0</v>
      </c>
      <c r="V48" s="115">
        <f t="shared" si="23"/>
        <v>0</v>
      </c>
      <c r="W48" s="115">
        <f t="shared" si="23"/>
        <v>0</v>
      </c>
      <c r="X48" s="115">
        <f t="shared" si="23"/>
        <v>0</v>
      </c>
      <c r="Y48" s="115">
        <f t="shared" si="23"/>
        <v>0</v>
      </c>
      <c r="Z48" s="115">
        <f t="shared" si="23"/>
        <v>0</v>
      </c>
      <c r="AA48" s="115">
        <f t="shared" si="23"/>
        <v>0</v>
      </c>
      <c r="AB48" s="115">
        <f t="shared" si="23"/>
        <v>0</v>
      </c>
      <c r="AC48" s="115">
        <f t="shared" si="23"/>
        <v>0</v>
      </c>
      <c r="AD48" s="508">
        <f t="shared" si="21"/>
        <v>0</v>
      </c>
    </row>
    <row r="49" spans="2:30">
      <c r="B49" s="439">
        <f t="shared" si="16"/>
        <v>2025</v>
      </c>
      <c r="C49" s="909"/>
      <c r="D49" s="909"/>
      <c r="E49" s="912"/>
      <c r="F49" s="912"/>
      <c r="G49" s="912"/>
      <c r="H49" s="912"/>
      <c r="I49" s="912"/>
      <c r="J49" s="912"/>
      <c r="K49" s="912">
        <f t="shared" si="18"/>
        <v>0</v>
      </c>
      <c r="L49" s="912">
        <f t="shared" si="18"/>
        <v>0</v>
      </c>
      <c r="M49" s="912">
        <f t="shared" si="18"/>
        <v>0</v>
      </c>
      <c r="N49" s="912">
        <f t="shared" si="18"/>
        <v>0</v>
      </c>
      <c r="O49" s="553">
        <f t="shared" si="17"/>
        <v>0</v>
      </c>
      <c r="Q49" s="439">
        <f t="shared" si="22"/>
        <v>2020</v>
      </c>
      <c r="R49" s="909"/>
      <c r="S49" s="909"/>
      <c r="T49" s="115">
        <f t="shared" ref="T49:AC49" si="24">T36*T21</f>
        <v>0</v>
      </c>
      <c r="U49" s="115">
        <f t="shared" si="24"/>
        <v>0</v>
      </c>
      <c r="V49" s="115">
        <f>V36*V21</f>
        <v>0</v>
      </c>
      <c r="W49" s="115">
        <f t="shared" si="24"/>
        <v>0</v>
      </c>
      <c r="X49" s="115">
        <f t="shared" si="24"/>
        <v>0</v>
      </c>
      <c r="Y49" s="115">
        <f t="shared" si="24"/>
        <v>0</v>
      </c>
      <c r="Z49" s="115">
        <f t="shared" si="24"/>
        <v>0</v>
      </c>
      <c r="AA49" s="115">
        <f t="shared" si="24"/>
        <v>0</v>
      </c>
      <c r="AB49" s="115">
        <f t="shared" si="24"/>
        <v>0</v>
      </c>
      <c r="AC49" s="115">
        <f t="shared" si="24"/>
        <v>0</v>
      </c>
      <c r="AD49" s="508">
        <f t="shared" si="21"/>
        <v>0</v>
      </c>
    </row>
    <row r="50" spans="2:30">
      <c r="B50" s="439">
        <f t="shared" si="16"/>
        <v>2026</v>
      </c>
      <c r="C50" s="909"/>
      <c r="D50" s="909"/>
      <c r="E50" s="912"/>
      <c r="F50" s="912"/>
      <c r="G50" s="912"/>
      <c r="H50" s="912"/>
      <c r="I50" s="912"/>
      <c r="J50" s="912"/>
      <c r="K50" s="912">
        <f t="shared" si="18"/>
        <v>0</v>
      </c>
      <c r="L50" s="912">
        <f t="shared" si="18"/>
        <v>0</v>
      </c>
      <c r="M50" s="912">
        <f t="shared" si="18"/>
        <v>0</v>
      </c>
      <c r="N50" s="912">
        <f t="shared" si="18"/>
        <v>0</v>
      </c>
      <c r="O50" s="553">
        <f t="shared" si="17"/>
        <v>0</v>
      </c>
      <c r="Q50" s="439">
        <f t="shared" si="22"/>
        <v>2021</v>
      </c>
      <c r="R50" s="909"/>
      <c r="S50" s="909"/>
      <c r="T50" s="115">
        <f t="shared" ref="T50:AC50" si="25">T37*T22</f>
        <v>0</v>
      </c>
      <c r="U50" s="115">
        <f t="shared" si="25"/>
        <v>0</v>
      </c>
      <c r="V50" s="115">
        <f t="shared" si="25"/>
        <v>0</v>
      </c>
      <c r="W50" s="115">
        <f>W37*W22</f>
        <v>0</v>
      </c>
      <c r="X50" s="115">
        <f>X37*X22</f>
        <v>18408.12</v>
      </c>
      <c r="Y50" s="115">
        <f t="shared" si="25"/>
        <v>0</v>
      </c>
      <c r="Z50" s="115">
        <f t="shared" si="25"/>
        <v>0</v>
      </c>
      <c r="AA50" s="115">
        <f t="shared" si="25"/>
        <v>0</v>
      </c>
      <c r="AB50" s="115">
        <f t="shared" si="25"/>
        <v>0</v>
      </c>
      <c r="AC50" s="115">
        <f t="shared" si="25"/>
        <v>0</v>
      </c>
      <c r="AD50" s="508">
        <f t="shared" si="21"/>
        <v>0</v>
      </c>
    </row>
    <row r="51" spans="2:30">
      <c r="B51" s="439">
        <f t="shared" si="16"/>
        <v>2027</v>
      </c>
      <c r="C51" s="909"/>
      <c r="D51" s="909"/>
      <c r="E51" s="912"/>
      <c r="F51" s="912"/>
      <c r="G51" s="912"/>
      <c r="H51" s="912"/>
      <c r="I51" s="912"/>
      <c r="J51" s="912"/>
      <c r="K51" s="912">
        <f t="shared" si="18"/>
        <v>0</v>
      </c>
      <c r="L51" s="912">
        <f t="shared" si="18"/>
        <v>0</v>
      </c>
      <c r="M51" s="912">
        <f t="shared" si="18"/>
        <v>0</v>
      </c>
      <c r="N51" s="912">
        <f t="shared" si="18"/>
        <v>0</v>
      </c>
      <c r="O51" s="553">
        <f t="shared" si="17"/>
        <v>0</v>
      </c>
      <c r="Q51" s="439">
        <f t="shared" si="22"/>
        <v>2023</v>
      </c>
      <c r="R51" s="909"/>
      <c r="S51" s="909"/>
      <c r="T51" s="115">
        <f t="shared" ref="T51:AC51" si="26">T38*T23</f>
        <v>0</v>
      </c>
      <c r="U51" s="115">
        <f t="shared" si="26"/>
        <v>0</v>
      </c>
      <c r="V51" s="115">
        <f t="shared" si="26"/>
        <v>0</v>
      </c>
      <c r="W51" s="115">
        <f t="shared" si="26"/>
        <v>0</v>
      </c>
      <c r="X51" s="115">
        <f t="shared" si="26"/>
        <v>0</v>
      </c>
      <c r="Y51" s="115">
        <f>Y38*Y23</f>
        <v>39966.767609999995</v>
      </c>
      <c r="Z51" s="115">
        <f t="shared" si="26"/>
        <v>0</v>
      </c>
      <c r="AA51" s="115">
        <f t="shared" si="26"/>
        <v>0</v>
      </c>
      <c r="AB51" s="115">
        <f t="shared" si="26"/>
        <v>0</v>
      </c>
      <c r="AC51" s="115">
        <f t="shared" si="26"/>
        <v>0</v>
      </c>
      <c r="AD51" s="508">
        <f t="shared" si="21"/>
        <v>0</v>
      </c>
    </row>
    <row r="52" spans="2:30">
      <c r="B52" s="439">
        <f t="shared" si="16"/>
        <v>2028</v>
      </c>
      <c r="C52" s="909"/>
      <c r="D52" s="909"/>
      <c r="E52" s="554"/>
      <c r="F52" s="554"/>
      <c r="G52" s="554"/>
      <c r="H52" s="554"/>
      <c r="I52" s="554"/>
      <c r="J52" s="554"/>
      <c r="K52" s="554">
        <f t="shared" si="18"/>
        <v>0</v>
      </c>
      <c r="L52" s="554">
        <f t="shared" si="18"/>
        <v>0</v>
      </c>
      <c r="M52" s="554">
        <f t="shared" si="18"/>
        <v>0</v>
      </c>
      <c r="N52" s="554">
        <f t="shared" si="18"/>
        <v>0</v>
      </c>
      <c r="O52" s="551">
        <f t="shared" si="17"/>
        <v>0</v>
      </c>
      <c r="Q52" s="439">
        <f t="shared" si="22"/>
        <v>2024</v>
      </c>
      <c r="R52" s="909"/>
      <c r="S52" s="909"/>
      <c r="T52" s="115">
        <f t="shared" ref="T52:AC52" si="27">T39*T24</f>
        <v>0</v>
      </c>
      <c r="U52" s="115">
        <f t="shared" si="27"/>
        <v>0</v>
      </c>
      <c r="V52" s="115">
        <f t="shared" si="27"/>
        <v>0</v>
      </c>
      <c r="W52" s="115">
        <f t="shared" si="27"/>
        <v>0</v>
      </c>
      <c r="X52" s="115">
        <f t="shared" si="27"/>
        <v>0</v>
      </c>
      <c r="Y52" s="115">
        <f t="shared" si="27"/>
        <v>0</v>
      </c>
      <c r="Z52" s="115">
        <f t="shared" si="27"/>
        <v>67265.868921300003</v>
      </c>
      <c r="AA52" s="115">
        <f t="shared" si="27"/>
        <v>0</v>
      </c>
      <c r="AB52" s="115">
        <f t="shared" si="27"/>
        <v>0</v>
      </c>
      <c r="AC52" s="115">
        <f t="shared" si="27"/>
        <v>0</v>
      </c>
      <c r="AD52" s="508">
        <f t="shared" si="21"/>
        <v>0</v>
      </c>
    </row>
    <row r="53" spans="2:30">
      <c r="B53" s="439"/>
      <c r="C53" s="909"/>
      <c r="D53" s="909"/>
      <c r="E53" s="912"/>
      <c r="F53" s="912"/>
      <c r="G53" s="912"/>
      <c r="H53" s="912"/>
      <c r="I53" s="912"/>
      <c r="J53" s="912"/>
      <c r="K53" s="912"/>
      <c r="L53" s="912"/>
      <c r="M53" s="912"/>
      <c r="N53" s="912"/>
      <c r="O53" s="553"/>
      <c r="Q53" s="439">
        <f t="shared" si="22"/>
        <v>2025</v>
      </c>
      <c r="R53" s="909"/>
      <c r="S53" s="909"/>
      <c r="T53" s="115">
        <f t="shared" ref="T53:AC53" si="28">T40*T25</f>
        <v>0</v>
      </c>
      <c r="U53" s="115">
        <f t="shared" si="28"/>
        <v>0</v>
      </c>
      <c r="V53" s="115">
        <f t="shared" si="28"/>
        <v>0</v>
      </c>
      <c r="W53" s="115">
        <f t="shared" si="28"/>
        <v>0</v>
      </c>
      <c r="X53" s="115">
        <f t="shared" si="28"/>
        <v>0</v>
      </c>
      <c r="Y53" s="115">
        <f t="shared" si="28"/>
        <v>0</v>
      </c>
      <c r="Z53" s="115">
        <f t="shared" si="28"/>
        <v>0</v>
      </c>
      <c r="AA53" s="115">
        <f t="shared" si="28"/>
        <v>80630.530248996001</v>
      </c>
      <c r="AB53" s="115">
        <f t="shared" si="28"/>
        <v>0</v>
      </c>
      <c r="AC53" s="115">
        <f t="shared" si="28"/>
        <v>0</v>
      </c>
      <c r="AD53" s="508">
        <f t="shared" si="21"/>
        <v>0</v>
      </c>
    </row>
    <row r="54" spans="2:30">
      <c r="B54" s="439" t="s">
        <v>703</v>
      </c>
      <c r="C54" s="909"/>
      <c r="D54" s="909"/>
      <c r="E54" s="626">
        <f t="shared" ref="E54:O54" si="29">E41</f>
        <v>2019</v>
      </c>
      <c r="F54" s="626">
        <f t="shared" si="29"/>
        <v>2020</v>
      </c>
      <c r="G54" s="626">
        <f t="shared" si="29"/>
        <v>2021</v>
      </c>
      <c r="H54" s="626">
        <f t="shared" si="29"/>
        <v>2022</v>
      </c>
      <c r="I54" s="626">
        <f t="shared" si="29"/>
        <v>2023</v>
      </c>
      <c r="J54" s="626">
        <f t="shared" si="29"/>
        <v>2024</v>
      </c>
      <c r="K54" s="626">
        <f t="shared" si="29"/>
        <v>2025</v>
      </c>
      <c r="L54" s="626">
        <f t="shared" si="29"/>
        <v>2026</v>
      </c>
      <c r="M54" s="626">
        <f t="shared" si="29"/>
        <v>2027</v>
      </c>
      <c r="N54" s="626">
        <f t="shared" si="29"/>
        <v>2028</v>
      </c>
      <c r="O54" s="627">
        <f t="shared" si="29"/>
        <v>2029</v>
      </c>
      <c r="Q54" s="439">
        <f t="shared" si="22"/>
        <v>2026</v>
      </c>
      <c r="R54" s="909"/>
      <c r="S54" s="909"/>
      <c r="T54" s="115">
        <f t="shared" ref="T54:AC54" si="30">T41*T26</f>
        <v>0</v>
      </c>
      <c r="U54" s="115">
        <f t="shared" si="30"/>
        <v>0</v>
      </c>
      <c r="V54" s="115">
        <f t="shared" si="30"/>
        <v>0</v>
      </c>
      <c r="W54" s="115">
        <f t="shared" si="30"/>
        <v>0</v>
      </c>
      <c r="X54" s="115">
        <f t="shared" si="30"/>
        <v>0</v>
      </c>
      <c r="Y54" s="115">
        <f t="shared" si="30"/>
        <v>0</v>
      </c>
      <c r="Z54" s="115">
        <f t="shared" si="30"/>
        <v>0</v>
      </c>
      <c r="AA54" s="115">
        <f t="shared" si="30"/>
        <v>0</v>
      </c>
      <c r="AB54" s="115">
        <f t="shared" si="30"/>
        <v>82654.918072634886</v>
      </c>
      <c r="AC54" s="115">
        <f t="shared" si="30"/>
        <v>0</v>
      </c>
      <c r="AD54" s="508">
        <f t="shared" si="21"/>
        <v>0</v>
      </c>
    </row>
    <row r="55" spans="2:30">
      <c r="B55" s="439">
        <f t="shared" ref="B55:B65" si="31">B42</f>
        <v>2018</v>
      </c>
      <c r="C55" s="909"/>
      <c r="D55" s="909"/>
      <c r="E55" s="115"/>
      <c r="F55" s="115"/>
      <c r="G55" s="115"/>
      <c r="H55" s="115">
        <f t="shared" ref="H55:O65" si="32">H42+H70</f>
        <v>0</v>
      </c>
      <c r="I55" s="115">
        <f>I42+I70</f>
        <v>0</v>
      </c>
      <c r="J55" s="115">
        <f>J42+J70</f>
        <v>7551</v>
      </c>
      <c r="K55" s="115">
        <f>K42+K70</f>
        <v>14030.666666666657</v>
      </c>
      <c r="L55" s="115">
        <f t="shared" si="32"/>
        <v>0</v>
      </c>
      <c r="M55" s="115">
        <f t="shared" si="32"/>
        <v>0</v>
      </c>
      <c r="N55" s="115">
        <f t="shared" si="32"/>
        <v>0</v>
      </c>
      <c r="O55" s="508">
        <f t="shared" si="32"/>
        <v>0</v>
      </c>
      <c r="Q55" s="439">
        <f t="shared" si="22"/>
        <v>2027</v>
      </c>
      <c r="R55" s="909"/>
      <c r="S55" s="909"/>
      <c r="T55" s="115">
        <f t="shared" ref="T55:AC55" si="33">T42*T27</f>
        <v>0</v>
      </c>
      <c r="U55" s="115">
        <f t="shared" si="33"/>
        <v>0</v>
      </c>
      <c r="V55" s="115">
        <f t="shared" si="33"/>
        <v>0</v>
      </c>
      <c r="W55" s="115">
        <f t="shared" si="33"/>
        <v>0</v>
      </c>
      <c r="X55" s="115">
        <f t="shared" si="33"/>
        <v>0</v>
      </c>
      <c r="Y55" s="115">
        <f t="shared" si="33"/>
        <v>0</v>
      </c>
      <c r="Z55" s="115">
        <f t="shared" si="33"/>
        <v>0</v>
      </c>
      <c r="AA55" s="115">
        <f t="shared" si="33"/>
        <v>0</v>
      </c>
      <c r="AB55" s="115">
        <f t="shared" si="33"/>
        <v>0</v>
      </c>
      <c r="AC55" s="115">
        <f t="shared" si="33"/>
        <v>84308.016434087564</v>
      </c>
      <c r="AD55" s="508">
        <f t="shared" si="21"/>
        <v>0</v>
      </c>
    </row>
    <row r="56" spans="2:30">
      <c r="B56" s="439">
        <f t="shared" si="31"/>
        <v>2019</v>
      </c>
      <c r="C56" s="909"/>
      <c r="D56" s="909"/>
      <c r="E56" s="115"/>
      <c r="F56" s="115"/>
      <c r="G56" s="115"/>
      <c r="H56" s="115">
        <f t="shared" si="32"/>
        <v>0</v>
      </c>
      <c r="I56" s="115">
        <f t="shared" si="32"/>
        <v>0</v>
      </c>
      <c r="J56" s="115">
        <f t="shared" si="32"/>
        <v>0</v>
      </c>
      <c r="K56" s="115">
        <f t="shared" si="32"/>
        <v>0</v>
      </c>
      <c r="L56" s="115">
        <f t="shared" si="32"/>
        <v>0</v>
      </c>
      <c r="M56" s="115">
        <f t="shared" si="32"/>
        <v>0</v>
      </c>
      <c r="N56" s="115">
        <f t="shared" si="32"/>
        <v>0</v>
      </c>
      <c r="O56" s="508">
        <f t="shared" si="32"/>
        <v>0</v>
      </c>
      <c r="Q56" s="439">
        <f t="shared" si="22"/>
        <v>2028</v>
      </c>
      <c r="R56" s="909"/>
      <c r="S56" s="909"/>
      <c r="T56" s="115">
        <f t="shared" ref="T56:AC56" si="34">T43*T28</f>
        <v>0</v>
      </c>
      <c r="U56" s="115">
        <f t="shared" si="34"/>
        <v>0</v>
      </c>
      <c r="V56" s="115">
        <f t="shared" si="34"/>
        <v>0</v>
      </c>
      <c r="W56" s="115">
        <f t="shared" si="34"/>
        <v>0</v>
      </c>
      <c r="X56" s="115">
        <f t="shared" si="34"/>
        <v>0</v>
      </c>
      <c r="Y56" s="115">
        <f t="shared" si="34"/>
        <v>0</v>
      </c>
      <c r="Z56" s="115">
        <f t="shared" si="34"/>
        <v>0</v>
      </c>
      <c r="AA56" s="115">
        <f t="shared" si="34"/>
        <v>0</v>
      </c>
      <c r="AB56" s="115">
        <f t="shared" si="34"/>
        <v>0</v>
      </c>
      <c r="AC56" s="115">
        <f t="shared" si="34"/>
        <v>0</v>
      </c>
      <c r="AD56" s="508">
        <f t="shared" si="21"/>
        <v>85994.176762769333</v>
      </c>
    </row>
    <row r="57" spans="2:30">
      <c r="B57" s="439">
        <f t="shared" si="31"/>
        <v>2020</v>
      </c>
      <c r="C57" s="909"/>
      <c r="D57" s="909"/>
      <c r="E57" s="115"/>
      <c r="F57" s="115"/>
      <c r="G57" s="115"/>
      <c r="H57" s="115">
        <f t="shared" si="32"/>
        <v>0</v>
      </c>
      <c r="I57" s="115">
        <f t="shared" si="32"/>
        <v>0</v>
      </c>
      <c r="J57" s="115">
        <f t="shared" si="32"/>
        <v>0</v>
      </c>
      <c r="K57" s="115">
        <f t="shared" si="32"/>
        <v>0</v>
      </c>
      <c r="L57" s="115">
        <f t="shared" si="32"/>
        <v>0</v>
      </c>
      <c r="M57" s="115">
        <f t="shared" si="32"/>
        <v>0</v>
      </c>
      <c r="N57" s="115">
        <f t="shared" si="32"/>
        <v>0</v>
      </c>
      <c r="O57" s="508">
        <f t="shared" si="32"/>
        <v>0</v>
      </c>
      <c r="Q57" s="439">
        <f t="shared" si="22"/>
        <v>2029</v>
      </c>
      <c r="R57" s="909"/>
      <c r="S57" s="909"/>
      <c r="T57" s="115">
        <f t="shared" ref="T57:AC57" si="35">T44*T29</f>
        <v>0</v>
      </c>
      <c r="U57" s="115">
        <f t="shared" si="35"/>
        <v>0</v>
      </c>
      <c r="V57" s="115">
        <f t="shared" si="35"/>
        <v>0</v>
      </c>
      <c r="W57" s="115">
        <f t="shared" si="35"/>
        <v>0</v>
      </c>
      <c r="X57" s="115">
        <f t="shared" si="35"/>
        <v>0</v>
      </c>
      <c r="Y57" s="115">
        <f t="shared" si="35"/>
        <v>0</v>
      </c>
      <c r="Z57" s="115">
        <f t="shared" si="35"/>
        <v>0</v>
      </c>
      <c r="AA57" s="115">
        <f t="shared" si="35"/>
        <v>0</v>
      </c>
      <c r="AB57" s="115">
        <f t="shared" si="35"/>
        <v>0</v>
      </c>
      <c r="AC57" s="115">
        <f t="shared" si="35"/>
        <v>0</v>
      </c>
      <c r="AD57" s="508">
        <f t="shared" si="21"/>
        <v>0</v>
      </c>
    </row>
    <row r="58" spans="2:30">
      <c r="B58" s="439">
        <f t="shared" si="31"/>
        <v>2021</v>
      </c>
      <c r="C58" s="909"/>
      <c r="D58" s="909"/>
      <c r="E58" s="115"/>
      <c r="F58" s="115"/>
      <c r="G58" s="115"/>
      <c r="H58" s="115">
        <f t="shared" si="32"/>
        <v>0</v>
      </c>
      <c r="I58" s="115">
        <f t="shared" si="32"/>
        <v>0</v>
      </c>
      <c r="J58" s="115">
        <f t="shared" si="32"/>
        <v>0</v>
      </c>
      <c r="K58" s="115">
        <f t="shared" si="32"/>
        <v>0</v>
      </c>
      <c r="L58" s="115">
        <f t="shared" si="32"/>
        <v>0</v>
      </c>
      <c r="M58" s="115">
        <f t="shared" si="32"/>
        <v>0</v>
      </c>
      <c r="N58" s="115">
        <f t="shared" si="32"/>
        <v>0</v>
      </c>
      <c r="O58" s="508">
        <f t="shared" si="32"/>
        <v>0</v>
      </c>
      <c r="Q58" s="439"/>
      <c r="R58" s="909"/>
      <c r="S58" s="909"/>
      <c r="T58" s="115">
        <f t="shared" ref="T58:AC58" si="36">T45*T30</f>
        <v>0</v>
      </c>
      <c r="U58" s="115">
        <f t="shared" si="36"/>
        <v>0</v>
      </c>
      <c r="V58" s="115">
        <f t="shared" si="36"/>
        <v>0</v>
      </c>
      <c r="W58" s="115">
        <f t="shared" si="36"/>
        <v>0</v>
      </c>
      <c r="X58" s="115">
        <f t="shared" si="36"/>
        <v>0</v>
      </c>
      <c r="Y58" s="115">
        <f t="shared" si="36"/>
        <v>0</v>
      </c>
      <c r="Z58" s="115">
        <f t="shared" si="36"/>
        <v>0</v>
      </c>
      <c r="AA58" s="115">
        <f t="shared" si="36"/>
        <v>0</v>
      </c>
      <c r="AB58" s="115">
        <f t="shared" si="36"/>
        <v>0</v>
      </c>
      <c r="AC58" s="115">
        <f t="shared" si="36"/>
        <v>0</v>
      </c>
      <c r="AD58" s="508">
        <f t="shared" si="21"/>
        <v>0</v>
      </c>
    </row>
    <row r="59" spans="2:30" ht="13.5" thickBot="1">
      <c r="B59" s="439">
        <f t="shared" si="31"/>
        <v>2022</v>
      </c>
      <c r="C59" s="909"/>
      <c r="D59" s="909"/>
      <c r="E59" s="115"/>
      <c r="F59" s="115"/>
      <c r="G59" s="115"/>
      <c r="H59" s="115">
        <f t="shared" si="32"/>
        <v>0</v>
      </c>
      <c r="I59" s="115">
        <f t="shared" si="32"/>
        <v>0</v>
      </c>
      <c r="J59" s="115">
        <f t="shared" si="32"/>
        <v>0</v>
      </c>
      <c r="K59" s="115">
        <f t="shared" si="32"/>
        <v>0</v>
      </c>
      <c r="L59" s="115">
        <f t="shared" si="32"/>
        <v>0</v>
      </c>
      <c r="M59" s="115">
        <f t="shared" si="32"/>
        <v>0</v>
      </c>
      <c r="N59" s="115">
        <f t="shared" si="32"/>
        <v>0</v>
      </c>
      <c r="O59" s="508">
        <f t="shared" si="32"/>
        <v>0</v>
      </c>
      <c r="Q59" s="601" t="s">
        <v>590</v>
      </c>
      <c r="R59" s="555"/>
      <c r="S59" s="555"/>
      <c r="T59" s="622">
        <f t="shared" ref="T59:AC59" si="37">SUM(T47:T58)</f>
        <v>0</v>
      </c>
      <c r="U59" s="622">
        <f t="shared" si="37"/>
        <v>0</v>
      </c>
      <c r="V59" s="622">
        <f t="shared" si="37"/>
        <v>0</v>
      </c>
      <c r="W59" s="622">
        <f t="shared" si="37"/>
        <v>0</v>
      </c>
      <c r="X59" s="622">
        <f t="shared" si="37"/>
        <v>18408.12</v>
      </c>
      <c r="Y59" s="622">
        <f t="shared" si="37"/>
        <v>39966.767609999995</v>
      </c>
      <c r="Z59" s="622">
        <f t="shared" si="37"/>
        <v>67265.868921300003</v>
      </c>
      <c r="AA59" s="622">
        <f t="shared" si="37"/>
        <v>80630.530248996001</v>
      </c>
      <c r="AB59" s="622">
        <f t="shared" si="37"/>
        <v>82654.918072634886</v>
      </c>
      <c r="AC59" s="622">
        <f t="shared" si="37"/>
        <v>84308.016434087564</v>
      </c>
      <c r="AD59" s="625">
        <f>SUM(AD47:AD58)</f>
        <v>85994.176762769333</v>
      </c>
    </row>
    <row r="60" spans="2:30" ht="13.5" thickBot="1">
      <c r="B60" s="439">
        <f t="shared" si="31"/>
        <v>2023</v>
      </c>
      <c r="C60" s="909"/>
      <c r="D60" s="909"/>
      <c r="E60" s="115"/>
      <c r="F60" s="115"/>
      <c r="G60" s="115"/>
      <c r="H60" s="115">
        <f t="shared" si="32"/>
        <v>0</v>
      </c>
      <c r="I60" s="115">
        <f t="shared" si="32"/>
        <v>0</v>
      </c>
      <c r="J60" s="115">
        <f t="shared" si="32"/>
        <v>0</v>
      </c>
      <c r="K60" s="115">
        <f t="shared" si="32"/>
        <v>0</v>
      </c>
      <c r="L60" s="115">
        <f t="shared" si="32"/>
        <v>0</v>
      </c>
      <c r="M60" s="115">
        <f t="shared" si="32"/>
        <v>0</v>
      </c>
      <c r="N60" s="115">
        <f t="shared" si="32"/>
        <v>0</v>
      </c>
      <c r="O60" s="508">
        <f t="shared" si="32"/>
        <v>0</v>
      </c>
    </row>
    <row r="61" spans="2:30">
      <c r="B61" s="439">
        <f t="shared" si="31"/>
        <v>2024</v>
      </c>
      <c r="C61" s="909"/>
      <c r="D61" s="909"/>
      <c r="E61" s="115"/>
      <c r="F61" s="115"/>
      <c r="G61" s="115"/>
      <c r="H61" s="115">
        <f t="shared" si="32"/>
        <v>0</v>
      </c>
      <c r="I61" s="115">
        <f t="shared" si="32"/>
        <v>0</v>
      </c>
      <c r="J61" s="115">
        <f t="shared" si="32"/>
        <v>0</v>
      </c>
      <c r="K61" s="115">
        <f t="shared" si="32"/>
        <v>0</v>
      </c>
      <c r="L61" s="115">
        <f t="shared" si="32"/>
        <v>0</v>
      </c>
      <c r="M61" s="115">
        <f t="shared" si="32"/>
        <v>0</v>
      </c>
      <c r="N61" s="115">
        <f t="shared" si="32"/>
        <v>0</v>
      </c>
      <c r="O61" s="508">
        <f t="shared" si="32"/>
        <v>0</v>
      </c>
      <c r="Q61" s="599" t="s">
        <v>591</v>
      </c>
      <c r="R61" s="619" t="s">
        <v>592</v>
      </c>
      <c r="S61" s="557"/>
    </row>
    <row r="62" spans="2:30" ht="13.5" thickBot="1">
      <c r="B62" s="439">
        <f t="shared" si="31"/>
        <v>2025</v>
      </c>
      <c r="C62" s="909"/>
      <c r="D62" s="909"/>
      <c r="E62" s="115"/>
      <c r="F62" s="115"/>
      <c r="G62" s="115"/>
      <c r="H62" s="115">
        <f t="shared" si="32"/>
        <v>0</v>
      </c>
      <c r="I62" s="115">
        <f t="shared" si="32"/>
        <v>0</v>
      </c>
      <c r="J62" s="115">
        <f t="shared" si="32"/>
        <v>0</v>
      </c>
      <c r="K62" s="115">
        <f t="shared" si="32"/>
        <v>0</v>
      </c>
      <c r="L62" s="115">
        <f t="shared" si="32"/>
        <v>0</v>
      </c>
      <c r="M62" s="115">
        <f t="shared" si="32"/>
        <v>0</v>
      </c>
      <c r="N62" s="115">
        <f t="shared" si="32"/>
        <v>0</v>
      </c>
      <c r="O62" s="508">
        <f t="shared" si="32"/>
        <v>0</v>
      </c>
      <c r="Q62" s="547" t="str">
        <f>'Prod info'!B255</f>
        <v>Rose</v>
      </c>
      <c r="R62" s="548">
        <f>'Prod info'!F5</f>
        <v>1</v>
      </c>
    </row>
    <row r="63" spans="2:30">
      <c r="B63" s="439">
        <f t="shared" si="31"/>
        <v>2026</v>
      </c>
      <c r="C63" s="909"/>
      <c r="D63" s="909"/>
      <c r="E63" s="115"/>
      <c r="F63" s="115"/>
      <c r="G63" s="115"/>
      <c r="H63" s="115">
        <f t="shared" si="32"/>
        <v>0</v>
      </c>
      <c r="I63" s="115">
        <f t="shared" si="32"/>
        <v>0</v>
      </c>
      <c r="J63" s="115">
        <f t="shared" si="32"/>
        <v>0</v>
      </c>
      <c r="K63" s="115">
        <f t="shared" si="32"/>
        <v>0</v>
      </c>
      <c r="L63" s="115">
        <f t="shared" si="32"/>
        <v>0</v>
      </c>
      <c r="M63" s="115">
        <f t="shared" si="32"/>
        <v>0</v>
      </c>
      <c r="N63" s="115">
        <f t="shared" si="32"/>
        <v>0</v>
      </c>
      <c r="O63" s="508">
        <f t="shared" si="32"/>
        <v>0</v>
      </c>
      <c r="Q63" s="599" t="s">
        <v>552</v>
      </c>
      <c r="R63" s="546"/>
      <c r="S63" s="546"/>
      <c r="T63" s="621">
        <f t="shared" ref="T63:AD63" si="38">T$17-$R$62</f>
        <v>2018</v>
      </c>
      <c r="U63" s="621">
        <f t="shared" si="38"/>
        <v>2019</v>
      </c>
      <c r="V63" s="621">
        <f t="shared" si="38"/>
        <v>2020</v>
      </c>
      <c r="W63" s="621">
        <f t="shared" si="38"/>
        <v>2021</v>
      </c>
      <c r="X63" s="621">
        <f t="shared" si="38"/>
        <v>2022</v>
      </c>
      <c r="Y63" s="621">
        <f t="shared" si="38"/>
        <v>2023</v>
      </c>
      <c r="Z63" s="621">
        <f t="shared" si="38"/>
        <v>2024</v>
      </c>
      <c r="AA63" s="621">
        <f t="shared" si="38"/>
        <v>2025</v>
      </c>
      <c r="AB63" s="621">
        <f t="shared" si="38"/>
        <v>2026</v>
      </c>
      <c r="AC63" s="621">
        <f t="shared" si="38"/>
        <v>2027</v>
      </c>
      <c r="AD63" s="619">
        <f t="shared" si="38"/>
        <v>2028</v>
      </c>
    </row>
    <row r="64" spans="2:30" ht="13.5" thickBot="1">
      <c r="B64" s="439">
        <f t="shared" si="31"/>
        <v>2027</v>
      </c>
      <c r="C64" s="909"/>
      <c r="D64" s="909"/>
      <c r="E64" s="115"/>
      <c r="F64" s="115"/>
      <c r="G64" s="115"/>
      <c r="H64" s="115">
        <f t="shared" si="32"/>
        <v>0</v>
      </c>
      <c r="I64" s="115">
        <f t="shared" si="32"/>
        <v>0</v>
      </c>
      <c r="J64" s="115">
        <f t="shared" si="32"/>
        <v>0</v>
      </c>
      <c r="K64" s="115">
        <f t="shared" si="32"/>
        <v>0</v>
      </c>
      <c r="L64" s="115">
        <f t="shared" si="32"/>
        <v>0</v>
      </c>
      <c r="M64" s="115">
        <f t="shared" si="32"/>
        <v>0</v>
      </c>
      <c r="N64" s="115">
        <f t="shared" si="32"/>
        <v>0</v>
      </c>
      <c r="O64" s="508">
        <f t="shared" si="32"/>
        <v>0</v>
      </c>
      <c r="Q64" s="440" t="s">
        <v>737</v>
      </c>
      <c r="R64" s="555"/>
      <c r="S64" s="555"/>
      <c r="T64" s="558">
        <f t="shared" ref="T64:AC64" si="39">T68</f>
        <v>2019</v>
      </c>
      <c r="U64" s="558">
        <f t="shared" si="39"/>
        <v>2020</v>
      </c>
      <c r="V64" s="558">
        <f t="shared" si="39"/>
        <v>2021</v>
      </c>
      <c r="W64" s="558">
        <f t="shared" si="39"/>
        <v>2022</v>
      </c>
      <c r="X64" s="558">
        <f t="shared" si="39"/>
        <v>2023</v>
      </c>
      <c r="Y64" s="558">
        <f t="shared" si="39"/>
        <v>2024</v>
      </c>
      <c r="Z64" s="558">
        <f t="shared" si="39"/>
        <v>2025</v>
      </c>
      <c r="AA64" s="558">
        <f t="shared" si="39"/>
        <v>2026</v>
      </c>
      <c r="AB64" s="558">
        <f t="shared" si="39"/>
        <v>2027</v>
      </c>
      <c r="AC64" s="558">
        <f t="shared" si="39"/>
        <v>2028</v>
      </c>
      <c r="AD64" s="559">
        <f>AD68</f>
        <v>2029</v>
      </c>
    </row>
    <row r="65" spans="2:30">
      <c r="B65" s="439">
        <f t="shared" si="31"/>
        <v>2028</v>
      </c>
      <c r="C65" s="909"/>
      <c r="D65" s="909"/>
      <c r="E65" s="115"/>
      <c r="F65" s="115"/>
      <c r="G65" s="115"/>
      <c r="H65" s="115">
        <f t="shared" si="32"/>
        <v>0</v>
      </c>
      <c r="I65" s="115">
        <f t="shared" si="32"/>
        <v>0</v>
      </c>
      <c r="J65" s="115">
        <f t="shared" si="32"/>
        <v>0</v>
      </c>
      <c r="K65" s="115">
        <f t="shared" si="32"/>
        <v>0</v>
      </c>
      <c r="L65" s="115">
        <f t="shared" si="32"/>
        <v>0</v>
      </c>
      <c r="M65" s="115">
        <f t="shared" si="32"/>
        <v>0</v>
      </c>
      <c r="N65" s="115">
        <f t="shared" si="32"/>
        <v>0</v>
      </c>
      <c r="O65" s="508">
        <f t="shared" si="32"/>
        <v>0</v>
      </c>
      <c r="Q65" s="599"/>
      <c r="R65" s="546"/>
      <c r="S65" s="546"/>
      <c r="T65" s="623"/>
      <c r="U65" s="623"/>
      <c r="V65" s="623"/>
      <c r="W65" s="623"/>
      <c r="X65" s="623"/>
      <c r="Y65" s="623"/>
      <c r="Z65" s="623"/>
      <c r="AA65" s="623"/>
      <c r="AB65" s="623"/>
      <c r="AC65" s="623"/>
      <c r="AD65" s="624"/>
    </row>
    <row r="66" spans="2:30">
      <c r="B66" s="439"/>
      <c r="C66" s="909"/>
      <c r="D66" s="909"/>
      <c r="E66" s="115"/>
      <c r="F66" s="115"/>
      <c r="G66" s="115"/>
      <c r="H66" s="115"/>
      <c r="I66" s="115"/>
      <c r="J66" s="115"/>
      <c r="K66" s="115"/>
      <c r="L66" s="115"/>
      <c r="M66" s="115"/>
      <c r="N66" s="115"/>
      <c r="O66" s="508"/>
      <c r="Q66" s="439"/>
      <c r="AC66" s="909"/>
      <c r="AD66" s="548"/>
    </row>
    <row r="67" spans="2:30" ht="13.5" thickBot="1">
      <c r="B67" s="601" t="s">
        <v>906</v>
      </c>
      <c r="C67" s="555"/>
      <c r="D67" s="555"/>
      <c r="E67" s="622">
        <f>SUM(E55:E66)</f>
        <v>0</v>
      </c>
      <c r="F67" s="622">
        <f t="shared" ref="F67:N67" si="40">SUM(F55:F66)</f>
        <v>0</v>
      </c>
      <c r="G67" s="622">
        <f t="shared" si="40"/>
        <v>0</v>
      </c>
      <c r="H67" s="622">
        <f>SUM(H55:H66)</f>
        <v>0</v>
      </c>
      <c r="I67" s="622">
        <f>SUM(I55:I66)</f>
        <v>0</v>
      </c>
      <c r="J67" s="622">
        <f t="shared" si="40"/>
        <v>7551</v>
      </c>
      <c r="K67" s="622">
        <f t="shared" si="40"/>
        <v>14030.666666666657</v>
      </c>
      <c r="L67" s="622">
        <f t="shared" si="40"/>
        <v>0</v>
      </c>
      <c r="M67" s="622">
        <f t="shared" si="40"/>
        <v>0</v>
      </c>
      <c r="N67" s="622">
        <f t="shared" si="40"/>
        <v>0</v>
      </c>
      <c r="O67" s="625">
        <f>SUM(O55:O66)</f>
        <v>0</v>
      </c>
      <c r="Q67" s="439"/>
      <c r="AC67" s="909"/>
      <c r="AD67" s="548"/>
    </row>
    <row r="68" spans="2:30" ht="13.5" thickBot="1">
      <c r="N68" s="909"/>
      <c r="O68" s="909"/>
      <c r="Q68" s="547"/>
      <c r="R68" s="544" t="s">
        <v>738</v>
      </c>
      <c r="S68" s="557"/>
      <c r="T68" s="626">
        <v>2019</v>
      </c>
      <c r="U68" s="626">
        <v>2020</v>
      </c>
      <c r="V68" s="626">
        <v>2021</v>
      </c>
      <c r="W68" s="626">
        <v>2022</v>
      </c>
      <c r="X68" s="626">
        <v>2023</v>
      </c>
      <c r="Y68" s="626">
        <v>2024</v>
      </c>
      <c r="Z68" s="626">
        <v>2025</v>
      </c>
      <c r="AA68" s="626">
        <v>2026</v>
      </c>
      <c r="AB68" s="626">
        <v>2027</v>
      </c>
      <c r="AC68" s="626">
        <v>2028</v>
      </c>
      <c r="AD68" s="627">
        <v>2029</v>
      </c>
    </row>
    <row r="69" spans="2:30">
      <c r="B69" s="545" t="s">
        <v>809</v>
      </c>
      <c r="C69" s="546"/>
      <c r="D69" s="546"/>
      <c r="E69" s="749">
        <f t="shared" ref="E69:O69" si="41">E41</f>
        <v>2019</v>
      </c>
      <c r="F69" s="749">
        <f t="shared" si="41"/>
        <v>2020</v>
      </c>
      <c r="G69" s="749">
        <f t="shared" si="41"/>
        <v>2021</v>
      </c>
      <c r="H69" s="749">
        <f t="shared" si="41"/>
        <v>2022</v>
      </c>
      <c r="I69" s="749">
        <f t="shared" si="41"/>
        <v>2023</v>
      </c>
      <c r="J69" s="749">
        <f t="shared" si="41"/>
        <v>2024</v>
      </c>
      <c r="K69" s="749">
        <f t="shared" si="41"/>
        <v>2025</v>
      </c>
      <c r="L69" s="749">
        <f t="shared" si="41"/>
        <v>2026</v>
      </c>
      <c r="M69" s="749">
        <f t="shared" si="41"/>
        <v>2027</v>
      </c>
      <c r="N69" s="749">
        <f t="shared" si="41"/>
        <v>2028</v>
      </c>
      <c r="O69" s="750">
        <f t="shared" si="41"/>
        <v>2029</v>
      </c>
      <c r="Q69" s="439" t="s">
        <v>415</v>
      </c>
      <c r="AC69" s="909"/>
      <c r="AD69" s="548"/>
    </row>
    <row r="70" spans="2:30">
      <c r="B70" s="439">
        <v>2018</v>
      </c>
      <c r="E70" s="557"/>
      <c r="F70" s="557"/>
      <c r="G70" s="557"/>
      <c r="H70" s="888"/>
      <c r="I70" s="888">
        <f>S137</f>
        <v>0</v>
      </c>
      <c r="J70" s="888">
        <f>'RCF-F'!R39</f>
        <v>172</v>
      </c>
      <c r="K70" s="888">
        <f>'RCF-F'!S39</f>
        <v>14030.666666666657</v>
      </c>
      <c r="L70" s="888">
        <f>'RCF-F'!T39</f>
        <v>0</v>
      </c>
      <c r="M70" s="888">
        <f>'RCF-F'!U39</f>
        <v>0</v>
      </c>
      <c r="N70" s="888">
        <f>'RCF-F'!V39</f>
        <v>0</v>
      </c>
      <c r="O70" s="895">
        <f>'RCF-F'!W39</f>
        <v>0</v>
      </c>
      <c r="Q70" s="439">
        <v>2018</v>
      </c>
      <c r="S70" s="115"/>
      <c r="T70" s="605"/>
      <c r="U70" s="605"/>
      <c r="V70" s="605"/>
      <c r="W70" s="605"/>
      <c r="X70" s="605"/>
      <c r="Y70" s="115">
        <f>IF(Y$17-$Q70='Prod info'!$F$4,'Prod info'!Q$278,0)</f>
        <v>0</v>
      </c>
      <c r="Z70" s="115">
        <f>IF(Z$17-$Q70='Prod info'!$F$4,'Prod info'!R$278,0)</f>
        <v>0</v>
      </c>
      <c r="AA70" s="115">
        <f>IF(AA$17-$Q70='Prod info'!$F$4,'Prod info'!S$278,0)</f>
        <v>0</v>
      </c>
      <c r="AB70" s="115">
        <f>IF(AB$17-$Q70='Prod info'!$F$4,'Prod info'!T$278,0)</f>
        <v>0</v>
      </c>
      <c r="AC70" s="115">
        <f>IF(AC$17-$Q70='Prod info'!$F$4,'Prod info'!U$278,0)</f>
        <v>0</v>
      </c>
      <c r="AD70" s="508">
        <f>IF(AD$17-$Q70='Prod info'!$F$4,'Prod info'!V$278,0)</f>
        <v>0</v>
      </c>
    </row>
    <row r="71" spans="2:30">
      <c r="B71" s="439">
        <v>2019</v>
      </c>
      <c r="E71" s="552"/>
      <c r="F71" s="552"/>
      <c r="G71" s="552"/>
      <c r="H71" s="888"/>
      <c r="I71" s="888">
        <f>S138</f>
        <v>0</v>
      </c>
      <c r="J71" s="888">
        <f>'RCF-F'!R40</f>
        <v>0</v>
      </c>
      <c r="K71" s="888">
        <f>'RCF-F'!S40</f>
        <v>0</v>
      </c>
      <c r="L71" s="888">
        <f>'RCF-F'!T40</f>
        <v>0</v>
      </c>
      <c r="M71" s="888">
        <f>'RCF-F'!U40</f>
        <v>0</v>
      </c>
      <c r="N71" s="888">
        <f>'RCF-F'!V40</f>
        <v>0</v>
      </c>
      <c r="O71" s="895">
        <f>'RCF-F'!W40</f>
        <v>0</v>
      </c>
      <c r="Q71" s="439">
        <v>2019</v>
      </c>
      <c r="S71" s="115"/>
      <c r="T71" s="605"/>
      <c r="U71" s="605"/>
      <c r="V71" s="605"/>
      <c r="W71" s="605"/>
      <c r="X71" s="605"/>
      <c r="Y71" s="115">
        <f>IF(Y$17-$Q71='Prod info'!$F$4,'Prod info'!Q$278,0)</f>
        <v>0</v>
      </c>
      <c r="Z71" s="115">
        <f>IF(Z$17-$Q71='Prod info'!$F$4,'Prod info'!R$278,0)</f>
        <v>0</v>
      </c>
      <c r="AA71" s="115">
        <f>IF(AA$17-$Q71='Prod info'!$F$4,'Prod info'!S$278,0)</f>
        <v>0</v>
      </c>
      <c r="AB71" s="115">
        <f>IF(AB$17-$Q71='Prod info'!$F$4,'Prod info'!T$278,0)</f>
        <v>0</v>
      </c>
      <c r="AC71" s="115">
        <f>IF(AC$17-$Q71='Prod info'!$F$4,'Prod info'!U$278,0)</f>
        <v>0</v>
      </c>
      <c r="AD71" s="508">
        <f>IF(AD$17-$Q71='Prod info'!$F$4,'Prod info'!V$278,0)</f>
        <v>0</v>
      </c>
    </row>
    <row r="72" spans="2:30">
      <c r="B72" s="439">
        <v>2020</v>
      </c>
      <c r="E72" s="552"/>
      <c r="F72" s="552"/>
      <c r="G72" s="552"/>
      <c r="H72" s="888"/>
      <c r="I72" s="888">
        <f>S139</f>
        <v>0</v>
      </c>
      <c r="J72" s="888">
        <f>'RCF-F'!R41</f>
        <v>0</v>
      </c>
      <c r="K72" s="888">
        <f>'RCF-F'!S41</f>
        <v>0</v>
      </c>
      <c r="L72" s="888">
        <f>'RCF-F'!T41</f>
        <v>0</v>
      </c>
      <c r="M72" s="888">
        <f>'RCF-F'!U41</f>
        <v>0</v>
      </c>
      <c r="N72" s="888">
        <f>'RCF-F'!V41</f>
        <v>0</v>
      </c>
      <c r="O72" s="895">
        <f>'RCF-F'!W41</f>
        <v>0</v>
      </c>
      <c r="Q72" s="439">
        <v>2020</v>
      </c>
      <c r="S72" s="115"/>
      <c r="T72" s="605"/>
      <c r="U72" s="605"/>
      <c r="V72" s="605"/>
      <c r="W72" s="605"/>
      <c r="X72" s="605"/>
      <c r="Y72" s="115">
        <f>IF(Y$17-$Q72='Prod info'!$F$4,'Prod info'!Q$278,0)</f>
        <v>0</v>
      </c>
      <c r="Z72" s="115">
        <f>IF(Z$17-$Q72='Prod info'!$F$4,'Prod info'!R$278,0)</f>
        <v>0</v>
      </c>
      <c r="AA72" s="115">
        <f>IF(AA$17-$Q72='Prod info'!$F$4,'Prod info'!S$278,0)</f>
        <v>0</v>
      </c>
      <c r="AB72" s="115">
        <f>IF(AB$17-$Q72='Prod info'!$F$4,'Prod info'!T$278,0)</f>
        <v>0</v>
      </c>
      <c r="AC72" s="115">
        <f>IF(AC$17-$Q72='Prod info'!$F$4,'Prod info'!U$278,0)</f>
        <v>0</v>
      </c>
      <c r="AD72" s="508">
        <f>IF(AD$17-$Q72='Prod info'!$F$4,'Prod info'!V$278,0)</f>
        <v>0</v>
      </c>
    </row>
    <row r="73" spans="2:30">
      <c r="B73" s="439"/>
      <c r="E73" s="552"/>
      <c r="F73" s="552"/>
      <c r="G73" s="552"/>
      <c r="H73" s="888"/>
      <c r="I73" s="888">
        <f>'RCF-F'!Q42</f>
        <v>0</v>
      </c>
      <c r="J73" s="888">
        <f>'RCF-F'!R42</f>
        <v>0</v>
      </c>
      <c r="K73" s="888">
        <f>'RCF-F'!S42</f>
        <v>0</v>
      </c>
      <c r="L73" s="888">
        <f>'RCF-F'!T42</f>
        <v>0</v>
      </c>
      <c r="M73" s="888">
        <f>'RCF-F'!U42</f>
        <v>0</v>
      </c>
      <c r="N73" s="888">
        <f>'RCF-F'!V42</f>
        <v>0</v>
      </c>
      <c r="O73" s="895">
        <f>'RCF-F'!W42</f>
        <v>0</v>
      </c>
      <c r="Q73" s="439">
        <v>2021</v>
      </c>
      <c r="S73" s="115"/>
      <c r="T73" s="605"/>
      <c r="U73" s="605"/>
      <c r="V73" s="605"/>
      <c r="W73" s="605"/>
      <c r="X73" s="605">
        <f>'Prod info'!P278</f>
        <v>5266.666666666667</v>
      </c>
      <c r="Y73" s="115">
        <f>IF(Y$17-$Q73='Prod info'!$F$4,'Prod info'!Q$278,0)</f>
        <v>0</v>
      </c>
      <c r="Z73" s="115">
        <f>IF(Z$17-$Q73='Prod info'!$F$4,'Prod info'!R$278,0)</f>
        <v>0</v>
      </c>
      <c r="AA73" s="115">
        <f>IF(AA$17-$Q73='Prod info'!$F$4,'Prod info'!S$278,0)</f>
        <v>0</v>
      </c>
      <c r="AB73" s="115">
        <f>IF(AB$17-$Q73='Prod info'!$F$4,'Prod info'!T$278,0)</f>
        <v>0</v>
      </c>
      <c r="AC73" s="115">
        <f>IF(AC$17-$Q73='Prod info'!$F$4,'Prod info'!U$278,0)</f>
        <v>0</v>
      </c>
      <c r="AD73" s="508">
        <f>IF(AD$17-$Q73='Prod info'!$F$4,'Prod info'!V$278,0)</f>
        <v>0</v>
      </c>
    </row>
    <row r="74" spans="2:30">
      <c r="B74" s="439"/>
      <c r="E74" s="552"/>
      <c r="F74" s="552"/>
      <c r="G74" s="552"/>
      <c r="H74" s="888"/>
      <c r="I74" s="888"/>
      <c r="J74" s="888"/>
      <c r="K74" s="888"/>
      <c r="L74" s="888"/>
      <c r="M74" s="888"/>
      <c r="N74" s="888"/>
      <c r="O74" s="895"/>
      <c r="Q74" s="439">
        <v>2022</v>
      </c>
      <c r="S74" s="115"/>
      <c r="T74" s="605"/>
      <c r="U74" s="605"/>
      <c r="V74" s="605"/>
      <c r="W74" s="605"/>
      <c r="X74" s="605"/>
      <c r="Y74" s="115">
        <f>IF(Y$17-$Q74='Prod info'!$F$4,'Prod info'!Q$278,0)</f>
        <v>0</v>
      </c>
      <c r="Z74" s="115">
        <f>IF(Z$17-$Q74='Prod info'!$F$4,'Prod info'!R$278,0)</f>
        <v>0</v>
      </c>
      <c r="AA74" s="115">
        <f>IF(AA$17-$Q74='Prod info'!$F$4,'Prod info'!S$278,0)</f>
        <v>0</v>
      </c>
      <c r="AB74" s="115">
        <f>IF(AB$17-$Q74='Prod info'!$F$4,'Prod info'!T$278,0)</f>
        <v>0</v>
      </c>
      <c r="AC74" s="115">
        <f>IF(AC$17-$Q74='Prod info'!$F$4,'Prod info'!U$278,0)</f>
        <v>0</v>
      </c>
      <c r="AD74" s="508">
        <f>IF(AD$17-$Q74='Prod info'!$F$4,'Prod info'!V$278,0)</f>
        <v>0</v>
      </c>
    </row>
    <row r="75" spans="2:30">
      <c r="B75" s="439"/>
      <c r="E75" s="552"/>
      <c r="F75" s="552"/>
      <c r="G75" s="552"/>
      <c r="H75" s="888"/>
      <c r="I75" s="888"/>
      <c r="J75" s="888"/>
      <c r="K75" s="888"/>
      <c r="L75" s="888"/>
      <c r="M75" s="888"/>
      <c r="N75" s="888"/>
      <c r="O75" s="895"/>
      <c r="Q75" s="439">
        <v>2023</v>
      </c>
      <c r="S75" s="115"/>
      <c r="T75" s="115"/>
      <c r="U75" s="115"/>
      <c r="V75" s="115"/>
      <c r="W75" s="115"/>
      <c r="X75" s="115">
        <f>IF(X$17-$Q75='Prod info'!$F$4,'Prod info'!P$278,0)</f>
        <v>0</v>
      </c>
      <c r="Y75" s="115">
        <f>IF(Y$17-$Q75='Prod info'!$F$4,'Prod info'!Q$278,0)</f>
        <v>0</v>
      </c>
      <c r="Z75" s="115">
        <f>IF(Z$17-$Q75='Prod info'!$F$4,'Prod info'!R$278,0)</f>
        <v>0</v>
      </c>
      <c r="AA75" s="115">
        <f>IF(AA$17-$Q75='Prod info'!$F$4,'Prod info'!S$278,0)</f>
        <v>0</v>
      </c>
      <c r="AB75" s="115">
        <f>IF(AB$17-$Q75='Prod info'!$F$4,'Prod info'!T$278,0)</f>
        <v>0</v>
      </c>
      <c r="AC75" s="115">
        <f>IF(AC$17-$Q75='Prod info'!$F$4,'Prod info'!U$278,0)</f>
        <v>0</v>
      </c>
      <c r="AD75" s="508">
        <f>IF(AD$17-$Q75='Prod info'!$F$4,'Prod info'!V$278,0)</f>
        <v>0</v>
      </c>
    </row>
    <row r="76" spans="2:30">
      <c r="B76" s="439"/>
      <c r="E76" s="552"/>
      <c r="F76" s="552"/>
      <c r="G76" s="552"/>
      <c r="H76" s="888"/>
      <c r="I76" s="888"/>
      <c r="J76" s="888"/>
      <c r="K76" s="888"/>
      <c r="L76" s="888"/>
      <c r="M76" s="888"/>
      <c r="N76" s="888"/>
      <c r="O76" s="895"/>
      <c r="Q76" s="439">
        <v>2024</v>
      </c>
      <c r="S76" s="115"/>
      <c r="T76" s="115"/>
      <c r="U76" s="115"/>
      <c r="V76" s="115"/>
      <c r="W76" s="115"/>
      <c r="X76" s="115">
        <f>IF(X$17-$Q76='Prod info'!$F$4,'Prod info'!P$278,0)</f>
        <v>0</v>
      </c>
      <c r="Y76" s="115">
        <f>IF(Y$17-$Q76='Prod info'!$F$4,'Prod info'!Q$278,0)</f>
        <v>0</v>
      </c>
      <c r="Z76" s="115">
        <f>IF(Z$17-$Q76='Prod info'!$F$4,'Prod info'!R$278,0)</f>
        <v>0</v>
      </c>
      <c r="AA76" s="115">
        <f>IF(AA$17-$Q76='Prod info'!$F$4,'Prod info'!S$278,0)</f>
        <v>0</v>
      </c>
      <c r="AB76" s="115">
        <f>IF(AB$17-$Q76='Prod info'!$F$4,'Prod info'!T$278,0)</f>
        <v>0</v>
      </c>
      <c r="AC76" s="115">
        <f>IF(AC$17-$Q76='Prod info'!$F$4,'Prod info'!U$278,0)</f>
        <v>0</v>
      </c>
      <c r="AD76" s="508">
        <f>IF(AD$17-$Q76='Prod info'!$F$4,'Prod info'!V$278,0)</f>
        <v>0</v>
      </c>
    </row>
    <row r="77" spans="2:30">
      <c r="B77" s="439"/>
      <c r="E77" s="552"/>
      <c r="F77" s="552"/>
      <c r="G77" s="552"/>
      <c r="H77" s="888"/>
      <c r="I77" s="888"/>
      <c r="J77" s="888"/>
      <c r="K77" s="888"/>
      <c r="L77" s="888"/>
      <c r="M77" s="888"/>
      <c r="N77" s="888"/>
      <c r="O77" s="895"/>
      <c r="Q77" s="439">
        <v>2025</v>
      </c>
      <c r="S77" s="115"/>
      <c r="T77" s="115"/>
      <c r="U77" s="115"/>
      <c r="V77" s="115"/>
      <c r="W77" s="115"/>
      <c r="X77" s="115">
        <f>IF(X$17-$Q77='Prod info'!$F$4,'Prod info'!P$278,0)</f>
        <v>0</v>
      </c>
      <c r="Y77" s="115">
        <f>IF(Y$17-$Q77='Prod info'!$F$4,'Prod info'!Q$278,0)</f>
        <v>0</v>
      </c>
      <c r="Z77" s="115">
        <f>IF(Z$17-$Q77='Prod info'!$F$4,'Prod info'!R$278,0)</f>
        <v>0</v>
      </c>
      <c r="AA77" s="115">
        <f>IF(AA$17-$Q77='Prod info'!$F$4,'Prod info'!S$278,0)</f>
        <v>0</v>
      </c>
      <c r="AB77" s="115">
        <f>IF(AB$17-$Q77='Prod info'!$F$4,'Prod info'!T$278,0)</f>
        <v>0</v>
      </c>
      <c r="AC77" s="115">
        <f>IF(AC$17-$Q77='Prod info'!$F$4,'Prod info'!U$278,0)</f>
        <v>0</v>
      </c>
      <c r="AD77" s="508">
        <f>IF(AD$17-$Q77='Prod info'!$F$4,'Prod info'!V$278,0)</f>
        <v>0</v>
      </c>
    </row>
    <row r="78" spans="2:30">
      <c r="B78" s="439"/>
      <c r="E78" s="552"/>
      <c r="F78" s="552"/>
      <c r="G78" s="552"/>
      <c r="H78" s="888"/>
      <c r="I78" s="888"/>
      <c r="J78" s="888"/>
      <c r="K78" s="888"/>
      <c r="L78" s="888"/>
      <c r="M78" s="888"/>
      <c r="N78" s="888"/>
      <c r="O78" s="895"/>
      <c r="Q78" s="439">
        <v>2026</v>
      </c>
      <c r="S78" s="115"/>
      <c r="T78" s="115"/>
      <c r="U78" s="115"/>
      <c r="V78" s="115"/>
      <c r="W78" s="115"/>
      <c r="X78" s="115">
        <f>IF(X$17-$Q78='Prod info'!$F$4,'Prod info'!P$278,0)</f>
        <v>0</v>
      </c>
      <c r="Y78" s="115">
        <f>IF(Y$17-$Q78='Prod info'!$F$4,'Prod info'!Q$278,0)</f>
        <v>0</v>
      </c>
      <c r="Z78" s="115">
        <f>IF(Z$17-$Q78='Prod info'!$F$4,'Prod info'!R$278,0)</f>
        <v>0</v>
      </c>
      <c r="AA78" s="115">
        <f>IF(AA$17-$Q78='Prod info'!$F$4,'Prod info'!S$278,0)</f>
        <v>0</v>
      </c>
      <c r="AB78" s="115">
        <f>IF(AB$17-$Q78='Prod info'!$F$4,'Prod info'!T$278,0)</f>
        <v>0</v>
      </c>
      <c r="AC78" s="115">
        <f>IF(AC$17-$Q78='Prod info'!$F$4,'Prod info'!U$278,0)</f>
        <v>0</v>
      </c>
      <c r="AD78" s="508">
        <f>IF(AD$17-$Q78='Prod info'!$F$4,'Prod info'!V$278,0)</f>
        <v>0</v>
      </c>
    </row>
    <row r="79" spans="2:30">
      <c r="B79" s="439"/>
      <c r="E79" s="552"/>
      <c r="F79" s="552"/>
      <c r="G79" s="552"/>
      <c r="H79" s="888"/>
      <c r="I79" s="888"/>
      <c r="J79" s="888"/>
      <c r="K79" s="888"/>
      <c r="L79" s="888"/>
      <c r="M79" s="888"/>
      <c r="N79" s="888"/>
      <c r="O79" s="895"/>
      <c r="Q79" s="439">
        <v>2027</v>
      </c>
      <c r="S79" s="115"/>
      <c r="T79" s="115"/>
      <c r="U79" s="115"/>
      <c r="V79" s="115"/>
      <c r="W79" s="115"/>
      <c r="X79" s="115">
        <f>IF(X$17-$Q79='Prod info'!$F$4,'Prod info'!P$278,0)</f>
        <v>0</v>
      </c>
      <c r="Y79" s="115">
        <f>IF(Y$17-$Q79='Prod info'!$F$4,'Prod info'!Q$278,0)</f>
        <v>0</v>
      </c>
      <c r="Z79" s="115">
        <f>IF(Z$17-$Q79='Prod info'!$F$4,'Prod info'!R$278,0)</f>
        <v>0</v>
      </c>
      <c r="AA79" s="115">
        <f>IF(AA$17-$Q79='Prod info'!$F$4,'Prod info'!S$278,0)</f>
        <v>0</v>
      </c>
      <c r="AB79" s="115">
        <f>IF(AB$17-$Q79='Prod info'!$F$4,'Prod info'!T$278,0)</f>
        <v>0</v>
      </c>
      <c r="AC79" s="115">
        <f>IF(AC$17-$Q79='Prod info'!$F$4,'Prod info'!U$278,0)</f>
        <v>0</v>
      </c>
      <c r="AD79" s="508">
        <f>IF(AD$17-$Q79='Prod info'!$F$4,'Prod info'!V$278,0)</f>
        <v>0</v>
      </c>
    </row>
    <row r="80" spans="2:30">
      <c r="B80" s="439"/>
      <c r="N80" s="909"/>
      <c r="O80" s="548"/>
      <c r="Q80" s="439">
        <v>2028</v>
      </c>
      <c r="S80" s="115"/>
      <c r="T80" s="114"/>
      <c r="U80" s="114"/>
      <c r="V80" s="114"/>
      <c r="W80" s="114"/>
      <c r="X80" s="114">
        <f>IF(X$17-$Q80='Prod info'!$F$4,'Prod info'!P$278,0)</f>
        <v>0</v>
      </c>
      <c r="Y80" s="114">
        <f>IF(Y$17-$Q80='Prod info'!$F$4,'Prod info'!Q$278,0)</f>
        <v>0</v>
      </c>
      <c r="Z80" s="114">
        <f>IF(Z$17-$Q80='Prod info'!$F$4,'Prod info'!R$278,0)</f>
        <v>0</v>
      </c>
      <c r="AA80" s="114">
        <f>IF(AA$17-$Q80='Prod info'!$F$4,'Prod info'!S$278,0)</f>
        <v>0</v>
      </c>
      <c r="AB80" s="114">
        <f>IF(AB$17-$Q80='Prod info'!$F$4,'Prod info'!T$278,0)</f>
        <v>0</v>
      </c>
      <c r="AC80" s="114">
        <f>IF(AC$17-$Q80='Prod info'!$F$4,'Prod info'!U$278,0)</f>
        <v>0</v>
      </c>
      <c r="AD80" s="561">
        <f>IF(AD$17-$Q80='Prod info'!$F$4,'Prod info'!V$278,0)</f>
        <v>0</v>
      </c>
    </row>
    <row r="81" spans="2:30">
      <c r="B81" s="439"/>
      <c r="N81" s="909"/>
      <c r="O81" s="548"/>
      <c r="Q81" s="439" t="s">
        <v>630</v>
      </c>
      <c r="S81" s="115"/>
      <c r="T81" s="115">
        <f t="shared" ref="T81:AC81" si="42">SUM(T70:T80)</f>
        <v>0</v>
      </c>
      <c r="U81" s="115">
        <f t="shared" si="42"/>
        <v>0</v>
      </c>
      <c r="V81" s="115">
        <f t="shared" si="42"/>
        <v>0</v>
      </c>
      <c r="W81" s="115">
        <f t="shared" si="42"/>
        <v>0</v>
      </c>
      <c r="X81" s="115">
        <f t="shared" si="42"/>
        <v>5266.666666666667</v>
      </c>
      <c r="Y81" s="115">
        <f t="shared" si="42"/>
        <v>0</v>
      </c>
      <c r="Z81" s="115">
        <f t="shared" si="42"/>
        <v>0</v>
      </c>
      <c r="AA81" s="115">
        <f t="shared" si="42"/>
        <v>0</v>
      </c>
      <c r="AB81" s="115">
        <f t="shared" si="42"/>
        <v>0</v>
      </c>
      <c r="AC81" s="115">
        <f t="shared" si="42"/>
        <v>0</v>
      </c>
      <c r="AD81" s="508">
        <f>SUM(AD70:AD80)</f>
        <v>0</v>
      </c>
    </row>
    <row r="82" spans="2:30">
      <c r="B82" s="547" t="s">
        <v>1010</v>
      </c>
      <c r="N82" s="909"/>
      <c r="O82" s="548"/>
      <c r="Q82" s="439"/>
      <c r="AC82" s="909"/>
      <c r="AD82" s="548"/>
    </row>
    <row r="83" spans="2:30">
      <c r="B83" s="439">
        <v>2023</v>
      </c>
      <c r="G83" s="464"/>
      <c r="H83" s="464"/>
      <c r="I83" s="464">
        <f ca="1">'RCF-F'!Q44</f>
        <v>0</v>
      </c>
      <c r="J83" s="464">
        <f ca="1">'RCF-F'!R44</f>
        <v>424.54438407817548</v>
      </c>
      <c r="K83" s="464">
        <f ca="1">'RCF-F'!S44</f>
        <v>424.54438407817548</v>
      </c>
      <c r="L83" s="464">
        <f ca="1">'RCF-F'!T44</f>
        <v>0</v>
      </c>
      <c r="M83" s="464">
        <f ca="1">'RCF-F'!U44</f>
        <v>0</v>
      </c>
      <c r="N83" s="464">
        <f ca="1">'RCF-F'!V44</f>
        <v>0</v>
      </c>
      <c r="O83" s="468">
        <f ca="1">'RCF-F'!W44</f>
        <v>0</v>
      </c>
      <c r="Q83" s="547" t="s">
        <v>742</v>
      </c>
      <c r="R83" s="544" t="s">
        <v>738</v>
      </c>
      <c r="T83" s="626">
        <f>T68</f>
        <v>2019</v>
      </c>
      <c r="U83" s="626">
        <f t="shared" ref="U83:AC83" si="43">U68</f>
        <v>2020</v>
      </c>
      <c r="V83" s="626">
        <f t="shared" si="43"/>
        <v>2021</v>
      </c>
      <c r="W83" s="626">
        <f t="shared" si="43"/>
        <v>2022</v>
      </c>
      <c r="X83" s="626">
        <f t="shared" si="43"/>
        <v>2023</v>
      </c>
      <c r="Y83" s="626">
        <f t="shared" si="43"/>
        <v>2024</v>
      </c>
      <c r="Z83" s="626">
        <f t="shared" si="43"/>
        <v>2025</v>
      </c>
      <c r="AA83" s="626">
        <f t="shared" si="43"/>
        <v>2026</v>
      </c>
      <c r="AB83" s="626">
        <f t="shared" si="43"/>
        <v>2027</v>
      </c>
      <c r="AC83" s="626">
        <f t="shared" si="43"/>
        <v>2028</v>
      </c>
      <c r="AD83" s="627">
        <f>AD68</f>
        <v>2029</v>
      </c>
    </row>
    <row r="84" spans="2:30">
      <c r="B84" s="439">
        <v>2024</v>
      </c>
      <c r="G84" s="464"/>
      <c r="H84" s="464"/>
      <c r="I84" s="464">
        <f>'RCF-F'!Q45</f>
        <v>0</v>
      </c>
      <c r="J84" s="464">
        <f ca="1">'RCF-F'!R45</f>
        <v>0</v>
      </c>
      <c r="K84" s="464">
        <f ca="1">'RCF-F'!S45</f>
        <v>42829.128030353022</v>
      </c>
      <c r="L84" s="464">
        <f ca="1">'RCF-F'!T45</f>
        <v>0</v>
      </c>
      <c r="M84" s="464">
        <f ca="1">'RCF-F'!U45</f>
        <v>0</v>
      </c>
      <c r="N84" s="464">
        <f ca="1">'RCF-F'!V45</f>
        <v>0</v>
      </c>
      <c r="O84" s="468">
        <f ca="1">'RCF-F'!W45</f>
        <v>0</v>
      </c>
      <c r="Q84" s="439" t="s">
        <v>542</v>
      </c>
      <c r="T84" s="552"/>
      <c r="U84" s="552"/>
      <c r="V84" s="552"/>
      <c r="W84" s="552"/>
      <c r="X84" s="552"/>
      <c r="Y84" s="552"/>
      <c r="Z84" s="552"/>
      <c r="AA84" s="552"/>
      <c r="AB84" s="552"/>
      <c r="AC84" s="912"/>
      <c r="AD84" s="553"/>
    </row>
    <row r="85" spans="2:30">
      <c r="B85" s="439">
        <v>2025</v>
      </c>
      <c r="G85" s="464"/>
      <c r="H85" s="464"/>
      <c r="I85" s="464">
        <f>'RCF-F'!Q46</f>
        <v>0</v>
      </c>
      <c r="J85" s="464">
        <f>'RCF-F'!R46</f>
        <v>0</v>
      </c>
      <c r="K85" s="464">
        <f ca="1">'RCF-F'!S46</f>
        <v>0</v>
      </c>
      <c r="L85" s="464">
        <f ca="1">'RCF-F'!T46</f>
        <v>0</v>
      </c>
      <c r="M85" s="464">
        <f ca="1">'RCF-F'!U46</f>
        <v>45021.356079767495</v>
      </c>
      <c r="N85" s="464">
        <f ca="1">'RCF-F'!V46</f>
        <v>0</v>
      </c>
      <c r="O85" s="468">
        <f ca="1">'RCF-F'!W46</f>
        <v>0</v>
      </c>
      <c r="Q85" s="439">
        <f>Q70</f>
        <v>2018</v>
      </c>
      <c r="T85" s="629"/>
      <c r="U85" s="629"/>
      <c r="V85" s="629"/>
      <c r="W85" s="629"/>
      <c r="X85" s="629"/>
      <c r="Y85" s="464">
        <f>SUMIF(Price!$B$29:$B$37,Sale!$Q85,Price!F29:F37)</f>
        <v>0</v>
      </c>
      <c r="Z85" s="464">
        <f>SUMIF(Price!$B$29:$B$37,Sale!$Q85,Price!G29:G37)</f>
        <v>0</v>
      </c>
      <c r="AA85" s="464">
        <f>SUMIF(Price!$B$29:$B$37,Sale!$Q85,Price!H29:H37)</f>
        <v>0</v>
      </c>
      <c r="AB85" s="464">
        <f>SUMIF(Price!$B$29:$B$37,Sale!$Q85,Price!I29:I37)</f>
        <v>0</v>
      </c>
      <c r="AC85" s="464">
        <f>SUMIF(Price!$B$29:$B$37,Sale!$Q85,Price!J29:J37)</f>
        <v>0</v>
      </c>
      <c r="AD85" s="468">
        <f>SUMIF(Price!$B$29:$B$37,Sale!$Q85,Price!K29:K37)</f>
        <v>0</v>
      </c>
    </row>
    <row r="86" spans="2:30">
      <c r="B86" s="439">
        <v>2026</v>
      </c>
      <c r="G86" s="464"/>
      <c r="H86" s="464"/>
      <c r="I86" s="464">
        <f>'RCF-F'!Q47</f>
        <v>0</v>
      </c>
      <c r="J86" s="464">
        <f>'RCF-F'!R47</f>
        <v>0</v>
      </c>
      <c r="K86" s="464">
        <f>'RCF-F'!S47</f>
        <v>0</v>
      </c>
      <c r="L86" s="464">
        <f ca="1">'RCF-F'!T47</f>
        <v>0</v>
      </c>
      <c r="M86" s="464">
        <f ca="1">'RCF-F'!U47</f>
        <v>44993.816472073355</v>
      </c>
      <c r="N86" s="464">
        <f ca="1">'RCF-F'!V47</f>
        <v>0</v>
      </c>
      <c r="O86" s="468">
        <f ca="1">'RCF-F'!W47</f>
        <v>0</v>
      </c>
      <c r="Q86" s="439">
        <f t="shared" ref="Q86:Q95" si="44">Q71</f>
        <v>2019</v>
      </c>
      <c r="T86" s="629"/>
      <c r="U86" s="629"/>
      <c r="V86" s="629"/>
      <c r="W86" s="629"/>
      <c r="X86" s="629"/>
      <c r="Y86" s="464">
        <f>SUMIF(Price!$B$29:$B$37,Sale!$Q86,Price!F29:F37)</f>
        <v>0</v>
      </c>
      <c r="Z86" s="464">
        <f>SUMIF(Price!$B$29:$B$37,Sale!$Q86,Price!G29:G37)</f>
        <v>0</v>
      </c>
      <c r="AA86" s="464">
        <f>SUMIF(Price!$B$29:$B$37,Sale!$Q86,Price!H29:H37)</f>
        <v>0</v>
      </c>
      <c r="AB86" s="464">
        <f>SUMIF(Price!$B$29:$B$37,Sale!$Q86,Price!I29:I37)</f>
        <v>0</v>
      </c>
      <c r="AC86" s="464">
        <f>SUMIF(Price!$B$29:$B$37,Sale!$Q86,Price!J29:J37)</f>
        <v>0</v>
      </c>
      <c r="AD86" s="468">
        <f>SUMIF(Price!$B$29:$B$37,Sale!$Q86,Price!K29:K37)</f>
        <v>0</v>
      </c>
    </row>
    <row r="87" spans="2:30">
      <c r="B87" s="439">
        <v>2027</v>
      </c>
      <c r="G87" s="464"/>
      <c r="H87" s="464"/>
      <c r="I87" s="464">
        <f>'RCF-F'!Q48</f>
        <v>0</v>
      </c>
      <c r="J87" s="464">
        <f>'RCF-F'!R48</f>
        <v>0</v>
      </c>
      <c r="K87" s="464">
        <f>'RCF-F'!S48</f>
        <v>0</v>
      </c>
      <c r="L87" s="464">
        <f>'RCF-F'!T48</f>
        <v>0</v>
      </c>
      <c r="M87" s="464">
        <f ca="1">'RCF-F'!U48</f>
        <v>44655.891685497263</v>
      </c>
      <c r="N87" s="464">
        <f ca="1">'RCF-F'!V48</f>
        <v>0</v>
      </c>
      <c r="O87" s="468">
        <f ca="1">'RCF-F'!W48</f>
        <v>0</v>
      </c>
      <c r="Q87" s="439">
        <f t="shared" si="44"/>
        <v>2020</v>
      </c>
      <c r="T87" s="629"/>
      <c r="U87" s="629"/>
      <c r="V87" s="629"/>
      <c r="W87" s="629"/>
      <c r="X87" s="629"/>
      <c r="Y87" s="464">
        <f>SUMIF(Price!$B$29:$B$37,Sale!$Q87,Price!F29:F37)</f>
        <v>0</v>
      </c>
      <c r="Z87" s="464">
        <f>SUMIF(Price!$B$29:$B$37,Sale!$Q87,Price!G29:G37)</f>
        <v>0</v>
      </c>
      <c r="AA87" s="464">
        <f>SUMIF(Price!$B$29:$B$37,Sale!$Q87,Price!H29:H37)</f>
        <v>0</v>
      </c>
      <c r="AB87" s="464">
        <f>SUMIF(Price!$B$29:$B$37,Sale!$Q87,Price!I29:I37)</f>
        <v>0</v>
      </c>
      <c r="AC87" s="464">
        <f>SUMIF(Price!$B$29:$B$37,Sale!$Q87,Price!J29:J37)</f>
        <v>0</v>
      </c>
      <c r="AD87" s="468">
        <f>SUMIF(Price!$B$29:$B$37,Sale!$Q87,Price!K29:K37)</f>
        <v>0</v>
      </c>
    </row>
    <row r="88" spans="2:30">
      <c r="B88" s="439">
        <v>2028</v>
      </c>
      <c r="G88" s="464"/>
      <c r="H88" s="464"/>
      <c r="I88" s="464">
        <f>'RCF-F'!Q49</f>
        <v>0</v>
      </c>
      <c r="J88" s="464">
        <f>'RCF-F'!R49</f>
        <v>0</v>
      </c>
      <c r="K88" s="464">
        <f>'RCF-F'!S49</f>
        <v>0</v>
      </c>
      <c r="L88" s="464">
        <f>'RCF-F'!T49</f>
        <v>0</v>
      </c>
      <c r="M88" s="464">
        <f>'RCF-F'!U49</f>
        <v>0</v>
      </c>
      <c r="N88" s="464">
        <f ca="1">'RCF-F'!V49</f>
        <v>0</v>
      </c>
      <c r="O88" s="468">
        <f ca="1">'RCF-F'!W49</f>
        <v>0</v>
      </c>
      <c r="Q88" s="439">
        <f t="shared" si="44"/>
        <v>2021</v>
      </c>
      <c r="T88" s="630"/>
      <c r="U88" s="630"/>
      <c r="V88" s="630"/>
      <c r="W88" s="630"/>
      <c r="X88" s="630">
        <f>W89</f>
        <v>16.87</v>
      </c>
      <c r="Y88" s="464">
        <f>SUMIF(Price!$B$29:$B$37,Sale!$Q88,Price!F29:F37)</f>
        <v>0</v>
      </c>
      <c r="Z88" s="464">
        <f>SUMIF(Price!$B$29:$B$37,Sale!$Q88,Price!G29:G37)</f>
        <v>0</v>
      </c>
      <c r="AA88" s="464">
        <f>SUMIF(Price!$B$29:$B$37,Sale!$Q88,Price!H29:H37)</f>
        <v>0</v>
      </c>
      <c r="AB88" s="464">
        <f>SUMIF(Price!$B$29:$B$37,Sale!$Q88,Price!I29:I37)</f>
        <v>0</v>
      </c>
      <c r="AC88" s="464">
        <f>SUMIF(Price!$B$29:$B$37,Sale!$Q88,Price!J29:J37)</f>
        <v>0</v>
      </c>
      <c r="AD88" s="468">
        <f>SUMIF(Price!$B$29:$B$37,Sale!$Q88,Price!K29:K37)</f>
        <v>0</v>
      </c>
    </row>
    <row r="89" spans="2:30">
      <c r="B89" s="439"/>
      <c r="E89" s="550"/>
      <c r="F89" s="550"/>
      <c r="G89" s="541"/>
      <c r="H89" s="541"/>
      <c r="I89" s="541"/>
      <c r="J89" s="541"/>
      <c r="K89" s="541"/>
      <c r="L89" s="541"/>
      <c r="M89" s="541"/>
      <c r="N89" s="541"/>
      <c r="O89" s="542"/>
      <c r="Q89" s="439">
        <f t="shared" si="44"/>
        <v>2022</v>
      </c>
      <c r="T89" s="552"/>
      <c r="U89" s="552"/>
      <c r="V89" s="552"/>
      <c r="W89" s="464">
        <f>SUMIF(Price!$B$29:$B$37,Sale!$Q89,Price!D29:D37)</f>
        <v>16.87</v>
      </c>
      <c r="X89" s="464">
        <f>SUMIF(Price!$B$29:$B$37,Sale!$Q89,Price!E29:E37)</f>
        <v>17.29175</v>
      </c>
      <c r="Y89" s="464">
        <f>SUMIF(Price!$B$29:$B$37,Sale!$Q89,Price!F29:F37)</f>
        <v>17.29175</v>
      </c>
      <c r="Z89" s="464">
        <f>SUMIF(Price!$B$29:$B$37,Sale!$Q89,Price!G29:G37)</f>
        <v>17.29175</v>
      </c>
      <c r="AA89" s="464">
        <f>SUMIF(Price!$B$29:$B$37,Sale!$Q89,Price!H29:H37)</f>
        <v>17.29175</v>
      </c>
      <c r="AB89" s="464">
        <f>SUMIF(Price!$B$29:$B$37,Sale!$Q89,Price!I29:I37)</f>
        <v>17.29175</v>
      </c>
      <c r="AC89" s="464">
        <f>SUMIF(Price!$B$29:$B$37,Sale!$Q89,Price!J29:J37)</f>
        <v>17.29175</v>
      </c>
      <c r="AD89" s="468">
        <f>SUMIF(Price!$B$29:$B$37,Sale!$Q89,Price!K29:K37)</f>
        <v>17.29175</v>
      </c>
    </row>
    <row r="90" spans="2:30" ht="13.5" thickBot="1">
      <c r="B90" s="440"/>
      <c r="C90" s="555"/>
      <c r="D90" s="555"/>
      <c r="E90" s="632">
        <f t="shared" ref="E90:O90" si="45">SUM(E83:E89)</f>
        <v>0</v>
      </c>
      <c r="F90" s="632">
        <f t="shared" si="45"/>
        <v>0</v>
      </c>
      <c r="G90" s="632">
        <f t="shared" si="45"/>
        <v>0</v>
      </c>
      <c r="H90" s="632">
        <f t="shared" si="45"/>
        <v>0</v>
      </c>
      <c r="I90" s="632">
        <f t="shared" ca="1" si="45"/>
        <v>0</v>
      </c>
      <c r="J90" s="632">
        <f t="shared" ca="1" si="45"/>
        <v>424.54438407817548</v>
      </c>
      <c r="K90" s="632">
        <f t="shared" ca="1" si="45"/>
        <v>43253.672414431196</v>
      </c>
      <c r="L90" s="632">
        <f t="shared" ca="1" si="45"/>
        <v>0</v>
      </c>
      <c r="M90" s="632">
        <f t="shared" ca="1" si="45"/>
        <v>134671.06423733811</v>
      </c>
      <c r="N90" s="632">
        <f ca="1">SUM(N83:N89)</f>
        <v>0</v>
      </c>
      <c r="O90" s="633">
        <f t="shared" ca="1" si="45"/>
        <v>0</v>
      </c>
      <c r="Q90" s="439">
        <f t="shared" si="44"/>
        <v>2023</v>
      </c>
      <c r="T90" s="552"/>
      <c r="U90" s="552"/>
      <c r="V90" s="552"/>
      <c r="W90" s="464">
        <f>SUMIF(Price!$B$29:$B$37,Sale!$Q90,Price!D29:D37)</f>
        <v>0</v>
      </c>
      <c r="X90" s="464">
        <f>SUMIF(Price!$B$29:$B$37,Sale!$Q90,Price!E29:E37)</f>
        <v>17.2074</v>
      </c>
      <c r="Y90" s="464">
        <f>SUMIF(Price!$B$29:$B$37,Sale!$Q90,Price!F29:F37)</f>
        <v>17.637584999999998</v>
      </c>
      <c r="Z90" s="464">
        <f>SUMIF(Price!$B$29:$B$37,Sale!$Q90,Price!G29:G37)</f>
        <v>17.637584999999998</v>
      </c>
      <c r="AA90" s="464">
        <f>SUMIF(Price!$B$29:$B$37,Sale!$Q90,Price!H29:H37)</f>
        <v>17.637584999999998</v>
      </c>
      <c r="AB90" s="464">
        <f>SUMIF(Price!$B$29:$B$37,Sale!$Q90,Price!I29:I37)</f>
        <v>17.637584999999998</v>
      </c>
      <c r="AC90" s="464">
        <f>SUMIF(Price!$B$29:$B$37,Sale!$Q90,Price!J29:J37)</f>
        <v>17.637584999999998</v>
      </c>
      <c r="AD90" s="468">
        <f>SUMIF(Price!$B$29:$B$37,Sale!$Q90,Price!K29:K37)</f>
        <v>17.637584999999998</v>
      </c>
    </row>
    <row r="91" spans="2:30" ht="13.5" thickBot="1">
      <c r="N91" s="909"/>
      <c r="O91" s="909"/>
      <c r="Q91" s="439">
        <f t="shared" si="44"/>
        <v>2024</v>
      </c>
      <c r="T91" s="552"/>
      <c r="U91" s="552"/>
      <c r="V91" s="552"/>
      <c r="W91" s="464">
        <f>SUMIF(Price!$B$29:$B$37,Sale!$Q91,Price!D29:D37)</f>
        <v>0</v>
      </c>
      <c r="X91" s="464">
        <f>SUMIF(Price!$B$29:$B$37,Sale!$Q91,Price!E29:E37)</f>
        <v>0</v>
      </c>
      <c r="Y91" s="464">
        <f>SUMIF(Price!$B$29:$B$37,Sale!$Q91,Price!F29:F37)</f>
        <v>17.551548</v>
      </c>
      <c r="Z91" s="464">
        <f>SUMIF(Price!$B$29:$B$37,Sale!$Q91,Price!G29:G37)</f>
        <v>17.9903367</v>
      </c>
      <c r="AA91" s="464">
        <f>SUMIF(Price!$B$29:$B$37,Sale!$Q91,Price!H29:H37)</f>
        <v>17.9903367</v>
      </c>
      <c r="AB91" s="464">
        <f>SUMIF(Price!$B$29:$B$37,Sale!$Q91,Price!I29:I37)</f>
        <v>17.9903367</v>
      </c>
      <c r="AC91" s="464">
        <f>SUMIF(Price!$B$29:$B$37,Sale!$Q91,Price!J29:J37)</f>
        <v>17.9903367</v>
      </c>
      <c r="AD91" s="468">
        <f>SUMIF(Price!$B$29:$B$37,Sale!$Q91,Price!K29:K37)</f>
        <v>17.9903367</v>
      </c>
    </row>
    <row r="92" spans="2:30">
      <c r="B92" s="545" t="s">
        <v>905</v>
      </c>
      <c r="C92" s="546"/>
      <c r="D92" s="546"/>
      <c r="E92" s="749">
        <f t="shared" ref="E92:O92" si="46">E69</f>
        <v>2019</v>
      </c>
      <c r="F92" s="749">
        <f t="shared" si="46"/>
        <v>2020</v>
      </c>
      <c r="G92" s="749">
        <f t="shared" si="46"/>
        <v>2021</v>
      </c>
      <c r="H92" s="749">
        <f t="shared" si="46"/>
        <v>2022</v>
      </c>
      <c r="I92" s="749">
        <f t="shared" si="46"/>
        <v>2023</v>
      </c>
      <c r="J92" s="749">
        <f t="shared" si="46"/>
        <v>2024</v>
      </c>
      <c r="K92" s="749">
        <f t="shared" si="46"/>
        <v>2025</v>
      </c>
      <c r="L92" s="749">
        <f t="shared" si="46"/>
        <v>2026</v>
      </c>
      <c r="M92" s="749">
        <f t="shared" si="46"/>
        <v>2027</v>
      </c>
      <c r="N92" s="749">
        <f t="shared" si="46"/>
        <v>2028</v>
      </c>
      <c r="O92" s="750">
        <f t="shared" si="46"/>
        <v>2029</v>
      </c>
      <c r="Q92" s="439">
        <f t="shared" si="44"/>
        <v>2025</v>
      </c>
      <c r="T92" s="552"/>
      <c r="U92" s="552"/>
      <c r="V92" s="552"/>
      <c r="W92" s="464">
        <f>SUMIF(Price!$B$29:$B$37,Sale!$Q92,Price!D29:D37)</f>
        <v>0</v>
      </c>
      <c r="X92" s="464">
        <f>SUMIF(Price!$B$29:$B$37,Sale!$Q92,Price!E29:E37)</f>
        <v>0</v>
      </c>
      <c r="Y92" s="464">
        <f>SUMIF(Price!$B$29:$B$37,Sale!$Q92,Price!F29:F37)</f>
        <v>0</v>
      </c>
      <c r="Z92" s="464">
        <f>SUMIF(Price!$B$29:$B$37,Sale!$Q92,Price!G29:G37)</f>
        <v>17.90257896</v>
      </c>
      <c r="AA92" s="464">
        <f>SUMIF(Price!$B$29:$B$37,Sale!$Q92,Price!H29:H37)</f>
        <v>18.350143434</v>
      </c>
      <c r="AB92" s="464">
        <f>SUMIF(Price!$B$29:$B$37,Sale!$Q92,Price!I29:I37)</f>
        <v>18.350143434</v>
      </c>
      <c r="AC92" s="464">
        <f>SUMIF(Price!$B$29:$B$37,Sale!$Q92,Price!J29:J37)</f>
        <v>18.350143434</v>
      </c>
      <c r="AD92" s="468">
        <f>SUMIF(Price!$B$29:$B$37,Sale!$Q92,Price!K29:K37)</f>
        <v>18.350143434</v>
      </c>
    </row>
    <row r="93" spans="2:30">
      <c r="B93" s="439">
        <f t="shared" ref="B93:B103" si="47">B55</f>
        <v>2018</v>
      </c>
      <c r="C93" s="909"/>
      <c r="D93" s="909"/>
      <c r="E93" s="909"/>
      <c r="F93" s="909"/>
      <c r="G93" s="909"/>
      <c r="H93" s="912">
        <f>H55</f>
        <v>0</v>
      </c>
      <c r="I93" s="912">
        <f t="shared" ref="I93:O103" si="48">I55-I70</f>
        <v>0</v>
      </c>
      <c r="J93" s="912">
        <f t="shared" si="48"/>
        <v>7379</v>
      </c>
      <c r="K93" s="912">
        <f t="shared" si="48"/>
        <v>0</v>
      </c>
      <c r="L93" s="912">
        <f t="shared" si="48"/>
        <v>0</v>
      </c>
      <c r="M93" s="912">
        <f t="shared" si="48"/>
        <v>0</v>
      </c>
      <c r="N93" s="912">
        <f t="shared" si="48"/>
        <v>0</v>
      </c>
      <c r="O93" s="553">
        <f t="shared" si="48"/>
        <v>0</v>
      </c>
      <c r="Q93" s="439">
        <f t="shared" si="44"/>
        <v>2026</v>
      </c>
      <c r="T93" s="552"/>
      <c r="U93" s="552"/>
      <c r="V93" s="552"/>
      <c r="W93" s="464">
        <f>SUMIF(Price!$B$29:$B$37,Sale!$Q93,Price!D29:D37)</f>
        <v>0</v>
      </c>
      <c r="X93" s="464">
        <f>SUMIF(Price!$B$29:$B$37,Sale!$Q93,Price!E29:E37)</f>
        <v>0</v>
      </c>
      <c r="Y93" s="464">
        <f>SUMIF(Price!$B$29:$B$37,Sale!$Q93,Price!F29:F37)</f>
        <v>0</v>
      </c>
      <c r="Z93" s="464">
        <f>SUMIF(Price!$B$29:$B$37,Sale!$Q93,Price!G29:G37)</f>
        <v>0</v>
      </c>
      <c r="AA93" s="464">
        <f>SUMIF(Price!$B$29:$B$37,Sale!$Q93,Price!H29:H37)</f>
        <v>18.260630539200001</v>
      </c>
      <c r="AB93" s="464">
        <f>SUMIF(Price!$B$29:$B$37,Sale!$Q93,Price!I29:I37)</f>
        <v>18.71714630268</v>
      </c>
      <c r="AC93" s="464">
        <f>SUMIF(Price!$B$29:$B$37,Sale!$Q93,Price!J29:J37)</f>
        <v>18.71714630268</v>
      </c>
      <c r="AD93" s="468">
        <f>SUMIF(Price!$B$29:$B$37,Sale!$Q93,Price!K29:K37)</f>
        <v>18.71714630268</v>
      </c>
    </row>
    <row r="94" spans="2:30">
      <c r="B94" s="439">
        <f t="shared" si="47"/>
        <v>2019</v>
      </c>
      <c r="C94" s="909"/>
      <c r="D94" s="909"/>
      <c r="E94" s="909"/>
      <c r="F94" s="909"/>
      <c r="G94" s="909"/>
      <c r="H94" s="912">
        <f t="shared" ref="H94:H103" si="49">H56-H71</f>
        <v>0</v>
      </c>
      <c r="I94" s="912">
        <f t="shared" si="48"/>
        <v>0</v>
      </c>
      <c r="J94" s="912">
        <f t="shared" si="48"/>
        <v>0</v>
      </c>
      <c r="K94" s="912">
        <f t="shared" si="48"/>
        <v>0</v>
      </c>
      <c r="L94" s="912">
        <f t="shared" si="48"/>
        <v>0</v>
      </c>
      <c r="M94" s="912">
        <f t="shared" si="48"/>
        <v>0</v>
      </c>
      <c r="N94" s="912">
        <f t="shared" si="48"/>
        <v>0</v>
      </c>
      <c r="O94" s="553">
        <f t="shared" si="48"/>
        <v>0</v>
      </c>
      <c r="Q94" s="439">
        <f t="shared" si="44"/>
        <v>2027</v>
      </c>
      <c r="T94" s="552"/>
      <c r="U94" s="552"/>
      <c r="V94" s="552"/>
      <c r="W94" s="464">
        <f>SUMIF(Price!$B$29:$B$37,Sale!$Q94,Price!D29:D37)</f>
        <v>0</v>
      </c>
      <c r="X94" s="464">
        <f>SUMIF(Price!$B$29:$B$37,Sale!$Q94,Price!E29:E37)</f>
        <v>0</v>
      </c>
      <c r="Y94" s="464">
        <f>SUMIF(Price!$B$29:$B$37,Sale!$Q94,Price!F29:F37)</f>
        <v>0</v>
      </c>
      <c r="Z94" s="464">
        <f>SUMIF(Price!$B$29:$B$37,Sale!$Q94,Price!G29:G37)</f>
        <v>0</v>
      </c>
      <c r="AA94" s="464">
        <f>SUMIF(Price!$B$29:$B$37,Sale!$Q94,Price!H29:H37)</f>
        <v>0</v>
      </c>
      <c r="AB94" s="464">
        <f>SUMIF(Price!$B$29:$B$37,Sale!$Q94,Price!I29:I37)</f>
        <v>18.625843149984</v>
      </c>
      <c r="AC94" s="464">
        <f>SUMIF(Price!$B$29:$B$37,Sale!$Q94,Price!J29:J37)</f>
        <v>19.091489228733597</v>
      </c>
      <c r="AD94" s="468">
        <f>SUMIF(Price!$B$29:$B$37,Sale!$Q94,Price!K29:K37)</f>
        <v>19.091489228733597</v>
      </c>
    </row>
    <row r="95" spans="2:30">
      <c r="B95" s="439">
        <f t="shared" si="47"/>
        <v>2020</v>
      </c>
      <c r="C95" s="909"/>
      <c r="D95" s="909"/>
      <c r="E95" s="909"/>
      <c r="F95" s="909"/>
      <c r="G95" s="909"/>
      <c r="H95" s="912">
        <f t="shared" si="49"/>
        <v>0</v>
      </c>
      <c r="I95" s="912">
        <f t="shared" si="48"/>
        <v>0</v>
      </c>
      <c r="J95" s="912">
        <f t="shared" si="48"/>
        <v>0</v>
      </c>
      <c r="K95" s="912">
        <f t="shared" si="48"/>
        <v>0</v>
      </c>
      <c r="L95" s="912">
        <f t="shared" si="48"/>
        <v>0</v>
      </c>
      <c r="M95" s="912">
        <f t="shared" si="48"/>
        <v>0</v>
      </c>
      <c r="N95" s="912">
        <f t="shared" si="48"/>
        <v>0</v>
      </c>
      <c r="O95" s="553">
        <f t="shared" si="48"/>
        <v>0</v>
      </c>
      <c r="Q95" s="439">
        <f t="shared" si="44"/>
        <v>2028</v>
      </c>
      <c r="T95" s="552"/>
      <c r="U95" s="552"/>
      <c r="V95" s="552"/>
      <c r="W95" s="464">
        <f>SUMIF(Price!$B$29:$B$37,Sale!$Q95,Price!D29:D37)</f>
        <v>0</v>
      </c>
      <c r="X95" s="464">
        <f>SUMIF(Price!$B$29:$B$37,Sale!$Q95,Price!E29:E37)</f>
        <v>0</v>
      </c>
      <c r="Y95" s="464">
        <f>SUMIF(Price!$B$29:$B$37,Sale!$Q95,Price!F29:F37)</f>
        <v>0</v>
      </c>
      <c r="Z95" s="464">
        <f>SUMIF(Price!$B$29:$B$37,Sale!$Q95,Price!G29:G37)</f>
        <v>0</v>
      </c>
      <c r="AA95" s="464">
        <f>SUMIF(Price!$B$29:$B$37,Sale!$Q95,Price!H29:H37)</f>
        <v>0</v>
      </c>
      <c r="AB95" s="464">
        <f>SUMIF(Price!$B$29:$B$37,Sale!$Q95,Price!I29:I37)</f>
        <v>0</v>
      </c>
      <c r="AC95" s="464">
        <f>SUMIF(Price!$B$29:$B$37,Sale!$Q95,Price!J29:J37)</f>
        <v>18.998360012983682</v>
      </c>
      <c r="AD95" s="468">
        <f>SUMIF(Price!$B$29:$B$37,Sale!$Q95,Price!K29:K37)</f>
        <v>19.473319013308274</v>
      </c>
    </row>
    <row r="96" spans="2:30">
      <c r="B96" s="439">
        <f t="shared" si="47"/>
        <v>2021</v>
      </c>
      <c r="C96" s="909"/>
      <c r="D96" s="909"/>
      <c r="E96" s="909"/>
      <c r="F96" s="909"/>
      <c r="G96" s="909"/>
      <c r="H96" s="912">
        <f t="shared" si="49"/>
        <v>0</v>
      </c>
      <c r="I96" s="912">
        <f t="shared" si="48"/>
        <v>0</v>
      </c>
      <c r="J96" s="912">
        <f t="shared" si="48"/>
        <v>0</v>
      </c>
      <c r="K96" s="912">
        <f t="shared" si="48"/>
        <v>0</v>
      </c>
      <c r="L96" s="912">
        <f t="shared" si="48"/>
        <v>0</v>
      </c>
      <c r="M96" s="912">
        <f t="shared" si="48"/>
        <v>0</v>
      </c>
      <c r="N96" s="912">
        <f t="shared" si="48"/>
        <v>0</v>
      </c>
      <c r="O96" s="553">
        <f t="shared" si="48"/>
        <v>0</v>
      </c>
      <c r="Q96" s="439"/>
      <c r="X96" s="464"/>
      <c r="Y96" s="464"/>
      <c r="Z96" s="464"/>
      <c r="AA96" s="464"/>
      <c r="AB96" s="464"/>
      <c r="AC96" s="464"/>
      <c r="AD96" s="468"/>
    </row>
    <row r="97" spans="2:30">
      <c r="B97" s="439">
        <f t="shared" si="47"/>
        <v>2022</v>
      </c>
      <c r="C97" s="909"/>
      <c r="D97" s="909"/>
      <c r="E97" s="909"/>
      <c r="F97" s="909"/>
      <c r="G97" s="909"/>
      <c r="H97" s="912">
        <f t="shared" si="49"/>
        <v>0</v>
      </c>
      <c r="I97" s="912">
        <f t="shared" si="48"/>
        <v>0</v>
      </c>
      <c r="J97" s="912">
        <f t="shared" si="48"/>
        <v>0</v>
      </c>
      <c r="K97" s="912">
        <f t="shared" si="48"/>
        <v>0</v>
      </c>
      <c r="L97" s="912">
        <f t="shared" si="48"/>
        <v>0</v>
      </c>
      <c r="M97" s="912">
        <f t="shared" si="48"/>
        <v>0</v>
      </c>
      <c r="N97" s="912">
        <f t="shared" si="48"/>
        <v>0</v>
      </c>
      <c r="O97" s="553">
        <f t="shared" si="48"/>
        <v>0</v>
      </c>
      <c r="Q97" s="439" t="s">
        <v>590</v>
      </c>
      <c r="T97" s="626">
        <f>T83</f>
        <v>2019</v>
      </c>
      <c r="U97" s="626">
        <f t="shared" ref="U97:AC97" si="50">U83</f>
        <v>2020</v>
      </c>
      <c r="V97" s="626">
        <f t="shared" si="50"/>
        <v>2021</v>
      </c>
      <c r="W97" s="626">
        <f t="shared" si="50"/>
        <v>2022</v>
      </c>
      <c r="X97" s="626">
        <f t="shared" si="50"/>
        <v>2023</v>
      </c>
      <c r="Y97" s="626">
        <f t="shared" si="50"/>
        <v>2024</v>
      </c>
      <c r="Z97" s="626">
        <f t="shared" si="50"/>
        <v>2025</v>
      </c>
      <c r="AA97" s="626">
        <f t="shared" si="50"/>
        <v>2026</v>
      </c>
      <c r="AB97" s="626">
        <f t="shared" si="50"/>
        <v>2027</v>
      </c>
      <c r="AC97" s="626">
        <f t="shared" si="50"/>
        <v>2028</v>
      </c>
      <c r="AD97" s="627">
        <f>AD83</f>
        <v>2029</v>
      </c>
    </row>
    <row r="98" spans="2:30">
      <c r="B98" s="439">
        <f t="shared" si="47"/>
        <v>2023</v>
      </c>
      <c r="C98" s="909"/>
      <c r="D98" s="909"/>
      <c r="E98" s="909"/>
      <c r="F98" s="909"/>
      <c r="G98" s="909"/>
      <c r="H98" s="912">
        <f t="shared" si="49"/>
        <v>0</v>
      </c>
      <c r="I98" s="912">
        <f t="shared" si="48"/>
        <v>0</v>
      </c>
      <c r="J98" s="912">
        <f t="shared" si="48"/>
        <v>0</v>
      </c>
      <c r="K98" s="912">
        <f t="shared" si="48"/>
        <v>0</v>
      </c>
      <c r="L98" s="912">
        <f t="shared" si="48"/>
        <v>0</v>
      </c>
      <c r="M98" s="912">
        <f t="shared" si="48"/>
        <v>0</v>
      </c>
      <c r="N98" s="912">
        <f t="shared" si="48"/>
        <v>0</v>
      </c>
      <c r="O98" s="553">
        <f t="shared" si="48"/>
        <v>0</v>
      </c>
      <c r="Q98" s="439">
        <f>Q85</f>
        <v>2018</v>
      </c>
      <c r="T98" s="115">
        <f>T85*T70</f>
        <v>0</v>
      </c>
      <c r="U98" s="115">
        <f t="shared" ref="U98:AC98" si="51">U85*U70</f>
        <v>0</v>
      </c>
      <c r="V98" s="115">
        <f t="shared" si="51"/>
        <v>0</v>
      </c>
      <c r="W98" s="115">
        <f t="shared" si="51"/>
        <v>0</v>
      </c>
      <c r="X98" s="115">
        <f t="shared" si="51"/>
        <v>0</v>
      </c>
      <c r="Y98" s="115">
        <f t="shared" si="51"/>
        <v>0</v>
      </c>
      <c r="Z98" s="115">
        <f t="shared" si="51"/>
        <v>0</v>
      </c>
      <c r="AA98" s="115">
        <f t="shared" si="51"/>
        <v>0</v>
      </c>
      <c r="AB98" s="115">
        <f t="shared" si="51"/>
        <v>0</v>
      </c>
      <c r="AC98" s="115">
        <f t="shared" si="51"/>
        <v>0</v>
      </c>
      <c r="AD98" s="508">
        <f t="shared" ref="AD98:AD109" si="52">AD85*AD70</f>
        <v>0</v>
      </c>
    </row>
    <row r="99" spans="2:30">
      <c r="B99" s="439">
        <f t="shared" si="47"/>
        <v>2024</v>
      </c>
      <c r="C99" s="909"/>
      <c r="D99" s="909"/>
      <c r="E99" s="909"/>
      <c r="F99" s="909"/>
      <c r="G99" s="909"/>
      <c r="H99" s="912">
        <f t="shared" si="49"/>
        <v>0</v>
      </c>
      <c r="I99" s="912">
        <f t="shared" si="48"/>
        <v>0</v>
      </c>
      <c r="J99" s="912">
        <f t="shared" si="48"/>
        <v>0</v>
      </c>
      <c r="K99" s="912">
        <f t="shared" si="48"/>
        <v>0</v>
      </c>
      <c r="L99" s="912">
        <f t="shared" si="48"/>
        <v>0</v>
      </c>
      <c r="M99" s="912">
        <f t="shared" si="48"/>
        <v>0</v>
      </c>
      <c r="N99" s="912">
        <f t="shared" si="48"/>
        <v>0</v>
      </c>
      <c r="O99" s="553">
        <f t="shared" si="48"/>
        <v>0</v>
      </c>
      <c r="Q99" s="439">
        <f t="shared" ref="Q99:Q108" si="53">Q86</f>
        <v>2019</v>
      </c>
      <c r="T99" s="115">
        <f t="shared" ref="T99:AC99" si="54">T86*T71</f>
        <v>0</v>
      </c>
      <c r="U99" s="115">
        <f t="shared" si="54"/>
        <v>0</v>
      </c>
      <c r="V99" s="115">
        <f t="shared" si="54"/>
        <v>0</v>
      </c>
      <c r="W99" s="115">
        <f t="shared" si="54"/>
        <v>0</v>
      </c>
      <c r="X99" s="115">
        <f t="shared" si="54"/>
        <v>0</v>
      </c>
      <c r="Y99" s="115">
        <f t="shared" si="54"/>
        <v>0</v>
      </c>
      <c r="Z99" s="115">
        <f t="shared" si="54"/>
        <v>0</v>
      </c>
      <c r="AA99" s="115">
        <f t="shared" si="54"/>
        <v>0</v>
      </c>
      <c r="AB99" s="115">
        <f t="shared" si="54"/>
        <v>0</v>
      </c>
      <c r="AC99" s="115">
        <f t="shared" si="54"/>
        <v>0</v>
      </c>
      <c r="AD99" s="508">
        <f t="shared" si="52"/>
        <v>0</v>
      </c>
    </row>
    <row r="100" spans="2:30">
      <c r="B100" s="439">
        <f t="shared" si="47"/>
        <v>2025</v>
      </c>
      <c r="C100" s="909"/>
      <c r="D100" s="909"/>
      <c r="E100" s="909"/>
      <c r="F100" s="909"/>
      <c r="G100" s="909"/>
      <c r="H100" s="912">
        <f t="shared" si="49"/>
        <v>0</v>
      </c>
      <c r="I100" s="912">
        <f t="shared" si="48"/>
        <v>0</v>
      </c>
      <c r="J100" s="912">
        <f t="shared" si="48"/>
        <v>0</v>
      </c>
      <c r="K100" s="912">
        <f t="shared" si="48"/>
        <v>0</v>
      </c>
      <c r="L100" s="912">
        <f t="shared" si="48"/>
        <v>0</v>
      </c>
      <c r="M100" s="912">
        <f t="shared" si="48"/>
        <v>0</v>
      </c>
      <c r="N100" s="912">
        <f t="shared" si="48"/>
        <v>0</v>
      </c>
      <c r="O100" s="553">
        <f t="shared" si="48"/>
        <v>0</v>
      </c>
      <c r="Q100" s="439">
        <f t="shared" si="53"/>
        <v>2020</v>
      </c>
      <c r="T100" s="115">
        <f t="shared" ref="T100:AC100" si="55">T87*T72</f>
        <v>0</v>
      </c>
      <c r="U100" s="115">
        <f t="shared" si="55"/>
        <v>0</v>
      </c>
      <c r="V100" s="115">
        <f t="shared" si="55"/>
        <v>0</v>
      </c>
      <c r="W100" s="115">
        <f t="shared" si="55"/>
        <v>0</v>
      </c>
      <c r="X100" s="115">
        <f>X87*X72</f>
        <v>0</v>
      </c>
      <c r="Y100" s="115">
        <f t="shared" si="55"/>
        <v>0</v>
      </c>
      <c r="Z100" s="115">
        <f t="shared" si="55"/>
        <v>0</v>
      </c>
      <c r="AA100" s="115">
        <f t="shared" si="55"/>
        <v>0</v>
      </c>
      <c r="AB100" s="115">
        <f t="shared" si="55"/>
        <v>0</v>
      </c>
      <c r="AC100" s="115">
        <f t="shared" si="55"/>
        <v>0</v>
      </c>
      <c r="AD100" s="508">
        <f t="shared" si="52"/>
        <v>0</v>
      </c>
    </row>
    <row r="101" spans="2:30">
      <c r="B101" s="439">
        <f t="shared" si="47"/>
        <v>2026</v>
      </c>
      <c r="C101" s="909"/>
      <c r="D101" s="909"/>
      <c r="E101" s="909"/>
      <c r="F101" s="909"/>
      <c r="G101" s="909"/>
      <c r="H101" s="912">
        <f t="shared" si="49"/>
        <v>0</v>
      </c>
      <c r="I101" s="912">
        <f t="shared" si="48"/>
        <v>0</v>
      </c>
      <c r="J101" s="912">
        <f t="shared" si="48"/>
        <v>0</v>
      </c>
      <c r="K101" s="912">
        <f t="shared" si="48"/>
        <v>0</v>
      </c>
      <c r="L101" s="912">
        <f t="shared" si="48"/>
        <v>0</v>
      </c>
      <c r="M101" s="912">
        <f t="shared" si="48"/>
        <v>0</v>
      </c>
      <c r="N101" s="912">
        <f t="shared" si="48"/>
        <v>0</v>
      </c>
      <c r="O101" s="553">
        <f t="shared" si="48"/>
        <v>0</v>
      </c>
      <c r="Q101" s="439">
        <f t="shared" si="53"/>
        <v>2021</v>
      </c>
      <c r="T101" s="115">
        <f t="shared" ref="T101:AC101" si="56">T88*T73</f>
        <v>0</v>
      </c>
      <c r="U101" s="115">
        <f t="shared" si="56"/>
        <v>0</v>
      </c>
      <c r="V101" s="115">
        <f t="shared" si="56"/>
        <v>0</v>
      </c>
      <c r="W101" s="115">
        <f t="shared" si="56"/>
        <v>0</v>
      </c>
      <c r="X101" s="115">
        <f>X88*X73</f>
        <v>88848.666666666672</v>
      </c>
      <c r="Y101" s="115">
        <f t="shared" si="56"/>
        <v>0</v>
      </c>
      <c r="Z101" s="115">
        <f t="shared" si="56"/>
        <v>0</v>
      </c>
      <c r="AA101" s="115">
        <f t="shared" si="56"/>
        <v>0</v>
      </c>
      <c r="AB101" s="115">
        <f t="shared" si="56"/>
        <v>0</v>
      </c>
      <c r="AC101" s="115">
        <f t="shared" si="56"/>
        <v>0</v>
      </c>
      <c r="AD101" s="508">
        <f t="shared" si="52"/>
        <v>0</v>
      </c>
    </row>
    <row r="102" spans="2:30">
      <c r="B102" s="439">
        <f t="shared" si="47"/>
        <v>2027</v>
      </c>
      <c r="C102" s="909"/>
      <c r="D102" s="909"/>
      <c r="E102" s="909"/>
      <c r="F102" s="909"/>
      <c r="G102" s="909"/>
      <c r="H102" s="912">
        <f t="shared" si="49"/>
        <v>0</v>
      </c>
      <c r="I102" s="912">
        <f t="shared" si="48"/>
        <v>0</v>
      </c>
      <c r="J102" s="912">
        <f t="shared" si="48"/>
        <v>0</v>
      </c>
      <c r="K102" s="912">
        <f t="shared" si="48"/>
        <v>0</v>
      </c>
      <c r="L102" s="912">
        <f t="shared" si="48"/>
        <v>0</v>
      </c>
      <c r="M102" s="912">
        <f t="shared" si="48"/>
        <v>0</v>
      </c>
      <c r="N102" s="912">
        <f t="shared" si="48"/>
        <v>0</v>
      </c>
      <c r="O102" s="553">
        <f t="shared" si="48"/>
        <v>0</v>
      </c>
      <c r="Q102" s="439">
        <f t="shared" si="53"/>
        <v>2022</v>
      </c>
      <c r="T102" s="115">
        <f t="shared" ref="T102:AC102" si="57">T89*T74</f>
        <v>0</v>
      </c>
      <c r="U102" s="115">
        <f t="shared" si="57"/>
        <v>0</v>
      </c>
      <c r="V102" s="115">
        <f t="shared" si="57"/>
        <v>0</v>
      </c>
      <c r="W102" s="115">
        <f t="shared" si="57"/>
        <v>0</v>
      </c>
      <c r="X102" s="115">
        <f t="shared" si="57"/>
        <v>0</v>
      </c>
      <c r="Y102" s="115">
        <f t="shared" si="57"/>
        <v>0</v>
      </c>
      <c r="Z102" s="115">
        <f t="shared" si="57"/>
        <v>0</v>
      </c>
      <c r="AA102" s="115">
        <f t="shared" si="57"/>
        <v>0</v>
      </c>
      <c r="AB102" s="115">
        <f t="shared" si="57"/>
        <v>0</v>
      </c>
      <c r="AC102" s="115">
        <f t="shared" si="57"/>
        <v>0</v>
      </c>
      <c r="AD102" s="508">
        <f t="shared" si="52"/>
        <v>0</v>
      </c>
    </row>
    <row r="103" spans="2:30">
      <c r="B103" s="439">
        <f t="shared" si="47"/>
        <v>2028</v>
      </c>
      <c r="C103" s="909"/>
      <c r="D103" s="909"/>
      <c r="E103" s="909"/>
      <c r="F103" s="909"/>
      <c r="G103" s="909"/>
      <c r="H103" s="912">
        <f t="shared" si="49"/>
        <v>0</v>
      </c>
      <c r="I103" s="912">
        <f t="shared" si="48"/>
        <v>0</v>
      </c>
      <c r="J103" s="912">
        <f t="shared" si="48"/>
        <v>0</v>
      </c>
      <c r="K103" s="912">
        <f t="shared" si="48"/>
        <v>0</v>
      </c>
      <c r="L103" s="912">
        <f t="shared" si="48"/>
        <v>0</v>
      </c>
      <c r="M103" s="912">
        <f t="shared" si="48"/>
        <v>0</v>
      </c>
      <c r="N103" s="912">
        <f t="shared" si="48"/>
        <v>0</v>
      </c>
      <c r="O103" s="553">
        <f t="shared" si="48"/>
        <v>0</v>
      </c>
      <c r="Q103" s="439">
        <f t="shared" si="53"/>
        <v>2023</v>
      </c>
      <c r="T103" s="115">
        <f t="shared" ref="T103:AC103" si="58">T90*T75</f>
        <v>0</v>
      </c>
      <c r="U103" s="115">
        <f t="shared" si="58"/>
        <v>0</v>
      </c>
      <c r="V103" s="115">
        <f t="shared" si="58"/>
        <v>0</v>
      </c>
      <c r="W103" s="115">
        <f t="shared" si="58"/>
        <v>0</v>
      </c>
      <c r="X103" s="115">
        <f t="shared" si="58"/>
        <v>0</v>
      </c>
      <c r="Y103" s="115">
        <f t="shared" si="58"/>
        <v>0</v>
      </c>
      <c r="Z103" s="115">
        <f t="shared" si="58"/>
        <v>0</v>
      </c>
      <c r="AA103" s="115">
        <f t="shared" si="58"/>
        <v>0</v>
      </c>
      <c r="AB103" s="115">
        <f t="shared" si="58"/>
        <v>0</v>
      </c>
      <c r="AC103" s="115">
        <f t="shared" si="58"/>
        <v>0</v>
      </c>
      <c r="AD103" s="508">
        <f t="shared" si="52"/>
        <v>0</v>
      </c>
    </row>
    <row r="104" spans="2:30">
      <c r="B104" s="439"/>
      <c r="C104" s="909"/>
      <c r="D104" s="909"/>
      <c r="E104" s="909"/>
      <c r="F104" s="909"/>
      <c r="G104" s="909"/>
      <c r="H104" s="909"/>
      <c r="I104" s="909"/>
      <c r="J104" s="909"/>
      <c r="K104" s="909"/>
      <c r="L104" s="909"/>
      <c r="M104" s="909"/>
      <c r="N104" s="909"/>
      <c r="O104" s="548"/>
      <c r="Q104" s="439">
        <f t="shared" si="53"/>
        <v>2024</v>
      </c>
      <c r="T104" s="115">
        <f t="shared" ref="T104:AC104" si="59">T91*T76</f>
        <v>0</v>
      </c>
      <c r="U104" s="115">
        <f t="shared" si="59"/>
        <v>0</v>
      </c>
      <c r="V104" s="115">
        <f t="shared" si="59"/>
        <v>0</v>
      </c>
      <c r="W104" s="115">
        <f t="shared" si="59"/>
        <v>0</v>
      </c>
      <c r="X104" s="115">
        <f t="shared" si="59"/>
        <v>0</v>
      </c>
      <c r="Y104" s="115">
        <f t="shared" si="59"/>
        <v>0</v>
      </c>
      <c r="Z104" s="115">
        <f t="shared" si="59"/>
        <v>0</v>
      </c>
      <c r="AA104" s="115">
        <f t="shared" si="59"/>
        <v>0</v>
      </c>
      <c r="AB104" s="115">
        <f t="shared" si="59"/>
        <v>0</v>
      </c>
      <c r="AC104" s="115">
        <f t="shared" si="59"/>
        <v>0</v>
      </c>
      <c r="AD104" s="508">
        <f t="shared" si="52"/>
        <v>0</v>
      </c>
    </row>
    <row r="105" spans="2:30">
      <c r="B105" s="547" t="s">
        <v>907</v>
      </c>
      <c r="C105" s="909"/>
      <c r="D105" s="909"/>
      <c r="E105" s="909"/>
      <c r="F105" s="909"/>
      <c r="G105" s="909"/>
      <c r="H105" s="909"/>
      <c r="I105" s="909"/>
      <c r="J105" s="909"/>
      <c r="K105" s="909"/>
      <c r="L105" s="909"/>
      <c r="M105" s="909"/>
      <c r="N105" s="909"/>
      <c r="O105" s="548"/>
      <c r="Q105" s="439">
        <f t="shared" si="53"/>
        <v>2025</v>
      </c>
      <c r="T105" s="115">
        <f t="shared" ref="T105:AC105" si="60">T92*T77</f>
        <v>0</v>
      </c>
      <c r="U105" s="115">
        <f t="shared" si="60"/>
        <v>0</v>
      </c>
      <c r="V105" s="115">
        <f t="shared" si="60"/>
        <v>0</v>
      </c>
      <c r="W105" s="115">
        <f t="shared" si="60"/>
        <v>0</v>
      </c>
      <c r="X105" s="115">
        <f t="shared" si="60"/>
        <v>0</v>
      </c>
      <c r="Y105" s="115">
        <f t="shared" si="60"/>
        <v>0</v>
      </c>
      <c r="Z105" s="115">
        <f t="shared" si="60"/>
        <v>0</v>
      </c>
      <c r="AA105" s="115">
        <f t="shared" si="60"/>
        <v>0</v>
      </c>
      <c r="AB105" s="115">
        <f t="shared" si="60"/>
        <v>0</v>
      </c>
      <c r="AC105" s="115">
        <f t="shared" si="60"/>
        <v>0</v>
      </c>
      <c r="AD105" s="508">
        <f t="shared" si="52"/>
        <v>0</v>
      </c>
    </row>
    <row r="106" spans="2:30">
      <c r="B106" s="439">
        <f t="shared" ref="B106:B116" si="61">B93</f>
        <v>2018</v>
      </c>
      <c r="C106" s="909"/>
      <c r="D106" s="909"/>
      <c r="E106" s="909"/>
      <c r="F106" s="909"/>
      <c r="G106" s="909"/>
      <c r="H106" s="909"/>
      <c r="I106" s="1021">
        <f>Price!P119</f>
        <v>25.1</v>
      </c>
      <c r="J106" s="1021">
        <f>Price!E76</f>
        <v>25.853000000000002</v>
      </c>
      <c r="K106" s="1021">
        <f>Price!F76</f>
        <v>26.628589999999999</v>
      </c>
      <c r="L106" s="1021">
        <f>Price!G76</f>
        <v>27.427447700000002</v>
      </c>
      <c r="M106" s="1021">
        <f>Price!H76</f>
        <v>28.250271130999998</v>
      </c>
      <c r="N106" s="1021">
        <f>Price!I76</f>
        <v>29.097779264930004</v>
      </c>
      <c r="O106" s="553"/>
      <c r="Q106" s="439">
        <f t="shared" si="53"/>
        <v>2026</v>
      </c>
      <c r="T106" s="115">
        <f t="shared" ref="T106:AC106" si="62">T93*T78</f>
        <v>0</v>
      </c>
      <c r="U106" s="115">
        <f t="shared" si="62"/>
        <v>0</v>
      </c>
      <c r="V106" s="115">
        <f t="shared" si="62"/>
        <v>0</v>
      </c>
      <c r="W106" s="115">
        <f t="shared" si="62"/>
        <v>0</v>
      </c>
      <c r="X106" s="115">
        <f t="shared" si="62"/>
        <v>0</v>
      </c>
      <c r="Y106" s="115">
        <f t="shared" si="62"/>
        <v>0</v>
      </c>
      <c r="Z106" s="115">
        <f t="shared" si="62"/>
        <v>0</v>
      </c>
      <c r="AA106" s="115">
        <f t="shared" si="62"/>
        <v>0</v>
      </c>
      <c r="AB106" s="115">
        <f t="shared" si="62"/>
        <v>0</v>
      </c>
      <c r="AC106" s="115">
        <f t="shared" si="62"/>
        <v>0</v>
      </c>
      <c r="AD106" s="508">
        <f t="shared" si="52"/>
        <v>0</v>
      </c>
    </row>
    <row r="107" spans="2:30">
      <c r="B107" s="439">
        <f t="shared" si="61"/>
        <v>2019</v>
      </c>
      <c r="C107" s="909"/>
      <c r="D107" s="909"/>
      <c r="E107" s="909"/>
      <c r="F107" s="909"/>
      <c r="G107" s="909"/>
      <c r="H107" s="909"/>
      <c r="I107" s="1021">
        <f>Price!P119</f>
        <v>25.1</v>
      </c>
      <c r="J107" s="1021">
        <f>Price!E77</f>
        <v>25.853000000000002</v>
      </c>
      <c r="K107" s="1021">
        <f>Price!F77</f>
        <v>26.628590000000003</v>
      </c>
      <c r="L107" s="1021">
        <f>Price!G77</f>
        <v>27.427447700000002</v>
      </c>
      <c r="M107" s="1021">
        <f>Price!H77</f>
        <v>28.250271131000002</v>
      </c>
      <c r="N107" s="1021">
        <f>Price!I77</f>
        <v>29.097779264930001</v>
      </c>
      <c r="O107" s="548"/>
      <c r="Q107" s="439">
        <f t="shared" si="53"/>
        <v>2027</v>
      </c>
      <c r="T107" s="115">
        <f t="shared" ref="T107:AC107" si="63">T94*T79</f>
        <v>0</v>
      </c>
      <c r="U107" s="115">
        <f t="shared" si="63"/>
        <v>0</v>
      </c>
      <c r="V107" s="115">
        <f t="shared" si="63"/>
        <v>0</v>
      </c>
      <c r="W107" s="115">
        <f t="shared" si="63"/>
        <v>0</v>
      </c>
      <c r="X107" s="115">
        <f t="shared" si="63"/>
        <v>0</v>
      </c>
      <c r="Y107" s="115">
        <f t="shared" si="63"/>
        <v>0</v>
      </c>
      <c r="Z107" s="115">
        <f t="shared" si="63"/>
        <v>0</v>
      </c>
      <c r="AA107" s="115">
        <f t="shared" si="63"/>
        <v>0</v>
      </c>
      <c r="AB107" s="115">
        <f t="shared" si="63"/>
        <v>0</v>
      </c>
      <c r="AC107" s="115">
        <f t="shared" si="63"/>
        <v>0</v>
      </c>
      <c r="AD107" s="508">
        <f t="shared" si="52"/>
        <v>0</v>
      </c>
    </row>
    <row r="108" spans="2:30">
      <c r="B108" s="439">
        <f t="shared" si="61"/>
        <v>2020</v>
      </c>
      <c r="C108" s="909"/>
      <c r="D108" s="909"/>
      <c r="E108" s="909"/>
      <c r="F108" s="909"/>
      <c r="G108" s="909"/>
      <c r="H108" s="464">
        <f>SUMIF(Price!$B$76:$B$84,$B108,Price!$D$76:$D$84)</f>
        <v>0</v>
      </c>
      <c r="I108" s="1021">
        <f>Price!P119</f>
        <v>25.1</v>
      </c>
      <c r="J108" s="1021">
        <f>J107</f>
        <v>25.853000000000002</v>
      </c>
      <c r="K108" s="1021">
        <f>Price!F78</f>
        <v>26.628590000000003</v>
      </c>
      <c r="L108" s="1021">
        <f>Price!G78</f>
        <v>27.427447700000002</v>
      </c>
      <c r="M108" s="1021">
        <f>Price!H78</f>
        <v>28.250271131000002</v>
      </c>
      <c r="N108" s="1021">
        <f>Price!I78</f>
        <v>29.097779264930004</v>
      </c>
      <c r="O108" s="468">
        <f>SUMIF(Price!$B$76:$B$84,$B108,Price!$J$76:$J$84)</f>
        <v>0</v>
      </c>
      <c r="Q108" s="439">
        <f t="shared" si="53"/>
        <v>2028</v>
      </c>
      <c r="T108" s="115">
        <f t="shared" ref="T108:AC108" si="64">T95*T80</f>
        <v>0</v>
      </c>
      <c r="U108" s="115">
        <f t="shared" si="64"/>
        <v>0</v>
      </c>
      <c r="V108" s="115">
        <f t="shared" si="64"/>
        <v>0</v>
      </c>
      <c r="W108" s="115">
        <f t="shared" si="64"/>
        <v>0</v>
      </c>
      <c r="X108" s="115">
        <f t="shared" si="64"/>
        <v>0</v>
      </c>
      <c r="Y108" s="115">
        <f t="shared" si="64"/>
        <v>0</v>
      </c>
      <c r="Z108" s="115">
        <f t="shared" si="64"/>
        <v>0</v>
      </c>
      <c r="AA108" s="115">
        <f t="shared" si="64"/>
        <v>0</v>
      </c>
      <c r="AB108" s="115">
        <f t="shared" si="64"/>
        <v>0</v>
      </c>
      <c r="AC108" s="115">
        <f t="shared" si="64"/>
        <v>0</v>
      </c>
      <c r="AD108" s="508">
        <f t="shared" si="52"/>
        <v>0</v>
      </c>
    </row>
    <row r="109" spans="2:30">
      <c r="B109" s="439">
        <f t="shared" si="61"/>
        <v>2021</v>
      </c>
      <c r="C109" s="909"/>
      <c r="D109" s="909"/>
      <c r="E109" s="909"/>
      <c r="F109" s="909"/>
      <c r="G109" s="909"/>
      <c r="H109" s="464">
        <f>SUMIF(Price!$B$76:$B$84,$B109,Price!$D$76:$D$84)</f>
        <v>25.1</v>
      </c>
      <c r="I109" s="464">
        <f>SUMIF(Price!$B$76:$B$84,$B109,Price!$E$76:$E$84)</f>
        <v>25.853000000000002</v>
      </c>
      <c r="J109" s="464">
        <f>SUMIF(Price!$B$76:$B$84,$B109,Price!$F$76:$F$84)</f>
        <v>26.628589999999999</v>
      </c>
      <c r="K109" s="464">
        <f>SUMIF(Price!$B$76:$B$84,$B109,Price!$G$76:$G$84)</f>
        <v>27.427447700000002</v>
      </c>
      <c r="L109" s="464">
        <f>SUMIF(Price!$B$76:$B$84,$B109,Price!$H$76:$H$84)</f>
        <v>28.250271130999998</v>
      </c>
      <c r="M109" s="464">
        <f>SUMIF(Price!$B$76:$B$84,$B109,Price!$I$76:$I$84)</f>
        <v>29.097779264930004</v>
      </c>
      <c r="N109" s="464">
        <f>SUMIF(Price!$B$76:$B$84,$B109,Price!$J$76:$J$84)</f>
        <v>29.970712642877899</v>
      </c>
      <c r="O109" s="468">
        <f>SUMIF(Price!$B$76:$B$84,$B109,Price!$J$76:$J$84)</f>
        <v>29.970712642877899</v>
      </c>
      <c r="Q109" s="439"/>
      <c r="T109" s="115">
        <f t="shared" ref="T109:AC109" si="65">T96*T81</f>
        <v>0</v>
      </c>
      <c r="U109" s="115">
        <f t="shared" si="65"/>
        <v>0</v>
      </c>
      <c r="V109" s="115">
        <f t="shared" si="65"/>
        <v>0</v>
      </c>
      <c r="W109" s="115">
        <f t="shared" si="65"/>
        <v>0</v>
      </c>
      <c r="X109" s="115">
        <f t="shared" si="65"/>
        <v>0</v>
      </c>
      <c r="Y109" s="115">
        <f t="shared" si="65"/>
        <v>0</v>
      </c>
      <c r="Z109" s="115">
        <f t="shared" si="65"/>
        <v>0</v>
      </c>
      <c r="AA109" s="115">
        <f t="shared" si="65"/>
        <v>0</v>
      </c>
      <c r="AB109" s="115">
        <f t="shared" si="65"/>
        <v>0</v>
      </c>
      <c r="AC109" s="115">
        <f t="shared" si="65"/>
        <v>0</v>
      </c>
      <c r="AD109" s="508">
        <f t="shared" si="52"/>
        <v>0</v>
      </c>
    </row>
    <row r="110" spans="2:30" ht="13.5" thickBot="1">
      <c r="B110" s="439">
        <f t="shared" si="61"/>
        <v>2022</v>
      </c>
      <c r="C110" s="909"/>
      <c r="D110" s="909"/>
      <c r="E110" s="909"/>
      <c r="F110" s="909"/>
      <c r="G110" s="909"/>
      <c r="H110" s="464">
        <f>SUMIF(Price!$B$76:$B$84,$B110,Price!$D$76:$D$84)</f>
        <v>0</v>
      </c>
      <c r="I110" s="464">
        <f>SUMIF(Price!$B$76:$B$84,$B110,Price!$E$76:$E$84)</f>
        <v>25.853000000000002</v>
      </c>
      <c r="J110" s="464">
        <f>SUMIF(Price!$B$76:$B$84,$B110,Price!$F$76:$F$84)</f>
        <v>26.628590000000003</v>
      </c>
      <c r="K110" s="464">
        <f>SUMIF(Price!$B$76:$B$84,$B110,Price!$G$76:$G$84)</f>
        <v>27.427447700000002</v>
      </c>
      <c r="L110" s="464">
        <f>SUMIF(Price!$B$76:$B$84,$B110,Price!$H$76:$H$84)</f>
        <v>28.250271131000002</v>
      </c>
      <c r="M110" s="464">
        <f>SUMIF(Price!$B$76:$B$84,$B110,Price!$I$76:$I$84)</f>
        <v>29.097779264930001</v>
      </c>
      <c r="N110" s="464">
        <f>SUMIF(Price!$B$76:$B$84,$B110,Price!$J$76:$J$84)</f>
        <v>29.970712642877903</v>
      </c>
      <c r="O110" s="468">
        <f>SUMIF(Price!$B$76:$B$84,$B110,Price!$J$76:$J$84)</f>
        <v>29.970712642877903</v>
      </c>
      <c r="Q110" s="601" t="s">
        <v>590</v>
      </c>
      <c r="R110" s="555"/>
      <c r="S110" s="555"/>
      <c r="T110" s="622">
        <f t="shared" ref="T110:AC110" si="66">SUM(T98:T109)</f>
        <v>0</v>
      </c>
      <c r="U110" s="622">
        <f t="shared" si="66"/>
        <v>0</v>
      </c>
      <c r="V110" s="622">
        <f t="shared" si="66"/>
        <v>0</v>
      </c>
      <c r="W110" s="622">
        <f t="shared" si="66"/>
        <v>0</v>
      </c>
      <c r="X110" s="622">
        <f t="shared" si="66"/>
        <v>88848.666666666672</v>
      </c>
      <c r="Y110" s="622">
        <f t="shared" si="66"/>
        <v>0</v>
      </c>
      <c r="Z110" s="622">
        <f t="shared" si="66"/>
        <v>0</v>
      </c>
      <c r="AA110" s="622">
        <f t="shared" si="66"/>
        <v>0</v>
      </c>
      <c r="AB110" s="622">
        <f t="shared" si="66"/>
        <v>0</v>
      </c>
      <c r="AC110" s="622">
        <f t="shared" si="66"/>
        <v>0</v>
      </c>
      <c r="AD110" s="625">
        <f>SUM(AD98:AD109)</f>
        <v>0</v>
      </c>
    </row>
    <row r="111" spans="2:30">
      <c r="B111" s="439">
        <f t="shared" si="61"/>
        <v>2023</v>
      </c>
      <c r="C111" s="909"/>
      <c r="D111" s="909"/>
      <c r="E111" s="909"/>
      <c r="F111" s="909"/>
      <c r="G111" s="909"/>
      <c r="H111" s="464">
        <f>SUMIF(Price!$B$76:$B$84,$B111,Price!$D$76:$D$84)</f>
        <v>0</v>
      </c>
      <c r="I111" s="464">
        <f>SUMIF(Price!$B$76:$B$84,$B111,Price!$E$76:$E$84)</f>
        <v>0</v>
      </c>
      <c r="J111" s="464">
        <f>SUMIF(Price!$B$76:$B$84,$B111,Price!$F$76:$F$84)</f>
        <v>26.628590000000003</v>
      </c>
      <c r="K111" s="464">
        <f>SUMIF(Price!$B$76:$B$84,$B111,Price!$G$76:$G$84)</f>
        <v>27.427447700000002</v>
      </c>
      <c r="L111" s="464">
        <f>SUMIF(Price!$B$76:$B$84,$B111,Price!$H$76:$H$84)</f>
        <v>28.250271131000002</v>
      </c>
      <c r="M111" s="464">
        <f>SUMIF(Price!$B$76:$B$84,$B111,Price!$I$76:$I$84)</f>
        <v>29.097779264930004</v>
      </c>
      <c r="N111" s="464">
        <f>SUMIF(Price!$B$76:$B$84,$B111,Price!$J$76:$J$84)</f>
        <v>29.970712642877899</v>
      </c>
      <c r="O111" s="468">
        <f>SUMIF(Price!$B$76:$B$84,$B111,Price!$J$76:$J$84)</f>
        <v>29.970712642877899</v>
      </c>
    </row>
    <row r="112" spans="2:30" ht="13.5" thickBot="1">
      <c r="B112" s="439">
        <f t="shared" si="61"/>
        <v>2024</v>
      </c>
      <c r="C112" s="909"/>
      <c r="D112" s="909"/>
      <c r="E112" s="909"/>
      <c r="F112" s="909"/>
      <c r="G112" s="909"/>
      <c r="H112" s="464">
        <f>SUMIF(Price!$B$76:$B$84,$B112,Price!$D$76:$D$84)</f>
        <v>0</v>
      </c>
      <c r="I112" s="464">
        <f>SUMIF(Price!$B$76:$B$84,$B112,Price!$E$76:$E$84)</f>
        <v>0</v>
      </c>
      <c r="J112" s="464">
        <f>SUMIF(Price!$B$76:$B$84,$B112,Price!$F$76:$F$84)</f>
        <v>0</v>
      </c>
      <c r="K112" s="464">
        <f>SUMIF(Price!$B$76:$B$84,$B112,Price!$G$76:$G$84)</f>
        <v>27.427447700000002</v>
      </c>
      <c r="L112" s="464">
        <f>SUMIF(Price!$B$76:$B$84,$B112,Price!$H$76:$H$84)</f>
        <v>28.250271131000002</v>
      </c>
      <c r="M112" s="464">
        <f>SUMIF(Price!$B$76:$B$84,$B112,Price!$I$76:$I$84)</f>
        <v>29.097779264930001</v>
      </c>
      <c r="N112" s="464">
        <f>SUMIF(Price!$B$76:$B$84,$B112,Price!$J$76:$J$84)</f>
        <v>29.970712642877903</v>
      </c>
      <c r="O112" s="468">
        <f>SUMIF(Price!$B$76:$B$84,$B112,Price!$J$76:$J$84)</f>
        <v>29.970712642877903</v>
      </c>
      <c r="R112" s="116"/>
      <c r="S112" s="116"/>
      <c r="T112" s="116"/>
      <c r="U112" s="116"/>
      <c r="V112" s="116"/>
      <c r="W112" s="116"/>
      <c r="X112" s="116"/>
    </row>
    <row r="113" spans="2:26">
      <c r="B113" s="439">
        <f t="shared" si="61"/>
        <v>2025</v>
      </c>
      <c r="C113" s="909"/>
      <c r="D113" s="909"/>
      <c r="E113" s="909"/>
      <c r="F113" s="909"/>
      <c r="G113" s="909"/>
      <c r="H113" s="464">
        <f>SUMIF(Price!$B$76:$B$84,$B113,Price!$D$76:$D$84)</f>
        <v>0</v>
      </c>
      <c r="I113" s="464">
        <f>SUMIF(Price!$B$76:$B$84,$B113,Price!$E$76:$E$84)</f>
        <v>0</v>
      </c>
      <c r="J113" s="464">
        <f>SUMIF(Price!$B$76:$B$84,$B113,Price!$F$76:$F$84)</f>
        <v>0</v>
      </c>
      <c r="K113" s="464">
        <f>SUMIF(Price!$B$76:$B$84,$B113,Price!$G$76:$G$84)</f>
        <v>0</v>
      </c>
      <c r="L113" s="464">
        <f>SUMIF(Price!$B$76:$B$84,$B113,Price!$H$76:$H$84)</f>
        <v>28.250271131000002</v>
      </c>
      <c r="M113" s="464">
        <f>SUMIF(Price!$B$76:$B$84,$B113,Price!$I$76:$I$84)</f>
        <v>29.097779264930004</v>
      </c>
      <c r="N113" s="464">
        <f>SUMIF(Price!$B$76:$B$84,$B113,Price!$J$76:$J$84)</f>
        <v>29.970712642877899</v>
      </c>
      <c r="O113" s="468">
        <f>SUMIF(Price!$B$76:$B$84,$B113,Price!$J$76:$J$84)</f>
        <v>29.970712642877899</v>
      </c>
      <c r="Q113" s="2844" t="s">
        <v>1190</v>
      </c>
      <c r="R113" s="2845"/>
      <c r="S113" s="546"/>
      <c r="T113" s="546"/>
      <c r="U113" s="546"/>
      <c r="V113" s="546"/>
      <c r="W113" s="546"/>
      <c r="X113" s="546"/>
      <c r="Y113" s="546"/>
      <c r="Z113" s="597"/>
    </row>
    <row r="114" spans="2:26">
      <c r="B114" s="439">
        <f t="shared" si="61"/>
        <v>2026</v>
      </c>
      <c r="C114" s="909"/>
      <c r="D114" s="909"/>
      <c r="E114" s="909"/>
      <c r="F114" s="909"/>
      <c r="G114" s="909"/>
      <c r="H114" s="464">
        <f>SUMIF(Price!$B$76:$B$84,$B114,Price!$D$76:$D$84)</f>
        <v>0</v>
      </c>
      <c r="I114" s="464">
        <f>SUMIF(Price!$B$76:$B$84,$B114,Price!$E$76:$E$84)</f>
        <v>0</v>
      </c>
      <c r="J114" s="464">
        <f>SUMIF(Price!$B$76:$B$84,$B114,Price!$F$76:$F$84)</f>
        <v>0</v>
      </c>
      <c r="K114" s="464">
        <f>SUMIF(Price!$B$76:$B$84,$B114,Price!$G$76:$G$84)</f>
        <v>0</v>
      </c>
      <c r="L114" s="464">
        <f>SUMIF(Price!$B$76:$B$84,$B114,Price!$H$76:$H$84)</f>
        <v>0</v>
      </c>
      <c r="M114" s="464">
        <f>SUMIF(Price!$B$76:$B$84,$B114,Price!$I$76:$I$84)</f>
        <v>29.097779264930001</v>
      </c>
      <c r="N114" s="464">
        <f>SUMIF(Price!$B$76:$B$84,$B114,Price!$J$76:$J$84)</f>
        <v>29.970712642877903</v>
      </c>
      <c r="O114" s="468">
        <f>SUMIF(Price!$B$76:$B$84,$B114,Price!$J$76:$J$84)</f>
        <v>29.970712642877903</v>
      </c>
      <c r="Q114" s="439"/>
      <c r="R114" s="464"/>
      <c r="S114" s="909"/>
      <c r="T114" s="909"/>
      <c r="U114" s="909"/>
      <c r="V114" s="909"/>
      <c r="W114" s="909"/>
      <c r="X114" s="909"/>
      <c r="Y114" s="909"/>
      <c r="Z114" s="548"/>
    </row>
    <row r="115" spans="2:26">
      <c r="B115" s="439">
        <f t="shared" si="61"/>
        <v>2027</v>
      </c>
      <c r="C115" s="909"/>
      <c r="D115" s="909"/>
      <c r="E115" s="909"/>
      <c r="F115" s="909"/>
      <c r="G115" s="909"/>
      <c r="H115" s="464">
        <f>SUMIF(Price!$B$76:$B$84,$B115,Price!$D$76:$D$84)</f>
        <v>0</v>
      </c>
      <c r="I115" s="464">
        <f>SUMIF(Price!$B$76:$B$84,$B115,Price!$E$76:$E$84)</f>
        <v>0</v>
      </c>
      <c r="J115" s="464">
        <f>SUMIF(Price!$B$76:$B$84,$B115,Price!$F$76:$F$84)</f>
        <v>0</v>
      </c>
      <c r="K115" s="464">
        <f>SUMIF(Price!$B$76:$B$84,$B115,Price!$G$76:$G$84)</f>
        <v>0</v>
      </c>
      <c r="L115" s="464">
        <f>SUMIF(Price!$B$76:$B$84,$B115,Price!$H$76:$H$84)</f>
        <v>0</v>
      </c>
      <c r="M115" s="464">
        <f>SUMIF(Price!$B$76:$B$84,$B115,Price!$I$76:$I$84)</f>
        <v>0</v>
      </c>
      <c r="N115" s="464">
        <f>SUMIF(Price!$B$76:$B$84,$B115,Price!$J$76:$J$84)</f>
        <v>29.970712642877899</v>
      </c>
      <c r="O115" s="468">
        <f>SUMIF(Price!$B$76:$B$84,$B115,Price!$J$76:$J$84)</f>
        <v>29.970712642877899</v>
      </c>
      <c r="Q115" s="2846" t="s">
        <v>1188</v>
      </c>
      <c r="R115" s="909"/>
      <c r="S115" s="550">
        <f t="shared" ref="S115:Y115" si="67">S142</f>
        <v>2023</v>
      </c>
      <c r="T115" s="550">
        <f t="shared" si="67"/>
        <v>2024</v>
      </c>
      <c r="U115" s="550">
        <f t="shared" si="67"/>
        <v>2025</v>
      </c>
      <c r="V115" s="550">
        <f t="shared" si="67"/>
        <v>2026</v>
      </c>
      <c r="W115" s="550">
        <f t="shared" si="67"/>
        <v>2027</v>
      </c>
      <c r="X115" s="550">
        <f t="shared" si="67"/>
        <v>2028</v>
      </c>
      <c r="Y115" s="550">
        <f t="shared" si="67"/>
        <v>2029</v>
      </c>
      <c r="Z115" s="548"/>
    </row>
    <row r="116" spans="2:26">
      <c r="B116" s="439">
        <f t="shared" si="61"/>
        <v>2028</v>
      </c>
      <c r="C116" s="909"/>
      <c r="D116" s="909"/>
      <c r="E116" s="909"/>
      <c r="F116" s="909"/>
      <c r="G116" s="909"/>
      <c r="H116" s="464">
        <f>SUMIF(Price!$B$76:$B$84,$B116,Price!$D$76:$D$84)</f>
        <v>0</v>
      </c>
      <c r="I116" s="464">
        <f>SUMIF(Price!$B$76:$B$84,$B116,Price!$E$76:$E$84)</f>
        <v>0</v>
      </c>
      <c r="J116" s="464">
        <f>SUMIF(Price!$B$76:$B$84,$B116,Price!$F$76:$F$84)</f>
        <v>0</v>
      </c>
      <c r="K116" s="464">
        <f>SUMIF(Price!$B$76:$B$84,$B116,Price!$G$76:$G$84)</f>
        <v>0</v>
      </c>
      <c r="L116" s="464">
        <f>SUMIF(Price!$B$76:$B$84,$B116,Price!$H$76:$H$84)</f>
        <v>0</v>
      </c>
      <c r="M116" s="464">
        <f>SUMIF(Price!$B$76:$B$84,$B116,Price!$I$76:$I$84)</f>
        <v>0</v>
      </c>
      <c r="N116" s="464">
        <f>SUMIF(Price!$B$76:$B$84,$B116,Price!$J$76:$J$84)</f>
        <v>0</v>
      </c>
      <c r="O116" s="468">
        <f>SUMIF(Price!$B$76:$B$84,$B116,Price!$J$76:$J$84)</f>
        <v>0</v>
      </c>
      <c r="Q116" s="2846">
        <f>Q143</f>
        <v>2018</v>
      </c>
      <c r="R116" s="909"/>
      <c r="S116" s="912">
        <f>I33</f>
        <v>14202.666666666657</v>
      </c>
      <c r="T116" s="912">
        <f t="shared" ref="T116:Y116" si="68">IF(S116=0,0,S116-S122)</f>
        <v>13858.666666666657</v>
      </c>
      <c r="U116" s="912">
        <f t="shared" si="68"/>
        <v>0</v>
      </c>
      <c r="V116" s="912">
        <f t="shared" si="68"/>
        <v>0</v>
      </c>
      <c r="W116" s="912">
        <f t="shared" si="68"/>
        <v>0</v>
      </c>
      <c r="X116" s="912">
        <f t="shared" si="68"/>
        <v>0</v>
      </c>
      <c r="Y116" s="912">
        <f t="shared" si="68"/>
        <v>0</v>
      </c>
      <c r="Z116" s="548"/>
    </row>
    <row r="117" spans="2:26">
      <c r="B117" s="439"/>
      <c r="C117" s="909"/>
      <c r="D117" s="909"/>
      <c r="E117" s="909"/>
      <c r="F117" s="909"/>
      <c r="G117" s="909"/>
      <c r="H117" s="909"/>
      <c r="I117" s="909"/>
      <c r="J117" s="909"/>
      <c r="K117" s="909"/>
      <c r="L117" s="909"/>
      <c r="M117" s="909"/>
      <c r="N117" s="909"/>
      <c r="O117" s="548"/>
      <c r="Q117" s="2846">
        <f>Q144</f>
        <v>2019</v>
      </c>
      <c r="R117" s="909"/>
      <c r="S117" s="912">
        <f t="shared" ref="S117:Y117" si="69">R117-R123</f>
        <v>0</v>
      </c>
      <c r="T117" s="912">
        <f t="shared" si="69"/>
        <v>0</v>
      </c>
      <c r="U117" s="912">
        <f t="shared" si="69"/>
        <v>0</v>
      </c>
      <c r="V117" s="912">
        <f t="shared" si="69"/>
        <v>0</v>
      </c>
      <c r="W117" s="912">
        <f t="shared" si="69"/>
        <v>0</v>
      </c>
      <c r="X117" s="912">
        <f t="shared" si="69"/>
        <v>0</v>
      </c>
      <c r="Y117" s="912">
        <f t="shared" si="69"/>
        <v>0</v>
      </c>
      <c r="Z117" s="548"/>
    </row>
    <row r="118" spans="2:26">
      <c r="B118" s="547" t="s">
        <v>908</v>
      </c>
      <c r="C118" s="909"/>
      <c r="D118" s="909"/>
      <c r="E118" s="909"/>
      <c r="F118" s="909"/>
      <c r="G118" s="909"/>
      <c r="H118" s="909"/>
      <c r="I118" s="909"/>
      <c r="J118" s="909"/>
      <c r="K118" s="909"/>
      <c r="L118" s="909"/>
      <c r="M118" s="909"/>
      <c r="N118" s="909"/>
      <c r="O118" s="548"/>
      <c r="Q118" s="2846">
        <f>Q145</f>
        <v>2020</v>
      </c>
      <c r="R118" s="909"/>
      <c r="S118" s="554"/>
      <c r="T118" s="554"/>
      <c r="U118" s="554"/>
      <c r="V118" s="554"/>
      <c r="W118" s="554"/>
      <c r="X118" s="554"/>
      <c r="Y118" s="554"/>
      <c r="Z118" s="548"/>
    </row>
    <row r="119" spans="2:26">
      <c r="B119" s="439">
        <f>B106</f>
        <v>2018</v>
      </c>
      <c r="C119" s="909"/>
      <c r="D119" s="909"/>
      <c r="E119" s="909"/>
      <c r="F119" s="909"/>
      <c r="G119" s="909"/>
      <c r="H119" s="115">
        <f t="shared" ref="H119:H130" si="70">H106*H93</f>
        <v>0</v>
      </c>
      <c r="I119" s="115">
        <f>I106*I93</f>
        <v>0</v>
      </c>
      <c r="J119" s="115">
        <f>J106*J93</f>
        <v>190769.28700000001</v>
      </c>
      <c r="K119" s="115">
        <f t="shared" ref="I119:N120" si="71">K106*K93</f>
        <v>0</v>
      </c>
      <c r="L119" s="115">
        <f t="shared" si="71"/>
        <v>0</v>
      </c>
      <c r="M119" s="115">
        <f t="shared" si="71"/>
        <v>0</v>
      </c>
      <c r="N119" s="115">
        <f t="shared" si="71"/>
        <v>0</v>
      </c>
      <c r="O119" s="508">
        <f t="shared" ref="O119:O130" si="72">O106*O93</f>
        <v>0</v>
      </c>
      <c r="Q119" s="2846"/>
      <c r="R119" s="909"/>
      <c r="S119" s="912">
        <f>SUM(S116:S118)</f>
        <v>14202.666666666657</v>
      </c>
      <c r="T119" s="912">
        <f t="shared" ref="T119:Y119" si="73">SUM(T116:T118)</f>
        <v>13858.666666666657</v>
      </c>
      <c r="U119" s="912">
        <f t="shared" si="73"/>
        <v>0</v>
      </c>
      <c r="V119" s="912">
        <f t="shared" si="73"/>
        <v>0</v>
      </c>
      <c r="W119" s="912">
        <f t="shared" si="73"/>
        <v>0</v>
      </c>
      <c r="X119" s="912">
        <f t="shared" si="73"/>
        <v>0</v>
      </c>
      <c r="Y119" s="912">
        <f t="shared" si="73"/>
        <v>0</v>
      </c>
      <c r="Z119" s="548"/>
    </row>
    <row r="120" spans="2:26">
      <c r="B120" s="439">
        <f>B107</f>
        <v>2019</v>
      </c>
      <c r="C120" s="909"/>
      <c r="D120" s="909"/>
      <c r="E120" s="909"/>
      <c r="F120" s="909"/>
      <c r="G120" s="909"/>
      <c r="H120" s="115">
        <f t="shared" si="70"/>
        <v>0</v>
      </c>
      <c r="I120" s="115">
        <f t="shared" si="71"/>
        <v>0</v>
      </c>
      <c r="J120" s="115">
        <f t="shared" si="71"/>
        <v>0</v>
      </c>
      <c r="K120" s="115">
        <f t="shared" si="71"/>
        <v>0</v>
      </c>
      <c r="L120" s="115">
        <f t="shared" si="71"/>
        <v>0</v>
      </c>
      <c r="M120" s="115">
        <f t="shared" si="71"/>
        <v>0</v>
      </c>
      <c r="N120" s="115">
        <f t="shared" si="71"/>
        <v>0</v>
      </c>
      <c r="O120" s="508">
        <f t="shared" si="72"/>
        <v>0</v>
      </c>
      <c r="Q120" s="2846"/>
      <c r="R120" s="909"/>
      <c r="S120" s="909"/>
      <c r="T120" s="909"/>
      <c r="U120" s="909"/>
      <c r="V120" s="909"/>
      <c r="W120" s="909"/>
      <c r="X120" s="909"/>
      <c r="Y120" s="909"/>
      <c r="Z120" s="548"/>
    </row>
    <row r="121" spans="2:26">
      <c r="B121" s="439">
        <f t="shared" ref="B121:B130" si="74">B108</f>
        <v>2020</v>
      </c>
      <c r="C121" s="909"/>
      <c r="D121" s="909"/>
      <c r="E121" s="909"/>
      <c r="F121" s="909"/>
      <c r="G121" s="909"/>
      <c r="H121" s="115">
        <f t="shared" si="70"/>
        <v>0</v>
      </c>
      <c r="I121" s="115">
        <f t="shared" ref="I121:N121" si="75">I108*I95</f>
        <v>0</v>
      </c>
      <c r="J121" s="115">
        <f t="shared" si="75"/>
        <v>0</v>
      </c>
      <c r="K121" s="115">
        <f t="shared" si="75"/>
        <v>0</v>
      </c>
      <c r="L121" s="115">
        <f t="shared" si="75"/>
        <v>0</v>
      </c>
      <c r="M121" s="115">
        <f t="shared" si="75"/>
        <v>0</v>
      </c>
      <c r="N121" s="115">
        <f t="shared" si="75"/>
        <v>0</v>
      </c>
      <c r="O121" s="508">
        <f t="shared" si="72"/>
        <v>0</v>
      </c>
      <c r="Q121" s="2846" t="s">
        <v>422</v>
      </c>
      <c r="R121" s="909"/>
      <c r="S121" s="550">
        <f>S115</f>
        <v>2023</v>
      </c>
      <c r="T121" s="550">
        <f t="shared" ref="T121:Y121" si="76">T115</f>
        <v>2024</v>
      </c>
      <c r="U121" s="550">
        <f t="shared" si="76"/>
        <v>2025</v>
      </c>
      <c r="V121" s="550">
        <f t="shared" si="76"/>
        <v>2026</v>
      </c>
      <c r="W121" s="550">
        <f t="shared" si="76"/>
        <v>2027</v>
      </c>
      <c r="X121" s="550">
        <f t="shared" si="76"/>
        <v>2028</v>
      </c>
      <c r="Y121" s="550">
        <f t="shared" si="76"/>
        <v>2029</v>
      </c>
      <c r="Z121" s="627" t="s">
        <v>26</v>
      </c>
    </row>
    <row r="122" spans="2:26">
      <c r="B122" s="439">
        <f t="shared" si="74"/>
        <v>2021</v>
      </c>
      <c r="C122" s="909"/>
      <c r="D122" s="909"/>
      <c r="E122" s="909"/>
      <c r="F122" s="909"/>
      <c r="G122" s="909"/>
      <c r="H122" s="115">
        <f t="shared" si="70"/>
        <v>0</v>
      </c>
      <c r="I122" s="115">
        <f t="shared" ref="I122:N122" si="77">I109*I96</f>
        <v>0</v>
      </c>
      <c r="J122" s="115">
        <f>J109*J96</f>
        <v>0</v>
      </c>
      <c r="K122" s="115">
        <f t="shared" si="77"/>
        <v>0</v>
      </c>
      <c r="L122" s="115">
        <f t="shared" si="77"/>
        <v>0</v>
      </c>
      <c r="M122" s="115">
        <f t="shared" si="77"/>
        <v>0</v>
      </c>
      <c r="N122" s="115">
        <f t="shared" si="77"/>
        <v>0</v>
      </c>
      <c r="O122" s="508">
        <f t="shared" si="72"/>
        <v>0</v>
      </c>
      <c r="Q122" s="2846">
        <f>Q116</f>
        <v>2018</v>
      </c>
      <c r="R122" s="909"/>
      <c r="S122" s="115">
        <f>I31</f>
        <v>344</v>
      </c>
      <c r="T122" s="115">
        <f t="shared" ref="T122:Y122" si="78">IF(J31&gt;T116,T116,J31)</f>
        <v>13858.666666666657</v>
      </c>
      <c r="U122" s="115">
        <f t="shared" si="78"/>
        <v>0</v>
      </c>
      <c r="V122" s="115">
        <f t="shared" si="78"/>
        <v>0</v>
      </c>
      <c r="W122" s="115">
        <f t="shared" si="78"/>
        <v>0</v>
      </c>
      <c r="X122" s="115">
        <f t="shared" si="78"/>
        <v>0</v>
      </c>
      <c r="Y122" s="115">
        <f t="shared" si="78"/>
        <v>0</v>
      </c>
      <c r="Z122" s="508">
        <f>SUM(S122:Y122)</f>
        <v>14202.666666666657</v>
      </c>
    </row>
    <row r="123" spans="2:26">
      <c r="B123" s="439">
        <f t="shared" si="74"/>
        <v>2022</v>
      </c>
      <c r="C123" s="909"/>
      <c r="D123" s="909"/>
      <c r="E123" s="909"/>
      <c r="F123" s="909"/>
      <c r="G123" s="909"/>
      <c r="H123" s="115">
        <f t="shared" si="70"/>
        <v>0</v>
      </c>
      <c r="I123" s="115">
        <f t="shared" ref="I123:N123" si="79">I110*I97</f>
        <v>0</v>
      </c>
      <c r="J123" s="115">
        <f t="shared" si="79"/>
        <v>0</v>
      </c>
      <c r="K123" s="115">
        <f t="shared" si="79"/>
        <v>0</v>
      </c>
      <c r="L123" s="115">
        <f t="shared" si="79"/>
        <v>0</v>
      </c>
      <c r="M123" s="115">
        <f t="shared" si="79"/>
        <v>0</v>
      </c>
      <c r="N123" s="115">
        <f t="shared" si="79"/>
        <v>0</v>
      </c>
      <c r="O123" s="508">
        <f t="shared" si="72"/>
        <v>0</v>
      </c>
      <c r="Q123" s="2846">
        <f>Q117</f>
        <v>2019</v>
      </c>
      <c r="R123" s="909"/>
      <c r="S123" s="115"/>
      <c r="T123" s="115"/>
      <c r="U123" s="115"/>
      <c r="V123" s="115"/>
      <c r="W123" s="115"/>
      <c r="X123" s="115"/>
      <c r="Y123" s="115"/>
      <c r="Z123" s="508">
        <f>SUM(S123:Y123)</f>
        <v>0</v>
      </c>
    </row>
    <row r="124" spans="2:26">
      <c r="B124" s="439">
        <f t="shared" si="74"/>
        <v>2023</v>
      </c>
      <c r="C124" s="909"/>
      <c r="D124" s="909"/>
      <c r="E124" s="909"/>
      <c r="F124" s="909"/>
      <c r="G124" s="909"/>
      <c r="H124" s="115">
        <f t="shared" si="70"/>
        <v>0</v>
      </c>
      <c r="I124" s="115">
        <f t="shared" ref="I124:N124" si="80">I111*I98</f>
        <v>0</v>
      </c>
      <c r="J124" s="115">
        <f t="shared" si="80"/>
        <v>0</v>
      </c>
      <c r="K124" s="115">
        <f>K111*K98</f>
        <v>0</v>
      </c>
      <c r="L124" s="115">
        <f t="shared" si="80"/>
        <v>0</v>
      </c>
      <c r="M124" s="115">
        <f t="shared" si="80"/>
        <v>0</v>
      </c>
      <c r="N124" s="115">
        <f t="shared" si="80"/>
        <v>0</v>
      </c>
      <c r="O124" s="508">
        <f t="shared" si="72"/>
        <v>0</v>
      </c>
      <c r="Q124" s="2846">
        <f>Q118</f>
        <v>2020</v>
      </c>
      <c r="R124" s="909"/>
      <c r="S124" s="114"/>
      <c r="T124" s="114"/>
      <c r="U124" s="114"/>
      <c r="V124" s="114"/>
      <c r="W124" s="114"/>
      <c r="X124" s="114"/>
      <c r="Y124" s="114"/>
      <c r="Z124" s="561">
        <f>SUM(S124:Y124)</f>
        <v>0</v>
      </c>
    </row>
    <row r="125" spans="2:26">
      <c r="B125" s="439">
        <f t="shared" si="74"/>
        <v>2024</v>
      </c>
      <c r="C125" s="909"/>
      <c r="D125" s="909"/>
      <c r="E125" s="909"/>
      <c r="F125" s="909"/>
      <c r="G125" s="909"/>
      <c r="H125" s="115">
        <f t="shared" si="70"/>
        <v>0</v>
      </c>
      <c r="I125" s="115">
        <f t="shared" ref="I125:N125" si="81">I112*I99</f>
        <v>0</v>
      </c>
      <c r="J125" s="115">
        <f t="shared" si="81"/>
        <v>0</v>
      </c>
      <c r="K125" s="115">
        <f t="shared" si="81"/>
        <v>0</v>
      </c>
      <c r="L125" s="115">
        <f t="shared" si="81"/>
        <v>0</v>
      </c>
      <c r="M125" s="115">
        <f t="shared" si="81"/>
        <v>0</v>
      </c>
      <c r="N125" s="115">
        <f t="shared" si="81"/>
        <v>0</v>
      </c>
      <c r="O125" s="508">
        <f t="shared" si="72"/>
        <v>0</v>
      </c>
      <c r="Q125" s="2846"/>
      <c r="R125" s="909"/>
      <c r="S125" s="912">
        <f>SUM(S122:S124)</f>
        <v>344</v>
      </c>
      <c r="T125" s="912">
        <f t="shared" ref="T125:Y125" si="82">SUM(T122:T124)</f>
        <v>13858.666666666657</v>
      </c>
      <c r="U125" s="912">
        <f t="shared" si="82"/>
        <v>0</v>
      </c>
      <c r="V125" s="912">
        <f t="shared" si="82"/>
        <v>0</v>
      </c>
      <c r="W125" s="912">
        <f t="shared" si="82"/>
        <v>0</v>
      </c>
      <c r="X125" s="912">
        <f t="shared" si="82"/>
        <v>0</v>
      </c>
      <c r="Y125" s="912">
        <f t="shared" si="82"/>
        <v>0</v>
      </c>
      <c r="Z125" s="508">
        <f>SUM(S125:Y125)</f>
        <v>14202.666666666657</v>
      </c>
    </row>
    <row r="126" spans="2:26">
      <c r="B126" s="439">
        <f t="shared" si="74"/>
        <v>2025</v>
      </c>
      <c r="C126" s="909"/>
      <c r="D126" s="909"/>
      <c r="E126" s="909"/>
      <c r="F126" s="909"/>
      <c r="G126" s="909"/>
      <c r="H126" s="115">
        <f t="shared" si="70"/>
        <v>0</v>
      </c>
      <c r="I126" s="115">
        <f t="shared" ref="I126:N130" si="83">I113*I100</f>
        <v>0</v>
      </c>
      <c r="J126" s="115">
        <f t="shared" si="83"/>
        <v>0</v>
      </c>
      <c r="K126" s="115">
        <f t="shared" si="83"/>
        <v>0</v>
      </c>
      <c r="L126" s="115">
        <f t="shared" si="83"/>
        <v>0</v>
      </c>
      <c r="M126" s="115">
        <f t="shared" si="83"/>
        <v>0</v>
      </c>
      <c r="N126" s="115">
        <f t="shared" si="83"/>
        <v>0</v>
      </c>
      <c r="O126" s="508">
        <f t="shared" si="72"/>
        <v>0</v>
      </c>
      <c r="Q126" s="2846"/>
      <c r="R126" s="909"/>
      <c r="S126" s="909"/>
      <c r="T126" s="909"/>
      <c r="U126" s="909"/>
      <c r="V126" s="909"/>
      <c r="W126" s="909"/>
      <c r="X126" s="909"/>
      <c r="Y126" s="909"/>
      <c r="Z126" s="548"/>
    </row>
    <row r="127" spans="2:26">
      <c r="B127" s="439">
        <f t="shared" si="74"/>
        <v>2026</v>
      </c>
      <c r="C127" s="909"/>
      <c r="D127" s="909"/>
      <c r="E127" s="909"/>
      <c r="F127" s="909"/>
      <c r="G127" s="909"/>
      <c r="H127" s="115">
        <f t="shared" si="70"/>
        <v>0</v>
      </c>
      <c r="I127" s="115">
        <f t="shared" si="83"/>
        <v>0</v>
      </c>
      <c r="J127" s="115">
        <f t="shared" si="83"/>
        <v>0</v>
      </c>
      <c r="K127" s="115">
        <f t="shared" si="83"/>
        <v>0</v>
      </c>
      <c r="L127" s="115">
        <f t="shared" si="83"/>
        <v>0</v>
      </c>
      <c r="M127" s="115">
        <f t="shared" si="83"/>
        <v>0</v>
      </c>
      <c r="N127" s="115">
        <f t="shared" si="83"/>
        <v>0</v>
      </c>
      <c r="O127" s="508">
        <f t="shared" si="72"/>
        <v>0</v>
      </c>
      <c r="Q127" s="2846" t="s">
        <v>1189</v>
      </c>
      <c r="R127" s="909"/>
      <c r="S127" s="550">
        <f>S121</f>
        <v>2023</v>
      </c>
      <c r="T127" s="550">
        <f t="shared" ref="T127:Y127" si="84">T121</f>
        <v>2024</v>
      </c>
      <c r="U127" s="550">
        <f t="shared" si="84"/>
        <v>2025</v>
      </c>
      <c r="V127" s="550">
        <f t="shared" si="84"/>
        <v>2026</v>
      </c>
      <c r="W127" s="550">
        <f t="shared" si="84"/>
        <v>2027</v>
      </c>
      <c r="X127" s="550">
        <f t="shared" si="84"/>
        <v>2028</v>
      </c>
      <c r="Y127" s="550">
        <f t="shared" si="84"/>
        <v>2029</v>
      </c>
      <c r="Z127" s="548"/>
    </row>
    <row r="128" spans="2:26">
      <c r="B128" s="439">
        <f t="shared" si="74"/>
        <v>2027</v>
      </c>
      <c r="C128" s="909"/>
      <c r="D128" s="909"/>
      <c r="E128" s="909"/>
      <c r="F128" s="909"/>
      <c r="G128" s="909"/>
      <c r="H128" s="115">
        <f t="shared" si="70"/>
        <v>0</v>
      </c>
      <c r="I128" s="115">
        <f t="shared" si="83"/>
        <v>0</v>
      </c>
      <c r="J128" s="115">
        <f t="shared" si="83"/>
        <v>0</v>
      </c>
      <c r="K128" s="115">
        <f t="shared" si="83"/>
        <v>0</v>
      </c>
      <c r="L128" s="115">
        <f t="shared" si="83"/>
        <v>0</v>
      </c>
      <c r="M128" s="115">
        <f t="shared" si="83"/>
        <v>0</v>
      </c>
      <c r="N128" s="115">
        <f t="shared" si="83"/>
        <v>0</v>
      </c>
      <c r="O128" s="508">
        <f t="shared" si="72"/>
        <v>0</v>
      </c>
      <c r="Q128" s="2846">
        <f>S115</f>
        <v>2023</v>
      </c>
      <c r="R128" s="909"/>
      <c r="S128" s="2847">
        <f>'RCF-F'!Q16</f>
        <v>0</v>
      </c>
      <c r="T128" s="2847">
        <f>'RCF-F'!R16</f>
        <v>0.5</v>
      </c>
      <c r="U128" s="2847">
        <f>'RCF-F'!S16</f>
        <v>0.5</v>
      </c>
      <c r="V128" s="2847">
        <f>'RCF-F'!T16</f>
        <v>0</v>
      </c>
      <c r="W128" s="2847">
        <f>'RCF-F'!U16</f>
        <v>0</v>
      </c>
      <c r="X128" s="2847">
        <f>'RCF-F'!V16</f>
        <v>0</v>
      </c>
      <c r="Y128" s="2847">
        <f>'RCF-F'!W16</f>
        <v>0</v>
      </c>
      <c r="Z128" s="548"/>
    </row>
    <row r="129" spans="2:26">
      <c r="B129" s="439">
        <f t="shared" si="74"/>
        <v>2028</v>
      </c>
      <c r="C129" s="909"/>
      <c r="D129" s="909"/>
      <c r="E129" s="909"/>
      <c r="F129" s="909"/>
      <c r="G129" s="909"/>
      <c r="H129" s="115">
        <f t="shared" si="70"/>
        <v>0</v>
      </c>
      <c r="I129" s="115">
        <f t="shared" si="83"/>
        <v>0</v>
      </c>
      <c r="J129" s="115">
        <f t="shared" si="83"/>
        <v>0</v>
      </c>
      <c r="K129" s="115">
        <f t="shared" si="83"/>
        <v>0</v>
      </c>
      <c r="L129" s="115">
        <f t="shared" si="83"/>
        <v>0</v>
      </c>
      <c r="M129" s="115">
        <f t="shared" si="83"/>
        <v>0</v>
      </c>
      <c r="N129" s="115">
        <f t="shared" si="83"/>
        <v>0</v>
      </c>
      <c r="O129" s="508">
        <f t="shared" si="72"/>
        <v>0</v>
      </c>
      <c r="Q129" s="2846">
        <f t="shared" ref="Q129:Q134" si="85">Q128+1</f>
        <v>2024</v>
      </c>
      <c r="R129" s="909"/>
      <c r="S129" s="2847">
        <f>'RCF-F'!Q17</f>
        <v>0</v>
      </c>
      <c r="T129" s="2847">
        <f>'RCF-F'!R17</f>
        <v>0</v>
      </c>
      <c r="U129" s="2847">
        <f>'RCF-F'!S17</f>
        <v>1</v>
      </c>
      <c r="V129" s="2847">
        <f>'RCF-F'!T17</f>
        <v>0</v>
      </c>
      <c r="W129" s="2847">
        <f>'RCF-F'!U17</f>
        <v>0</v>
      </c>
      <c r="X129" s="2847">
        <f>'RCF-F'!V17</f>
        <v>0</v>
      </c>
      <c r="Y129" s="2847">
        <f>'RCF-F'!W17</f>
        <v>0</v>
      </c>
      <c r="Z129" s="548"/>
    </row>
    <row r="130" spans="2:26">
      <c r="B130" s="439">
        <f t="shared" si="74"/>
        <v>0</v>
      </c>
      <c r="C130" s="909"/>
      <c r="D130" s="909"/>
      <c r="E130" s="909"/>
      <c r="F130" s="909"/>
      <c r="G130" s="909"/>
      <c r="H130" s="115">
        <f t="shared" si="70"/>
        <v>0</v>
      </c>
      <c r="I130" s="115">
        <f t="shared" si="83"/>
        <v>0</v>
      </c>
      <c r="J130" s="115">
        <f t="shared" si="83"/>
        <v>0</v>
      </c>
      <c r="K130" s="115">
        <f t="shared" si="83"/>
        <v>0</v>
      </c>
      <c r="L130" s="115">
        <f t="shared" si="83"/>
        <v>0</v>
      </c>
      <c r="M130" s="115">
        <f t="shared" si="83"/>
        <v>0</v>
      </c>
      <c r="N130" s="115">
        <f t="shared" si="83"/>
        <v>0</v>
      </c>
      <c r="O130" s="508">
        <f t="shared" si="72"/>
        <v>0</v>
      </c>
      <c r="Q130" s="2846">
        <f t="shared" si="85"/>
        <v>2025</v>
      </c>
      <c r="R130" s="909"/>
      <c r="S130" s="2847">
        <f>'RCF-F'!Q18</f>
        <v>0</v>
      </c>
      <c r="T130" s="2847">
        <f>'RCF-F'!R18</f>
        <v>0</v>
      </c>
      <c r="U130" s="2847">
        <f>'RCF-F'!S18</f>
        <v>0</v>
      </c>
      <c r="V130" s="2847">
        <f>'RCF-F'!T18</f>
        <v>0</v>
      </c>
      <c r="W130" s="2847">
        <f>'RCF-F'!U18</f>
        <v>1</v>
      </c>
      <c r="X130" s="2847">
        <f>'RCF-F'!V18</f>
        <v>0</v>
      </c>
      <c r="Y130" s="2847">
        <f>'RCF-F'!W18</f>
        <v>0</v>
      </c>
      <c r="Z130" s="548"/>
    </row>
    <row r="131" spans="2:26">
      <c r="B131" s="439"/>
      <c r="C131" s="909"/>
      <c r="D131" s="909"/>
      <c r="E131" s="909"/>
      <c r="F131" s="909"/>
      <c r="G131" s="909"/>
      <c r="H131" s="115"/>
      <c r="I131" s="115"/>
      <c r="J131" s="115"/>
      <c r="K131" s="115"/>
      <c r="L131" s="115"/>
      <c r="M131" s="115"/>
      <c r="N131" s="115"/>
      <c r="O131" s="508"/>
      <c r="Q131" s="2846">
        <f t="shared" si="85"/>
        <v>2026</v>
      </c>
      <c r="R131" s="909"/>
      <c r="S131" s="2847">
        <f>'RCF-F'!Q19</f>
        <v>0</v>
      </c>
      <c r="T131" s="2847">
        <f>'RCF-F'!R19</f>
        <v>0</v>
      </c>
      <c r="U131" s="2847">
        <f>'RCF-F'!S19</f>
        <v>0</v>
      </c>
      <c r="V131" s="2847">
        <f>'RCF-F'!T19</f>
        <v>0</v>
      </c>
      <c r="W131" s="2847">
        <f>'RCF-F'!U19</f>
        <v>1</v>
      </c>
      <c r="X131" s="2847">
        <f>'RCF-F'!V19</f>
        <v>0</v>
      </c>
      <c r="Y131" s="2847">
        <f>'RCF-F'!W19</f>
        <v>0</v>
      </c>
      <c r="Z131" s="548"/>
    </row>
    <row r="132" spans="2:26">
      <c r="B132" s="439"/>
      <c r="C132" s="909"/>
      <c r="D132" s="909"/>
      <c r="E132" s="909"/>
      <c r="F132" s="909"/>
      <c r="G132" s="909"/>
      <c r="H132" s="115"/>
      <c r="I132" s="115"/>
      <c r="J132" s="115"/>
      <c r="K132" s="115"/>
      <c r="L132" s="115"/>
      <c r="M132" s="115"/>
      <c r="N132" s="115"/>
      <c r="O132" s="508"/>
      <c r="Q132" s="2846">
        <f t="shared" si="85"/>
        <v>2027</v>
      </c>
      <c r="R132" s="909"/>
      <c r="S132" s="2847">
        <f>'RCF-F'!Q20</f>
        <v>0</v>
      </c>
      <c r="T132" s="2847">
        <f>'RCF-F'!R20</f>
        <v>0</v>
      </c>
      <c r="U132" s="2847">
        <f>'RCF-F'!S20</f>
        <v>0</v>
      </c>
      <c r="V132" s="2847">
        <f>'RCF-F'!T20</f>
        <v>0</v>
      </c>
      <c r="W132" s="2847">
        <f>'RCF-F'!U20</f>
        <v>1</v>
      </c>
      <c r="X132" s="2847">
        <f>'RCF-F'!V20</f>
        <v>0</v>
      </c>
      <c r="Y132" s="2847">
        <f>'RCF-F'!W20</f>
        <v>0</v>
      </c>
      <c r="Z132" s="548"/>
    </row>
    <row r="133" spans="2:26">
      <c r="B133" s="439"/>
      <c r="C133" s="909"/>
      <c r="D133" s="909"/>
      <c r="E133" s="909"/>
      <c r="F133" s="909"/>
      <c r="G133" s="909"/>
      <c r="H133" s="115"/>
      <c r="I133" s="115"/>
      <c r="J133" s="115"/>
      <c r="K133" s="115"/>
      <c r="L133" s="115"/>
      <c r="M133" s="115"/>
      <c r="N133" s="115"/>
      <c r="O133" s="508"/>
      <c r="Q133" s="2846">
        <f t="shared" si="85"/>
        <v>2028</v>
      </c>
      <c r="R133" s="909"/>
      <c r="S133" s="2847">
        <f>'RCF-F'!Q21</f>
        <v>0</v>
      </c>
      <c r="T133" s="2847">
        <f>'RCF-F'!R21</f>
        <v>0</v>
      </c>
      <c r="U133" s="2847">
        <f>'RCF-F'!S21</f>
        <v>0</v>
      </c>
      <c r="V133" s="2847">
        <f>'RCF-F'!T21</f>
        <v>0</v>
      </c>
      <c r="W133" s="2847">
        <f>'RCF-F'!U21</f>
        <v>0</v>
      </c>
      <c r="X133" s="2847">
        <f>'RCF-F'!V21</f>
        <v>0</v>
      </c>
      <c r="Y133" s="2847">
        <f>'RCF-F'!W21</f>
        <v>0</v>
      </c>
      <c r="Z133" s="548"/>
    </row>
    <row r="134" spans="2:26">
      <c r="B134" s="439"/>
      <c r="C134" s="909"/>
      <c r="D134" s="909"/>
      <c r="E134" s="909"/>
      <c r="F134" s="909"/>
      <c r="G134" s="909"/>
      <c r="H134" s="115"/>
      <c r="I134" s="115"/>
      <c r="J134" s="115"/>
      <c r="K134" s="115"/>
      <c r="L134" s="115"/>
      <c r="M134" s="115"/>
      <c r="N134" s="115"/>
      <c r="O134" s="508"/>
      <c r="Q134" s="2846">
        <f t="shared" si="85"/>
        <v>2029</v>
      </c>
      <c r="R134" s="909"/>
      <c r="S134" s="2847">
        <f>'RCF-F'!Q22</f>
        <v>0</v>
      </c>
      <c r="T134" s="2847">
        <f>'RCF-F'!R22</f>
        <v>0</v>
      </c>
      <c r="U134" s="2847">
        <f>'RCF-F'!S22</f>
        <v>0</v>
      </c>
      <c r="V134" s="2847">
        <f>'RCF-F'!T22</f>
        <v>0</v>
      </c>
      <c r="W134" s="2847">
        <f>'RCF-F'!U22</f>
        <v>0</v>
      </c>
      <c r="X134" s="2847">
        <f>'RCF-F'!V22</f>
        <v>0</v>
      </c>
      <c r="Y134" s="2847">
        <f>'RCF-F'!W22</f>
        <v>0</v>
      </c>
      <c r="Z134" s="548"/>
    </row>
    <row r="135" spans="2:26">
      <c r="B135" s="439"/>
      <c r="C135" s="909"/>
      <c r="D135" s="909"/>
      <c r="E135" s="909"/>
      <c r="F135" s="909"/>
      <c r="G135" s="909"/>
      <c r="H135" s="115"/>
      <c r="I135" s="115"/>
      <c r="J135" s="115"/>
      <c r="K135" s="115"/>
      <c r="L135" s="115"/>
      <c r="M135" s="115"/>
      <c r="N135" s="115"/>
      <c r="O135" s="508"/>
      <c r="Q135" s="439"/>
      <c r="R135" s="909"/>
      <c r="S135" s="909"/>
      <c r="T135" s="909"/>
      <c r="U135" s="909"/>
      <c r="V135" s="909"/>
      <c r="W135" s="909"/>
      <c r="X135" s="909"/>
      <c r="Y135" s="909"/>
      <c r="Z135" s="548"/>
    </row>
    <row r="136" spans="2:26" ht="13.5" thickBot="1">
      <c r="B136" s="440"/>
      <c r="C136" s="555"/>
      <c r="D136" s="555"/>
      <c r="E136" s="555"/>
      <c r="F136" s="555"/>
      <c r="G136" s="555"/>
      <c r="H136" s="632">
        <f t="shared" ref="H136:M136" si="86">SUM(H119:H130)</f>
        <v>0</v>
      </c>
      <c r="I136" s="632">
        <f t="shared" si="86"/>
        <v>0</v>
      </c>
      <c r="J136" s="632">
        <f t="shared" si="86"/>
        <v>190769.28700000001</v>
      </c>
      <c r="K136" s="632">
        <f t="shared" si="86"/>
        <v>0</v>
      </c>
      <c r="L136" s="632">
        <f t="shared" si="86"/>
        <v>0</v>
      </c>
      <c r="M136" s="632">
        <f t="shared" si="86"/>
        <v>0</v>
      </c>
      <c r="N136" s="632">
        <f>SUM(N119:N130)</f>
        <v>0</v>
      </c>
      <c r="O136" s="633">
        <f>SUM(O119:O130)</f>
        <v>0</v>
      </c>
      <c r="Q136" s="439" t="s">
        <v>430</v>
      </c>
      <c r="R136" s="909"/>
      <c r="S136" s="550">
        <f>S127</f>
        <v>2023</v>
      </c>
      <c r="T136" s="550">
        <f t="shared" ref="T136:Y136" si="87">T127</f>
        <v>2024</v>
      </c>
      <c r="U136" s="550">
        <f t="shared" si="87"/>
        <v>2025</v>
      </c>
      <c r="V136" s="550">
        <f t="shared" si="87"/>
        <v>2026</v>
      </c>
      <c r="W136" s="550">
        <f t="shared" si="87"/>
        <v>2027</v>
      </c>
      <c r="X136" s="550">
        <f t="shared" si="87"/>
        <v>2028</v>
      </c>
      <c r="Y136" s="550">
        <f t="shared" si="87"/>
        <v>2029</v>
      </c>
      <c r="Z136" s="627" t="str">
        <f>Z121</f>
        <v>Total</v>
      </c>
    </row>
    <row r="137" spans="2:26" ht="13.5" thickBot="1">
      <c r="N137" s="909"/>
      <c r="O137" s="909"/>
      <c r="Q137" s="2846">
        <v>2018</v>
      </c>
      <c r="R137" s="909"/>
      <c r="S137" s="115">
        <f t="shared" ref="S137:Y137" si="88">$S$122*S128+$T$122*S129+$U$122*S130+$V$122*S131+$W$122*S132+$X$122*S133</f>
        <v>0</v>
      </c>
      <c r="T137" s="115">
        <f t="shared" si="88"/>
        <v>172</v>
      </c>
      <c r="U137" s="115">
        <f t="shared" si="88"/>
        <v>14030.666666666657</v>
      </c>
      <c r="V137" s="115">
        <f t="shared" si="88"/>
        <v>0</v>
      </c>
      <c r="W137" s="115">
        <f t="shared" si="88"/>
        <v>0</v>
      </c>
      <c r="X137" s="115">
        <f t="shared" si="88"/>
        <v>0</v>
      </c>
      <c r="Y137" s="115">
        <f t="shared" si="88"/>
        <v>0</v>
      </c>
      <c r="Z137" s="508">
        <f>SUM(S137:Y137)</f>
        <v>14202.666666666657</v>
      </c>
    </row>
    <row r="138" spans="2:26">
      <c r="B138" s="599" t="s">
        <v>591</v>
      </c>
      <c r="C138" s="619" t="s">
        <v>592</v>
      </c>
      <c r="D138" s="557"/>
      <c r="N138" s="909"/>
      <c r="O138" s="909"/>
      <c r="Q138" s="2846">
        <v>2019</v>
      </c>
      <c r="R138" s="909"/>
      <c r="S138" s="115">
        <f t="shared" ref="S138:Y138" si="89">$S$123*S128+$T$123*S129+$U$123*S130+$V$123*S131+$W$123*S132+$X$123*S133</f>
        <v>0</v>
      </c>
      <c r="T138" s="115">
        <f t="shared" si="89"/>
        <v>0</v>
      </c>
      <c r="U138" s="115">
        <f t="shared" si="89"/>
        <v>0</v>
      </c>
      <c r="V138" s="115">
        <f t="shared" si="89"/>
        <v>0</v>
      </c>
      <c r="W138" s="115">
        <f t="shared" si="89"/>
        <v>0</v>
      </c>
      <c r="X138" s="115">
        <f t="shared" si="89"/>
        <v>0</v>
      </c>
      <c r="Y138" s="115">
        <f t="shared" si="89"/>
        <v>0</v>
      </c>
      <c r="Z138" s="508">
        <f>SUM(S138:Y138)</f>
        <v>0</v>
      </c>
    </row>
    <row r="139" spans="2:26" ht="13.5" thickBot="1">
      <c r="B139" s="547" t="str">
        <f>'Prod info'!B257</f>
        <v>Premium</v>
      </c>
      <c r="C139" s="548">
        <f>'Prod info'!F11</f>
        <v>4</v>
      </c>
      <c r="N139" s="909"/>
      <c r="O139" s="909"/>
      <c r="Q139" s="2846">
        <v>2020</v>
      </c>
      <c r="R139" s="909"/>
      <c r="S139" s="114">
        <f t="shared" ref="S139:Y139" si="90">$S$124*S128+$T$124*S129+$U$124*S130+$V$124*S131+$W$124*S132+$X$124*S133</f>
        <v>0</v>
      </c>
      <c r="T139" s="114">
        <f t="shared" si="90"/>
        <v>0</v>
      </c>
      <c r="U139" s="114">
        <f t="shared" si="90"/>
        <v>0</v>
      </c>
      <c r="V139" s="114">
        <f t="shared" si="90"/>
        <v>0</v>
      </c>
      <c r="W139" s="114">
        <f t="shared" si="90"/>
        <v>0</v>
      </c>
      <c r="X139" s="114">
        <f t="shared" si="90"/>
        <v>0</v>
      </c>
      <c r="Y139" s="114">
        <f t="shared" si="90"/>
        <v>0</v>
      </c>
      <c r="Z139" s="561">
        <f>SUM(S139:Y139)</f>
        <v>0</v>
      </c>
    </row>
    <row r="140" spans="2:26">
      <c r="B140" s="599" t="s">
        <v>552</v>
      </c>
      <c r="C140" s="546"/>
      <c r="D140" s="546"/>
      <c r="E140" s="621">
        <f t="shared" ref="E140:O140" si="91">T$17-$C$139</f>
        <v>2015</v>
      </c>
      <c r="F140" s="621">
        <f t="shared" si="91"/>
        <v>2016</v>
      </c>
      <c r="G140" s="621">
        <f t="shared" si="91"/>
        <v>2017</v>
      </c>
      <c r="H140" s="621">
        <f t="shared" si="91"/>
        <v>2018</v>
      </c>
      <c r="I140" s="621">
        <f t="shared" si="91"/>
        <v>2019</v>
      </c>
      <c r="J140" s="621">
        <f t="shared" si="91"/>
        <v>2020</v>
      </c>
      <c r="K140" s="621">
        <f t="shared" si="91"/>
        <v>2021</v>
      </c>
      <c r="L140" s="621">
        <f t="shared" si="91"/>
        <v>2022</v>
      </c>
      <c r="M140" s="621">
        <f t="shared" si="91"/>
        <v>2023</v>
      </c>
      <c r="N140" s="621">
        <f t="shared" si="91"/>
        <v>2024</v>
      </c>
      <c r="O140" s="619">
        <f t="shared" si="91"/>
        <v>2025</v>
      </c>
      <c r="Q140" s="439"/>
      <c r="R140" s="909"/>
      <c r="S140" s="115">
        <f t="shared" ref="S140:Z140" si="92">SUM(S137:S139)</f>
        <v>0</v>
      </c>
      <c r="T140" s="115">
        <f t="shared" si="92"/>
        <v>172</v>
      </c>
      <c r="U140" s="115">
        <f t="shared" si="92"/>
        <v>14030.666666666657</v>
      </c>
      <c r="V140" s="115">
        <f t="shared" si="92"/>
        <v>0</v>
      </c>
      <c r="W140" s="115">
        <f t="shared" si="92"/>
        <v>0</v>
      </c>
      <c r="X140" s="115">
        <f t="shared" si="92"/>
        <v>0</v>
      </c>
      <c r="Y140" s="115">
        <f t="shared" si="92"/>
        <v>0</v>
      </c>
      <c r="Z140" s="508">
        <f t="shared" si="92"/>
        <v>14202.666666666657</v>
      </c>
    </row>
    <row r="141" spans="2:26" ht="13.5" thickBot="1">
      <c r="B141" s="440" t="s">
        <v>737</v>
      </c>
      <c r="C141" s="555"/>
      <c r="D141" s="555"/>
      <c r="E141" s="558">
        <f t="shared" ref="E141:N141" si="93">E143</f>
        <v>2019</v>
      </c>
      <c r="F141" s="558">
        <f t="shared" si="93"/>
        <v>2020</v>
      </c>
      <c r="G141" s="558">
        <f t="shared" si="93"/>
        <v>2021</v>
      </c>
      <c r="H141" s="558">
        <f t="shared" si="93"/>
        <v>2022</v>
      </c>
      <c r="I141" s="558">
        <f t="shared" si="93"/>
        <v>2023</v>
      </c>
      <c r="J141" s="558">
        <f t="shared" si="93"/>
        <v>2024</v>
      </c>
      <c r="K141" s="558">
        <f t="shared" si="93"/>
        <v>2025</v>
      </c>
      <c r="L141" s="558">
        <f t="shared" si="93"/>
        <v>2026</v>
      </c>
      <c r="M141" s="558">
        <f t="shared" si="93"/>
        <v>2027</v>
      </c>
      <c r="N141" s="558">
        <f t="shared" si="93"/>
        <v>2028</v>
      </c>
      <c r="O141" s="559">
        <f>O143</f>
        <v>2029</v>
      </c>
      <c r="Q141" s="439"/>
      <c r="R141" s="909"/>
      <c r="S141" s="909"/>
      <c r="T141" s="909"/>
      <c r="U141" s="909"/>
      <c r="V141" s="909"/>
      <c r="W141" s="909"/>
      <c r="X141" s="909"/>
      <c r="Y141" s="909"/>
      <c r="Z141" s="548"/>
    </row>
    <row r="142" spans="2:26">
      <c r="B142" s="439"/>
      <c r="N142" s="909"/>
      <c r="O142" s="548"/>
      <c r="Q142" s="2846" t="s">
        <v>1187</v>
      </c>
      <c r="R142" s="464"/>
      <c r="S142" s="550">
        <f t="shared" ref="S142:Y142" si="94">I69</f>
        <v>2023</v>
      </c>
      <c r="T142" s="550">
        <f t="shared" si="94"/>
        <v>2024</v>
      </c>
      <c r="U142" s="550">
        <f t="shared" si="94"/>
        <v>2025</v>
      </c>
      <c r="V142" s="550">
        <f t="shared" si="94"/>
        <v>2026</v>
      </c>
      <c r="W142" s="550">
        <f t="shared" si="94"/>
        <v>2027</v>
      </c>
      <c r="X142" s="550">
        <f t="shared" si="94"/>
        <v>2028</v>
      </c>
      <c r="Y142" s="550">
        <f t="shared" si="94"/>
        <v>2029</v>
      </c>
      <c r="Z142" s="548"/>
    </row>
    <row r="143" spans="2:26">
      <c r="B143" s="547"/>
      <c r="C143" s="544" t="s">
        <v>738</v>
      </c>
      <c r="D143" s="557"/>
      <c r="E143" s="626">
        <v>2019</v>
      </c>
      <c r="F143" s="626">
        <v>2020</v>
      </c>
      <c r="G143" s="626">
        <v>2021</v>
      </c>
      <c r="H143" s="626">
        <v>2022</v>
      </c>
      <c r="I143" s="626">
        <v>2023</v>
      </c>
      <c r="J143" s="626">
        <v>2024</v>
      </c>
      <c r="K143" s="626">
        <v>2025</v>
      </c>
      <c r="L143" s="626">
        <v>2026</v>
      </c>
      <c r="M143" s="626">
        <v>2027</v>
      </c>
      <c r="N143" s="626">
        <v>2028</v>
      </c>
      <c r="O143" s="627">
        <v>2029</v>
      </c>
      <c r="Q143" s="2846">
        <f>B70</f>
        <v>2018</v>
      </c>
      <c r="R143" s="464"/>
      <c r="S143" s="115">
        <f t="shared" ref="S143:Y145" si="95">I70*I106</f>
        <v>0</v>
      </c>
      <c r="T143" s="115">
        <f t="shared" si="95"/>
        <v>4446.7160000000003</v>
      </c>
      <c r="U143" s="115">
        <f t="shared" si="95"/>
        <v>373616.87009333307</v>
      </c>
      <c r="V143" s="115">
        <f t="shared" si="95"/>
        <v>0</v>
      </c>
      <c r="W143" s="115">
        <f t="shared" si="95"/>
        <v>0</v>
      </c>
      <c r="X143" s="115">
        <f t="shared" si="95"/>
        <v>0</v>
      </c>
      <c r="Y143" s="115">
        <f t="shared" si="95"/>
        <v>0</v>
      </c>
      <c r="Z143" s="548"/>
    </row>
    <row r="144" spans="2:26">
      <c r="B144" s="439" t="s">
        <v>542</v>
      </c>
      <c r="I144" s="115"/>
      <c r="J144" s="115"/>
      <c r="K144" s="115"/>
      <c r="L144" s="115"/>
      <c r="M144" s="115"/>
      <c r="N144" s="115"/>
      <c r="O144" s="508"/>
      <c r="Q144" s="2846">
        <f>B71</f>
        <v>2019</v>
      </c>
      <c r="R144" s="909"/>
      <c r="S144" s="115">
        <f t="shared" si="95"/>
        <v>0</v>
      </c>
      <c r="T144" s="115">
        <f t="shared" si="95"/>
        <v>0</v>
      </c>
      <c r="U144" s="115">
        <f t="shared" si="95"/>
        <v>0</v>
      </c>
      <c r="V144" s="115">
        <f t="shared" si="95"/>
        <v>0</v>
      </c>
      <c r="W144" s="115">
        <f t="shared" si="95"/>
        <v>0</v>
      </c>
      <c r="X144" s="115">
        <f t="shared" si="95"/>
        <v>0</v>
      </c>
      <c r="Y144" s="115">
        <f t="shared" si="95"/>
        <v>0</v>
      </c>
      <c r="Z144" s="548"/>
    </row>
    <row r="145" spans="2:26">
      <c r="B145" s="439">
        <v>2018</v>
      </c>
      <c r="D145" s="115"/>
      <c r="E145" s="115"/>
      <c r="F145" s="115"/>
      <c r="G145" s="115"/>
      <c r="H145" s="115"/>
      <c r="I145" s="115">
        <f>'Prod info'!P195/'Inv. wine'!$AE$3</f>
        <v>7248</v>
      </c>
      <c r="J145" s="115">
        <f>'Prod info'!Q195/'Inv. wine'!$AE$3</f>
        <v>0</v>
      </c>
      <c r="K145" s="115">
        <f>'Prod info'!R195/'Inv. wine'!$AE$3</f>
        <v>0</v>
      </c>
      <c r="L145" s="115">
        <f>'Prod info'!S195/'Inv. wine'!$AE$3</f>
        <v>0</v>
      </c>
      <c r="M145" s="115">
        <f>'Prod info'!T195/'Inv. wine'!$AE$3</f>
        <v>0</v>
      </c>
      <c r="N145" s="115">
        <f>'Prod info'!U195/'Inv. wine'!$AE$3</f>
        <v>0</v>
      </c>
      <c r="O145" s="508">
        <f>'Prod info'!V195/'Inv. wine'!$AE$3</f>
        <v>0</v>
      </c>
      <c r="Q145" s="2846">
        <f>B72</f>
        <v>2020</v>
      </c>
      <c r="R145" s="909"/>
      <c r="S145" s="114">
        <f t="shared" si="95"/>
        <v>0</v>
      </c>
      <c r="T145" s="114">
        <f t="shared" si="95"/>
        <v>0</v>
      </c>
      <c r="U145" s="114">
        <f t="shared" si="95"/>
        <v>0</v>
      </c>
      <c r="V145" s="114">
        <f t="shared" si="95"/>
        <v>0</v>
      </c>
      <c r="W145" s="114">
        <f t="shared" si="95"/>
        <v>0</v>
      </c>
      <c r="X145" s="114">
        <f t="shared" si="95"/>
        <v>0</v>
      </c>
      <c r="Y145" s="114">
        <f t="shared" si="95"/>
        <v>0</v>
      </c>
      <c r="Z145" s="548"/>
    </row>
    <row r="146" spans="2:26" ht="13.5" thickBot="1">
      <c r="B146" s="439">
        <v>2019</v>
      </c>
      <c r="D146" s="115"/>
      <c r="E146" s="115"/>
      <c r="F146" s="115"/>
      <c r="G146" s="115"/>
      <c r="H146" s="115"/>
      <c r="I146" s="115">
        <f>'Prod info'!P196/'Inv. wine'!$AE$3</f>
        <v>14682</v>
      </c>
      <c r="J146" s="115">
        <f>'Prod info'!Q196/'Inv. wine'!$AE$3</f>
        <v>0</v>
      </c>
      <c r="K146" s="115">
        <f>'Prod info'!R196/'Inv. wine'!$AE$3</f>
        <v>0</v>
      </c>
      <c r="L146" s="115">
        <f>'Prod info'!S196/'Inv. wine'!$AE$3</f>
        <v>0</v>
      </c>
      <c r="M146" s="115">
        <f>'Prod info'!T196/'Inv. wine'!$AE$3</f>
        <v>0</v>
      </c>
      <c r="N146" s="115">
        <f>'Prod info'!U196/'Inv. wine'!$AE$3</f>
        <v>0</v>
      </c>
      <c r="O146" s="508">
        <f>'Prod info'!V196/'Inv. wine'!$AE$3</f>
        <v>0</v>
      </c>
      <c r="Q146" s="2849" t="s">
        <v>26</v>
      </c>
      <c r="R146" s="555"/>
      <c r="S146" s="2848">
        <f t="shared" ref="S146:Y146" si="96">SUM(S143:S145)</f>
        <v>0</v>
      </c>
      <c r="T146" s="2848">
        <f t="shared" si="96"/>
        <v>4446.7160000000003</v>
      </c>
      <c r="U146" s="2848">
        <f t="shared" si="96"/>
        <v>373616.87009333307</v>
      </c>
      <c r="V146" s="2848">
        <f t="shared" si="96"/>
        <v>0</v>
      </c>
      <c r="W146" s="2848">
        <f t="shared" si="96"/>
        <v>0</v>
      </c>
      <c r="X146" s="2848">
        <f t="shared" si="96"/>
        <v>0</v>
      </c>
      <c r="Y146" s="2848">
        <f t="shared" si="96"/>
        <v>0</v>
      </c>
      <c r="Z146" s="2850"/>
    </row>
    <row r="147" spans="2:26">
      <c r="B147" s="439">
        <v>2020</v>
      </c>
      <c r="D147" s="115"/>
      <c r="E147" s="115"/>
      <c r="F147" s="115"/>
      <c r="G147" s="115"/>
      <c r="H147" s="115"/>
      <c r="I147" s="115">
        <f>'Prod info'!P197/'Inv. wine'!$AE$3</f>
        <v>0</v>
      </c>
      <c r="J147" s="115">
        <f>'Prod info'!Q197/'Inv. wine'!$AE$3</f>
        <v>12300</v>
      </c>
      <c r="K147" s="115">
        <f>'Prod info'!R197/'Inv. wine'!$AE$3</f>
        <v>0</v>
      </c>
      <c r="L147" s="115">
        <f>'Prod info'!S197/'Inv. wine'!$AE$3</f>
        <v>0</v>
      </c>
      <c r="M147" s="115">
        <f>'Prod info'!T197/'Inv. wine'!$AE$3</f>
        <v>0</v>
      </c>
      <c r="N147" s="115">
        <f>'Prod info'!U197/'Inv. wine'!$AE$3</f>
        <v>0</v>
      </c>
      <c r="O147" s="508">
        <f>'Prod info'!V197/'Inv. wine'!$AE$3</f>
        <v>0</v>
      </c>
    </row>
    <row r="148" spans="2:26">
      <c r="B148" s="439">
        <v>2021</v>
      </c>
      <c r="D148" s="115"/>
      <c r="E148" s="115"/>
      <c r="F148" s="115"/>
      <c r="G148" s="115"/>
      <c r="H148" s="115"/>
      <c r="I148" s="115">
        <f>'Prod info'!P198/'Inv. wine'!$AE$3</f>
        <v>0</v>
      </c>
      <c r="J148" s="115">
        <f>'Prod info'!Q198/'Inv. wine'!$AE$3</f>
        <v>25200</v>
      </c>
      <c r="K148" s="115">
        <f>'Prod info'!R198/'Inv. wine'!$AE$3</f>
        <v>0</v>
      </c>
      <c r="L148" s="115">
        <f>'Prod info'!S198/'Inv. wine'!$AE$3</f>
        <v>0</v>
      </c>
      <c r="M148" s="115">
        <f>'Prod info'!T198/'Inv. wine'!$AE$3</f>
        <v>0</v>
      </c>
      <c r="N148" s="115">
        <f>'Prod info'!U198/'Inv. wine'!$AE$3</f>
        <v>0</v>
      </c>
      <c r="O148" s="508">
        <f>'Prod info'!V198/'Inv. wine'!$AE$3</f>
        <v>0</v>
      </c>
    </row>
    <row r="149" spans="2:26">
      <c r="B149" s="439">
        <v>2022</v>
      </c>
      <c r="D149" s="115"/>
      <c r="E149" s="115"/>
      <c r="F149" s="115"/>
      <c r="G149" s="115"/>
      <c r="H149" s="115"/>
      <c r="I149" s="115">
        <f>'Prod info'!P200/'Inv. wine'!$AE$3</f>
        <v>0</v>
      </c>
      <c r="J149" s="115">
        <f ca="1">'Prod info'!Q200/'Inv. wine'!$AE$3</f>
        <v>0</v>
      </c>
      <c r="K149" s="115">
        <f>'Prod info'!R199/'Inv. wine'!$AE$3</f>
        <v>0</v>
      </c>
      <c r="L149" s="115">
        <f>'Prod info'!S199/'Inv. wine'!$AE$3</f>
        <v>0</v>
      </c>
      <c r="M149" s="115">
        <f>'Prod info'!T199/'Inv. wine'!$AE$3</f>
        <v>0</v>
      </c>
      <c r="N149" s="115">
        <f>'Prod info'!U199/'Inv. wine'!$AE$3</f>
        <v>0</v>
      </c>
      <c r="O149" s="508">
        <f>'Prod info'!V199/'Inv. wine'!$AE$3</f>
        <v>0</v>
      </c>
    </row>
    <row r="150" spans="2:26">
      <c r="B150" s="439">
        <v>2023</v>
      </c>
      <c r="D150" s="115"/>
      <c r="E150" s="115"/>
      <c r="F150" s="115"/>
      <c r="G150" s="115"/>
      <c r="H150" s="115"/>
      <c r="I150" s="115">
        <f>'Prod info'!P201/'Inv. wine'!$AE$3</f>
        <v>0</v>
      </c>
      <c r="J150" s="115">
        <f>'Prod info'!Q201/'Inv. wine'!$AE$3</f>
        <v>0</v>
      </c>
      <c r="K150" s="115">
        <f ca="1">'Prod info'!R200/'Inv. wine'!$AE$3</f>
        <v>41761.333333333336</v>
      </c>
      <c r="L150" s="115">
        <f>'Prod info'!S200/'Inv. wine'!$AE$3</f>
        <v>0</v>
      </c>
      <c r="M150" s="115">
        <f>'Prod info'!T200/'Inv. wine'!$AE$3</f>
        <v>0</v>
      </c>
      <c r="N150" s="115">
        <f>'Prod info'!U200/'Inv. wine'!$AE$3</f>
        <v>0</v>
      </c>
      <c r="O150" s="508">
        <f>'Prod info'!V200/'Inv. wine'!$AE$3</f>
        <v>0</v>
      </c>
    </row>
    <row r="151" spans="2:26">
      <c r="B151" s="439">
        <v>2024</v>
      </c>
      <c r="D151" s="115"/>
      <c r="E151" s="115"/>
      <c r="F151" s="115"/>
      <c r="G151" s="115"/>
      <c r="H151" s="115"/>
      <c r="I151" s="115">
        <f>'Prod info'!P202/'Inv. wine'!$AE$3</f>
        <v>0</v>
      </c>
      <c r="J151" s="115">
        <f>'Prod info'!Q202/'Inv. wine'!$AE$3</f>
        <v>0</v>
      </c>
      <c r="K151" s="115">
        <f ca="1">'Prod info'!R201/'Inv. wine'!$AE$3</f>
        <v>0</v>
      </c>
      <c r="L151" s="115">
        <f ca="1">'Prod info'!S201/'Inv. wine'!$AE$3</f>
        <v>60490.666666666664</v>
      </c>
      <c r="M151" s="115">
        <f>'Prod info'!T201/'Inv. wine'!$AE$3</f>
        <v>0</v>
      </c>
      <c r="N151" s="115">
        <f>'Prod info'!U201/'Inv. wine'!$AE$3</f>
        <v>0</v>
      </c>
      <c r="O151" s="508">
        <f>'Prod info'!V201/'Inv. wine'!$AE$3</f>
        <v>0</v>
      </c>
    </row>
    <row r="152" spans="2:26">
      <c r="B152" s="439">
        <v>2025</v>
      </c>
      <c r="D152" s="115"/>
      <c r="E152" s="115"/>
      <c r="F152" s="115"/>
      <c r="G152" s="115"/>
      <c r="H152" s="115"/>
      <c r="I152" s="115">
        <f>'Prod info'!P203/'Inv. wine'!$AE$3</f>
        <v>0</v>
      </c>
      <c r="J152" s="115">
        <f>'Prod info'!Q203/'Inv. wine'!$AE$3</f>
        <v>0</v>
      </c>
      <c r="K152" s="115">
        <f>'Prod info'!R202/'Inv. wine'!$AE$3</f>
        <v>0</v>
      </c>
      <c r="L152" s="115">
        <f ca="1">'Prod info'!S202/'Inv. wine'!$AE$3</f>
        <v>0</v>
      </c>
      <c r="M152" s="115">
        <f ca="1">'Prod info'!T202/'Inv. wine'!$AE$3</f>
        <v>70328</v>
      </c>
      <c r="N152" s="115">
        <f>'Prod info'!U202/'Inv. wine'!$AE$3</f>
        <v>0</v>
      </c>
      <c r="O152" s="508">
        <f>'Prod info'!V202/'Inv. wine'!$AE$3</f>
        <v>0</v>
      </c>
    </row>
    <row r="153" spans="2:26">
      <c r="B153" s="439">
        <v>2026</v>
      </c>
      <c r="D153" s="115"/>
      <c r="E153" s="115"/>
      <c r="F153" s="115"/>
      <c r="G153" s="115"/>
      <c r="H153" s="115"/>
      <c r="I153" s="115">
        <f>'Prod info'!P204/'Inv. wine'!$AE$3</f>
        <v>0</v>
      </c>
      <c r="J153" s="115">
        <f>'Prod info'!Q204/'Inv. wine'!$AE$3</f>
        <v>0</v>
      </c>
      <c r="K153" s="115">
        <f>'Prod info'!R203/'Inv. wine'!$AE$3</f>
        <v>0</v>
      </c>
      <c r="L153" s="115">
        <f>'Prod info'!S203/'Inv. wine'!$AE$3</f>
        <v>0</v>
      </c>
      <c r="M153" s="115">
        <f ca="1">'Prod info'!T203/'Inv. wine'!$AE$3</f>
        <v>0</v>
      </c>
      <c r="N153" s="115">
        <f ca="1">'Prod info'!U203/'Inv. wine'!$AE$3</f>
        <v>70394.666666666672</v>
      </c>
      <c r="O153" s="508">
        <f>'Prod info'!V203/'Inv. wine'!$AE$3</f>
        <v>0</v>
      </c>
    </row>
    <row r="154" spans="2:26">
      <c r="B154" s="439">
        <v>2027</v>
      </c>
      <c r="D154" s="115"/>
      <c r="E154" s="115"/>
      <c r="F154" s="115"/>
      <c r="G154" s="115"/>
      <c r="H154" s="115"/>
      <c r="I154" s="115">
        <f>'Prod info'!P205/'Inv. wine'!$AE$3</f>
        <v>0</v>
      </c>
      <c r="J154" s="115">
        <f>'Prod info'!Q205/'Inv. wine'!$AE$3</f>
        <v>0</v>
      </c>
      <c r="K154" s="115">
        <f>'Prod info'!R204/'Inv. wine'!$AE$3</f>
        <v>0</v>
      </c>
      <c r="L154" s="115">
        <f>'Prod info'!S204/'Inv. wine'!$AE$3</f>
        <v>0</v>
      </c>
      <c r="M154" s="115">
        <f>'Prod info'!T204/'Inv. wine'!$AE$3</f>
        <v>0</v>
      </c>
      <c r="N154" s="115">
        <f ca="1">'Prod info'!U204/'Inv. wine'!$AE$3</f>
        <v>0</v>
      </c>
      <c r="O154" s="508">
        <f ca="1">'Prod info'!V204/'Inv. wine'!$AE$3</f>
        <v>70394.666666666672</v>
      </c>
    </row>
    <row r="155" spans="2:26">
      <c r="B155" s="439">
        <v>2028</v>
      </c>
      <c r="D155" s="115"/>
      <c r="E155" s="114"/>
      <c r="F155" s="114"/>
      <c r="G155" s="114"/>
      <c r="H155" s="114"/>
      <c r="I155" s="114">
        <f>'Prod info'!P206/'Inv. wine'!$AE$3</f>
        <v>0</v>
      </c>
      <c r="J155" s="114">
        <f>'Prod info'!Q206/'Inv. wine'!$AE$3</f>
        <v>0</v>
      </c>
      <c r="K155" s="114">
        <f>'Prod info'!R205/'Inv. wine'!$AE$3</f>
        <v>0</v>
      </c>
      <c r="L155" s="114">
        <f>'Prod info'!S205/'Inv. wine'!$AE$3</f>
        <v>0</v>
      </c>
      <c r="M155" s="114">
        <f>'Prod info'!T205/'Inv. wine'!$AE$3</f>
        <v>0</v>
      </c>
      <c r="N155" s="114">
        <f>'Prod info'!U205/'Inv. wine'!$AE$3</f>
        <v>0</v>
      </c>
      <c r="O155" s="561">
        <f ca="1">'Prod info'!V205/'Inv. wine'!$AE$3</f>
        <v>0</v>
      </c>
    </row>
    <row r="156" spans="2:26">
      <c r="B156" s="439" t="s">
        <v>630</v>
      </c>
      <c r="D156" s="115"/>
      <c r="E156" s="115">
        <f t="shared" ref="E156:L156" si="97">SUM(E145:E155)</f>
        <v>0</v>
      </c>
      <c r="F156" s="115">
        <f t="shared" si="97"/>
        <v>0</v>
      </c>
      <c r="G156" s="115">
        <f t="shared" si="97"/>
        <v>0</v>
      </c>
      <c r="H156" s="115">
        <f>SUM(H145:H155)</f>
        <v>0</v>
      </c>
      <c r="I156" s="115">
        <f>SUM(I145:I155)</f>
        <v>21930</v>
      </c>
      <c r="J156" s="115">
        <f t="shared" ca="1" si="97"/>
        <v>37500</v>
      </c>
      <c r="K156" s="115">
        <f ca="1">SUM(K145:K155)</f>
        <v>41761.333333333336</v>
      </c>
      <c r="L156" s="115">
        <f t="shared" ca="1" si="97"/>
        <v>60490.666666666664</v>
      </c>
      <c r="M156" s="115">
        <f ca="1">SUM(M145:M155)</f>
        <v>70328</v>
      </c>
      <c r="N156" s="115">
        <f ca="1">SUM(N145:N155)</f>
        <v>70394.666666666672</v>
      </c>
      <c r="O156" s="508">
        <f ca="1">SUM(O145:O155)</f>
        <v>70394.666666666672</v>
      </c>
    </row>
    <row r="157" spans="2:26">
      <c r="B157" s="439"/>
      <c r="N157" s="909"/>
      <c r="O157" s="548"/>
    </row>
    <row r="158" spans="2:26">
      <c r="B158" s="439"/>
      <c r="E158" s="552"/>
      <c r="F158" s="552"/>
      <c r="G158" s="552"/>
      <c r="H158" s="552"/>
      <c r="I158" s="552"/>
      <c r="J158" s="552"/>
      <c r="K158" s="552"/>
      <c r="L158" s="552"/>
      <c r="M158" s="552"/>
      <c r="N158" s="912"/>
      <c r="O158" s="553"/>
    </row>
    <row r="159" spans="2:26">
      <c r="B159" s="547" t="s">
        <v>742</v>
      </c>
      <c r="C159" s="544" t="s">
        <v>738</v>
      </c>
      <c r="E159" s="626">
        <f t="shared" ref="E159:N159" si="98">E143</f>
        <v>2019</v>
      </c>
      <c r="F159" s="626">
        <f t="shared" si="98"/>
        <v>2020</v>
      </c>
      <c r="G159" s="626">
        <f t="shared" si="98"/>
        <v>2021</v>
      </c>
      <c r="H159" s="626">
        <f t="shared" si="98"/>
        <v>2022</v>
      </c>
      <c r="I159" s="626">
        <f t="shared" si="98"/>
        <v>2023</v>
      </c>
      <c r="J159" s="626">
        <f t="shared" si="98"/>
        <v>2024</v>
      </c>
      <c r="K159" s="626">
        <f t="shared" si="98"/>
        <v>2025</v>
      </c>
      <c r="L159" s="626">
        <f t="shared" si="98"/>
        <v>2026</v>
      </c>
      <c r="M159" s="626">
        <f t="shared" si="98"/>
        <v>2027</v>
      </c>
      <c r="N159" s="626">
        <f t="shared" si="98"/>
        <v>2028</v>
      </c>
      <c r="O159" s="627">
        <f>O143</f>
        <v>2029</v>
      </c>
    </row>
    <row r="160" spans="2:26">
      <c r="B160" s="439" t="s">
        <v>542</v>
      </c>
      <c r="E160" s="552"/>
      <c r="F160" s="552"/>
      <c r="G160" s="552"/>
      <c r="H160" s="552"/>
      <c r="I160" s="552"/>
      <c r="J160" s="552"/>
      <c r="K160" s="552"/>
      <c r="L160" s="552"/>
      <c r="M160" s="552"/>
      <c r="N160" s="912"/>
      <c r="O160" s="553"/>
    </row>
    <row r="161" spans="2:15">
      <c r="B161" s="439">
        <f>B145</f>
        <v>2018</v>
      </c>
      <c r="E161" s="552"/>
      <c r="F161" s="552"/>
      <c r="G161" s="552"/>
      <c r="H161" s="464">
        <f>SUMIF(Price!$N$76:$N$84,$B161,Price!P76:P84)</f>
        <v>0</v>
      </c>
      <c r="I161" s="464">
        <f>I162</f>
        <v>35.1</v>
      </c>
      <c r="J161" s="464">
        <f>J162</f>
        <v>36.503999999999998</v>
      </c>
      <c r="K161" s="464">
        <f>K162</f>
        <v>37.96416</v>
      </c>
      <c r="L161" s="464">
        <f>SUMIF(Price!$N$76:$N$84,$B161,Price!T76:T84)</f>
        <v>0</v>
      </c>
      <c r="M161" s="464">
        <f>SUMIF(Price!$N$76:$N$84,$B161,Price!U76:U84)</f>
        <v>0</v>
      </c>
      <c r="N161" s="464">
        <f>SUMIF(Price!$N$76:$N$84,$B161,Price!V76:V84)</f>
        <v>0</v>
      </c>
      <c r="O161" s="468">
        <f>SUMIF(Price!$N$76:$N$84,$B161,Price!W76:W84)</f>
        <v>0</v>
      </c>
    </row>
    <row r="162" spans="2:15">
      <c r="B162" s="439">
        <f>B146</f>
        <v>2019</v>
      </c>
      <c r="E162" s="552"/>
      <c r="F162" s="552"/>
      <c r="G162" s="552"/>
      <c r="H162" s="464">
        <f>H161</f>
        <v>0</v>
      </c>
      <c r="I162" s="464">
        <f>SUMIF(Price!$N$76:$N$84,$B162,Price!Q76:Q84)</f>
        <v>35.1</v>
      </c>
      <c r="J162" s="464">
        <f>SUMIF(Price!$N$76:$N$84,$B162,Price!R76:R84)</f>
        <v>36.503999999999998</v>
      </c>
      <c r="K162" s="464">
        <f>SUMIF(Price!$N$76:$N$84,$B162,Price!S76:S84)</f>
        <v>37.96416</v>
      </c>
      <c r="L162" s="464">
        <f>SUMIF(Price!$N$76:$N$84,$B162,Price!T76:T84)</f>
        <v>39.482726399999997</v>
      </c>
      <c r="M162" s="464">
        <f>SUMIF(Price!$N$76:$N$84,$B162,Price!U76:U84)</f>
        <v>41.062035455999997</v>
      </c>
      <c r="N162" s="464">
        <f>SUMIF(Price!$N$76:$N$84,$B162,Price!V76:V84)</f>
        <v>42.704516874239999</v>
      </c>
      <c r="O162" s="468">
        <f>SUMIF(Price!$N$76:$N$84,$B162,Price!W76:W84)</f>
        <v>44.412697549209604</v>
      </c>
    </row>
    <row r="163" spans="2:15">
      <c r="B163" s="439">
        <f>B147</f>
        <v>2020</v>
      </c>
      <c r="E163" s="552"/>
      <c r="F163" s="552"/>
      <c r="G163" s="552"/>
      <c r="H163" s="464">
        <f>SUMIF(Price!$N$76:$N$84,$B163,Price!P76:P84)</f>
        <v>33.75</v>
      </c>
      <c r="I163" s="464">
        <f>SUMIF(Price!$N$76:$N$84,$B163,Price!Q76:Q84)</f>
        <v>35.1</v>
      </c>
      <c r="J163" s="464">
        <f>SUMIF(Price!$N$76:$N$84,$B163,Price!R76:R84)</f>
        <v>36.503999999999998</v>
      </c>
      <c r="K163" s="464">
        <f>SUMIF(Price!$N$76:$N$84,$B163,Price!S76:S84)</f>
        <v>37.96416</v>
      </c>
      <c r="L163" s="464">
        <f>SUMIF(Price!$N$76:$N$84,$B163,Price!T76:T84)</f>
        <v>39.482726399999997</v>
      </c>
      <c r="M163" s="464">
        <f>SUMIF(Price!$N$76:$N$84,$B163,Price!U76:U84)</f>
        <v>41.062035455999997</v>
      </c>
      <c r="N163" s="464">
        <f>SUMIF(Price!$N$76:$N$84,$B163,Price!V76:V84)</f>
        <v>42.704516874239999</v>
      </c>
      <c r="O163" s="468">
        <f>SUMIF(Price!$N$76:$N$84,$B163,Price!W76:W84)</f>
        <v>44.412697549209604</v>
      </c>
    </row>
    <row r="164" spans="2:15">
      <c r="B164" s="439">
        <f t="shared" ref="B164:B171" si="99">B148</f>
        <v>2021</v>
      </c>
      <c r="E164" s="552"/>
      <c r="F164" s="552"/>
      <c r="G164" s="552"/>
      <c r="H164" s="464">
        <f>SUMIF(Price!$N$76:$N$84,$B164,Price!P76:P84)</f>
        <v>33.75</v>
      </c>
      <c r="I164" s="464">
        <f>SUMIF(Price!$N$76:$N$84,$B164,Price!Q76:Q84)</f>
        <v>35.1</v>
      </c>
      <c r="J164" s="464">
        <f>SUMIF(Price!$N$76:$N$84,$B164,Price!R76:R84)</f>
        <v>36.503999999999998</v>
      </c>
      <c r="K164" s="464">
        <f>SUMIF(Price!$N$76:$N$84,$B164,Price!S76:S84)</f>
        <v>37.96416</v>
      </c>
      <c r="L164" s="464">
        <f>SUMIF(Price!$N$76:$N$84,$B164,Price!T76:T84)</f>
        <v>39.482726399999997</v>
      </c>
      <c r="M164" s="464">
        <f>SUMIF(Price!$N$76:$N$84,$B164,Price!U76:U84)</f>
        <v>41.062035455999997</v>
      </c>
      <c r="N164" s="464">
        <f>SUMIF(Price!$N$76:$N$84,$B164,Price!V76:V84)</f>
        <v>42.704516874239999</v>
      </c>
      <c r="O164" s="468">
        <f>SUMIF(Price!$N$76:$N$84,$B164,Price!W76:W84)</f>
        <v>44.412697549209604</v>
      </c>
    </row>
    <row r="165" spans="2:15">
      <c r="B165" s="439">
        <f t="shared" si="99"/>
        <v>2022</v>
      </c>
      <c r="E165" s="552"/>
      <c r="F165" s="552"/>
      <c r="G165" s="552"/>
      <c r="H165" s="464">
        <f>SUMIF(Price!$N$76:$N$84,$B165,Price!P76:P84)</f>
        <v>33.75</v>
      </c>
      <c r="I165" s="464">
        <f>SUMIF(Price!$N$76:$N$84,$B165,Price!Q76:Q84)</f>
        <v>35.1</v>
      </c>
      <c r="J165" s="464">
        <f>SUMIF(Price!$N$76:$N$84,$B165,Price!R76:R84)</f>
        <v>36.503999999999998</v>
      </c>
      <c r="K165" s="464">
        <f>SUMIF(Price!$N$76:$N$84,$B165,Price!S76:S84)</f>
        <v>37.96416</v>
      </c>
      <c r="L165" s="464">
        <f>SUMIF(Price!$N$76:$N$84,$B165,Price!T76:T84)</f>
        <v>39.482726399999997</v>
      </c>
      <c r="M165" s="464">
        <f>SUMIF(Price!$N$76:$N$84,$B165,Price!U76:U84)</f>
        <v>41.062035455999997</v>
      </c>
      <c r="N165" s="464">
        <f>SUMIF(Price!$N$76:$N$84,$B165,Price!V76:V84)</f>
        <v>42.704516874239999</v>
      </c>
      <c r="O165" s="468">
        <f>SUMIF(Price!$N$76:$N$84,$B165,Price!W76:W84)</f>
        <v>44.412697549209604</v>
      </c>
    </row>
    <row r="166" spans="2:15">
      <c r="B166" s="439">
        <f t="shared" si="99"/>
        <v>2023</v>
      </c>
      <c r="E166" s="552"/>
      <c r="F166" s="552"/>
      <c r="G166" s="552"/>
      <c r="H166" s="464">
        <f>SUMIF(Price!$N$76:$N$84,$B166,Price!P76:P84)</f>
        <v>0</v>
      </c>
      <c r="I166" s="464">
        <f>SUMIF(Price!$N$76:$N$84,$B166,Price!Q76:Q84)</f>
        <v>0</v>
      </c>
      <c r="J166" s="464">
        <f>SUMIF(Price!$N$76:$N$84,$B166,Price!R76:R84)</f>
        <v>36.328499999999998</v>
      </c>
      <c r="K166" s="464">
        <f>SUMIF(Price!$N$76:$N$84,$B166,Price!S76:S84)</f>
        <v>37.781640000000003</v>
      </c>
      <c r="L166" s="464">
        <f>SUMIF(Price!$N$76:$N$84,$B166,Price!T76:T84)</f>
        <v>39.292905599999997</v>
      </c>
      <c r="M166" s="464">
        <f>SUMIF(Price!$N$76:$N$84,$B166,Price!U76:U84)</f>
        <v>40.864621824000004</v>
      </c>
      <c r="N166" s="464">
        <f>SUMIF(Price!$N$76:$N$84,$B166,Price!V76:V84)</f>
        <v>42.499206696959995</v>
      </c>
      <c r="O166" s="468">
        <f>SUMIF(Price!$N$76:$N$84,$B166,Price!W76:W84)</f>
        <v>44.199174964838392</v>
      </c>
    </row>
    <row r="167" spans="2:15">
      <c r="B167" s="439">
        <f t="shared" si="99"/>
        <v>2024</v>
      </c>
      <c r="E167" s="552"/>
      <c r="F167" s="552"/>
      <c r="G167" s="552"/>
      <c r="H167" s="464">
        <f>SUMIF(Price!$N$76:$N$84,$B167,Price!P76:P84)</f>
        <v>0</v>
      </c>
      <c r="I167" s="464">
        <f>SUMIF(Price!$N$76:$N$84,$B167,Price!Q76:Q84)</f>
        <v>0</v>
      </c>
      <c r="J167" s="464">
        <f>SUMIF(Price!$N$76:$N$84,$B167,Price!R76:R84)</f>
        <v>0</v>
      </c>
      <c r="K167" s="464">
        <f>SUMIF(Price!$N$76:$N$84,$B167,Price!S76:S84)</f>
        <v>37.599997499999994</v>
      </c>
      <c r="L167" s="464">
        <f>SUMIF(Price!$N$76:$N$84,$B167,Price!T76:T84)</f>
        <v>39.103997399999997</v>
      </c>
      <c r="M167" s="464">
        <f>SUMIF(Price!$N$76:$N$84,$B167,Price!U76:U84)</f>
        <v>40.66815729599999</v>
      </c>
      <c r="N167" s="464">
        <f>SUMIF(Price!$N$76:$N$84,$B167,Price!V76:V84)</f>
        <v>42.294883587839998</v>
      </c>
      <c r="O167" s="468">
        <f>SUMIF(Price!$N$76:$N$84,$B167,Price!W76:W84)</f>
        <v>43.986678931353595</v>
      </c>
    </row>
    <row r="168" spans="2:15">
      <c r="B168" s="439">
        <f t="shared" si="99"/>
        <v>2025</v>
      </c>
      <c r="E168" s="552"/>
      <c r="F168" s="552"/>
      <c r="G168" s="552"/>
      <c r="H168" s="464">
        <f>SUMIF(Price!$N$76:$N$84,$B168,Price!P76:P84)</f>
        <v>0</v>
      </c>
      <c r="I168" s="464">
        <f>SUMIF(Price!$N$76:$N$84,$B168,Price!Q76:Q84)</f>
        <v>0</v>
      </c>
      <c r="J168" s="464">
        <f>SUMIF(Price!$N$76:$N$84,$B168,Price!R76:R84)</f>
        <v>0</v>
      </c>
      <c r="K168" s="464">
        <f>SUMIF(Price!$N$76:$N$84,$B168,Price!S76:S84)</f>
        <v>0</v>
      </c>
      <c r="L168" s="464">
        <f>SUMIF(Price!$N$76:$N$84,$B168,Price!T76:T84)</f>
        <v>38.915997412499991</v>
      </c>
      <c r="M168" s="464">
        <f>SUMIF(Price!$N$76:$N$84,$B168,Price!U76:U84)</f>
        <v>40.472637308999992</v>
      </c>
      <c r="N168" s="464">
        <f>SUMIF(Price!$N$76:$N$84,$B168,Price!V76:V84)</f>
        <v>42.091542801359985</v>
      </c>
      <c r="O168" s="468">
        <f>SUMIF(Price!$N$76:$N$84,$B168,Price!W76:W84)</f>
        <v>43.775204513414394</v>
      </c>
    </row>
    <row r="169" spans="2:15">
      <c r="B169" s="439">
        <f t="shared" si="99"/>
        <v>2026</v>
      </c>
      <c r="E169" s="552"/>
      <c r="F169" s="552"/>
      <c r="G169" s="552"/>
      <c r="H169" s="464">
        <f>SUMIF(Price!$N$76:$N$84,$B169,Price!P76:P84)</f>
        <v>0</v>
      </c>
      <c r="I169" s="464">
        <f>SUMIF(Price!$N$76:$N$84,$B169,Price!Q76:Q84)</f>
        <v>0</v>
      </c>
      <c r="J169" s="464">
        <f>SUMIF(Price!$N$76:$N$84,$B169,Price!R76:R84)</f>
        <v>0</v>
      </c>
      <c r="K169" s="464">
        <f>SUMIF(Price!$N$76:$N$84,$B169,Price!S76:S84)</f>
        <v>0</v>
      </c>
      <c r="L169" s="464">
        <f>SUMIF(Price!$N$76:$N$84,$B169,Price!T76:T84)</f>
        <v>0</v>
      </c>
      <c r="M169" s="464">
        <f>SUMIF(Price!$N$76:$N$84,$B169,Price!U76:U84)</f>
        <v>40.278057321937489</v>
      </c>
      <c r="N169" s="464">
        <f>SUMIF(Price!$N$76:$N$84,$B169,Price!V76:V84)</f>
        <v>41.889179614814992</v>
      </c>
      <c r="O169" s="468">
        <f>SUMIF(Price!$N$76:$N$84,$B169,Price!W76:W84)</f>
        <v>43.564746799407587</v>
      </c>
    </row>
    <row r="170" spans="2:15">
      <c r="B170" s="439">
        <f t="shared" si="99"/>
        <v>2027</v>
      </c>
      <c r="E170" s="552"/>
      <c r="F170" s="552"/>
      <c r="G170" s="552"/>
      <c r="H170" s="464">
        <f>SUMIF(Price!$N$76:$N$84,$B170,Price!P76:P84)</f>
        <v>0</v>
      </c>
      <c r="I170" s="464">
        <f>SUMIF(Price!$N$76:$N$84,$B170,Price!Q76:Q84)</f>
        <v>0</v>
      </c>
      <c r="J170" s="464">
        <f>SUMIF(Price!$N$76:$N$84,$B170,Price!R76:R84)</f>
        <v>0</v>
      </c>
      <c r="K170" s="464">
        <f>SUMIF(Price!$N$76:$N$84,$B170,Price!S76:S84)</f>
        <v>0</v>
      </c>
      <c r="L170" s="464">
        <f>SUMIF(Price!$N$76:$N$84,$B170,Price!T76:T84)</f>
        <v>0</v>
      </c>
      <c r="M170" s="464">
        <f>SUMIF(Price!$N$76:$N$84,$B170,Price!U76:U84)</f>
        <v>0</v>
      </c>
      <c r="N170" s="464">
        <f>SUMIF(Price!$N$76:$N$84,$B170,Price!V76:V84)</f>
        <v>41.687789328205298</v>
      </c>
      <c r="O170" s="468">
        <f>SUMIF(Price!$N$76:$N$84,$B170,Price!W76:W84)</f>
        <v>43.355300901333514</v>
      </c>
    </row>
    <row r="171" spans="2:15">
      <c r="B171" s="439">
        <f t="shared" si="99"/>
        <v>2028</v>
      </c>
      <c r="E171" s="552"/>
      <c r="F171" s="552"/>
      <c r="G171" s="552"/>
      <c r="H171" s="464">
        <f>SUMIF(Price!$N$76:$N$84,$B171,Price!P76:P84)</f>
        <v>0</v>
      </c>
      <c r="I171" s="464">
        <f>SUMIF(Price!$N$76:$N$84,$B171,Price!Q76:Q84)</f>
        <v>0</v>
      </c>
      <c r="J171" s="464">
        <f>SUMIF(Price!$N$76:$N$84,$B171,Price!R76:R84)</f>
        <v>0</v>
      </c>
      <c r="K171" s="464">
        <f>SUMIF(Price!$N$76:$N$84,$B171,Price!S76:S84)</f>
        <v>0</v>
      </c>
      <c r="L171" s="464">
        <f>SUMIF(Price!$N$76:$N$84,$B171,Price!T76:T84)</f>
        <v>0</v>
      </c>
      <c r="M171" s="464">
        <f>SUMIF(Price!$N$76:$N$84,$B171,Price!U76:U84)</f>
        <v>0</v>
      </c>
      <c r="N171" s="464">
        <f>SUMIF(Price!$N$76:$N$84,$B171,Price!V76:V84)</f>
        <v>0</v>
      </c>
      <c r="O171" s="468">
        <f>SUMIF(Price!$N$76:$N$84,$B171,Price!W76:W84)</f>
        <v>0</v>
      </c>
    </row>
    <row r="172" spans="2:15">
      <c r="B172" s="439"/>
      <c r="I172" s="464"/>
      <c r="J172" s="464"/>
      <c r="K172" s="464"/>
      <c r="L172" s="464"/>
      <c r="M172" s="464"/>
      <c r="N172" s="464"/>
      <c r="O172" s="468"/>
    </row>
    <row r="173" spans="2:15">
      <c r="B173" s="439" t="s">
        <v>590</v>
      </c>
      <c r="E173" s="626">
        <f>E159</f>
        <v>2019</v>
      </c>
      <c r="F173" s="626">
        <f t="shared" ref="F173:N173" si="100">F159</f>
        <v>2020</v>
      </c>
      <c r="G173" s="626">
        <f t="shared" si="100"/>
        <v>2021</v>
      </c>
      <c r="H173" s="626">
        <f t="shared" si="100"/>
        <v>2022</v>
      </c>
      <c r="I173" s="626">
        <f t="shared" si="100"/>
        <v>2023</v>
      </c>
      <c r="J173" s="626">
        <f t="shared" si="100"/>
        <v>2024</v>
      </c>
      <c r="K173" s="626">
        <f t="shared" si="100"/>
        <v>2025</v>
      </c>
      <c r="L173" s="626">
        <f t="shared" si="100"/>
        <v>2026</v>
      </c>
      <c r="M173" s="626">
        <f t="shared" si="100"/>
        <v>2027</v>
      </c>
      <c r="N173" s="626">
        <f t="shared" si="100"/>
        <v>2028</v>
      </c>
      <c r="O173" s="627">
        <f>O159</f>
        <v>2029</v>
      </c>
    </row>
    <row r="174" spans="2:15">
      <c r="B174" s="439">
        <f>B161</f>
        <v>2018</v>
      </c>
      <c r="E174" s="115">
        <f t="shared" ref="E174:N174" si="101">E161*E145</f>
        <v>0</v>
      </c>
      <c r="F174" s="115">
        <f t="shared" si="101"/>
        <v>0</v>
      </c>
      <c r="G174" s="115">
        <f t="shared" si="101"/>
        <v>0</v>
      </c>
      <c r="H174" s="115">
        <f>H161*H145</f>
        <v>0</v>
      </c>
      <c r="I174" s="605"/>
      <c r="J174" s="605">
        <f>K161*I145</f>
        <v>275164.23168000003</v>
      </c>
      <c r="K174" s="115">
        <f>K161*K145</f>
        <v>0</v>
      </c>
      <c r="L174" s="115">
        <f t="shared" si="101"/>
        <v>0</v>
      </c>
      <c r="M174" s="115">
        <f t="shared" si="101"/>
        <v>0</v>
      </c>
      <c r="N174" s="115">
        <f t="shared" si="101"/>
        <v>0</v>
      </c>
      <c r="O174" s="508">
        <f t="shared" ref="O174:O185" si="102">O161*O145</f>
        <v>0</v>
      </c>
    </row>
    <row r="175" spans="2:15">
      <c r="B175" s="439">
        <f t="shared" ref="B175:B184" si="103">B162</f>
        <v>2019</v>
      </c>
      <c r="E175" s="115">
        <f t="shared" ref="E175:N175" si="104">E162*E146</f>
        <v>0</v>
      </c>
      <c r="F175" s="115">
        <f t="shared" si="104"/>
        <v>0</v>
      </c>
      <c r="G175" s="115">
        <f t="shared" si="104"/>
        <v>0</v>
      </c>
      <c r="H175" s="115">
        <f>H162*H146</f>
        <v>0</v>
      </c>
      <c r="I175" s="605"/>
      <c r="J175" s="605">
        <f>K162*I146</f>
        <v>557389.79712</v>
      </c>
      <c r="K175" s="115">
        <f>K162*K146</f>
        <v>0</v>
      </c>
      <c r="L175" s="115">
        <f t="shared" si="104"/>
        <v>0</v>
      </c>
      <c r="M175" s="115">
        <f t="shared" si="104"/>
        <v>0</v>
      </c>
      <c r="N175" s="115">
        <f t="shared" si="104"/>
        <v>0</v>
      </c>
      <c r="O175" s="508">
        <f t="shared" si="102"/>
        <v>0</v>
      </c>
    </row>
    <row r="176" spans="2:15">
      <c r="B176" s="439">
        <f t="shared" si="103"/>
        <v>2020</v>
      </c>
      <c r="E176" s="115">
        <f t="shared" ref="E176:N176" si="105">E163*E147</f>
        <v>0</v>
      </c>
      <c r="F176" s="115">
        <f t="shared" si="105"/>
        <v>0</v>
      </c>
      <c r="G176" s="115">
        <f t="shared" si="105"/>
        <v>0</v>
      </c>
      <c r="H176" s="115">
        <f t="shared" si="105"/>
        <v>0</v>
      </c>
      <c r="I176" s="605"/>
      <c r="J176" s="605">
        <f>J163*J147</f>
        <v>448999.19999999995</v>
      </c>
      <c r="K176" s="115">
        <f t="shared" si="105"/>
        <v>0</v>
      </c>
      <c r="L176" s="115">
        <f t="shared" si="105"/>
        <v>0</v>
      </c>
      <c r="M176" s="115">
        <f t="shared" si="105"/>
        <v>0</v>
      </c>
      <c r="N176" s="115">
        <f t="shared" si="105"/>
        <v>0</v>
      </c>
      <c r="O176" s="508">
        <f t="shared" si="102"/>
        <v>0</v>
      </c>
    </row>
    <row r="177" spans="2:15">
      <c r="B177" s="439">
        <f t="shared" si="103"/>
        <v>2021</v>
      </c>
      <c r="E177" s="115">
        <f t="shared" ref="E177:N177" si="106">E164*E148</f>
        <v>0</v>
      </c>
      <c r="F177" s="115">
        <f t="shared" si="106"/>
        <v>0</v>
      </c>
      <c r="G177" s="115">
        <f t="shared" si="106"/>
        <v>0</v>
      </c>
      <c r="H177" s="115">
        <f t="shared" si="106"/>
        <v>0</v>
      </c>
      <c r="I177" s="605"/>
      <c r="J177" s="605">
        <f>J164*J148</f>
        <v>919900.79999999993</v>
      </c>
      <c r="K177" s="115">
        <f t="shared" si="106"/>
        <v>0</v>
      </c>
      <c r="L177" s="115">
        <f t="shared" si="106"/>
        <v>0</v>
      </c>
      <c r="M177" s="115">
        <f t="shared" si="106"/>
        <v>0</v>
      </c>
      <c r="N177" s="115">
        <f t="shared" si="106"/>
        <v>0</v>
      </c>
      <c r="O177" s="508">
        <f t="shared" si="102"/>
        <v>0</v>
      </c>
    </row>
    <row r="178" spans="2:15">
      <c r="B178" s="439">
        <f t="shared" si="103"/>
        <v>2022</v>
      </c>
      <c r="E178" s="115">
        <f t="shared" ref="E178:N178" si="107">E165*E149</f>
        <v>0</v>
      </c>
      <c r="F178" s="115">
        <f t="shared" si="107"/>
        <v>0</v>
      </c>
      <c r="G178" s="115">
        <f t="shared" si="107"/>
        <v>0</v>
      </c>
      <c r="H178" s="115">
        <f t="shared" si="107"/>
        <v>0</v>
      </c>
      <c r="I178" s="115">
        <f t="shared" si="107"/>
        <v>0</v>
      </c>
      <c r="J178" s="115">
        <f t="shared" ca="1" si="107"/>
        <v>0</v>
      </c>
      <c r="K178" s="115">
        <f>K165*K149</f>
        <v>0</v>
      </c>
      <c r="L178" s="115">
        <f t="shared" si="107"/>
        <v>0</v>
      </c>
      <c r="M178" s="115">
        <f t="shared" si="107"/>
        <v>0</v>
      </c>
      <c r="N178" s="115">
        <f t="shared" si="107"/>
        <v>0</v>
      </c>
      <c r="O178" s="508">
        <f t="shared" si="102"/>
        <v>0</v>
      </c>
    </row>
    <row r="179" spans="2:15">
      <c r="B179" s="439">
        <f t="shared" si="103"/>
        <v>2023</v>
      </c>
      <c r="E179" s="115">
        <f t="shared" ref="E179:N179" si="108">E166*E150</f>
        <v>0</v>
      </c>
      <c r="F179" s="115">
        <f t="shared" si="108"/>
        <v>0</v>
      </c>
      <c r="G179" s="115">
        <f t="shared" si="108"/>
        <v>0</v>
      </c>
      <c r="H179" s="115">
        <f t="shared" si="108"/>
        <v>0</v>
      </c>
      <c r="I179" s="115">
        <f t="shared" si="108"/>
        <v>0</v>
      </c>
      <c r="J179" s="115">
        <f t="shared" si="108"/>
        <v>0</v>
      </c>
      <c r="K179" s="115">
        <f t="shared" ca="1" si="108"/>
        <v>1577811.6619200003</v>
      </c>
      <c r="L179" s="115">
        <f t="shared" si="108"/>
        <v>0</v>
      </c>
      <c r="M179" s="115">
        <f>M166*M150</f>
        <v>0</v>
      </c>
      <c r="N179" s="115">
        <f t="shared" si="108"/>
        <v>0</v>
      </c>
      <c r="O179" s="508">
        <f t="shared" si="102"/>
        <v>0</v>
      </c>
    </row>
    <row r="180" spans="2:15">
      <c r="B180" s="439">
        <f t="shared" si="103"/>
        <v>2024</v>
      </c>
      <c r="E180" s="115">
        <f t="shared" ref="E180:N180" si="109">E167*E151</f>
        <v>0</v>
      </c>
      <c r="F180" s="115">
        <f t="shared" si="109"/>
        <v>0</v>
      </c>
      <c r="G180" s="115">
        <f t="shared" si="109"/>
        <v>0</v>
      </c>
      <c r="H180" s="115">
        <f t="shared" si="109"/>
        <v>0</v>
      </c>
      <c r="I180" s="115">
        <f t="shared" si="109"/>
        <v>0</v>
      </c>
      <c r="J180" s="115">
        <f t="shared" si="109"/>
        <v>0</v>
      </c>
      <c r="K180" s="115">
        <f t="shared" ca="1" si="109"/>
        <v>0</v>
      </c>
      <c r="L180" s="115">
        <f t="shared" ca="1" si="109"/>
        <v>2365426.8720575999</v>
      </c>
      <c r="M180" s="115">
        <f t="shared" si="109"/>
        <v>0</v>
      </c>
      <c r="N180" s="115">
        <f t="shared" si="109"/>
        <v>0</v>
      </c>
      <c r="O180" s="508">
        <f t="shared" si="102"/>
        <v>0</v>
      </c>
    </row>
    <row r="181" spans="2:15">
      <c r="B181" s="439">
        <f t="shared" si="103"/>
        <v>2025</v>
      </c>
      <c r="E181" s="115">
        <f t="shared" ref="E181:N181" si="110">E168*E152</f>
        <v>0</v>
      </c>
      <c r="F181" s="115">
        <f t="shared" si="110"/>
        <v>0</v>
      </c>
      <c r="G181" s="115">
        <f t="shared" si="110"/>
        <v>0</v>
      </c>
      <c r="H181" s="115">
        <f t="shared" si="110"/>
        <v>0</v>
      </c>
      <c r="I181" s="115">
        <f t="shared" si="110"/>
        <v>0</v>
      </c>
      <c r="J181" s="115">
        <f t="shared" si="110"/>
        <v>0</v>
      </c>
      <c r="K181" s="115">
        <f t="shared" si="110"/>
        <v>0</v>
      </c>
      <c r="L181" s="115">
        <f t="shared" ca="1" si="110"/>
        <v>0</v>
      </c>
      <c r="M181" s="115">
        <f t="shared" ca="1" si="110"/>
        <v>2846359.6366673512</v>
      </c>
      <c r="N181" s="115">
        <f t="shared" si="110"/>
        <v>0</v>
      </c>
      <c r="O181" s="508">
        <f t="shared" si="102"/>
        <v>0</v>
      </c>
    </row>
    <row r="182" spans="2:15">
      <c r="B182" s="439">
        <f t="shared" si="103"/>
        <v>2026</v>
      </c>
      <c r="E182" s="115">
        <f t="shared" ref="E182:N182" si="111">E169*E153</f>
        <v>0</v>
      </c>
      <c r="F182" s="115">
        <f t="shared" si="111"/>
        <v>0</v>
      </c>
      <c r="G182" s="115">
        <f t="shared" si="111"/>
        <v>0</v>
      </c>
      <c r="H182" s="115">
        <f t="shared" si="111"/>
        <v>0</v>
      </c>
      <c r="I182" s="115">
        <f t="shared" si="111"/>
        <v>0</v>
      </c>
      <c r="J182" s="115">
        <f t="shared" si="111"/>
        <v>0</v>
      </c>
      <c r="K182" s="115">
        <f t="shared" si="111"/>
        <v>0</v>
      </c>
      <c r="L182" s="115">
        <f t="shared" si="111"/>
        <v>0</v>
      </c>
      <c r="M182" s="115">
        <f t="shared" ca="1" si="111"/>
        <v>0</v>
      </c>
      <c r="N182" s="115">
        <f t="shared" ca="1" si="111"/>
        <v>2948774.8359250301</v>
      </c>
      <c r="O182" s="508">
        <f t="shared" si="102"/>
        <v>0</v>
      </c>
    </row>
    <row r="183" spans="2:15">
      <c r="B183" s="439">
        <f t="shared" si="103"/>
        <v>2027</v>
      </c>
      <c r="E183" s="115">
        <f t="shared" ref="E183:N183" si="112">E170*E154</f>
        <v>0</v>
      </c>
      <c r="F183" s="115">
        <f t="shared" si="112"/>
        <v>0</v>
      </c>
      <c r="G183" s="115">
        <f t="shared" si="112"/>
        <v>0</v>
      </c>
      <c r="H183" s="115">
        <f t="shared" si="112"/>
        <v>0</v>
      </c>
      <c r="I183" s="115">
        <f t="shared" si="112"/>
        <v>0</v>
      </c>
      <c r="J183" s="115">
        <f t="shared" si="112"/>
        <v>0</v>
      </c>
      <c r="K183" s="115">
        <f t="shared" si="112"/>
        <v>0</v>
      </c>
      <c r="L183" s="115">
        <f t="shared" si="112"/>
        <v>0</v>
      </c>
      <c r="M183" s="115">
        <f t="shared" si="112"/>
        <v>0</v>
      </c>
      <c r="N183" s="115">
        <f t="shared" ca="1" si="112"/>
        <v>0</v>
      </c>
      <c r="O183" s="508">
        <f t="shared" ca="1" si="102"/>
        <v>3051981.9551824057</v>
      </c>
    </row>
    <row r="184" spans="2:15">
      <c r="B184" s="439">
        <f t="shared" si="103"/>
        <v>2028</v>
      </c>
      <c r="E184" s="115">
        <f t="shared" ref="E184:N184" si="113">E171*E155</f>
        <v>0</v>
      </c>
      <c r="F184" s="115">
        <f t="shared" si="113"/>
        <v>0</v>
      </c>
      <c r="G184" s="115">
        <f t="shared" si="113"/>
        <v>0</v>
      </c>
      <c r="H184" s="115">
        <f t="shared" si="113"/>
        <v>0</v>
      </c>
      <c r="I184" s="115">
        <f t="shared" si="113"/>
        <v>0</v>
      </c>
      <c r="J184" s="115">
        <f t="shared" si="113"/>
        <v>0</v>
      </c>
      <c r="K184" s="115">
        <f t="shared" si="113"/>
        <v>0</v>
      </c>
      <c r="L184" s="115">
        <f t="shared" si="113"/>
        <v>0</v>
      </c>
      <c r="M184" s="115">
        <f t="shared" si="113"/>
        <v>0</v>
      </c>
      <c r="N184" s="115">
        <f t="shared" si="113"/>
        <v>0</v>
      </c>
      <c r="O184" s="508">
        <f t="shared" ca="1" si="102"/>
        <v>0</v>
      </c>
    </row>
    <row r="185" spans="2:15">
      <c r="B185" s="439"/>
      <c r="E185" s="115">
        <f t="shared" ref="E185:N185" si="114">E172*E156</f>
        <v>0</v>
      </c>
      <c r="F185" s="115">
        <f t="shared" si="114"/>
        <v>0</v>
      </c>
      <c r="G185" s="115">
        <f t="shared" si="114"/>
        <v>0</v>
      </c>
      <c r="H185" s="115">
        <f t="shared" si="114"/>
        <v>0</v>
      </c>
      <c r="I185" s="115">
        <f t="shared" si="114"/>
        <v>0</v>
      </c>
      <c r="J185" s="115">
        <f t="shared" ca="1" si="114"/>
        <v>0</v>
      </c>
      <c r="K185" s="115">
        <f t="shared" ca="1" si="114"/>
        <v>0</v>
      </c>
      <c r="L185" s="115">
        <f t="shared" ca="1" si="114"/>
        <v>0</v>
      </c>
      <c r="M185" s="115">
        <f t="shared" ca="1" si="114"/>
        <v>0</v>
      </c>
      <c r="N185" s="115">
        <f t="shared" ca="1" si="114"/>
        <v>0</v>
      </c>
      <c r="O185" s="508">
        <f t="shared" ca="1" si="102"/>
        <v>0</v>
      </c>
    </row>
    <row r="186" spans="2:15" ht="13.5" thickBot="1">
      <c r="B186" s="601" t="s">
        <v>590</v>
      </c>
      <c r="C186" s="555"/>
      <c r="D186" s="555"/>
      <c r="E186" s="622">
        <f t="shared" ref="E186:N186" si="115">SUM(E174:E185)</f>
        <v>0</v>
      </c>
      <c r="F186" s="622">
        <f t="shared" si="115"/>
        <v>0</v>
      </c>
      <c r="G186" s="622">
        <f t="shared" si="115"/>
        <v>0</v>
      </c>
      <c r="H186" s="622">
        <f t="shared" si="115"/>
        <v>0</v>
      </c>
      <c r="I186" s="622">
        <f t="shared" si="115"/>
        <v>0</v>
      </c>
      <c r="J186" s="622">
        <f t="shared" ca="1" si="115"/>
        <v>2201454.0288</v>
      </c>
      <c r="K186" s="622">
        <f t="shared" ca="1" si="115"/>
        <v>1577811.6619200003</v>
      </c>
      <c r="L186" s="622">
        <f t="shared" ca="1" si="115"/>
        <v>2365426.8720575999</v>
      </c>
      <c r="M186" s="622">
        <f t="shared" ca="1" si="115"/>
        <v>2846359.6366673512</v>
      </c>
      <c r="N186" s="622">
        <f t="shared" ca="1" si="115"/>
        <v>2948774.8359250301</v>
      </c>
      <c r="O186" s="625">
        <f ca="1">SUM(O174:O185)</f>
        <v>3051981.9551824057</v>
      </c>
    </row>
    <row r="187" spans="2:15" ht="13.5" thickBot="1">
      <c r="N187" s="909"/>
      <c r="O187" s="909"/>
    </row>
    <row r="188" spans="2:15">
      <c r="B188" s="599" t="s">
        <v>591</v>
      </c>
      <c r="C188" s="619" t="s">
        <v>592</v>
      </c>
      <c r="D188" s="557"/>
      <c r="N188" s="909"/>
      <c r="O188" s="909"/>
    </row>
    <row r="189" spans="2:15" ht="13.5" thickBot="1">
      <c r="B189" s="547" t="str">
        <f>'Prod info'!B201</f>
        <v>Selection individuelle</v>
      </c>
      <c r="C189" s="548">
        <f>'Prod info'!F15</f>
        <v>4</v>
      </c>
      <c r="N189" s="909"/>
      <c r="O189" s="909"/>
    </row>
    <row r="190" spans="2:15">
      <c r="B190" s="599" t="s">
        <v>552</v>
      </c>
      <c r="C190" s="546"/>
      <c r="D190" s="546"/>
      <c r="E190" s="621">
        <f t="shared" ref="E190:O190" si="116">T$17-$C$189</f>
        <v>2015</v>
      </c>
      <c r="F190" s="621">
        <f t="shared" si="116"/>
        <v>2016</v>
      </c>
      <c r="G190" s="621">
        <f t="shared" si="116"/>
        <v>2017</v>
      </c>
      <c r="H190" s="621">
        <f t="shared" si="116"/>
        <v>2018</v>
      </c>
      <c r="I190" s="621">
        <f t="shared" si="116"/>
        <v>2019</v>
      </c>
      <c r="J190" s="621">
        <f t="shared" si="116"/>
        <v>2020</v>
      </c>
      <c r="K190" s="621">
        <f t="shared" si="116"/>
        <v>2021</v>
      </c>
      <c r="L190" s="621">
        <f t="shared" si="116"/>
        <v>2022</v>
      </c>
      <c r="M190" s="621">
        <f t="shared" si="116"/>
        <v>2023</v>
      </c>
      <c r="N190" s="621">
        <f t="shared" si="116"/>
        <v>2024</v>
      </c>
      <c r="O190" s="619">
        <f t="shared" si="116"/>
        <v>2025</v>
      </c>
    </row>
    <row r="191" spans="2:15" ht="13.5" thickBot="1">
      <c r="B191" s="440" t="s">
        <v>737</v>
      </c>
      <c r="C191" s="555"/>
      <c r="D191" s="555"/>
      <c r="E191" s="558">
        <f t="shared" ref="E191:N191" si="117">E193</f>
        <v>2019</v>
      </c>
      <c r="F191" s="558">
        <f t="shared" si="117"/>
        <v>2020</v>
      </c>
      <c r="G191" s="558">
        <f t="shared" si="117"/>
        <v>2021</v>
      </c>
      <c r="H191" s="558">
        <f t="shared" si="117"/>
        <v>2022</v>
      </c>
      <c r="I191" s="558">
        <f t="shared" si="117"/>
        <v>2023</v>
      </c>
      <c r="J191" s="558">
        <f t="shared" si="117"/>
        <v>2024</v>
      </c>
      <c r="K191" s="558">
        <f t="shared" si="117"/>
        <v>2025</v>
      </c>
      <c r="L191" s="558">
        <f t="shared" si="117"/>
        <v>2026</v>
      </c>
      <c r="M191" s="558">
        <f t="shared" si="117"/>
        <v>2027</v>
      </c>
      <c r="N191" s="558">
        <f t="shared" si="117"/>
        <v>2028</v>
      </c>
      <c r="O191" s="559">
        <f>O193</f>
        <v>2029</v>
      </c>
    </row>
    <row r="192" spans="2:15">
      <c r="B192" s="599"/>
      <c r="C192" s="546"/>
      <c r="D192" s="546"/>
      <c r="E192" s="546"/>
      <c r="F192" s="546"/>
      <c r="G192" s="546"/>
      <c r="H192" s="546"/>
      <c r="I192" s="546"/>
      <c r="J192" s="546"/>
      <c r="K192" s="546"/>
      <c r="L192" s="546"/>
      <c r="M192" s="546"/>
      <c r="N192" s="546"/>
      <c r="O192" s="597"/>
    </row>
    <row r="193" spans="2:15">
      <c r="B193" s="547"/>
      <c r="C193" s="909" t="s">
        <v>738</v>
      </c>
      <c r="D193" s="913"/>
      <c r="E193" s="626">
        <v>2019</v>
      </c>
      <c r="F193" s="626">
        <v>2020</v>
      </c>
      <c r="G193" s="626">
        <v>2021</v>
      </c>
      <c r="H193" s="626">
        <v>2022</v>
      </c>
      <c r="I193" s="626">
        <v>2023</v>
      </c>
      <c r="J193" s="626">
        <v>2024</v>
      </c>
      <c r="K193" s="626">
        <v>2025</v>
      </c>
      <c r="L193" s="626">
        <v>2026</v>
      </c>
      <c r="M193" s="626">
        <v>2027</v>
      </c>
      <c r="N193" s="626">
        <v>2028</v>
      </c>
      <c r="O193" s="627">
        <v>2029</v>
      </c>
    </row>
    <row r="194" spans="2:15">
      <c r="B194" s="439" t="s">
        <v>542</v>
      </c>
      <c r="C194" s="909"/>
      <c r="D194" s="909"/>
      <c r="E194" s="115"/>
      <c r="F194" s="115"/>
      <c r="G194" s="115"/>
      <c r="H194" s="909"/>
      <c r="I194" s="115"/>
      <c r="J194" s="115"/>
      <c r="K194" s="115"/>
      <c r="L194" s="115"/>
      <c r="M194" s="115"/>
      <c r="N194" s="115"/>
      <c r="O194" s="508"/>
    </row>
    <row r="195" spans="2:15">
      <c r="B195" s="439">
        <v>2018</v>
      </c>
      <c r="C195" s="909"/>
      <c r="D195" s="115"/>
      <c r="E195" s="115"/>
      <c r="F195" s="115"/>
      <c r="G195" s="115"/>
      <c r="H195" s="115">
        <f>'Prod info'!O251/'Inv. wine'!$AE$3</f>
        <v>0</v>
      </c>
      <c r="I195" s="115">
        <f>'Prod info'!P251/'Inv. wine'!$AE$3</f>
        <v>1198</v>
      </c>
      <c r="J195" s="115">
        <f>'Prod info'!Q251/'Inv. wine'!$AE$3</f>
        <v>0</v>
      </c>
      <c r="K195" s="115">
        <f>'Prod info'!R251/'Inv. wine'!$AE$3</f>
        <v>0</v>
      </c>
      <c r="L195" s="115">
        <f>'Prod info'!S251/'Inv. wine'!$AE$3</f>
        <v>0</v>
      </c>
      <c r="M195" s="115">
        <f>'Prod info'!T251/'Inv. wine'!$AE$3</f>
        <v>0</v>
      </c>
      <c r="N195" s="115">
        <f>'Prod info'!U251/'Inv. wine'!$AE$3</f>
        <v>0</v>
      </c>
      <c r="O195" s="508">
        <f>'Prod info'!V251/'Inv. wine'!$AE$3</f>
        <v>0</v>
      </c>
    </row>
    <row r="196" spans="2:15">
      <c r="B196" s="439">
        <v>2019</v>
      </c>
      <c r="C196" s="909"/>
      <c r="D196" s="115"/>
      <c r="E196" s="115"/>
      <c r="F196" s="115"/>
      <c r="G196" s="115"/>
      <c r="H196" s="115">
        <f>'Prod info'!O252/'Inv. wine'!$AE$3</f>
        <v>0</v>
      </c>
      <c r="I196" s="115">
        <f>'Prod info'!P252/'Inv. wine'!$AE$3</f>
        <v>2446.6666666666665</v>
      </c>
      <c r="J196" s="115">
        <f>'Prod info'!Q252/'Inv. wine'!$AE$3</f>
        <v>0</v>
      </c>
      <c r="K196" s="115">
        <f>'Prod info'!R252/'Inv. wine'!$AE$3</f>
        <v>0</v>
      </c>
      <c r="L196" s="115">
        <f>'Prod info'!S252/'Inv. wine'!$AE$3</f>
        <v>0</v>
      </c>
      <c r="M196" s="115">
        <f>'Prod info'!T252/'Inv. wine'!$AE$3</f>
        <v>0</v>
      </c>
      <c r="N196" s="115">
        <f>'Prod info'!U252/'Inv. wine'!$AE$3</f>
        <v>0</v>
      </c>
      <c r="O196" s="508">
        <f>'Prod info'!V252/'Inv. wine'!$AE$3</f>
        <v>0</v>
      </c>
    </row>
    <row r="197" spans="2:15">
      <c r="B197" s="439">
        <v>2020</v>
      </c>
      <c r="C197" s="909"/>
      <c r="D197" s="115"/>
      <c r="E197" s="115"/>
      <c r="F197" s="115"/>
      <c r="G197" s="115"/>
      <c r="H197" s="115">
        <f>'Prod info'!O253/'Inv. wine'!$AE$3</f>
        <v>0</v>
      </c>
      <c r="I197" s="115">
        <f>'Prod info'!P253/'Inv. wine'!$AE$3</f>
        <v>0</v>
      </c>
      <c r="J197" s="115">
        <f>'Prod info'!Q253/'Inv. wine'!$AE$3</f>
        <v>0</v>
      </c>
      <c r="K197" s="115">
        <f>'Prod info'!R253/'Inv. wine'!$AE$3</f>
        <v>0</v>
      </c>
      <c r="L197" s="115">
        <f>'Prod info'!S253/'Inv. wine'!$AE$3</f>
        <v>0</v>
      </c>
      <c r="M197" s="115">
        <f>'Prod info'!T253/'Inv. wine'!$AE$3</f>
        <v>0</v>
      </c>
      <c r="N197" s="115">
        <f>'Prod info'!U253/'Inv. wine'!$AE$3</f>
        <v>0</v>
      </c>
      <c r="O197" s="508">
        <f>'Prod info'!V253/'Inv. wine'!$AE$3</f>
        <v>0</v>
      </c>
    </row>
    <row r="198" spans="2:15">
      <c r="B198" s="439">
        <v>2021</v>
      </c>
      <c r="C198" s="909"/>
      <c r="D198" s="115"/>
      <c r="E198" s="115"/>
      <c r="F198" s="115"/>
      <c r="G198" s="115"/>
      <c r="H198" s="115">
        <f>'Prod info'!O254/'Inv. wine'!$AE$3</f>
        <v>0</v>
      </c>
      <c r="I198" s="115">
        <f>'Prod info'!P254/'Inv. wine'!$AE$3</f>
        <v>0</v>
      </c>
      <c r="J198" s="115">
        <f>'Prod info'!Q254/'Inv. wine'!$AE$3</f>
        <v>0</v>
      </c>
      <c r="K198" s="115">
        <f>'Prod info'!R254/'Inv. wine'!$AE$3</f>
        <v>0</v>
      </c>
      <c r="L198" s="115">
        <f>'Prod info'!S254/'Inv. wine'!$AE$3</f>
        <v>0</v>
      </c>
      <c r="M198" s="115">
        <f>'Prod info'!T254/'Inv. wine'!$AE$3</f>
        <v>0</v>
      </c>
      <c r="N198" s="115">
        <f>'Prod info'!U254/'Inv. wine'!$AE$3</f>
        <v>0</v>
      </c>
      <c r="O198" s="508">
        <f>'Prod info'!V254/'Inv. wine'!$AE$3</f>
        <v>0</v>
      </c>
    </row>
    <row r="199" spans="2:15">
      <c r="B199" s="439">
        <v>2022</v>
      </c>
      <c r="C199" s="909"/>
      <c r="D199" s="115"/>
      <c r="E199" s="115"/>
      <c r="F199" s="115"/>
      <c r="G199" s="115"/>
      <c r="H199" s="115">
        <f>'Prod info'!O255/'Inv. wine'!$AE$3</f>
        <v>0</v>
      </c>
      <c r="I199" s="115">
        <f>'Prod info'!P255/'Inv. wine'!$AE$3</f>
        <v>0</v>
      </c>
      <c r="J199" s="115">
        <f>'Prod info'!Q255/'Inv. wine'!$AE$3</f>
        <v>0</v>
      </c>
      <c r="K199" s="115">
        <f>'Prod info'!R255/'Inv. wine'!$AE$3</f>
        <v>0</v>
      </c>
      <c r="L199" s="115">
        <f>'Prod info'!S255/'Inv. wine'!$AE$3</f>
        <v>0</v>
      </c>
      <c r="M199" s="115">
        <f>'Prod info'!T255/'Inv. wine'!$AE$3</f>
        <v>0</v>
      </c>
      <c r="N199" s="115">
        <f>'Prod info'!U255/'Inv. wine'!$AE$3</f>
        <v>0</v>
      </c>
      <c r="O199" s="508">
        <f>'Prod info'!V255/'Inv. wine'!$AE$3</f>
        <v>0</v>
      </c>
    </row>
    <row r="200" spans="2:15">
      <c r="B200" s="439">
        <v>2023</v>
      </c>
      <c r="C200" s="909"/>
      <c r="D200" s="115"/>
      <c r="E200" s="115"/>
      <c r="F200" s="115"/>
      <c r="G200" s="115"/>
      <c r="H200" s="115">
        <f>'Prod info'!O256/'Inv. wine'!$AE$3</f>
        <v>0</v>
      </c>
      <c r="I200" s="115">
        <f>'Prod info'!P256/'Inv. wine'!$AE$3</f>
        <v>0</v>
      </c>
      <c r="J200" s="115">
        <f>'Prod info'!Q256/'Inv. wine'!$AE$3</f>
        <v>0</v>
      </c>
      <c r="K200" s="115">
        <f>'Prod info'!R256/'Inv. wine'!$AE$3</f>
        <v>0</v>
      </c>
      <c r="L200" s="115">
        <f>'Prod info'!S256/'Inv. wine'!$AE$3</f>
        <v>5700</v>
      </c>
      <c r="M200" s="115">
        <f>'Prod info'!T256/'Inv. wine'!$AE$3</f>
        <v>0</v>
      </c>
      <c r="N200" s="115">
        <f>'Prod info'!U256/'Inv. wine'!$AE$3</f>
        <v>0</v>
      </c>
      <c r="O200" s="508">
        <f>'Prod info'!V256/'Inv. wine'!$AE$3</f>
        <v>0</v>
      </c>
    </row>
    <row r="201" spans="2:15">
      <c r="B201" s="439">
        <v>2024</v>
      </c>
      <c r="C201" s="909"/>
      <c r="D201" s="115"/>
      <c r="E201" s="115"/>
      <c r="F201" s="115"/>
      <c r="G201" s="115"/>
      <c r="H201" s="115">
        <f>'Prod info'!O257/'Inv. wine'!$AE$3</f>
        <v>0</v>
      </c>
      <c r="I201" s="115">
        <f>'Prod info'!P257/'Inv. wine'!$AE$3</f>
        <v>0</v>
      </c>
      <c r="J201" s="115">
        <f>'Prod info'!Q257/'Inv. wine'!$AE$3</f>
        <v>0</v>
      </c>
      <c r="K201" s="115">
        <f>'Prod info'!R257/'Inv. wine'!$AE$3</f>
        <v>0</v>
      </c>
      <c r="L201" s="115">
        <f>'Prod info'!S257/'Inv. wine'!$AE$3</f>
        <v>0</v>
      </c>
      <c r="M201" s="115">
        <f>'Prod info'!T257/'Inv. wine'!$AE$3</f>
        <v>7500</v>
      </c>
      <c r="N201" s="115">
        <f>'Prod info'!U257/'Inv. wine'!$AE$3</f>
        <v>0</v>
      </c>
      <c r="O201" s="508">
        <f>'Prod info'!V257/'Inv. wine'!$AE$3</f>
        <v>0</v>
      </c>
    </row>
    <row r="202" spans="2:15">
      <c r="B202" s="439">
        <v>2025</v>
      </c>
      <c r="C202" s="909"/>
      <c r="D202" s="115"/>
      <c r="E202" s="115"/>
      <c r="F202" s="115"/>
      <c r="G202" s="115"/>
      <c r="H202" s="115">
        <f>'Prod info'!O258/'Inv. wine'!$AE$3</f>
        <v>0</v>
      </c>
      <c r="I202" s="115">
        <f>'Prod info'!P258/'Inv. wine'!$AE$3</f>
        <v>0</v>
      </c>
      <c r="J202" s="115">
        <f>'Prod info'!Q258/'Inv. wine'!$AE$3</f>
        <v>0</v>
      </c>
      <c r="K202" s="115">
        <f>'Prod info'!R258/'Inv. wine'!$AE$3</f>
        <v>0</v>
      </c>
      <c r="L202" s="115">
        <f>'Prod info'!S258/'Inv. wine'!$AE$3</f>
        <v>0</v>
      </c>
      <c r="M202" s="115">
        <f>'Prod info'!T258/'Inv. wine'!$AE$3</f>
        <v>0</v>
      </c>
      <c r="N202" s="115">
        <f>'Prod info'!U258/'Inv. wine'!$AE$3</f>
        <v>8700</v>
      </c>
      <c r="O202" s="508">
        <f>'Prod info'!V258/'Inv. wine'!$AE$3</f>
        <v>0</v>
      </c>
    </row>
    <row r="203" spans="2:15">
      <c r="B203" s="439">
        <v>2026</v>
      </c>
      <c r="C203" s="909"/>
      <c r="D203" s="115"/>
      <c r="E203" s="115"/>
      <c r="F203" s="115"/>
      <c r="G203" s="115"/>
      <c r="H203" s="115">
        <f>'Prod info'!O259/'Inv. wine'!$AE$3</f>
        <v>0</v>
      </c>
      <c r="I203" s="115">
        <f>'Prod info'!P259/'Inv. wine'!$AE$3</f>
        <v>0</v>
      </c>
      <c r="J203" s="115">
        <f>'Prod info'!Q259/'Inv. wine'!$AE$3</f>
        <v>0</v>
      </c>
      <c r="K203" s="115">
        <f>'Prod info'!R259/'Inv. wine'!$AE$3</f>
        <v>0</v>
      </c>
      <c r="L203" s="115">
        <f>'Prod info'!S259/'Inv. wine'!$AE$3</f>
        <v>0</v>
      </c>
      <c r="M203" s="115">
        <f>'Prod info'!T259/'Inv. wine'!$AE$3</f>
        <v>0</v>
      </c>
      <c r="N203" s="115">
        <f>'Prod info'!U259/'Inv. wine'!$AE$3</f>
        <v>0</v>
      </c>
      <c r="O203" s="508">
        <f>'Prod info'!V259/'Inv. wine'!$AE$3</f>
        <v>8700</v>
      </c>
    </row>
    <row r="204" spans="2:15">
      <c r="B204" s="439">
        <v>2027</v>
      </c>
      <c r="C204" s="909"/>
      <c r="D204" s="115"/>
      <c r="E204" s="115"/>
      <c r="F204" s="115"/>
      <c r="G204" s="115"/>
      <c r="H204" s="115">
        <f>'Prod info'!O260/'Inv. wine'!$AE$3</f>
        <v>0</v>
      </c>
      <c r="I204" s="115">
        <f>'Prod info'!P260/'Inv. wine'!$AE$3</f>
        <v>0</v>
      </c>
      <c r="J204" s="115">
        <f>'Prod info'!Q260/'Inv. wine'!$AE$3</f>
        <v>0</v>
      </c>
      <c r="K204" s="115">
        <f>'Prod info'!R260/'Inv. wine'!$AE$3</f>
        <v>0</v>
      </c>
      <c r="L204" s="115">
        <f>'Prod info'!S260/'Inv. wine'!$AE$3</f>
        <v>0</v>
      </c>
      <c r="M204" s="115">
        <f>'Prod info'!T260/'Inv. wine'!$AE$3</f>
        <v>0</v>
      </c>
      <c r="N204" s="115">
        <f>'Prod info'!U260/'Inv. wine'!$AE$3</f>
        <v>0</v>
      </c>
      <c r="O204" s="508">
        <f>'Prod info'!V260/'Inv. wine'!$AE$3</f>
        <v>0</v>
      </c>
    </row>
    <row r="205" spans="2:15">
      <c r="B205" s="439">
        <v>2028</v>
      </c>
      <c r="C205" s="909"/>
      <c r="D205" s="115"/>
      <c r="E205" s="114"/>
      <c r="F205" s="114"/>
      <c r="G205" s="114"/>
      <c r="H205" s="114">
        <f>'Prod info'!O261/'Inv. wine'!$AE$3</f>
        <v>0</v>
      </c>
      <c r="I205" s="114">
        <f>'Prod info'!P261/'Inv. wine'!$AE$3</f>
        <v>0</v>
      </c>
      <c r="J205" s="114">
        <f>'Prod info'!Q261/'Inv. wine'!$AE$3</f>
        <v>0</v>
      </c>
      <c r="K205" s="114">
        <f>'Prod info'!R261/'Inv. wine'!$AE$3</f>
        <v>0</v>
      </c>
      <c r="L205" s="114">
        <f>'Prod info'!S261/'Inv. wine'!$AE$3</f>
        <v>0</v>
      </c>
      <c r="M205" s="114">
        <f>'Prod info'!T261/'Inv. wine'!$AE$3</f>
        <v>0</v>
      </c>
      <c r="N205" s="114">
        <f>'Prod info'!U261/'Inv. wine'!$AE$3</f>
        <v>0</v>
      </c>
      <c r="O205" s="561">
        <f>'Prod info'!V261/'Inv. wine'!$AE$3</f>
        <v>0</v>
      </c>
    </row>
    <row r="206" spans="2:15">
      <c r="B206" s="439" t="s">
        <v>630</v>
      </c>
      <c r="C206" s="909"/>
      <c r="D206" s="115"/>
      <c r="E206" s="115">
        <f t="shared" ref="E206:N206" si="118">SUM(E195:E205)</f>
        <v>0</v>
      </c>
      <c r="F206" s="115">
        <f t="shared" si="118"/>
        <v>0</v>
      </c>
      <c r="G206" s="115">
        <f t="shared" si="118"/>
        <v>0</v>
      </c>
      <c r="H206" s="115">
        <f t="shared" si="118"/>
        <v>0</v>
      </c>
      <c r="I206" s="115">
        <f t="shared" si="118"/>
        <v>3644.6666666666665</v>
      </c>
      <c r="J206" s="115">
        <f t="shared" si="118"/>
        <v>0</v>
      </c>
      <c r="K206" s="115">
        <f t="shared" si="118"/>
        <v>0</v>
      </c>
      <c r="L206" s="115">
        <f t="shared" si="118"/>
        <v>5700</v>
      </c>
      <c r="M206" s="115">
        <f t="shared" si="118"/>
        <v>7500</v>
      </c>
      <c r="N206" s="115">
        <f t="shared" si="118"/>
        <v>8700</v>
      </c>
      <c r="O206" s="508">
        <f>SUM(O195:O205)</f>
        <v>8700</v>
      </c>
    </row>
    <row r="207" spans="2:15">
      <c r="B207" s="439"/>
      <c r="C207" s="909"/>
      <c r="D207" s="909"/>
      <c r="E207" s="909"/>
      <c r="F207" s="909"/>
      <c r="G207" s="909"/>
      <c r="H207" s="909"/>
      <c r="I207" s="909"/>
      <c r="J207" s="909"/>
      <c r="K207" s="909"/>
      <c r="L207" s="909"/>
      <c r="M207" s="909"/>
      <c r="N207" s="909"/>
      <c r="O207" s="548"/>
    </row>
    <row r="208" spans="2:15">
      <c r="B208" s="439"/>
      <c r="C208" s="909"/>
      <c r="D208" s="909"/>
      <c r="E208" s="912"/>
      <c r="F208" s="912"/>
      <c r="G208" s="912"/>
      <c r="H208" s="912"/>
      <c r="I208" s="912"/>
      <c r="J208" s="912"/>
      <c r="K208" s="912"/>
      <c r="L208" s="912"/>
      <c r="M208" s="912"/>
      <c r="N208" s="912"/>
      <c r="O208" s="553"/>
    </row>
    <row r="209" spans="2:15">
      <c r="B209" s="547" t="s">
        <v>742</v>
      </c>
      <c r="C209" s="909" t="s">
        <v>738</v>
      </c>
      <c r="D209" s="909"/>
      <c r="E209" s="626">
        <f t="shared" ref="E209:N209" si="119">E193</f>
        <v>2019</v>
      </c>
      <c r="F209" s="626">
        <f t="shared" si="119"/>
        <v>2020</v>
      </c>
      <c r="G209" s="626">
        <f t="shared" si="119"/>
        <v>2021</v>
      </c>
      <c r="H209" s="626">
        <f t="shared" si="119"/>
        <v>2022</v>
      </c>
      <c r="I209" s="626">
        <f t="shared" si="119"/>
        <v>2023</v>
      </c>
      <c r="J209" s="626">
        <f t="shared" si="119"/>
        <v>2024</v>
      </c>
      <c r="K209" s="626">
        <f t="shared" si="119"/>
        <v>2025</v>
      </c>
      <c r="L209" s="626">
        <f t="shared" si="119"/>
        <v>2026</v>
      </c>
      <c r="M209" s="626">
        <f t="shared" si="119"/>
        <v>2027</v>
      </c>
      <c r="N209" s="626">
        <f t="shared" si="119"/>
        <v>2028</v>
      </c>
      <c r="O209" s="627">
        <f>O193</f>
        <v>2029</v>
      </c>
    </row>
    <row r="210" spans="2:15">
      <c r="B210" s="439" t="s">
        <v>542</v>
      </c>
      <c r="C210" s="909"/>
      <c r="D210" s="909"/>
      <c r="E210" s="912"/>
      <c r="F210" s="912"/>
      <c r="G210" s="912"/>
      <c r="H210" s="912"/>
      <c r="I210" s="912"/>
      <c r="J210" s="912"/>
      <c r="K210" s="912"/>
      <c r="L210" s="912"/>
      <c r="M210" s="912"/>
      <c r="N210" s="912"/>
      <c r="O210" s="553"/>
    </row>
    <row r="211" spans="2:15">
      <c r="B211" s="439">
        <f t="shared" ref="B211:B221" si="120">B195</f>
        <v>2018</v>
      </c>
      <c r="C211" s="909"/>
      <c r="D211" s="909"/>
      <c r="E211" s="911"/>
      <c r="F211" s="912"/>
      <c r="G211" s="912"/>
      <c r="H211" s="464">
        <f>SUMIF(Price!$B$123:$B$131,$B211,Price!D123:D131)</f>
        <v>0</v>
      </c>
      <c r="I211" s="464">
        <f>Price!D123</f>
        <v>113.51</v>
      </c>
      <c r="J211" s="464">
        <f>Price!E123</f>
        <v>119.1855</v>
      </c>
      <c r="K211" s="464">
        <f>K212</f>
        <v>131.40201375000001</v>
      </c>
      <c r="L211" s="464">
        <f>L212</f>
        <v>137.97211443750001</v>
      </c>
      <c r="M211" s="464">
        <f>SUMIF(Price!$B$123:$B$131,$B211,Price!I123:I131)</f>
        <v>0</v>
      </c>
      <c r="N211" s="464">
        <f>SUMIF(Price!$B$123:$B$131,$B211,Price!J123:J131)</f>
        <v>0</v>
      </c>
      <c r="O211" s="468">
        <f>SUMIF(Price!$B$123:$B$131,$B211,Price!K123:K131)</f>
        <v>0</v>
      </c>
    </row>
    <row r="212" spans="2:15">
      <c r="B212" s="439">
        <f t="shared" si="120"/>
        <v>2019</v>
      </c>
      <c r="C212" s="909"/>
      <c r="D212" s="909"/>
      <c r="E212" s="912"/>
      <c r="F212" s="912"/>
      <c r="G212" s="912"/>
      <c r="H212" s="464">
        <f>SUMIF(Price!$B$123:$B$131,$B212,Price!E123:E131)</f>
        <v>119.1855</v>
      </c>
      <c r="I212" s="464">
        <f>I211</f>
        <v>113.51</v>
      </c>
      <c r="J212" s="464">
        <f>J211</f>
        <v>119.1855</v>
      </c>
      <c r="K212" s="464">
        <f>SUMIF(Price!$B$123:$B$131,$B212,Price!G123:G131)</f>
        <v>131.40201375000001</v>
      </c>
      <c r="L212" s="464">
        <f>SUMIF(Price!$B$123:$B$131,$B212,Price!H123:H131)</f>
        <v>137.97211443750001</v>
      </c>
      <c r="M212" s="464">
        <f>SUMIF(Price!$B$123:$B$131,$B212,Price!I123:I131)</f>
        <v>144.870720159375</v>
      </c>
      <c r="N212" s="464">
        <f>SUMIF(Price!$B$123:$B$131,$B212,Price!J123:J131)</f>
        <v>152.11425616734374</v>
      </c>
      <c r="O212" s="468">
        <f>SUMIF(Price!$B$123:$B$131,$B212,Price!K123:K131)</f>
        <v>159.71996897571094</v>
      </c>
    </row>
    <row r="213" spans="2:15">
      <c r="B213" s="439">
        <f t="shared" si="120"/>
        <v>2020</v>
      </c>
      <c r="C213" s="909"/>
      <c r="D213" s="909"/>
      <c r="E213" s="912"/>
      <c r="F213" s="912"/>
      <c r="G213" s="912"/>
      <c r="H213" s="464">
        <f>SUMIF(Price!$B$123:$B$131,$B213,Price!E123:E131)</f>
        <v>118.901725</v>
      </c>
      <c r="I213" s="464">
        <f>I212</f>
        <v>113.51</v>
      </c>
      <c r="J213" s="464">
        <f>SUMIF(Price!$B$123:$B$131,$B213,Price!F123:F131)</f>
        <v>124.84681125</v>
      </c>
      <c r="K213" s="464">
        <f>SUMIF(Price!$B$123:$B$131,$B213,Price!G123:G131)</f>
        <v>131.08915181250001</v>
      </c>
      <c r="L213" s="464">
        <f>SUMIF(Price!$B$123:$B$131,$B213,Price!H123:H131)</f>
        <v>137.643609403125</v>
      </c>
      <c r="M213" s="464">
        <f>SUMIF(Price!$B$123:$B$131,$B213,Price!I123:I131)</f>
        <v>144.52578987328124</v>
      </c>
      <c r="N213" s="464">
        <f>SUMIF(Price!$B$123:$B$131,$B213,Price!J123:J131)</f>
        <v>151.75207936694531</v>
      </c>
      <c r="O213" s="468">
        <f>SUMIF(Price!$B$123:$B$131,$B213,Price!K123:K131)</f>
        <v>159.33968333529256</v>
      </c>
    </row>
    <row r="214" spans="2:15">
      <c r="B214" s="439">
        <f t="shared" si="120"/>
        <v>2021</v>
      </c>
      <c r="C214" s="909"/>
      <c r="D214" s="909"/>
      <c r="E214" s="912"/>
      <c r="F214" s="912"/>
      <c r="G214" s="912"/>
      <c r="H214" s="464">
        <f>SUMIF(Price!$B$123:$B$131,$B214,Price!D123:D131)</f>
        <v>0</v>
      </c>
      <c r="I214" s="464">
        <f>SUMIF(Price!$B$123:$B$131,$B214,Price!E123:E131)</f>
        <v>0</v>
      </c>
      <c r="J214" s="464">
        <f>SUMIF(Price!$B$123:$B$131,$B214,Price!F123:F131)</f>
        <v>124.5495569375</v>
      </c>
      <c r="K214" s="464">
        <f>SUMIF(Price!$B$123:$B$131,$B214,Price!G123:G131)</f>
        <v>130.77703478437502</v>
      </c>
      <c r="L214" s="464">
        <f>SUMIF(Price!$B$123:$B$131,$B214,Price!H123:H131)</f>
        <v>137.31588652359375</v>
      </c>
      <c r="M214" s="464">
        <f>SUMIF(Price!$B$123:$B$131,$B214,Price!I123:I131)</f>
        <v>144.18168084977341</v>
      </c>
      <c r="N214" s="464">
        <f>SUMIF(Price!$B$123:$B$131,$B214,Price!J123:J131)</f>
        <v>151.3907648922621</v>
      </c>
      <c r="O214" s="468">
        <f>SUMIF(Price!$B$123:$B$131,$B214,Price!K123:K131)</f>
        <v>158.96030313687521</v>
      </c>
    </row>
    <row r="215" spans="2:15">
      <c r="B215" s="439">
        <f t="shared" si="120"/>
        <v>2022</v>
      </c>
      <c r="C215" s="909"/>
      <c r="D215" s="909"/>
      <c r="E215" s="912"/>
      <c r="F215" s="912"/>
      <c r="G215" s="912"/>
      <c r="H215" s="464">
        <f>SUMIF(Price!$B$123:$B$131,$B215,Price!D123:D131)</f>
        <v>0</v>
      </c>
      <c r="I215" s="464">
        <f>SUMIF(Price!$B$123:$B$131,$B215,Price!E123:E131)</f>
        <v>0</v>
      </c>
      <c r="J215" s="464">
        <f>SUMIF(Price!$B$123:$B$131,$B215,Price!F123:F131)</f>
        <v>0</v>
      </c>
      <c r="K215" s="464">
        <f>SUMIF(Price!$B$123:$B$131,$B215,Price!G123:G131)</f>
        <v>130.46566089203125</v>
      </c>
      <c r="L215" s="464">
        <f>SUMIF(Price!$B$123:$B$131,$B215,Price!H123:H131)</f>
        <v>136.98894393663281</v>
      </c>
      <c r="M215" s="464">
        <f>SUMIF(Price!$B$123:$B$131,$B215,Price!I123:I131)</f>
        <v>143.83839113346446</v>
      </c>
      <c r="N215" s="464">
        <f>SUMIF(Price!$B$123:$B$131,$B215,Price!J123:J131)</f>
        <v>151.03031069013767</v>
      </c>
      <c r="O215" s="468">
        <f>SUMIF(Price!$B$123:$B$131,$B215,Price!K123:K131)</f>
        <v>158.58182622464457</v>
      </c>
    </row>
    <row r="216" spans="2:15">
      <c r="B216" s="439">
        <f t="shared" si="120"/>
        <v>2023</v>
      </c>
      <c r="C216" s="909"/>
      <c r="D216" s="909"/>
      <c r="E216" s="912"/>
      <c r="F216" s="912"/>
      <c r="G216" s="912"/>
      <c r="H216" s="464">
        <f>SUMIF(Price!$B$123:$B$131,$B216,Price!D123:D131)</f>
        <v>0</v>
      </c>
      <c r="I216" s="464">
        <f>SUMIF(Price!$B$123:$B$131,$B216,Price!E123:E131)</f>
        <v>0</v>
      </c>
      <c r="J216" s="464">
        <f>SUMIF(Price!$B$123:$B$131,$B216,Price!F123:F131)</f>
        <v>0</v>
      </c>
      <c r="K216" s="464">
        <f>SUMIF(Price!$B$123:$B$131,$B216,Price!G123:G131)</f>
        <v>0</v>
      </c>
      <c r="L216" s="464">
        <f>SUMIF(Price!$B$123:$B$131,$B216,Price!H123:H131)</f>
        <v>136.66277978440274</v>
      </c>
      <c r="M216" s="464">
        <f>SUMIF(Price!$B$123:$B$131,$B216,Price!I123:I131)</f>
        <v>143.49591877362289</v>
      </c>
      <c r="N216" s="464">
        <f>SUMIF(Price!$B$123:$B$131,$B216,Price!J123:J131)</f>
        <v>150.67071471230403</v>
      </c>
      <c r="O216" s="468">
        <f>SUMIF(Price!$B$123:$B$131,$B216,Price!K123:K131)</f>
        <v>158.20425044791921</v>
      </c>
    </row>
    <row r="217" spans="2:15">
      <c r="B217" s="439">
        <f t="shared" si="120"/>
        <v>2024</v>
      </c>
      <c r="C217" s="909"/>
      <c r="D217" s="909"/>
      <c r="E217" s="912"/>
      <c r="F217" s="912"/>
      <c r="G217" s="912"/>
      <c r="H217" s="464">
        <f>SUMIF(Price!$B$123:$B$131,$B217,Price!D123:D131)</f>
        <v>0</v>
      </c>
      <c r="I217" s="464">
        <f>SUMIF(Price!$B$123:$B$131,$B217,Price!E123:E131)</f>
        <v>0</v>
      </c>
      <c r="J217" s="464">
        <f>SUMIF(Price!$B$123:$B$131,$B217,Price!F123:F131)</f>
        <v>0</v>
      </c>
      <c r="K217" s="464">
        <f>SUMIF(Price!$B$123:$B$131,$B217,Price!G123:G131)</f>
        <v>0</v>
      </c>
      <c r="L217" s="464">
        <f>SUMIF(Price!$B$123:$B$131,$B217,Price!H123:H131)</f>
        <v>0</v>
      </c>
      <c r="M217" s="464">
        <f>SUMIF(Price!$B$123:$B$131,$B217,Price!I123:I131)</f>
        <v>140.76266317793483</v>
      </c>
      <c r="N217" s="464">
        <f>SUMIF(Price!$B$123:$B$131,$B217,Price!J123:J131)</f>
        <v>147.80079633683158</v>
      </c>
      <c r="O217" s="468">
        <f>SUMIF(Price!$B$123:$B$131,$B217,Price!K123:K131)</f>
        <v>155.19083615367316</v>
      </c>
    </row>
    <row r="218" spans="2:15">
      <c r="B218" s="439">
        <f t="shared" si="120"/>
        <v>2025</v>
      </c>
      <c r="C218" s="909"/>
      <c r="D218" s="909"/>
      <c r="E218" s="912"/>
      <c r="F218" s="912"/>
      <c r="G218" s="912"/>
      <c r="H218" s="464">
        <f>SUMIF(Price!$B$123:$B$131,$B218,Price!D123:D131)</f>
        <v>0</v>
      </c>
      <c r="I218" s="464">
        <f>SUMIF(Price!$B$123:$B$131,$B218,Price!E123:E131)</f>
        <v>0</v>
      </c>
      <c r="J218" s="464">
        <f>SUMIF(Price!$B$123:$B$131,$B218,Price!F123:F131)</f>
        <v>0</v>
      </c>
      <c r="K218" s="464">
        <f>SUMIF(Price!$B$123:$B$131,$B218,Price!G123:G131)</f>
        <v>0</v>
      </c>
      <c r="L218" s="464">
        <f>SUMIF(Price!$B$123:$B$131,$B218,Price!H123:H131)</f>
        <v>0</v>
      </c>
      <c r="M218" s="464">
        <f>SUMIF(Price!$B$123:$B$131,$B218,Price!I123:I131)</f>
        <v>0</v>
      </c>
      <c r="N218" s="464">
        <f>SUMIF(Price!$B$123:$B$131,$B218,Price!J123:J131)</f>
        <v>144.98554307327288</v>
      </c>
      <c r="O218" s="468">
        <f>SUMIF(Price!$B$123:$B$131,$B218,Price!K123:K131)</f>
        <v>152.23482022693653</v>
      </c>
    </row>
    <row r="219" spans="2:15">
      <c r="B219" s="439">
        <f t="shared" si="120"/>
        <v>2026</v>
      </c>
      <c r="C219" s="909"/>
      <c r="D219" s="909"/>
      <c r="E219" s="912"/>
      <c r="F219" s="912"/>
      <c r="G219" s="912"/>
      <c r="H219" s="464">
        <f>SUMIF(Price!$B$123:$B$131,$B219,Price!D123:D131)</f>
        <v>0</v>
      </c>
      <c r="I219" s="464">
        <f>SUMIF(Price!$B$123:$B$131,$B219,Price!E123:E131)</f>
        <v>0</v>
      </c>
      <c r="J219" s="464">
        <f>SUMIF(Price!$B$123:$B$131,$B219,Price!F123:F131)</f>
        <v>0</v>
      </c>
      <c r="K219" s="464">
        <f>SUMIF(Price!$B$123:$B$131,$B219,Price!G123:G131)</f>
        <v>0</v>
      </c>
      <c r="L219" s="464">
        <f>SUMIF(Price!$B$123:$B$131,$B219,Price!H123:H131)</f>
        <v>0</v>
      </c>
      <c r="M219" s="464">
        <f>SUMIF(Price!$B$123:$B$131,$B219,Price!I123:I131)</f>
        <v>0</v>
      </c>
      <c r="N219" s="464">
        <f>SUMIF(Price!$B$123:$B$131,$B219,Price!J123:J131)</f>
        <v>0</v>
      </c>
      <c r="O219" s="468">
        <f>SUMIF(Price!$B$123:$B$131,$B219,Price!K123:K131)</f>
        <v>149.33510936547106</v>
      </c>
    </row>
    <row r="220" spans="2:15">
      <c r="B220" s="439">
        <f t="shared" si="120"/>
        <v>2027</v>
      </c>
      <c r="C220" s="909"/>
      <c r="D220" s="909"/>
      <c r="E220" s="912"/>
      <c r="F220" s="912"/>
      <c r="G220" s="912"/>
      <c r="H220" s="464">
        <f>SUMIF(Price!$B$123:$B$131,$B220,Price!D123:D131)</f>
        <v>0</v>
      </c>
      <c r="I220" s="464">
        <f>SUMIF(Price!$B$123:$B$131,$B220,Price!E123:E131)</f>
        <v>0</v>
      </c>
      <c r="J220" s="464">
        <f>SUMIF(Price!$B$123:$B$131,$B220,Price!F123:F131)</f>
        <v>0</v>
      </c>
      <c r="K220" s="464">
        <f>SUMIF(Price!$B$123:$B$131,$B220,Price!G123:G131)</f>
        <v>0</v>
      </c>
      <c r="L220" s="464">
        <f>SUMIF(Price!$B$123:$B$131,$B220,Price!H123:H131)</f>
        <v>0</v>
      </c>
      <c r="M220" s="464">
        <f>SUMIF(Price!$B$123:$B$131,$B220,Price!I123:I131)</f>
        <v>0</v>
      </c>
      <c r="N220" s="464">
        <f>SUMIF(Price!$B$123:$B$131,$B220,Price!J123:J131)</f>
        <v>0</v>
      </c>
      <c r="O220" s="468">
        <f>SUMIF(Price!$B$123:$B$131,$B220,Price!K123:K131)</f>
        <v>0</v>
      </c>
    </row>
    <row r="221" spans="2:15">
      <c r="B221" s="439">
        <f t="shared" si="120"/>
        <v>2028</v>
      </c>
      <c r="C221" s="909"/>
      <c r="D221" s="909"/>
      <c r="E221" s="912"/>
      <c r="F221" s="912"/>
      <c r="G221" s="912"/>
      <c r="H221" s="464">
        <f>SUMIF(Price!$B$123:$B$131,$B221,Price!D123:D131)</f>
        <v>0</v>
      </c>
      <c r="I221" s="464">
        <f>SUMIF(Price!$B$123:$B$131,$B221,Price!E123:E131)</f>
        <v>0</v>
      </c>
      <c r="J221" s="464">
        <f>SUMIF(Price!$B$123:$B$131,$B221,Price!F123:F131)</f>
        <v>0</v>
      </c>
      <c r="K221" s="464">
        <f>SUMIF(Price!$B$123:$B$131,$B221,Price!G123:G131)</f>
        <v>0</v>
      </c>
      <c r="L221" s="464">
        <f>SUMIF(Price!$B$123:$B$131,$B221,Price!H123:H131)</f>
        <v>0</v>
      </c>
      <c r="M221" s="464">
        <f>SUMIF(Price!$B$123:$B$131,$B221,Price!I123:I131)</f>
        <v>0</v>
      </c>
      <c r="N221" s="464">
        <f>SUMIF(Price!$B$123:$B$131,$B221,Price!J123:J131)</f>
        <v>0</v>
      </c>
      <c r="O221" s="468">
        <f>SUMIF(Price!$B$123:$B$131,$B221,Price!K123:K131)</f>
        <v>0</v>
      </c>
    </row>
    <row r="222" spans="2:15">
      <c r="B222" s="439"/>
      <c r="C222" s="909"/>
      <c r="D222" s="909"/>
      <c r="E222" s="909"/>
      <c r="F222" s="909"/>
      <c r="G222" s="909"/>
      <c r="H222" s="909"/>
      <c r="I222" s="464"/>
      <c r="J222" s="464"/>
      <c r="K222" s="464"/>
      <c r="L222" s="464"/>
      <c r="M222" s="464"/>
      <c r="N222" s="464"/>
      <c r="O222" s="468"/>
    </row>
    <row r="223" spans="2:15">
      <c r="B223" s="439" t="s">
        <v>590</v>
      </c>
      <c r="C223" s="909"/>
      <c r="D223" s="909"/>
      <c r="E223" s="550">
        <f>E209</f>
        <v>2019</v>
      </c>
      <c r="F223" s="550">
        <f t="shared" ref="F223:N223" si="121">F209</f>
        <v>2020</v>
      </c>
      <c r="G223" s="550">
        <f t="shared" si="121"/>
        <v>2021</v>
      </c>
      <c r="H223" s="550">
        <f t="shared" si="121"/>
        <v>2022</v>
      </c>
      <c r="I223" s="550">
        <f t="shared" si="121"/>
        <v>2023</v>
      </c>
      <c r="J223" s="550">
        <f t="shared" si="121"/>
        <v>2024</v>
      </c>
      <c r="K223" s="550">
        <f t="shared" si="121"/>
        <v>2025</v>
      </c>
      <c r="L223" s="550">
        <f t="shared" si="121"/>
        <v>2026</v>
      </c>
      <c r="M223" s="550">
        <f t="shared" si="121"/>
        <v>2027</v>
      </c>
      <c r="N223" s="550">
        <f t="shared" si="121"/>
        <v>2028</v>
      </c>
      <c r="O223" s="602">
        <f>O209</f>
        <v>2029</v>
      </c>
    </row>
    <row r="224" spans="2:15">
      <c r="B224" s="439">
        <f>B211</f>
        <v>2018</v>
      </c>
      <c r="C224" s="909"/>
      <c r="D224" s="909"/>
      <c r="E224" s="115">
        <f>E211*E195</f>
        <v>0</v>
      </c>
      <c r="F224" s="115">
        <f t="shared" ref="F224:N224" si="122">F211*F195</f>
        <v>0</v>
      </c>
      <c r="G224" s="115">
        <f t="shared" si="122"/>
        <v>0</v>
      </c>
      <c r="H224" s="115">
        <f t="shared" si="122"/>
        <v>0</v>
      </c>
      <c r="I224" s="605"/>
      <c r="J224" s="605">
        <f>J211*I195</f>
        <v>142784.22899999999</v>
      </c>
      <c r="K224" s="605"/>
      <c r="L224" s="115">
        <f t="shared" si="122"/>
        <v>0</v>
      </c>
      <c r="M224" s="115">
        <f t="shared" si="122"/>
        <v>0</v>
      </c>
      <c r="N224" s="115">
        <f t="shared" si="122"/>
        <v>0</v>
      </c>
      <c r="O224" s="508">
        <f t="shared" ref="O224:O235" si="123">O211*O195</f>
        <v>0</v>
      </c>
    </row>
    <row r="225" spans="2:15">
      <c r="B225" s="439">
        <f t="shared" ref="B225:B234" si="124">B212</f>
        <v>2019</v>
      </c>
      <c r="C225" s="909"/>
      <c r="D225" s="909"/>
      <c r="E225" s="115">
        <f t="shared" ref="E225:N225" si="125">E212*E196</f>
        <v>0</v>
      </c>
      <c r="F225" s="115">
        <f t="shared" si="125"/>
        <v>0</v>
      </c>
      <c r="G225" s="115">
        <f t="shared" si="125"/>
        <v>0</v>
      </c>
      <c r="H225" s="115">
        <f t="shared" si="125"/>
        <v>0</v>
      </c>
      <c r="I225" s="605"/>
      <c r="J225" s="605">
        <f>J212*I196</f>
        <v>291607.19</v>
      </c>
      <c r="K225" s="605"/>
      <c r="L225" s="115">
        <f t="shared" si="125"/>
        <v>0</v>
      </c>
      <c r="M225" s="115">
        <f t="shared" si="125"/>
        <v>0</v>
      </c>
      <c r="N225" s="115">
        <f t="shared" si="125"/>
        <v>0</v>
      </c>
      <c r="O225" s="508">
        <f t="shared" si="123"/>
        <v>0</v>
      </c>
    </row>
    <row r="226" spans="2:15">
      <c r="B226" s="439">
        <f t="shared" si="124"/>
        <v>2020</v>
      </c>
      <c r="C226" s="909"/>
      <c r="D226" s="909"/>
      <c r="E226" s="115">
        <f t="shared" ref="E226:N226" si="126">E213*E197</f>
        <v>0</v>
      </c>
      <c r="F226" s="115">
        <f t="shared" si="126"/>
        <v>0</v>
      </c>
      <c r="G226" s="115">
        <f t="shared" si="126"/>
        <v>0</v>
      </c>
      <c r="H226" s="115">
        <f t="shared" si="126"/>
        <v>0</v>
      </c>
      <c r="I226" s="115">
        <f t="shared" si="126"/>
        <v>0</v>
      </c>
      <c r="J226" s="115">
        <f>J213*J197</f>
        <v>0</v>
      </c>
      <c r="K226" s="115">
        <f t="shared" si="126"/>
        <v>0</v>
      </c>
      <c r="L226" s="115">
        <f t="shared" si="126"/>
        <v>0</v>
      </c>
      <c r="M226" s="115">
        <f t="shared" si="126"/>
        <v>0</v>
      </c>
      <c r="N226" s="115">
        <f t="shared" si="126"/>
        <v>0</v>
      </c>
      <c r="O226" s="508">
        <f t="shared" si="123"/>
        <v>0</v>
      </c>
    </row>
    <row r="227" spans="2:15">
      <c r="B227" s="439">
        <f t="shared" si="124"/>
        <v>2021</v>
      </c>
      <c r="C227" s="909"/>
      <c r="D227" s="909"/>
      <c r="E227" s="115">
        <f t="shared" ref="E227:N227" si="127">E214*E198</f>
        <v>0</v>
      </c>
      <c r="F227" s="115">
        <f t="shared" si="127"/>
        <v>0</v>
      </c>
      <c r="G227" s="115">
        <f t="shared" si="127"/>
        <v>0</v>
      </c>
      <c r="H227" s="115">
        <f t="shared" si="127"/>
        <v>0</v>
      </c>
      <c r="I227" s="115">
        <f t="shared" si="127"/>
        <v>0</v>
      </c>
      <c r="J227" s="115">
        <f t="shared" si="127"/>
        <v>0</v>
      </c>
      <c r="K227" s="115">
        <f t="shared" si="127"/>
        <v>0</v>
      </c>
      <c r="L227" s="115">
        <f t="shared" si="127"/>
        <v>0</v>
      </c>
      <c r="M227" s="115">
        <f t="shared" si="127"/>
        <v>0</v>
      </c>
      <c r="N227" s="115">
        <f t="shared" si="127"/>
        <v>0</v>
      </c>
      <c r="O227" s="508">
        <f t="shared" si="123"/>
        <v>0</v>
      </c>
    </row>
    <row r="228" spans="2:15">
      <c r="B228" s="439">
        <f t="shared" si="124"/>
        <v>2022</v>
      </c>
      <c r="C228" s="909"/>
      <c r="D228" s="909"/>
      <c r="E228" s="115">
        <f t="shared" ref="E228:N228" si="128">E215*E199</f>
        <v>0</v>
      </c>
      <c r="F228" s="115">
        <f t="shared" si="128"/>
        <v>0</v>
      </c>
      <c r="G228" s="115">
        <f t="shared" si="128"/>
        <v>0</v>
      </c>
      <c r="H228" s="115">
        <f t="shared" si="128"/>
        <v>0</v>
      </c>
      <c r="I228" s="115">
        <f t="shared" si="128"/>
        <v>0</v>
      </c>
      <c r="J228" s="115">
        <f t="shared" si="128"/>
        <v>0</v>
      </c>
      <c r="K228" s="115">
        <f t="shared" si="128"/>
        <v>0</v>
      </c>
      <c r="L228" s="115">
        <f t="shared" si="128"/>
        <v>0</v>
      </c>
      <c r="M228" s="115">
        <f t="shared" si="128"/>
        <v>0</v>
      </c>
      <c r="N228" s="115">
        <f t="shared" si="128"/>
        <v>0</v>
      </c>
      <c r="O228" s="508">
        <f t="shared" si="123"/>
        <v>0</v>
      </c>
    </row>
    <row r="229" spans="2:15">
      <c r="B229" s="439">
        <f t="shared" si="124"/>
        <v>2023</v>
      </c>
      <c r="C229" s="909"/>
      <c r="D229" s="909"/>
      <c r="E229" s="115">
        <f t="shared" ref="E229:N229" si="129">E216*E200</f>
        <v>0</v>
      </c>
      <c r="F229" s="115">
        <f t="shared" si="129"/>
        <v>0</v>
      </c>
      <c r="G229" s="115">
        <f t="shared" si="129"/>
        <v>0</v>
      </c>
      <c r="H229" s="115">
        <f t="shared" si="129"/>
        <v>0</v>
      </c>
      <c r="I229" s="115">
        <f t="shared" si="129"/>
        <v>0</v>
      </c>
      <c r="J229" s="115">
        <f t="shared" si="129"/>
        <v>0</v>
      </c>
      <c r="K229" s="115">
        <f t="shared" si="129"/>
        <v>0</v>
      </c>
      <c r="L229" s="115">
        <f t="shared" si="129"/>
        <v>778977.84477109567</v>
      </c>
      <c r="M229" s="115">
        <f>M216*M200</f>
        <v>0</v>
      </c>
      <c r="N229" s="115">
        <f t="shared" si="129"/>
        <v>0</v>
      </c>
      <c r="O229" s="508">
        <f t="shared" si="123"/>
        <v>0</v>
      </c>
    </row>
    <row r="230" spans="2:15">
      <c r="B230" s="439">
        <f t="shared" si="124"/>
        <v>2024</v>
      </c>
      <c r="C230" s="909"/>
      <c r="D230" s="909"/>
      <c r="E230" s="115">
        <f t="shared" ref="E230:N230" si="130">E217*E201</f>
        <v>0</v>
      </c>
      <c r="F230" s="115">
        <f t="shared" si="130"/>
        <v>0</v>
      </c>
      <c r="G230" s="115">
        <f t="shared" si="130"/>
        <v>0</v>
      </c>
      <c r="H230" s="115">
        <f t="shared" si="130"/>
        <v>0</v>
      </c>
      <c r="I230" s="115">
        <f t="shared" si="130"/>
        <v>0</v>
      </c>
      <c r="J230" s="115">
        <f t="shared" si="130"/>
        <v>0</v>
      </c>
      <c r="K230" s="115">
        <f t="shared" si="130"/>
        <v>0</v>
      </c>
      <c r="L230" s="115">
        <f t="shared" si="130"/>
        <v>0</v>
      </c>
      <c r="M230" s="115">
        <f t="shared" si="130"/>
        <v>1055719.9738345111</v>
      </c>
      <c r="N230" s="115">
        <f t="shared" si="130"/>
        <v>0</v>
      </c>
      <c r="O230" s="508">
        <f t="shared" si="123"/>
        <v>0</v>
      </c>
    </row>
    <row r="231" spans="2:15">
      <c r="B231" s="439">
        <f t="shared" si="124"/>
        <v>2025</v>
      </c>
      <c r="C231" s="909"/>
      <c r="D231" s="909"/>
      <c r="E231" s="115">
        <f t="shared" ref="E231:N231" si="131">E218*E202</f>
        <v>0</v>
      </c>
      <c r="F231" s="115">
        <f t="shared" si="131"/>
        <v>0</v>
      </c>
      <c r="G231" s="115">
        <f t="shared" si="131"/>
        <v>0</v>
      </c>
      <c r="H231" s="115">
        <f t="shared" si="131"/>
        <v>0</v>
      </c>
      <c r="I231" s="115">
        <f t="shared" si="131"/>
        <v>0</v>
      </c>
      <c r="J231" s="115">
        <f t="shared" si="131"/>
        <v>0</v>
      </c>
      <c r="K231" s="115">
        <f t="shared" si="131"/>
        <v>0</v>
      </c>
      <c r="L231" s="115">
        <f t="shared" si="131"/>
        <v>0</v>
      </c>
      <c r="M231" s="115">
        <f t="shared" si="131"/>
        <v>0</v>
      </c>
      <c r="N231" s="115">
        <f t="shared" si="131"/>
        <v>1261374.224737474</v>
      </c>
      <c r="O231" s="508">
        <f t="shared" si="123"/>
        <v>0</v>
      </c>
    </row>
    <row r="232" spans="2:15">
      <c r="B232" s="439">
        <f t="shared" si="124"/>
        <v>2026</v>
      </c>
      <c r="C232" s="909"/>
      <c r="D232" s="909"/>
      <c r="E232" s="115">
        <f t="shared" ref="E232:N232" si="132">E219*E203</f>
        <v>0</v>
      </c>
      <c r="F232" s="115">
        <f t="shared" si="132"/>
        <v>0</v>
      </c>
      <c r="G232" s="115">
        <f t="shared" si="132"/>
        <v>0</v>
      </c>
      <c r="H232" s="115">
        <f t="shared" si="132"/>
        <v>0</v>
      </c>
      <c r="I232" s="115">
        <f t="shared" si="132"/>
        <v>0</v>
      </c>
      <c r="J232" s="115">
        <f t="shared" si="132"/>
        <v>0</v>
      </c>
      <c r="K232" s="115">
        <f t="shared" si="132"/>
        <v>0</v>
      </c>
      <c r="L232" s="115">
        <f t="shared" si="132"/>
        <v>0</v>
      </c>
      <c r="M232" s="115">
        <f t="shared" si="132"/>
        <v>0</v>
      </c>
      <c r="N232" s="115">
        <f t="shared" si="132"/>
        <v>0</v>
      </c>
      <c r="O232" s="508">
        <f t="shared" si="123"/>
        <v>1299215.4514795982</v>
      </c>
    </row>
    <row r="233" spans="2:15">
      <c r="B233" s="439">
        <f t="shared" si="124"/>
        <v>2027</v>
      </c>
      <c r="C233" s="909"/>
      <c r="D233" s="909"/>
      <c r="E233" s="115">
        <f t="shared" ref="E233:N233" si="133">E220*E204</f>
        <v>0</v>
      </c>
      <c r="F233" s="115">
        <f t="shared" si="133"/>
        <v>0</v>
      </c>
      <c r="G233" s="115">
        <f t="shared" si="133"/>
        <v>0</v>
      </c>
      <c r="H233" s="115">
        <f t="shared" si="133"/>
        <v>0</v>
      </c>
      <c r="I233" s="115">
        <f t="shared" si="133"/>
        <v>0</v>
      </c>
      <c r="J233" s="115">
        <f t="shared" si="133"/>
        <v>0</v>
      </c>
      <c r="K233" s="115">
        <f t="shared" si="133"/>
        <v>0</v>
      </c>
      <c r="L233" s="115">
        <f t="shared" si="133"/>
        <v>0</v>
      </c>
      <c r="M233" s="115">
        <f t="shared" si="133"/>
        <v>0</v>
      </c>
      <c r="N233" s="115">
        <f t="shared" si="133"/>
        <v>0</v>
      </c>
      <c r="O233" s="508">
        <f t="shared" si="123"/>
        <v>0</v>
      </c>
    </row>
    <row r="234" spans="2:15">
      <c r="B234" s="439">
        <f t="shared" si="124"/>
        <v>2028</v>
      </c>
      <c r="C234" s="909"/>
      <c r="D234" s="909"/>
      <c r="E234" s="115">
        <f t="shared" ref="E234:N234" si="134">E221*E205</f>
        <v>0</v>
      </c>
      <c r="F234" s="115">
        <f t="shared" si="134"/>
        <v>0</v>
      </c>
      <c r="G234" s="115">
        <f t="shared" si="134"/>
        <v>0</v>
      </c>
      <c r="H234" s="115">
        <f t="shared" si="134"/>
        <v>0</v>
      </c>
      <c r="I234" s="115">
        <f t="shared" si="134"/>
        <v>0</v>
      </c>
      <c r="J234" s="115">
        <f t="shared" si="134"/>
        <v>0</v>
      </c>
      <c r="K234" s="115">
        <f t="shared" si="134"/>
        <v>0</v>
      </c>
      <c r="L234" s="115">
        <f t="shared" si="134"/>
        <v>0</v>
      </c>
      <c r="M234" s="115">
        <f t="shared" si="134"/>
        <v>0</v>
      </c>
      <c r="N234" s="115">
        <f t="shared" si="134"/>
        <v>0</v>
      </c>
      <c r="O234" s="508">
        <f t="shared" si="123"/>
        <v>0</v>
      </c>
    </row>
    <row r="235" spans="2:15">
      <c r="B235" s="439"/>
      <c r="C235" s="909"/>
      <c r="D235" s="909"/>
      <c r="E235" s="115">
        <f t="shared" ref="E235:N235" si="135">E222*E206</f>
        <v>0</v>
      </c>
      <c r="F235" s="115">
        <f t="shared" si="135"/>
        <v>0</v>
      </c>
      <c r="G235" s="115">
        <f t="shared" si="135"/>
        <v>0</v>
      </c>
      <c r="H235" s="115">
        <f t="shared" si="135"/>
        <v>0</v>
      </c>
      <c r="I235" s="115">
        <f t="shared" si="135"/>
        <v>0</v>
      </c>
      <c r="J235" s="115">
        <f t="shared" si="135"/>
        <v>0</v>
      </c>
      <c r="K235" s="115">
        <f t="shared" si="135"/>
        <v>0</v>
      </c>
      <c r="L235" s="115">
        <f t="shared" si="135"/>
        <v>0</v>
      </c>
      <c r="M235" s="115">
        <f t="shared" si="135"/>
        <v>0</v>
      </c>
      <c r="N235" s="115">
        <f t="shared" si="135"/>
        <v>0</v>
      </c>
      <c r="O235" s="508">
        <f t="shared" si="123"/>
        <v>0</v>
      </c>
    </row>
    <row r="236" spans="2:15" ht="13.5" thickBot="1">
      <c r="B236" s="601" t="s">
        <v>590</v>
      </c>
      <c r="C236" s="555"/>
      <c r="D236" s="555"/>
      <c r="E236" s="622">
        <f t="shared" ref="E236:N236" si="136">SUM(E224:E235)</f>
        <v>0</v>
      </c>
      <c r="F236" s="622">
        <f t="shared" si="136"/>
        <v>0</v>
      </c>
      <c r="G236" s="622">
        <f t="shared" si="136"/>
        <v>0</v>
      </c>
      <c r="H236" s="622">
        <f t="shared" si="136"/>
        <v>0</v>
      </c>
      <c r="I236" s="622">
        <f t="shared" si="136"/>
        <v>0</v>
      </c>
      <c r="J236" s="622">
        <f t="shared" si="136"/>
        <v>434391.41899999999</v>
      </c>
      <c r="K236" s="622">
        <f t="shared" si="136"/>
        <v>0</v>
      </c>
      <c r="L236" s="622">
        <f t="shared" si="136"/>
        <v>778977.84477109567</v>
      </c>
      <c r="M236" s="622">
        <f t="shared" si="136"/>
        <v>1055719.9738345111</v>
      </c>
      <c r="N236" s="622">
        <f t="shared" si="136"/>
        <v>1261374.224737474</v>
      </c>
      <c r="O236" s="625">
        <f>SUM(O224:O235)</f>
        <v>1299215.4514795982</v>
      </c>
    </row>
    <row r="239" spans="2:15">
      <c r="B239" s="556"/>
    </row>
  </sheetData>
  <sheetProtection password="CD53" sheet="1" objects="1" scenarios="1" selectLockedCells="1"/>
  <pageMargins left="0.7" right="0.7" top="0.75" bottom="0.75" header="0.3" footer="0.3"/>
  <ignoredErrors>
    <ignoredError sqref="K43:N4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7" tint="0.59999389629810485"/>
  </sheetPr>
  <dimension ref="A1:LX506"/>
  <sheetViews>
    <sheetView topLeftCell="A56" zoomScale="60" zoomScaleNormal="60" workbookViewId="0">
      <selection activeCell="N123" sqref="N123"/>
    </sheetView>
  </sheetViews>
  <sheetFormatPr defaultRowHeight="12.75"/>
  <cols>
    <col min="1" max="1" width="9.140625" style="1582"/>
    <col min="2" max="2" width="26.7109375" style="1582" bestFit="1" customWidth="1"/>
    <col min="3" max="3" width="9.140625" style="1582"/>
    <col min="4" max="4" width="11.42578125" style="2095" bestFit="1" customWidth="1"/>
    <col min="5" max="5" width="11.7109375" style="2095" bestFit="1" customWidth="1"/>
    <col min="6" max="7" width="11" style="2095" bestFit="1" customWidth="1"/>
    <col min="8" max="8" width="11.140625" style="2095" bestFit="1" customWidth="1"/>
    <col min="9" max="12" width="11.140625" style="2095" customWidth="1"/>
    <col min="13" max="13" width="2.85546875" style="1582" customWidth="1"/>
    <col min="14" max="14" width="30.85546875" style="1582" customWidth="1"/>
    <col min="15" max="15" width="9.140625" style="1582"/>
    <col min="16" max="16" width="11.42578125" style="2095" bestFit="1" customWidth="1"/>
    <col min="17" max="17" width="11.7109375" style="2095" bestFit="1" customWidth="1"/>
    <col min="18" max="19" width="11" style="2095" bestFit="1" customWidth="1"/>
    <col min="20" max="20" width="11.85546875" style="2095" customWidth="1"/>
    <col min="21" max="21" width="8.42578125" style="2095" bestFit="1" customWidth="1"/>
    <col min="22" max="24" width="9.140625" style="2095"/>
    <col min="25" max="257" width="9.140625" style="1582"/>
    <col min="258" max="258" width="26.7109375" style="1582" bestFit="1" customWidth="1"/>
    <col min="259" max="259" width="9.140625" style="1582"/>
    <col min="260" max="260" width="11.42578125" style="1582" bestFit="1" customWidth="1"/>
    <col min="261" max="261" width="11.7109375" style="1582" bestFit="1" customWidth="1"/>
    <col min="262" max="263" width="11" style="1582" bestFit="1" customWidth="1"/>
    <col min="264" max="264" width="11.140625" style="1582" bestFit="1" customWidth="1"/>
    <col min="265" max="268" width="11.140625" style="1582" customWidth="1"/>
    <col min="269" max="269" width="2.85546875" style="1582" customWidth="1"/>
    <col min="270" max="270" width="29.42578125" style="1582" bestFit="1" customWidth="1"/>
    <col min="271" max="271" width="9.140625" style="1582"/>
    <col min="272" max="272" width="11.42578125" style="1582" bestFit="1" customWidth="1"/>
    <col min="273" max="273" width="11.7109375" style="1582" bestFit="1" customWidth="1"/>
    <col min="274" max="275" width="11" style="1582" bestFit="1" customWidth="1"/>
    <col min="276" max="276" width="7.85546875" style="1582" bestFit="1" customWidth="1"/>
    <col min="277" max="277" width="8.42578125" style="1582" bestFit="1" customWidth="1"/>
    <col min="278" max="336" width="9.140625" style="1582"/>
    <col min="337" max="513" width="9.140625" style="2095"/>
    <col min="514" max="514" width="26.7109375" style="2095" bestFit="1" customWidth="1"/>
    <col min="515" max="515" width="9.140625" style="2095"/>
    <col min="516" max="516" width="11.42578125" style="2095" bestFit="1" customWidth="1"/>
    <col min="517" max="517" width="11.7109375" style="2095" bestFit="1" customWidth="1"/>
    <col min="518" max="519" width="11" style="2095" bestFit="1" customWidth="1"/>
    <col min="520" max="520" width="11.140625" style="2095" bestFit="1" customWidth="1"/>
    <col min="521" max="524" width="11.140625" style="2095" customWidth="1"/>
    <col min="525" max="525" width="2.85546875" style="2095" customWidth="1"/>
    <col min="526" max="526" width="29.42578125" style="2095" bestFit="1" customWidth="1"/>
    <col min="527" max="527" width="9.140625" style="2095"/>
    <col min="528" max="528" width="11.42578125" style="2095" bestFit="1" customWidth="1"/>
    <col min="529" max="529" width="11.7109375" style="2095" bestFit="1" customWidth="1"/>
    <col min="530" max="531" width="11" style="2095" bestFit="1" customWidth="1"/>
    <col min="532" max="532" width="7.85546875" style="2095" bestFit="1" customWidth="1"/>
    <col min="533" max="533" width="8.42578125" style="2095" bestFit="1" customWidth="1"/>
    <col min="534" max="769" width="9.140625" style="2095"/>
    <col min="770" max="770" width="26.7109375" style="2095" bestFit="1" customWidth="1"/>
    <col min="771" max="771" width="9.140625" style="2095"/>
    <col min="772" max="772" width="11.42578125" style="2095" bestFit="1" customWidth="1"/>
    <col min="773" max="773" width="11.7109375" style="2095" bestFit="1" customWidth="1"/>
    <col min="774" max="775" width="11" style="2095" bestFit="1" customWidth="1"/>
    <col min="776" max="776" width="11.140625" style="2095" bestFit="1" customWidth="1"/>
    <col min="777" max="780" width="11.140625" style="2095" customWidth="1"/>
    <col min="781" max="781" width="2.85546875" style="2095" customWidth="1"/>
    <col min="782" max="782" width="29.42578125" style="2095" bestFit="1" customWidth="1"/>
    <col min="783" max="783" width="9.140625" style="2095"/>
    <col min="784" max="784" width="11.42578125" style="2095" bestFit="1" customWidth="1"/>
    <col min="785" max="785" width="11.7109375" style="2095" bestFit="1" customWidth="1"/>
    <col min="786" max="787" width="11" style="2095" bestFit="1" customWidth="1"/>
    <col min="788" max="788" width="7.85546875" style="2095" bestFit="1" customWidth="1"/>
    <col min="789" max="789" width="8.42578125" style="2095" bestFit="1" customWidth="1"/>
    <col min="790" max="1025" width="9.140625" style="2095"/>
    <col min="1026" max="1026" width="26.7109375" style="2095" bestFit="1" customWidth="1"/>
    <col min="1027" max="1027" width="9.140625" style="2095"/>
    <col min="1028" max="1028" width="11.42578125" style="2095" bestFit="1" customWidth="1"/>
    <col min="1029" max="1029" width="11.7109375" style="2095" bestFit="1" customWidth="1"/>
    <col min="1030" max="1031" width="11" style="2095" bestFit="1" customWidth="1"/>
    <col min="1032" max="1032" width="11.140625" style="2095" bestFit="1" customWidth="1"/>
    <col min="1033" max="1036" width="11.140625" style="2095" customWidth="1"/>
    <col min="1037" max="1037" width="2.85546875" style="2095" customWidth="1"/>
    <col min="1038" max="1038" width="29.42578125" style="2095" bestFit="1" customWidth="1"/>
    <col min="1039" max="1039" width="9.140625" style="2095"/>
    <col min="1040" max="1040" width="11.42578125" style="2095" bestFit="1" customWidth="1"/>
    <col min="1041" max="1041" width="11.7109375" style="2095" bestFit="1" customWidth="1"/>
    <col min="1042" max="1043" width="11" style="2095" bestFit="1" customWidth="1"/>
    <col min="1044" max="1044" width="7.85546875" style="2095" bestFit="1" customWidth="1"/>
    <col min="1045" max="1045" width="8.42578125" style="2095" bestFit="1" customWidth="1"/>
    <col min="1046" max="1281" width="9.140625" style="2095"/>
    <col min="1282" max="1282" width="26.7109375" style="2095" bestFit="1" customWidth="1"/>
    <col min="1283" max="1283" width="9.140625" style="2095"/>
    <col min="1284" max="1284" width="11.42578125" style="2095" bestFit="1" customWidth="1"/>
    <col min="1285" max="1285" width="11.7109375" style="2095" bestFit="1" customWidth="1"/>
    <col min="1286" max="1287" width="11" style="2095" bestFit="1" customWidth="1"/>
    <col min="1288" max="1288" width="11.140625" style="2095" bestFit="1" customWidth="1"/>
    <col min="1289" max="1292" width="11.140625" style="2095" customWidth="1"/>
    <col min="1293" max="1293" width="2.85546875" style="2095" customWidth="1"/>
    <col min="1294" max="1294" width="29.42578125" style="2095" bestFit="1" customWidth="1"/>
    <col min="1295" max="1295" width="9.140625" style="2095"/>
    <col min="1296" max="1296" width="11.42578125" style="2095" bestFit="1" customWidth="1"/>
    <col min="1297" max="1297" width="11.7109375" style="2095" bestFit="1" customWidth="1"/>
    <col min="1298" max="1299" width="11" style="2095" bestFit="1" customWidth="1"/>
    <col min="1300" max="1300" width="7.85546875" style="2095" bestFit="1" customWidth="1"/>
    <col min="1301" max="1301" width="8.42578125" style="2095" bestFit="1" customWidth="1"/>
    <col min="1302" max="1537" width="9.140625" style="2095"/>
    <col min="1538" max="1538" width="26.7109375" style="2095" bestFit="1" customWidth="1"/>
    <col min="1539" max="1539" width="9.140625" style="2095"/>
    <col min="1540" max="1540" width="11.42578125" style="2095" bestFit="1" customWidth="1"/>
    <col min="1541" max="1541" width="11.7109375" style="2095" bestFit="1" customWidth="1"/>
    <col min="1542" max="1543" width="11" style="2095" bestFit="1" customWidth="1"/>
    <col min="1544" max="1544" width="11.140625" style="2095" bestFit="1" customWidth="1"/>
    <col min="1545" max="1548" width="11.140625" style="2095" customWidth="1"/>
    <col min="1549" max="1549" width="2.85546875" style="2095" customWidth="1"/>
    <col min="1550" max="1550" width="29.42578125" style="2095" bestFit="1" customWidth="1"/>
    <col min="1551" max="1551" width="9.140625" style="2095"/>
    <col min="1552" max="1552" width="11.42578125" style="2095" bestFit="1" customWidth="1"/>
    <col min="1553" max="1553" width="11.7109375" style="2095" bestFit="1" customWidth="1"/>
    <col min="1554" max="1555" width="11" style="2095" bestFit="1" customWidth="1"/>
    <col min="1556" max="1556" width="7.85546875" style="2095" bestFit="1" customWidth="1"/>
    <col min="1557" max="1557" width="8.42578125" style="2095" bestFit="1" customWidth="1"/>
    <col min="1558" max="1793" width="9.140625" style="2095"/>
    <col min="1794" max="1794" width="26.7109375" style="2095" bestFit="1" customWidth="1"/>
    <col min="1795" max="1795" width="9.140625" style="2095"/>
    <col min="1796" max="1796" width="11.42578125" style="2095" bestFit="1" customWidth="1"/>
    <col min="1797" max="1797" width="11.7109375" style="2095" bestFit="1" customWidth="1"/>
    <col min="1798" max="1799" width="11" style="2095" bestFit="1" customWidth="1"/>
    <col min="1800" max="1800" width="11.140625" style="2095" bestFit="1" customWidth="1"/>
    <col min="1801" max="1804" width="11.140625" style="2095" customWidth="1"/>
    <col min="1805" max="1805" width="2.85546875" style="2095" customWidth="1"/>
    <col min="1806" max="1806" width="29.42578125" style="2095" bestFit="1" customWidth="1"/>
    <col min="1807" max="1807" width="9.140625" style="2095"/>
    <col min="1808" max="1808" width="11.42578125" style="2095" bestFit="1" customWidth="1"/>
    <col min="1809" max="1809" width="11.7109375" style="2095" bestFit="1" customWidth="1"/>
    <col min="1810" max="1811" width="11" style="2095" bestFit="1" customWidth="1"/>
    <col min="1812" max="1812" width="7.85546875" style="2095" bestFit="1" customWidth="1"/>
    <col min="1813" max="1813" width="8.42578125" style="2095" bestFit="1" customWidth="1"/>
    <col min="1814" max="2049" width="9.140625" style="2095"/>
    <col min="2050" max="2050" width="26.7109375" style="2095" bestFit="1" customWidth="1"/>
    <col min="2051" max="2051" width="9.140625" style="2095"/>
    <col min="2052" max="2052" width="11.42578125" style="2095" bestFit="1" customWidth="1"/>
    <col min="2053" max="2053" width="11.7109375" style="2095" bestFit="1" customWidth="1"/>
    <col min="2054" max="2055" width="11" style="2095" bestFit="1" customWidth="1"/>
    <col min="2056" max="2056" width="11.140625" style="2095" bestFit="1" customWidth="1"/>
    <col min="2057" max="2060" width="11.140625" style="2095" customWidth="1"/>
    <col min="2061" max="2061" width="2.85546875" style="2095" customWidth="1"/>
    <col min="2062" max="2062" width="29.42578125" style="2095" bestFit="1" customWidth="1"/>
    <col min="2063" max="2063" width="9.140625" style="2095"/>
    <col min="2064" max="2064" width="11.42578125" style="2095" bestFit="1" customWidth="1"/>
    <col min="2065" max="2065" width="11.7109375" style="2095" bestFit="1" customWidth="1"/>
    <col min="2066" max="2067" width="11" style="2095" bestFit="1" customWidth="1"/>
    <col min="2068" max="2068" width="7.85546875" style="2095" bestFit="1" customWidth="1"/>
    <col min="2069" max="2069" width="8.42578125" style="2095" bestFit="1" customWidth="1"/>
    <col min="2070" max="2305" width="9.140625" style="2095"/>
    <col min="2306" max="2306" width="26.7109375" style="2095" bestFit="1" customWidth="1"/>
    <col min="2307" max="2307" width="9.140625" style="2095"/>
    <col min="2308" max="2308" width="11.42578125" style="2095" bestFit="1" customWidth="1"/>
    <col min="2309" max="2309" width="11.7109375" style="2095" bestFit="1" customWidth="1"/>
    <col min="2310" max="2311" width="11" style="2095" bestFit="1" customWidth="1"/>
    <col min="2312" max="2312" width="11.140625" style="2095" bestFit="1" customWidth="1"/>
    <col min="2313" max="2316" width="11.140625" style="2095" customWidth="1"/>
    <col min="2317" max="2317" width="2.85546875" style="2095" customWidth="1"/>
    <col min="2318" max="2318" width="29.42578125" style="2095" bestFit="1" customWidth="1"/>
    <col min="2319" max="2319" width="9.140625" style="2095"/>
    <col min="2320" max="2320" width="11.42578125" style="2095" bestFit="1" customWidth="1"/>
    <col min="2321" max="2321" width="11.7109375" style="2095" bestFit="1" customWidth="1"/>
    <col min="2322" max="2323" width="11" style="2095" bestFit="1" customWidth="1"/>
    <col min="2324" max="2324" width="7.85546875" style="2095" bestFit="1" customWidth="1"/>
    <col min="2325" max="2325" width="8.42578125" style="2095" bestFit="1" customWidth="1"/>
    <col min="2326" max="2561" width="9.140625" style="2095"/>
    <col min="2562" max="2562" width="26.7109375" style="2095" bestFit="1" customWidth="1"/>
    <col min="2563" max="2563" width="9.140625" style="2095"/>
    <col min="2564" max="2564" width="11.42578125" style="2095" bestFit="1" customWidth="1"/>
    <col min="2565" max="2565" width="11.7109375" style="2095" bestFit="1" customWidth="1"/>
    <col min="2566" max="2567" width="11" style="2095" bestFit="1" customWidth="1"/>
    <col min="2568" max="2568" width="11.140625" style="2095" bestFit="1" customWidth="1"/>
    <col min="2569" max="2572" width="11.140625" style="2095" customWidth="1"/>
    <col min="2573" max="2573" width="2.85546875" style="2095" customWidth="1"/>
    <col min="2574" max="2574" width="29.42578125" style="2095" bestFit="1" customWidth="1"/>
    <col min="2575" max="2575" width="9.140625" style="2095"/>
    <col min="2576" max="2576" width="11.42578125" style="2095" bestFit="1" customWidth="1"/>
    <col min="2577" max="2577" width="11.7109375" style="2095" bestFit="1" customWidth="1"/>
    <col min="2578" max="2579" width="11" style="2095" bestFit="1" customWidth="1"/>
    <col min="2580" max="2580" width="7.85546875" style="2095" bestFit="1" customWidth="1"/>
    <col min="2581" max="2581" width="8.42578125" style="2095" bestFit="1" customWidth="1"/>
    <col min="2582" max="2817" width="9.140625" style="2095"/>
    <col min="2818" max="2818" width="26.7109375" style="2095" bestFit="1" customWidth="1"/>
    <col min="2819" max="2819" width="9.140625" style="2095"/>
    <col min="2820" max="2820" width="11.42578125" style="2095" bestFit="1" customWidth="1"/>
    <col min="2821" max="2821" width="11.7109375" style="2095" bestFit="1" customWidth="1"/>
    <col min="2822" max="2823" width="11" style="2095" bestFit="1" customWidth="1"/>
    <col min="2824" max="2824" width="11.140625" style="2095" bestFit="1" customWidth="1"/>
    <col min="2825" max="2828" width="11.140625" style="2095" customWidth="1"/>
    <col min="2829" max="2829" width="2.85546875" style="2095" customWidth="1"/>
    <col min="2830" max="2830" width="29.42578125" style="2095" bestFit="1" customWidth="1"/>
    <col min="2831" max="2831" width="9.140625" style="2095"/>
    <col min="2832" max="2832" width="11.42578125" style="2095" bestFit="1" customWidth="1"/>
    <col min="2833" max="2833" width="11.7109375" style="2095" bestFit="1" customWidth="1"/>
    <col min="2834" max="2835" width="11" style="2095" bestFit="1" customWidth="1"/>
    <col min="2836" max="2836" width="7.85546875" style="2095" bestFit="1" customWidth="1"/>
    <col min="2837" max="2837" width="8.42578125" style="2095" bestFit="1" customWidth="1"/>
    <col min="2838" max="3073" width="9.140625" style="2095"/>
    <col min="3074" max="3074" width="26.7109375" style="2095" bestFit="1" customWidth="1"/>
    <col min="3075" max="3075" width="9.140625" style="2095"/>
    <col min="3076" max="3076" width="11.42578125" style="2095" bestFit="1" customWidth="1"/>
    <col min="3077" max="3077" width="11.7109375" style="2095" bestFit="1" customWidth="1"/>
    <col min="3078" max="3079" width="11" style="2095" bestFit="1" customWidth="1"/>
    <col min="3080" max="3080" width="11.140625" style="2095" bestFit="1" customWidth="1"/>
    <col min="3081" max="3084" width="11.140625" style="2095" customWidth="1"/>
    <col min="3085" max="3085" width="2.85546875" style="2095" customWidth="1"/>
    <col min="3086" max="3086" width="29.42578125" style="2095" bestFit="1" customWidth="1"/>
    <col min="3087" max="3087" width="9.140625" style="2095"/>
    <col min="3088" max="3088" width="11.42578125" style="2095" bestFit="1" customWidth="1"/>
    <col min="3089" max="3089" width="11.7109375" style="2095" bestFit="1" customWidth="1"/>
    <col min="3090" max="3091" width="11" style="2095" bestFit="1" customWidth="1"/>
    <col min="3092" max="3092" width="7.85546875" style="2095" bestFit="1" customWidth="1"/>
    <col min="3093" max="3093" width="8.42578125" style="2095" bestFit="1" customWidth="1"/>
    <col min="3094" max="3329" width="9.140625" style="2095"/>
    <col min="3330" max="3330" width="26.7109375" style="2095" bestFit="1" customWidth="1"/>
    <col min="3331" max="3331" width="9.140625" style="2095"/>
    <col min="3332" max="3332" width="11.42578125" style="2095" bestFit="1" customWidth="1"/>
    <col min="3333" max="3333" width="11.7109375" style="2095" bestFit="1" customWidth="1"/>
    <col min="3334" max="3335" width="11" style="2095" bestFit="1" customWidth="1"/>
    <col min="3336" max="3336" width="11.140625" style="2095" bestFit="1" customWidth="1"/>
    <col min="3337" max="3340" width="11.140625" style="2095" customWidth="1"/>
    <col min="3341" max="3341" width="2.85546875" style="2095" customWidth="1"/>
    <col min="3342" max="3342" width="29.42578125" style="2095" bestFit="1" customWidth="1"/>
    <col min="3343" max="3343" width="9.140625" style="2095"/>
    <col min="3344" max="3344" width="11.42578125" style="2095" bestFit="1" customWidth="1"/>
    <col min="3345" max="3345" width="11.7109375" style="2095" bestFit="1" customWidth="1"/>
    <col min="3346" max="3347" width="11" style="2095" bestFit="1" customWidth="1"/>
    <col min="3348" max="3348" width="7.85546875" style="2095" bestFit="1" customWidth="1"/>
    <col min="3349" max="3349" width="8.42578125" style="2095" bestFit="1" customWidth="1"/>
    <col min="3350" max="3585" width="9.140625" style="2095"/>
    <col min="3586" max="3586" width="26.7109375" style="2095" bestFit="1" customWidth="1"/>
    <col min="3587" max="3587" width="9.140625" style="2095"/>
    <col min="3588" max="3588" width="11.42578125" style="2095" bestFit="1" customWidth="1"/>
    <col min="3589" max="3589" width="11.7109375" style="2095" bestFit="1" customWidth="1"/>
    <col min="3590" max="3591" width="11" style="2095" bestFit="1" customWidth="1"/>
    <col min="3592" max="3592" width="11.140625" style="2095" bestFit="1" customWidth="1"/>
    <col min="3593" max="3596" width="11.140625" style="2095" customWidth="1"/>
    <col min="3597" max="3597" width="2.85546875" style="2095" customWidth="1"/>
    <col min="3598" max="3598" width="29.42578125" style="2095" bestFit="1" customWidth="1"/>
    <col min="3599" max="3599" width="9.140625" style="2095"/>
    <col min="3600" max="3600" width="11.42578125" style="2095" bestFit="1" customWidth="1"/>
    <col min="3601" max="3601" width="11.7109375" style="2095" bestFit="1" customWidth="1"/>
    <col min="3602" max="3603" width="11" style="2095" bestFit="1" customWidth="1"/>
    <col min="3604" max="3604" width="7.85546875" style="2095" bestFit="1" customWidth="1"/>
    <col min="3605" max="3605" width="8.42578125" style="2095" bestFit="1" customWidth="1"/>
    <col min="3606" max="3841" width="9.140625" style="2095"/>
    <col min="3842" max="3842" width="26.7109375" style="2095" bestFit="1" customWidth="1"/>
    <col min="3843" max="3843" width="9.140625" style="2095"/>
    <col min="3844" max="3844" width="11.42578125" style="2095" bestFit="1" customWidth="1"/>
    <col min="3845" max="3845" width="11.7109375" style="2095" bestFit="1" customWidth="1"/>
    <col min="3846" max="3847" width="11" style="2095" bestFit="1" customWidth="1"/>
    <col min="3848" max="3848" width="11.140625" style="2095" bestFit="1" customWidth="1"/>
    <col min="3849" max="3852" width="11.140625" style="2095" customWidth="1"/>
    <col min="3853" max="3853" width="2.85546875" style="2095" customWidth="1"/>
    <col min="3854" max="3854" width="29.42578125" style="2095" bestFit="1" customWidth="1"/>
    <col min="3855" max="3855" width="9.140625" style="2095"/>
    <col min="3856" max="3856" width="11.42578125" style="2095" bestFit="1" customWidth="1"/>
    <col min="3857" max="3857" width="11.7109375" style="2095" bestFit="1" customWidth="1"/>
    <col min="3858" max="3859" width="11" style="2095" bestFit="1" customWidth="1"/>
    <col min="3860" max="3860" width="7.85546875" style="2095" bestFit="1" customWidth="1"/>
    <col min="3861" max="3861" width="8.42578125" style="2095" bestFit="1" customWidth="1"/>
    <col min="3862" max="4097" width="9.140625" style="2095"/>
    <col min="4098" max="4098" width="26.7109375" style="2095" bestFit="1" customWidth="1"/>
    <col min="4099" max="4099" width="9.140625" style="2095"/>
    <col min="4100" max="4100" width="11.42578125" style="2095" bestFit="1" customWidth="1"/>
    <col min="4101" max="4101" width="11.7109375" style="2095" bestFit="1" customWidth="1"/>
    <col min="4102" max="4103" width="11" style="2095" bestFit="1" customWidth="1"/>
    <col min="4104" max="4104" width="11.140625" style="2095" bestFit="1" customWidth="1"/>
    <col min="4105" max="4108" width="11.140625" style="2095" customWidth="1"/>
    <col min="4109" max="4109" width="2.85546875" style="2095" customWidth="1"/>
    <col min="4110" max="4110" width="29.42578125" style="2095" bestFit="1" customWidth="1"/>
    <col min="4111" max="4111" width="9.140625" style="2095"/>
    <col min="4112" max="4112" width="11.42578125" style="2095" bestFit="1" customWidth="1"/>
    <col min="4113" max="4113" width="11.7109375" style="2095" bestFit="1" customWidth="1"/>
    <col min="4114" max="4115" width="11" style="2095" bestFit="1" customWidth="1"/>
    <col min="4116" max="4116" width="7.85546875" style="2095" bestFit="1" customWidth="1"/>
    <col min="4117" max="4117" width="8.42578125" style="2095" bestFit="1" customWidth="1"/>
    <col min="4118" max="4353" width="9.140625" style="2095"/>
    <col min="4354" max="4354" width="26.7109375" style="2095" bestFit="1" customWidth="1"/>
    <col min="4355" max="4355" width="9.140625" style="2095"/>
    <col min="4356" max="4356" width="11.42578125" style="2095" bestFit="1" customWidth="1"/>
    <col min="4357" max="4357" width="11.7109375" style="2095" bestFit="1" customWidth="1"/>
    <col min="4358" max="4359" width="11" style="2095" bestFit="1" customWidth="1"/>
    <col min="4360" max="4360" width="11.140625" style="2095" bestFit="1" customWidth="1"/>
    <col min="4361" max="4364" width="11.140625" style="2095" customWidth="1"/>
    <col min="4365" max="4365" width="2.85546875" style="2095" customWidth="1"/>
    <col min="4366" max="4366" width="29.42578125" style="2095" bestFit="1" customWidth="1"/>
    <col min="4367" max="4367" width="9.140625" style="2095"/>
    <col min="4368" max="4368" width="11.42578125" style="2095" bestFit="1" customWidth="1"/>
    <col min="4369" max="4369" width="11.7109375" style="2095" bestFit="1" customWidth="1"/>
    <col min="4370" max="4371" width="11" style="2095" bestFit="1" customWidth="1"/>
    <col min="4372" max="4372" width="7.85546875" style="2095" bestFit="1" customWidth="1"/>
    <col min="4373" max="4373" width="8.42578125" style="2095" bestFit="1" customWidth="1"/>
    <col min="4374" max="4609" width="9.140625" style="2095"/>
    <col min="4610" max="4610" width="26.7109375" style="2095" bestFit="1" customWidth="1"/>
    <col min="4611" max="4611" width="9.140625" style="2095"/>
    <col min="4612" max="4612" width="11.42578125" style="2095" bestFit="1" customWidth="1"/>
    <col min="4613" max="4613" width="11.7109375" style="2095" bestFit="1" customWidth="1"/>
    <col min="4614" max="4615" width="11" style="2095" bestFit="1" customWidth="1"/>
    <col min="4616" max="4616" width="11.140625" style="2095" bestFit="1" customWidth="1"/>
    <col min="4617" max="4620" width="11.140625" style="2095" customWidth="1"/>
    <col min="4621" max="4621" width="2.85546875" style="2095" customWidth="1"/>
    <col min="4622" max="4622" width="29.42578125" style="2095" bestFit="1" customWidth="1"/>
    <col min="4623" max="4623" width="9.140625" style="2095"/>
    <col min="4624" max="4624" width="11.42578125" style="2095" bestFit="1" customWidth="1"/>
    <col min="4625" max="4625" width="11.7109375" style="2095" bestFit="1" customWidth="1"/>
    <col min="4626" max="4627" width="11" style="2095" bestFit="1" customWidth="1"/>
    <col min="4628" max="4628" width="7.85546875" style="2095" bestFit="1" customWidth="1"/>
    <col min="4629" max="4629" width="8.42578125" style="2095" bestFit="1" customWidth="1"/>
    <col min="4630" max="4865" width="9.140625" style="2095"/>
    <col min="4866" max="4866" width="26.7109375" style="2095" bestFit="1" customWidth="1"/>
    <col min="4867" max="4867" width="9.140625" style="2095"/>
    <col min="4868" max="4868" width="11.42578125" style="2095" bestFit="1" customWidth="1"/>
    <col min="4869" max="4869" width="11.7109375" style="2095" bestFit="1" customWidth="1"/>
    <col min="4870" max="4871" width="11" style="2095" bestFit="1" customWidth="1"/>
    <col min="4872" max="4872" width="11.140625" style="2095" bestFit="1" customWidth="1"/>
    <col min="4873" max="4876" width="11.140625" style="2095" customWidth="1"/>
    <col min="4877" max="4877" width="2.85546875" style="2095" customWidth="1"/>
    <col min="4878" max="4878" width="29.42578125" style="2095" bestFit="1" customWidth="1"/>
    <col min="4879" max="4879" width="9.140625" style="2095"/>
    <col min="4880" max="4880" width="11.42578125" style="2095" bestFit="1" customWidth="1"/>
    <col min="4881" max="4881" width="11.7109375" style="2095" bestFit="1" customWidth="1"/>
    <col min="4882" max="4883" width="11" style="2095" bestFit="1" customWidth="1"/>
    <col min="4884" max="4884" width="7.85546875" style="2095" bestFit="1" customWidth="1"/>
    <col min="4885" max="4885" width="8.42578125" style="2095" bestFit="1" customWidth="1"/>
    <col min="4886" max="5121" width="9.140625" style="2095"/>
    <col min="5122" max="5122" width="26.7109375" style="2095" bestFit="1" customWidth="1"/>
    <col min="5123" max="5123" width="9.140625" style="2095"/>
    <col min="5124" max="5124" width="11.42578125" style="2095" bestFit="1" customWidth="1"/>
    <col min="5125" max="5125" width="11.7109375" style="2095" bestFit="1" customWidth="1"/>
    <col min="5126" max="5127" width="11" style="2095" bestFit="1" customWidth="1"/>
    <col min="5128" max="5128" width="11.140625" style="2095" bestFit="1" customWidth="1"/>
    <col min="5129" max="5132" width="11.140625" style="2095" customWidth="1"/>
    <col min="5133" max="5133" width="2.85546875" style="2095" customWidth="1"/>
    <col min="5134" max="5134" width="29.42578125" style="2095" bestFit="1" customWidth="1"/>
    <col min="5135" max="5135" width="9.140625" style="2095"/>
    <col min="5136" max="5136" width="11.42578125" style="2095" bestFit="1" customWidth="1"/>
    <col min="5137" max="5137" width="11.7109375" style="2095" bestFit="1" customWidth="1"/>
    <col min="5138" max="5139" width="11" style="2095" bestFit="1" customWidth="1"/>
    <col min="5140" max="5140" width="7.85546875" style="2095" bestFit="1" customWidth="1"/>
    <col min="5141" max="5141" width="8.42578125" style="2095" bestFit="1" customWidth="1"/>
    <col min="5142" max="5377" width="9.140625" style="2095"/>
    <col min="5378" max="5378" width="26.7109375" style="2095" bestFit="1" customWidth="1"/>
    <col min="5379" max="5379" width="9.140625" style="2095"/>
    <col min="5380" max="5380" width="11.42578125" style="2095" bestFit="1" customWidth="1"/>
    <col min="5381" max="5381" width="11.7109375" style="2095" bestFit="1" customWidth="1"/>
    <col min="5382" max="5383" width="11" style="2095" bestFit="1" customWidth="1"/>
    <col min="5384" max="5384" width="11.140625" style="2095" bestFit="1" customWidth="1"/>
    <col min="5385" max="5388" width="11.140625" style="2095" customWidth="1"/>
    <col min="5389" max="5389" width="2.85546875" style="2095" customWidth="1"/>
    <col min="5390" max="5390" width="29.42578125" style="2095" bestFit="1" customWidth="1"/>
    <col min="5391" max="5391" width="9.140625" style="2095"/>
    <col min="5392" max="5392" width="11.42578125" style="2095" bestFit="1" customWidth="1"/>
    <col min="5393" max="5393" width="11.7109375" style="2095" bestFit="1" customWidth="1"/>
    <col min="5394" max="5395" width="11" style="2095" bestFit="1" customWidth="1"/>
    <col min="5396" max="5396" width="7.85546875" style="2095" bestFit="1" customWidth="1"/>
    <col min="5397" max="5397" width="8.42578125" style="2095" bestFit="1" customWidth="1"/>
    <col min="5398" max="5633" width="9.140625" style="2095"/>
    <col min="5634" max="5634" width="26.7109375" style="2095" bestFit="1" customWidth="1"/>
    <col min="5635" max="5635" width="9.140625" style="2095"/>
    <col min="5636" max="5636" width="11.42578125" style="2095" bestFit="1" customWidth="1"/>
    <col min="5637" max="5637" width="11.7109375" style="2095" bestFit="1" customWidth="1"/>
    <col min="5638" max="5639" width="11" style="2095" bestFit="1" customWidth="1"/>
    <col min="5640" max="5640" width="11.140625" style="2095" bestFit="1" customWidth="1"/>
    <col min="5641" max="5644" width="11.140625" style="2095" customWidth="1"/>
    <col min="5645" max="5645" width="2.85546875" style="2095" customWidth="1"/>
    <col min="5646" max="5646" width="29.42578125" style="2095" bestFit="1" customWidth="1"/>
    <col min="5647" max="5647" width="9.140625" style="2095"/>
    <col min="5648" max="5648" width="11.42578125" style="2095" bestFit="1" customWidth="1"/>
    <col min="5649" max="5649" width="11.7109375" style="2095" bestFit="1" customWidth="1"/>
    <col min="5650" max="5651" width="11" style="2095" bestFit="1" customWidth="1"/>
    <col min="5652" max="5652" width="7.85546875" style="2095" bestFit="1" customWidth="1"/>
    <col min="5653" max="5653" width="8.42578125" style="2095" bestFit="1" customWidth="1"/>
    <col min="5654" max="5889" width="9.140625" style="2095"/>
    <col min="5890" max="5890" width="26.7109375" style="2095" bestFit="1" customWidth="1"/>
    <col min="5891" max="5891" width="9.140625" style="2095"/>
    <col min="5892" max="5892" width="11.42578125" style="2095" bestFit="1" customWidth="1"/>
    <col min="5893" max="5893" width="11.7109375" style="2095" bestFit="1" customWidth="1"/>
    <col min="5894" max="5895" width="11" style="2095" bestFit="1" customWidth="1"/>
    <col min="5896" max="5896" width="11.140625" style="2095" bestFit="1" customWidth="1"/>
    <col min="5897" max="5900" width="11.140625" style="2095" customWidth="1"/>
    <col min="5901" max="5901" width="2.85546875" style="2095" customWidth="1"/>
    <col min="5902" max="5902" width="29.42578125" style="2095" bestFit="1" customWidth="1"/>
    <col min="5903" max="5903" width="9.140625" style="2095"/>
    <col min="5904" max="5904" width="11.42578125" style="2095" bestFit="1" customWidth="1"/>
    <col min="5905" max="5905" width="11.7109375" style="2095" bestFit="1" customWidth="1"/>
    <col min="5906" max="5907" width="11" style="2095" bestFit="1" customWidth="1"/>
    <col min="5908" max="5908" width="7.85546875" style="2095" bestFit="1" customWidth="1"/>
    <col min="5909" max="5909" width="8.42578125" style="2095" bestFit="1" customWidth="1"/>
    <col min="5910" max="6145" width="9.140625" style="2095"/>
    <col min="6146" max="6146" width="26.7109375" style="2095" bestFit="1" customWidth="1"/>
    <col min="6147" max="6147" width="9.140625" style="2095"/>
    <col min="6148" max="6148" width="11.42578125" style="2095" bestFit="1" customWidth="1"/>
    <col min="6149" max="6149" width="11.7109375" style="2095" bestFit="1" customWidth="1"/>
    <col min="6150" max="6151" width="11" style="2095" bestFit="1" customWidth="1"/>
    <col min="6152" max="6152" width="11.140625" style="2095" bestFit="1" customWidth="1"/>
    <col min="6153" max="6156" width="11.140625" style="2095" customWidth="1"/>
    <col min="6157" max="6157" width="2.85546875" style="2095" customWidth="1"/>
    <col min="6158" max="6158" width="29.42578125" style="2095" bestFit="1" customWidth="1"/>
    <col min="6159" max="6159" width="9.140625" style="2095"/>
    <col min="6160" max="6160" width="11.42578125" style="2095" bestFit="1" customWidth="1"/>
    <col min="6161" max="6161" width="11.7109375" style="2095" bestFit="1" customWidth="1"/>
    <col min="6162" max="6163" width="11" style="2095" bestFit="1" customWidth="1"/>
    <col min="6164" max="6164" width="7.85546875" style="2095" bestFit="1" customWidth="1"/>
    <col min="6165" max="6165" width="8.42578125" style="2095" bestFit="1" customWidth="1"/>
    <col min="6166" max="6401" width="9.140625" style="2095"/>
    <col min="6402" max="6402" width="26.7109375" style="2095" bestFit="1" customWidth="1"/>
    <col min="6403" max="6403" width="9.140625" style="2095"/>
    <col min="6404" max="6404" width="11.42578125" style="2095" bestFit="1" customWidth="1"/>
    <col min="6405" max="6405" width="11.7109375" style="2095" bestFit="1" customWidth="1"/>
    <col min="6406" max="6407" width="11" style="2095" bestFit="1" customWidth="1"/>
    <col min="6408" max="6408" width="11.140625" style="2095" bestFit="1" customWidth="1"/>
    <col min="6409" max="6412" width="11.140625" style="2095" customWidth="1"/>
    <col min="6413" max="6413" width="2.85546875" style="2095" customWidth="1"/>
    <col min="6414" max="6414" width="29.42578125" style="2095" bestFit="1" customWidth="1"/>
    <col min="6415" max="6415" width="9.140625" style="2095"/>
    <col min="6416" max="6416" width="11.42578125" style="2095" bestFit="1" customWidth="1"/>
    <col min="6417" max="6417" width="11.7109375" style="2095" bestFit="1" customWidth="1"/>
    <col min="6418" max="6419" width="11" style="2095" bestFit="1" customWidth="1"/>
    <col min="6420" max="6420" width="7.85546875" style="2095" bestFit="1" customWidth="1"/>
    <col min="6421" max="6421" width="8.42578125" style="2095" bestFit="1" customWidth="1"/>
    <col min="6422" max="6657" width="9.140625" style="2095"/>
    <col min="6658" max="6658" width="26.7109375" style="2095" bestFit="1" customWidth="1"/>
    <col min="6659" max="6659" width="9.140625" style="2095"/>
    <col min="6660" max="6660" width="11.42578125" style="2095" bestFit="1" customWidth="1"/>
    <col min="6661" max="6661" width="11.7109375" style="2095" bestFit="1" customWidth="1"/>
    <col min="6662" max="6663" width="11" style="2095" bestFit="1" customWidth="1"/>
    <col min="6664" max="6664" width="11.140625" style="2095" bestFit="1" customWidth="1"/>
    <col min="6665" max="6668" width="11.140625" style="2095" customWidth="1"/>
    <col min="6669" max="6669" width="2.85546875" style="2095" customWidth="1"/>
    <col min="6670" max="6670" width="29.42578125" style="2095" bestFit="1" customWidth="1"/>
    <col min="6671" max="6671" width="9.140625" style="2095"/>
    <col min="6672" max="6672" width="11.42578125" style="2095" bestFit="1" customWidth="1"/>
    <col min="6673" max="6673" width="11.7109375" style="2095" bestFit="1" customWidth="1"/>
    <col min="6674" max="6675" width="11" style="2095" bestFit="1" customWidth="1"/>
    <col min="6676" max="6676" width="7.85546875" style="2095" bestFit="1" customWidth="1"/>
    <col min="6677" max="6677" width="8.42578125" style="2095" bestFit="1" customWidth="1"/>
    <col min="6678" max="6913" width="9.140625" style="2095"/>
    <col min="6914" max="6914" width="26.7109375" style="2095" bestFit="1" customWidth="1"/>
    <col min="6915" max="6915" width="9.140625" style="2095"/>
    <col min="6916" max="6916" width="11.42578125" style="2095" bestFit="1" customWidth="1"/>
    <col min="6917" max="6917" width="11.7109375" style="2095" bestFit="1" customWidth="1"/>
    <col min="6918" max="6919" width="11" style="2095" bestFit="1" customWidth="1"/>
    <col min="6920" max="6920" width="11.140625" style="2095" bestFit="1" customWidth="1"/>
    <col min="6921" max="6924" width="11.140625" style="2095" customWidth="1"/>
    <col min="6925" max="6925" width="2.85546875" style="2095" customWidth="1"/>
    <col min="6926" max="6926" width="29.42578125" style="2095" bestFit="1" customWidth="1"/>
    <col min="6927" max="6927" width="9.140625" style="2095"/>
    <col min="6928" max="6928" width="11.42578125" style="2095" bestFit="1" customWidth="1"/>
    <col min="6929" max="6929" width="11.7109375" style="2095" bestFit="1" customWidth="1"/>
    <col min="6930" max="6931" width="11" style="2095" bestFit="1" customWidth="1"/>
    <col min="6932" max="6932" width="7.85546875" style="2095" bestFit="1" customWidth="1"/>
    <col min="6933" max="6933" width="8.42578125" style="2095" bestFit="1" customWidth="1"/>
    <col min="6934" max="7169" width="9.140625" style="2095"/>
    <col min="7170" max="7170" width="26.7109375" style="2095" bestFit="1" customWidth="1"/>
    <col min="7171" max="7171" width="9.140625" style="2095"/>
    <col min="7172" max="7172" width="11.42578125" style="2095" bestFit="1" customWidth="1"/>
    <col min="7173" max="7173" width="11.7109375" style="2095" bestFit="1" customWidth="1"/>
    <col min="7174" max="7175" width="11" style="2095" bestFit="1" customWidth="1"/>
    <col min="7176" max="7176" width="11.140625" style="2095" bestFit="1" customWidth="1"/>
    <col min="7177" max="7180" width="11.140625" style="2095" customWidth="1"/>
    <col min="7181" max="7181" width="2.85546875" style="2095" customWidth="1"/>
    <col min="7182" max="7182" width="29.42578125" style="2095" bestFit="1" customWidth="1"/>
    <col min="7183" max="7183" width="9.140625" style="2095"/>
    <col min="7184" max="7184" width="11.42578125" style="2095" bestFit="1" customWidth="1"/>
    <col min="7185" max="7185" width="11.7109375" style="2095" bestFit="1" customWidth="1"/>
    <col min="7186" max="7187" width="11" style="2095" bestFit="1" customWidth="1"/>
    <col min="7188" max="7188" width="7.85546875" style="2095" bestFit="1" customWidth="1"/>
    <col min="7189" max="7189" width="8.42578125" style="2095" bestFit="1" customWidth="1"/>
    <col min="7190" max="7425" width="9.140625" style="2095"/>
    <col min="7426" max="7426" width="26.7109375" style="2095" bestFit="1" customWidth="1"/>
    <col min="7427" max="7427" width="9.140625" style="2095"/>
    <col min="7428" max="7428" width="11.42578125" style="2095" bestFit="1" customWidth="1"/>
    <col min="7429" max="7429" width="11.7109375" style="2095" bestFit="1" customWidth="1"/>
    <col min="7430" max="7431" width="11" style="2095" bestFit="1" customWidth="1"/>
    <col min="7432" max="7432" width="11.140625" style="2095" bestFit="1" customWidth="1"/>
    <col min="7433" max="7436" width="11.140625" style="2095" customWidth="1"/>
    <col min="7437" max="7437" width="2.85546875" style="2095" customWidth="1"/>
    <col min="7438" max="7438" width="29.42578125" style="2095" bestFit="1" customWidth="1"/>
    <col min="7439" max="7439" width="9.140625" style="2095"/>
    <col min="7440" max="7440" width="11.42578125" style="2095" bestFit="1" customWidth="1"/>
    <col min="7441" max="7441" width="11.7109375" style="2095" bestFit="1" customWidth="1"/>
    <col min="7442" max="7443" width="11" style="2095" bestFit="1" customWidth="1"/>
    <col min="7444" max="7444" width="7.85546875" style="2095" bestFit="1" customWidth="1"/>
    <col min="7445" max="7445" width="8.42578125" style="2095" bestFit="1" customWidth="1"/>
    <col min="7446" max="7681" width="9.140625" style="2095"/>
    <col min="7682" max="7682" width="26.7109375" style="2095" bestFit="1" customWidth="1"/>
    <col min="7683" max="7683" width="9.140625" style="2095"/>
    <col min="7684" max="7684" width="11.42578125" style="2095" bestFit="1" customWidth="1"/>
    <col min="7685" max="7685" width="11.7109375" style="2095" bestFit="1" customWidth="1"/>
    <col min="7686" max="7687" width="11" style="2095" bestFit="1" customWidth="1"/>
    <col min="7688" max="7688" width="11.140625" style="2095" bestFit="1" customWidth="1"/>
    <col min="7689" max="7692" width="11.140625" style="2095" customWidth="1"/>
    <col min="7693" max="7693" width="2.85546875" style="2095" customWidth="1"/>
    <col min="7694" max="7694" width="29.42578125" style="2095" bestFit="1" customWidth="1"/>
    <col min="7695" max="7695" width="9.140625" style="2095"/>
    <col min="7696" max="7696" width="11.42578125" style="2095" bestFit="1" customWidth="1"/>
    <col min="7697" max="7697" width="11.7109375" style="2095" bestFit="1" customWidth="1"/>
    <col min="7698" max="7699" width="11" style="2095" bestFit="1" customWidth="1"/>
    <col min="7700" max="7700" width="7.85546875" style="2095" bestFit="1" customWidth="1"/>
    <col min="7701" max="7701" width="8.42578125" style="2095" bestFit="1" customWidth="1"/>
    <col min="7702" max="7937" width="9.140625" style="2095"/>
    <col min="7938" max="7938" width="26.7109375" style="2095" bestFit="1" customWidth="1"/>
    <col min="7939" max="7939" width="9.140625" style="2095"/>
    <col min="7940" max="7940" width="11.42578125" style="2095" bestFit="1" customWidth="1"/>
    <col min="7941" max="7941" width="11.7109375" style="2095" bestFit="1" customWidth="1"/>
    <col min="7942" max="7943" width="11" style="2095" bestFit="1" customWidth="1"/>
    <col min="7944" max="7944" width="11.140625" style="2095" bestFit="1" customWidth="1"/>
    <col min="7945" max="7948" width="11.140625" style="2095" customWidth="1"/>
    <col min="7949" max="7949" width="2.85546875" style="2095" customWidth="1"/>
    <col min="7950" max="7950" width="29.42578125" style="2095" bestFit="1" customWidth="1"/>
    <col min="7951" max="7951" width="9.140625" style="2095"/>
    <col min="7952" max="7952" width="11.42578125" style="2095" bestFit="1" customWidth="1"/>
    <col min="7953" max="7953" width="11.7109375" style="2095" bestFit="1" customWidth="1"/>
    <col min="7954" max="7955" width="11" style="2095" bestFit="1" customWidth="1"/>
    <col min="7956" max="7956" width="7.85546875" style="2095" bestFit="1" customWidth="1"/>
    <col min="7957" max="7957" width="8.42578125" style="2095" bestFit="1" customWidth="1"/>
    <col min="7958" max="8193" width="9.140625" style="2095"/>
    <col min="8194" max="8194" width="26.7109375" style="2095" bestFit="1" customWidth="1"/>
    <col min="8195" max="8195" width="9.140625" style="2095"/>
    <col min="8196" max="8196" width="11.42578125" style="2095" bestFit="1" customWidth="1"/>
    <col min="8197" max="8197" width="11.7109375" style="2095" bestFit="1" customWidth="1"/>
    <col min="8198" max="8199" width="11" style="2095" bestFit="1" customWidth="1"/>
    <col min="8200" max="8200" width="11.140625" style="2095" bestFit="1" customWidth="1"/>
    <col min="8201" max="8204" width="11.140625" style="2095" customWidth="1"/>
    <col min="8205" max="8205" width="2.85546875" style="2095" customWidth="1"/>
    <col min="8206" max="8206" width="29.42578125" style="2095" bestFit="1" customWidth="1"/>
    <col min="8207" max="8207" width="9.140625" style="2095"/>
    <col min="8208" max="8208" width="11.42578125" style="2095" bestFit="1" customWidth="1"/>
    <col min="8209" max="8209" width="11.7109375" style="2095" bestFit="1" customWidth="1"/>
    <col min="8210" max="8211" width="11" style="2095" bestFit="1" customWidth="1"/>
    <col min="8212" max="8212" width="7.85546875" style="2095" bestFit="1" customWidth="1"/>
    <col min="8213" max="8213" width="8.42578125" style="2095" bestFit="1" customWidth="1"/>
    <col min="8214" max="8449" width="9.140625" style="2095"/>
    <col min="8450" max="8450" width="26.7109375" style="2095" bestFit="1" customWidth="1"/>
    <col min="8451" max="8451" width="9.140625" style="2095"/>
    <col min="8452" max="8452" width="11.42578125" style="2095" bestFit="1" customWidth="1"/>
    <col min="8453" max="8453" width="11.7109375" style="2095" bestFit="1" customWidth="1"/>
    <col min="8454" max="8455" width="11" style="2095" bestFit="1" customWidth="1"/>
    <col min="8456" max="8456" width="11.140625" style="2095" bestFit="1" customWidth="1"/>
    <col min="8457" max="8460" width="11.140625" style="2095" customWidth="1"/>
    <col min="8461" max="8461" width="2.85546875" style="2095" customWidth="1"/>
    <col min="8462" max="8462" width="29.42578125" style="2095" bestFit="1" customWidth="1"/>
    <col min="8463" max="8463" width="9.140625" style="2095"/>
    <col min="8464" max="8464" width="11.42578125" style="2095" bestFit="1" customWidth="1"/>
    <col min="8465" max="8465" width="11.7109375" style="2095" bestFit="1" customWidth="1"/>
    <col min="8466" max="8467" width="11" style="2095" bestFit="1" customWidth="1"/>
    <col min="8468" max="8468" width="7.85546875" style="2095" bestFit="1" customWidth="1"/>
    <col min="8469" max="8469" width="8.42578125" style="2095" bestFit="1" customWidth="1"/>
    <col min="8470" max="8705" width="9.140625" style="2095"/>
    <col min="8706" max="8706" width="26.7109375" style="2095" bestFit="1" customWidth="1"/>
    <col min="8707" max="8707" width="9.140625" style="2095"/>
    <col min="8708" max="8708" width="11.42578125" style="2095" bestFit="1" customWidth="1"/>
    <col min="8709" max="8709" width="11.7109375" style="2095" bestFit="1" customWidth="1"/>
    <col min="8710" max="8711" width="11" style="2095" bestFit="1" customWidth="1"/>
    <col min="8712" max="8712" width="11.140625" style="2095" bestFit="1" customWidth="1"/>
    <col min="8713" max="8716" width="11.140625" style="2095" customWidth="1"/>
    <col min="8717" max="8717" width="2.85546875" style="2095" customWidth="1"/>
    <col min="8718" max="8718" width="29.42578125" style="2095" bestFit="1" customWidth="1"/>
    <col min="8719" max="8719" width="9.140625" style="2095"/>
    <col min="8720" max="8720" width="11.42578125" style="2095" bestFit="1" customWidth="1"/>
    <col min="8721" max="8721" width="11.7109375" style="2095" bestFit="1" customWidth="1"/>
    <col min="8722" max="8723" width="11" style="2095" bestFit="1" customWidth="1"/>
    <col min="8724" max="8724" width="7.85546875" style="2095" bestFit="1" customWidth="1"/>
    <col min="8725" max="8725" width="8.42578125" style="2095" bestFit="1" customWidth="1"/>
    <col min="8726" max="8961" width="9.140625" style="2095"/>
    <col min="8962" max="8962" width="26.7109375" style="2095" bestFit="1" customWidth="1"/>
    <col min="8963" max="8963" width="9.140625" style="2095"/>
    <col min="8964" max="8964" width="11.42578125" style="2095" bestFit="1" customWidth="1"/>
    <col min="8965" max="8965" width="11.7109375" style="2095" bestFit="1" customWidth="1"/>
    <col min="8966" max="8967" width="11" style="2095" bestFit="1" customWidth="1"/>
    <col min="8968" max="8968" width="11.140625" style="2095" bestFit="1" customWidth="1"/>
    <col min="8969" max="8972" width="11.140625" style="2095" customWidth="1"/>
    <col min="8973" max="8973" width="2.85546875" style="2095" customWidth="1"/>
    <col min="8974" max="8974" width="29.42578125" style="2095" bestFit="1" customWidth="1"/>
    <col min="8975" max="8975" width="9.140625" style="2095"/>
    <col min="8976" max="8976" width="11.42578125" style="2095" bestFit="1" customWidth="1"/>
    <col min="8977" max="8977" width="11.7109375" style="2095" bestFit="1" customWidth="1"/>
    <col min="8978" max="8979" width="11" style="2095" bestFit="1" customWidth="1"/>
    <col min="8980" max="8980" width="7.85546875" style="2095" bestFit="1" customWidth="1"/>
    <col min="8981" max="8981" width="8.42578125" style="2095" bestFit="1" customWidth="1"/>
    <col min="8982" max="9217" width="9.140625" style="2095"/>
    <col min="9218" max="9218" width="26.7109375" style="2095" bestFit="1" customWidth="1"/>
    <col min="9219" max="9219" width="9.140625" style="2095"/>
    <col min="9220" max="9220" width="11.42578125" style="2095" bestFit="1" customWidth="1"/>
    <col min="9221" max="9221" width="11.7109375" style="2095" bestFit="1" customWidth="1"/>
    <col min="9222" max="9223" width="11" style="2095" bestFit="1" customWidth="1"/>
    <col min="9224" max="9224" width="11.140625" style="2095" bestFit="1" customWidth="1"/>
    <col min="9225" max="9228" width="11.140625" style="2095" customWidth="1"/>
    <col min="9229" max="9229" width="2.85546875" style="2095" customWidth="1"/>
    <col min="9230" max="9230" width="29.42578125" style="2095" bestFit="1" customWidth="1"/>
    <col min="9231" max="9231" width="9.140625" style="2095"/>
    <col min="9232" max="9232" width="11.42578125" style="2095" bestFit="1" customWidth="1"/>
    <col min="9233" max="9233" width="11.7109375" style="2095" bestFit="1" customWidth="1"/>
    <col min="9234" max="9235" width="11" style="2095" bestFit="1" customWidth="1"/>
    <col min="9236" max="9236" width="7.85546875" style="2095" bestFit="1" customWidth="1"/>
    <col min="9237" max="9237" width="8.42578125" style="2095" bestFit="1" customWidth="1"/>
    <col min="9238" max="9473" width="9.140625" style="2095"/>
    <col min="9474" max="9474" width="26.7109375" style="2095" bestFit="1" customWidth="1"/>
    <col min="9475" max="9475" width="9.140625" style="2095"/>
    <col min="9476" max="9476" width="11.42578125" style="2095" bestFit="1" customWidth="1"/>
    <col min="9477" max="9477" width="11.7109375" style="2095" bestFit="1" customWidth="1"/>
    <col min="9478" max="9479" width="11" style="2095" bestFit="1" customWidth="1"/>
    <col min="9480" max="9480" width="11.140625" style="2095" bestFit="1" customWidth="1"/>
    <col min="9481" max="9484" width="11.140625" style="2095" customWidth="1"/>
    <col min="9485" max="9485" width="2.85546875" style="2095" customWidth="1"/>
    <col min="9486" max="9486" width="29.42578125" style="2095" bestFit="1" customWidth="1"/>
    <col min="9487" max="9487" width="9.140625" style="2095"/>
    <col min="9488" max="9488" width="11.42578125" style="2095" bestFit="1" customWidth="1"/>
    <col min="9489" max="9489" width="11.7109375" style="2095" bestFit="1" customWidth="1"/>
    <col min="9490" max="9491" width="11" style="2095" bestFit="1" customWidth="1"/>
    <col min="9492" max="9492" width="7.85546875" style="2095" bestFit="1" customWidth="1"/>
    <col min="9493" max="9493" width="8.42578125" style="2095" bestFit="1" customWidth="1"/>
    <col min="9494" max="9729" width="9.140625" style="2095"/>
    <col min="9730" max="9730" width="26.7109375" style="2095" bestFit="1" customWidth="1"/>
    <col min="9731" max="9731" width="9.140625" style="2095"/>
    <col min="9732" max="9732" width="11.42578125" style="2095" bestFit="1" customWidth="1"/>
    <col min="9733" max="9733" width="11.7109375" style="2095" bestFit="1" customWidth="1"/>
    <col min="9734" max="9735" width="11" style="2095" bestFit="1" customWidth="1"/>
    <col min="9736" max="9736" width="11.140625" style="2095" bestFit="1" customWidth="1"/>
    <col min="9737" max="9740" width="11.140625" style="2095" customWidth="1"/>
    <col min="9741" max="9741" width="2.85546875" style="2095" customWidth="1"/>
    <col min="9742" max="9742" width="29.42578125" style="2095" bestFit="1" customWidth="1"/>
    <col min="9743" max="9743" width="9.140625" style="2095"/>
    <col min="9744" max="9744" width="11.42578125" style="2095" bestFit="1" customWidth="1"/>
    <col min="9745" max="9745" width="11.7109375" style="2095" bestFit="1" customWidth="1"/>
    <col min="9746" max="9747" width="11" style="2095" bestFit="1" customWidth="1"/>
    <col min="9748" max="9748" width="7.85546875" style="2095" bestFit="1" customWidth="1"/>
    <col min="9749" max="9749" width="8.42578125" style="2095" bestFit="1" customWidth="1"/>
    <col min="9750" max="9985" width="9.140625" style="2095"/>
    <col min="9986" max="9986" width="26.7109375" style="2095" bestFit="1" customWidth="1"/>
    <col min="9987" max="9987" width="9.140625" style="2095"/>
    <col min="9988" max="9988" width="11.42578125" style="2095" bestFit="1" customWidth="1"/>
    <col min="9989" max="9989" width="11.7109375" style="2095" bestFit="1" customWidth="1"/>
    <col min="9990" max="9991" width="11" style="2095" bestFit="1" customWidth="1"/>
    <col min="9992" max="9992" width="11.140625" style="2095" bestFit="1" customWidth="1"/>
    <col min="9993" max="9996" width="11.140625" style="2095" customWidth="1"/>
    <col min="9997" max="9997" width="2.85546875" style="2095" customWidth="1"/>
    <col min="9998" max="9998" width="29.42578125" style="2095" bestFit="1" customWidth="1"/>
    <col min="9999" max="9999" width="9.140625" style="2095"/>
    <col min="10000" max="10000" width="11.42578125" style="2095" bestFit="1" customWidth="1"/>
    <col min="10001" max="10001" width="11.7109375" style="2095" bestFit="1" customWidth="1"/>
    <col min="10002" max="10003" width="11" style="2095" bestFit="1" customWidth="1"/>
    <col min="10004" max="10004" width="7.85546875" style="2095" bestFit="1" customWidth="1"/>
    <col min="10005" max="10005" width="8.42578125" style="2095" bestFit="1" customWidth="1"/>
    <col min="10006" max="10241" width="9.140625" style="2095"/>
    <col min="10242" max="10242" width="26.7109375" style="2095" bestFit="1" customWidth="1"/>
    <col min="10243" max="10243" width="9.140625" style="2095"/>
    <col min="10244" max="10244" width="11.42578125" style="2095" bestFit="1" customWidth="1"/>
    <col min="10245" max="10245" width="11.7109375" style="2095" bestFit="1" customWidth="1"/>
    <col min="10246" max="10247" width="11" style="2095" bestFit="1" customWidth="1"/>
    <col min="10248" max="10248" width="11.140625" style="2095" bestFit="1" customWidth="1"/>
    <col min="10249" max="10252" width="11.140625" style="2095" customWidth="1"/>
    <col min="10253" max="10253" width="2.85546875" style="2095" customWidth="1"/>
    <col min="10254" max="10254" width="29.42578125" style="2095" bestFit="1" customWidth="1"/>
    <col min="10255" max="10255" width="9.140625" style="2095"/>
    <col min="10256" max="10256" width="11.42578125" style="2095" bestFit="1" customWidth="1"/>
    <col min="10257" max="10257" width="11.7109375" style="2095" bestFit="1" customWidth="1"/>
    <col min="10258" max="10259" width="11" style="2095" bestFit="1" customWidth="1"/>
    <col min="10260" max="10260" width="7.85546875" style="2095" bestFit="1" customWidth="1"/>
    <col min="10261" max="10261" width="8.42578125" style="2095" bestFit="1" customWidth="1"/>
    <col min="10262" max="10497" width="9.140625" style="2095"/>
    <col min="10498" max="10498" width="26.7109375" style="2095" bestFit="1" customWidth="1"/>
    <col min="10499" max="10499" width="9.140625" style="2095"/>
    <col min="10500" max="10500" width="11.42578125" style="2095" bestFit="1" customWidth="1"/>
    <col min="10501" max="10501" width="11.7109375" style="2095" bestFit="1" customWidth="1"/>
    <col min="10502" max="10503" width="11" style="2095" bestFit="1" customWidth="1"/>
    <col min="10504" max="10504" width="11.140625" style="2095" bestFit="1" customWidth="1"/>
    <col min="10505" max="10508" width="11.140625" style="2095" customWidth="1"/>
    <col min="10509" max="10509" width="2.85546875" style="2095" customWidth="1"/>
    <col min="10510" max="10510" width="29.42578125" style="2095" bestFit="1" customWidth="1"/>
    <col min="10511" max="10511" width="9.140625" style="2095"/>
    <col min="10512" max="10512" width="11.42578125" style="2095" bestFit="1" customWidth="1"/>
    <col min="10513" max="10513" width="11.7109375" style="2095" bestFit="1" customWidth="1"/>
    <col min="10514" max="10515" width="11" style="2095" bestFit="1" customWidth="1"/>
    <col min="10516" max="10516" width="7.85546875" style="2095" bestFit="1" customWidth="1"/>
    <col min="10517" max="10517" width="8.42578125" style="2095" bestFit="1" customWidth="1"/>
    <col min="10518" max="10753" width="9.140625" style="2095"/>
    <col min="10754" max="10754" width="26.7109375" style="2095" bestFit="1" customWidth="1"/>
    <col min="10755" max="10755" width="9.140625" style="2095"/>
    <col min="10756" max="10756" width="11.42578125" style="2095" bestFit="1" customWidth="1"/>
    <col min="10757" max="10757" width="11.7109375" style="2095" bestFit="1" customWidth="1"/>
    <col min="10758" max="10759" width="11" style="2095" bestFit="1" customWidth="1"/>
    <col min="10760" max="10760" width="11.140625" style="2095" bestFit="1" customWidth="1"/>
    <col min="10761" max="10764" width="11.140625" style="2095" customWidth="1"/>
    <col min="10765" max="10765" width="2.85546875" style="2095" customWidth="1"/>
    <col min="10766" max="10766" width="29.42578125" style="2095" bestFit="1" customWidth="1"/>
    <col min="10767" max="10767" width="9.140625" style="2095"/>
    <col min="10768" max="10768" width="11.42578125" style="2095" bestFit="1" customWidth="1"/>
    <col min="10769" max="10769" width="11.7109375" style="2095" bestFit="1" customWidth="1"/>
    <col min="10770" max="10771" width="11" style="2095" bestFit="1" customWidth="1"/>
    <col min="10772" max="10772" width="7.85546875" style="2095" bestFit="1" customWidth="1"/>
    <col min="10773" max="10773" width="8.42578125" style="2095" bestFit="1" customWidth="1"/>
    <col min="10774" max="11009" width="9.140625" style="2095"/>
    <col min="11010" max="11010" width="26.7109375" style="2095" bestFit="1" customWidth="1"/>
    <col min="11011" max="11011" width="9.140625" style="2095"/>
    <col min="11012" max="11012" width="11.42578125" style="2095" bestFit="1" customWidth="1"/>
    <col min="11013" max="11013" width="11.7109375" style="2095" bestFit="1" customWidth="1"/>
    <col min="11014" max="11015" width="11" style="2095" bestFit="1" customWidth="1"/>
    <col min="11016" max="11016" width="11.140625" style="2095" bestFit="1" customWidth="1"/>
    <col min="11017" max="11020" width="11.140625" style="2095" customWidth="1"/>
    <col min="11021" max="11021" width="2.85546875" style="2095" customWidth="1"/>
    <col min="11022" max="11022" width="29.42578125" style="2095" bestFit="1" customWidth="1"/>
    <col min="11023" max="11023" width="9.140625" style="2095"/>
    <col min="11024" max="11024" width="11.42578125" style="2095" bestFit="1" customWidth="1"/>
    <col min="11025" max="11025" width="11.7109375" style="2095" bestFit="1" customWidth="1"/>
    <col min="11026" max="11027" width="11" style="2095" bestFit="1" customWidth="1"/>
    <col min="11028" max="11028" width="7.85546875" style="2095" bestFit="1" customWidth="1"/>
    <col min="11029" max="11029" width="8.42578125" style="2095" bestFit="1" customWidth="1"/>
    <col min="11030" max="11265" width="9.140625" style="2095"/>
    <col min="11266" max="11266" width="26.7109375" style="2095" bestFit="1" customWidth="1"/>
    <col min="11267" max="11267" width="9.140625" style="2095"/>
    <col min="11268" max="11268" width="11.42578125" style="2095" bestFit="1" customWidth="1"/>
    <col min="11269" max="11269" width="11.7109375" style="2095" bestFit="1" customWidth="1"/>
    <col min="11270" max="11271" width="11" style="2095" bestFit="1" customWidth="1"/>
    <col min="11272" max="11272" width="11.140625" style="2095" bestFit="1" customWidth="1"/>
    <col min="11273" max="11276" width="11.140625" style="2095" customWidth="1"/>
    <col min="11277" max="11277" width="2.85546875" style="2095" customWidth="1"/>
    <col min="11278" max="11278" width="29.42578125" style="2095" bestFit="1" customWidth="1"/>
    <col min="11279" max="11279" width="9.140625" style="2095"/>
    <col min="11280" max="11280" width="11.42578125" style="2095" bestFit="1" customWidth="1"/>
    <col min="11281" max="11281" width="11.7109375" style="2095" bestFit="1" customWidth="1"/>
    <col min="11282" max="11283" width="11" style="2095" bestFit="1" customWidth="1"/>
    <col min="11284" max="11284" width="7.85546875" style="2095" bestFit="1" customWidth="1"/>
    <col min="11285" max="11285" width="8.42578125" style="2095" bestFit="1" customWidth="1"/>
    <col min="11286" max="11521" width="9.140625" style="2095"/>
    <col min="11522" max="11522" width="26.7109375" style="2095" bestFit="1" customWidth="1"/>
    <col min="11523" max="11523" width="9.140625" style="2095"/>
    <col min="11524" max="11524" width="11.42578125" style="2095" bestFit="1" customWidth="1"/>
    <col min="11525" max="11525" width="11.7109375" style="2095" bestFit="1" customWidth="1"/>
    <col min="11526" max="11527" width="11" style="2095" bestFit="1" customWidth="1"/>
    <col min="11528" max="11528" width="11.140625" style="2095" bestFit="1" customWidth="1"/>
    <col min="11529" max="11532" width="11.140625" style="2095" customWidth="1"/>
    <col min="11533" max="11533" width="2.85546875" style="2095" customWidth="1"/>
    <col min="11534" max="11534" width="29.42578125" style="2095" bestFit="1" customWidth="1"/>
    <col min="11535" max="11535" width="9.140625" style="2095"/>
    <col min="11536" max="11536" width="11.42578125" style="2095" bestFit="1" customWidth="1"/>
    <col min="11537" max="11537" width="11.7109375" style="2095" bestFit="1" customWidth="1"/>
    <col min="11538" max="11539" width="11" style="2095" bestFit="1" customWidth="1"/>
    <col min="11540" max="11540" width="7.85546875" style="2095" bestFit="1" customWidth="1"/>
    <col min="11541" max="11541" width="8.42578125" style="2095" bestFit="1" customWidth="1"/>
    <col min="11542" max="11777" width="9.140625" style="2095"/>
    <col min="11778" max="11778" width="26.7109375" style="2095" bestFit="1" customWidth="1"/>
    <col min="11779" max="11779" width="9.140625" style="2095"/>
    <col min="11780" max="11780" width="11.42578125" style="2095" bestFit="1" customWidth="1"/>
    <col min="11781" max="11781" width="11.7109375" style="2095" bestFit="1" customWidth="1"/>
    <col min="11782" max="11783" width="11" style="2095" bestFit="1" customWidth="1"/>
    <col min="11784" max="11784" width="11.140625" style="2095" bestFit="1" customWidth="1"/>
    <col min="11785" max="11788" width="11.140625" style="2095" customWidth="1"/>
    <col min="11789" max="11789" width="2.85546875" style="2095" customWidth="1"/>
    <col min="11790" max="11790" width="29.42578125" style="2095" bestFit="1" customWidth="1"/>
    <col min="11791" max="11791" width="9.140625" style="2095"/>
    <col min="11792" max="11792" width="11.42578125" style="2095" bestFit="1" customWidth="1"/>
    <col min="11793" max="11793" width="11.7109375" style="2095" bestFit="1" customWidth="1"/>
    <col min="11794" max="11795" width="11" style="2095" bestFit="1" customWidth="1"/>
    <col min="11796" max="11796" width="7.85546875" style="2095" bestFit="1" customWidth="1"/>
    <col min="11797" max="11797" width="8.42578125" style="2095" bestFit="1" customWidth="1"/>
    <col min="11798" max="12033" width="9.140625" style="2095"/>
    <col min="12034" max="12034" width="26.7109375" style="2095" bestFit="1" customWidth="1"/>
    <col min="12035" max="12035" width="9.140625" style="2095"/>
    <col min="12036" max="12036" width="11.42578125" style="2095" bestFit="1" customWidth="1"/>
    <col min="12037" max="12037" width="11.7109375" style="2095" bestFit="1" customWidth="1"/>
    <col min="12038" max="12039" width="11" style="2095" bestFit="1" customWidth="1"/>
    <col min="12040" max="12040" width="11.140625" style="2095" bestFit="1" customWidth="1"/>
    <col min="12041" max="12044" width="11.140625" style="2095" customWidth="1"/>
    <col min="12045" max="12045" width="2.85546875" style="2095" customWidth="1"/>
    <col min="12046" max="12046" width="29.42578125" style="2095" bestFit="1" customWidth="1"/>
    <col min="12047" max="12047" width="9.140625" style="2095"/>
    <col min="12048" max="12048" width="11.42578125" style="2095" bestFit="1" customWidth="1"/>
    <col min="12049" max="12049" width="11.7109375" style="2095" bestFit="1" customWidth="1"/>
    <col min="12050" max="12051" width="11" style="2095" bestFit="1" customWidth="1"/>
    <col min="12052" max="12052" width="7.85546875" style="2095" bestFit="1" customWidth="1"/>
    <col min="12053" max="12053" width="8.42578125" style="2095" bestFit="1" customWidth="1"/>
    <col min="12054" max="12289" width="9.140625" style="2095"/>
    <col min="12290" max="12290" width="26.7109375" style="2095" bestFit="1" customWidth="1"/>
    <col min="12291" max="12291" width="9.140625" style="2095"/>
    <col min="12292" max="12292" width="11.42578125" style="2095" bestFit="1" customWidth="1"/>
    <col min="12293" max="12293" width="11.7109375" style="2095" bestFit="1" customWidth="1"/>
    <col min="12294" max="12295" width="11" style="2095" bestFit="1" customWidth="1"/>
    <col min="12296" max="12296" width="11.140625" style="2095" bestFit="1" customWidth="1"/>
    <col min="12297" max="12300" width="11.140625" style="2095" customWidth="1"/>
    <col min="12301" max="12301" width="2.85546875" style="2095" customWidth="1"/>
    <col min="12302" max="12302" width="29.42578125" style="2095" bestFit="1" customWidth="1"/>
    <col min="12303" max="12303" width="9.140625" style="2095"/>
    <col min="12304" max="12304" width="11.42578125" style="2095" bestFit="1" customWidth="1"/>
    <col min="12305" max="12305" width="11.7109375" style="2095" bestFit="1" customWidth="1"/>
    <col min="12306" max="12307" width="11" style="2095" bestFit="1" customWidth="1"/>
    <col min="12308" max="12308" width="7.85546875" style="2095" bestFit="1" customWidth="1"/>
    <col min="12309" max="12309" width="8.42578125" style="2095" bestFit="1" customWidth="1"/>
    <col min="12310" max="12545" width="9.140625" style="2095"/>
    <col min="12546" max="12546" width="26.7109375" style="2095" bestFit="1" customWidth="1"/>
    <col min="12547" max="12547" width="9.140625" style="2095"/>
    <col min="12548" max="12548" width="11.42578125" style="2095" bestFit="1" customWidth="1"/>
    <col min="12549" max="12549" width="11.7109375" style="2095" bestFit="1" customWidth="1"/>
    <col min="12550" max="12551" width="11" style="2095" bestFit="1" customWidth="1"/>
    <col min="12552" max="12552" width="11.140625" style="2095" bestFit="1" customWidth="1"/>
    <col min="12553" max="12556" width="11.140625" style="2095" customWidth="1"/>
    <col min="12557" max="12557" width="2.85546875" style="2095" customWidth="1"/>
    <col min="12558" max="12558" width="29.42578125" style="2095" bestFit="1" customWidth="1"/>
    <col min="12559" max="12559" width="9.140625" style="2095"/>
    <col min="12560" max="12560" width="11.42578125" style="2095" bestFit="1" customWidth="1"/>
    <col min="12561" max="12561" width="11.7109375" style="2095" bestFit="1" customWidth="1"/>
    <col min="12562" max="12563" width="11" style="2095" bestFit="1" customWidth="1"/>
    <col min="12564" max="12564" width="7.85546875" style="2095" bestFit="1" customWidth="1"/>
    <col min="12565" max="12565" width="8.42578125" style="2095" bestFit="1" customWidth="1"/>
    <col min="12566" max="12801" width="9.140625" style="2095"/>
    <col min="12802" max="12802" width="26.7109375" style="2095" bestFit="1" customWidth="1"/>
    <col min="12803" max="12803" width="9.140625" style="2095"/>
    <col min="12804" max="12804" width="11.42578125" style="2095" bestFit="1" customWidth="1"/>
    <col min="12805" max="12805" width="11.7109375" style="2095" bestFit="1" customWidth="1"/>
    <col min="12806" max="12807" width="11" style="2095" bestFit="1" customWidth="1"/>
    <col min="12808" max="12808" width="11.140625" style="2095" bestFit="1" customWidth="1"/>
    <col min="12809" max="12812" width="11.140625" style="2095" customWidth="1"/>
    <col min="12813" max="12813" width="2.85546875" style="2095" customWidth="1"/>
    <col min="12814" max="12814" width="29.42578125" style="2095" bestFit="1" customWidth="1"/>
    <col min="12815" max="12815" width="9.140625" style="2095"/>
    <col min="12816" max="12816" width="11.42578125" style="2095" bestFit="1" customWidth="1"/>
    <col min="12817" max="12817" width="11.7109375" style="2095" bestFit="1" customWidth="1"/>
    <col min="12818" max="12819" width="11" style="2095" bestFit="1" customWidth="1"/>
    <col min="12820" max="12820" width="7.85546875" style="2095" bestFit="1" customWidth="1"/>
    <col min="12821" max="12821" width="8.42578125" style="2095" bestFit="1" customWidth="1"/>
    <col min="12822" max="13057" width="9.140625" style="2095"/>
    <col min="13058" max="13058" width="26.7109375" style="2095" bestFit="1" customWidth="1"/>
    <col min="13059" max="13059" width="9.140625" style="2095"/>
    <col min="13060" max="13060" width="11.42578125" style="2095" bestFit="1" customWidth="1"/>
    <col min="13061" max="13061" width="11.7109375" style="2095" bestFit="1" customWidth="1"/>
    <col min="13062" max="13063" width="11" style="2095" bestFit="1" customWidth="1"/>
    <col min="13064" max="13064" width="11.140625" style="2095" bestFit="1" customWidth="1"/>
    <col min="13065" max="13068" width="11.140625" style="2095" customWidth="1"/>
    <col min="13069" max="13069" width="2.85546875" style="2095" customWidth="1"/>
    <col min="13070" max="13070" width="29.42578125" style="2095" bestFit="1" customWidth="1"/>
    <col min="13071" max="13071" width="9.140625" style="2095"/>
    <col min="13072" max="13072" width="11.42578125" style="2095" bestFit="1" customWidth="1"/>
    <col min="13073" max="13073" width="11.7109375" style="2095" bestFit="1" customWidth="1"/>
    <col min="13074" max="13075" width="11" style="2095" bestFit="1" customWidth="1"/>
    <col min="13076" max="13076" width="7.85546875" style="2095" bestFit="1" customWidth="1"/>
    <col min="13077" max="13077" width="8.42578125" style="2095" bestFit="1" customWidth="1"/>
    <col min="13078" max="13313" width="9.140625" style="2095"/>
    <col min="13314" max="13314" width="26.7109375" style="2095" bestFit="1" customWidth="1"/>
    <col min="13315" max="13315" width="9.140625" style="2095"/>
    <col min="13316" max="13316" width="11.42578125" style="2095" bestFit="1" customWidth="1"/>
    <col min="13317" max="13317" width="11.7109375" style="2095" bestFit="1" customWidth="1"/>
    <col min="13318" max="13319" width="11" style="2095" bestFit="1" customWidth="1"/>
    <col min="13320" max="13320" width="11.140625" style="2095" bestFit="1" customWidth="1"/>
    <col min="13321" max="13324" width="11.140625" style="2095" customWidth="1"/>
    <col min="13325" max="13325" width="2.85546875" style="2095" customWidth="1"/>
    <col min="13326" max="13326" width="29.42578125" style="2095" bestFit="1" customWidth="1"/>
    <col min="13327" max="13327" width="9.140625" style="2095"/>
    <col min="13328" max="13328" width="11.42578125" style="2095" bestFit="1" customWidth="1"/>
    <col min="13329" max="13329" width="11.7109375" style="2095" bestFit="1" customWidth="1"/>
    <col min="13330" max="13331" width="11" style="2095" bestFit="1" customWidth="1"/>
    <col min="13332" max="13332" width="7.85546875" style="2095" bestFit="1" customWidth="1"/>
    <col min="13333" max="13333" width="8.42578125" style="2095" bestFit="1" customWidth="1"/>
    <col min="13334" max="13569" width="9.140625" style="2095"/>
    <col min="13570" max="13570" width="26.7109375" style="2095" bestFit="1" customWidth="1"/>
    <col min="13571" max="13571" width="9.140625" style="2095"/>
    <col min="13572" max="13572" width="11.42578125" style="2095" bestFit="1" customWidth="1"/>
    <col min="13573" max="13573" width="11.7109375" style="2095" bestFit="1" customWidth="1"/>
    <col min="13574" max="13575" width="11" style="2095" bestFit="1" customWidth="1"/>
    <col min="13576" max="13576" width="11.140625" style="2095" bestFit="1" customWidth="1"/>
    <col min="13577" max="13580" width="11.140625" style="2095" customWidth="1"/>
    <col min="13581" max="13581" width="2.85546875" style="2095" customWidth="1"/>
    <col min="13582" max="13582" width="29.42578125" style="2095" bestFit="1" customWidth="1"/>
    <col min="13583" max="13583" width="9.140625" style="2095"/>
    <col min="13584" max="13584" width="11.42578125" style="2095" bestFit="1" customWidth="1"/>
    <col min="13585" max="13585" width="11.7109375" style="2095" bestFit="1" customWidth="1"/>
    <col min="13586" max="13587" width="11" style="2095" bestFit="1" customWidth="1"/>
    <col min="13588" max="13588" width="7.85546875" style="2095" bestFit="1" customWidth="1"/>
    <col min="13589" max="13589" width="8.42578125" style="2095" bestFit="1" customWidth="1"/>
    <col min="13590" max="13825" width="9.140625" style="2095"/>
    <col min="13826" max="13826" width="26.7109375" style="2095" bestFit="1" customWidth="1"/>
    <col min="13827" max="13827" width="9.140625" style="2095"/>
    <col min="13828" max="13828" width="11.42578125" style="2095" bestFit="1" customWidth="1"/>
    <col min="13829" max="13829" width="11.7109375" style="2095" bestFit="1" customWidth="1"/>
    <col min="13830" max="13831" width="11" style="2095" bestFit="1" customWidth="1"/>
    <col min="13832" max="13832" width="11.140625" style="2095" bestFit="1" customWidth="1"/>
    <col min="13833" max="13836" width="11.140625" style="2095" customWidth="1"/>
    <col min="13837" max="13837" width="2.85546875" style="2095" customWidth="1"/>
    <col min="13838" max="13838" width="29.42578125" style="2095" bestFit="1" customWidth="1"/>
    <col min="13839" max="13839" width="9.140625" style="2095"/>
    <col min="13840" max="13840" width="11.42578125" style="2095" bestFit="1" customWidth="1"/>
    <col min="13841" max="13841" width="11.7109375" style="2095" bestFit="1" customWidth="1"/>
    <col min="13842" max="13843" width="11" style="2095" bestFit="1" customWidth="1"/>
    <col min="13844" max="13844" width="7.85546875" style="2095" bestFit="1" customWidth="1"/>
    <col min="13845" max="13845" width="8.42578125" style="2095" bestFit="1" customWidth="1"/>
    <col min="13846" max="14081" width="9.140625" style="2095"/>
    <col min="14082" max="14082" width="26.7109375" style="2095" bestFit="1" customWidth="1"/>
    <col min="14083" max="14083" width="9.140625" style="2095"/>
    <col min="14084" max="14084" width="11.42578125" style="2095" bestFit="1" customWidth="1"/>
    <col min="14085" max="14085" width="11.7109375" style="2095" bestFit="1" customWidth="1"/>
    <col min="14086" max="14087" width="11" style="2095" bestFit="1" customWidth="1"/>
    <col min="14088" max="14088" width="11.140625" style="2095" bestFit="1" customWidth="1"/>
    <col min="14089" max="14092" width="11.140625" style="2095" customWidth="1"/>
    <col min="14093" max="14093" width="2.85546875" style="2095" customWidth="1"/>
    <col min="14094" max="14094" width="29.42578125" style="2095" bestFit="1" customWidth="1"/>
    <col min="14095" max="14095" width="9.140625" style="2095"/>
    <col min="14096" max="14096" width="11.42578125" style="2095" bestFit="1" customWidth="1"/>
    <col min="14097" max="14097" width="11.7109375" style="2095" bestFit="1" customWidth="1"/>
    <col min="14098" max="14099" width="11" style="2095" bestFit="1" customWidth="1"/>
    <col min="14100" max="14100" width="7.85546875" style="2095" bestFit="1" customWidth="1"/>
    <col min="14101" max="14101" width="8.42578125" style="2095" bestFit="1" customWidth="1"/>
    <col min="14102" max="14337" width="9.140625" style="2095"/>
    <col min="14338" max="14338" width="26.7109375" style="2095" bestFit="1" customWidth="1"/>
    <col min="14339" max="14339" width="9.140625" style="2095"/>
    <col min="14340" max="14340" width="11.42578125" style="2095" bestFit="1" customWidth="1"/>
    <col min="14341" max="14341" width="11.7109375" style="2095" bestFit="1" customWidth="1"/>
    <col min="14342" max="14343" width="11" style="2095" bestFit="1" customWidth="1"/>
    <col min="14344" max="14344" width="11.140625" style="2095" bestFit="1" customWidth="1"/>
    <col min="14345" max="14348" width="11.140625" style="2095" customWidth="1"/>
    <col min="14349" max="14349" width="2.85546875" style="2095" customWidth="1"/>
    <col min="14350" max="14350" width="29.42578125" style="2095" bestFit="1" customWidth="1"/>
    <col min="14351" max="14351" width="9.140625" style="2095"/>
    <col min="14352" max="14352" width="11.42578125" style="2095" bestFit="1" customWidth="1"/>
    <col min="14353" max="14353" width="11.7109375" style="2095" bestFit="1" customWidth="1"/>
    <col min="14354" max="14355" width="11" style="2095" bestFit="1" customWidth="1"/>
    <col min="14356" max="14356" width="7.85546875" style="2095" bestFit="1" customWidth="1"/>
    <col min="14357" max="14357" width="8.42578125" style="2095" bestFit="1" customWidth="1"/>
    <col min="14358" max="14593" width="9.140625" style="2095"/>
    <col min="14594" max="14594" width="26.7109375" style="2095" bestFit="1" customWidth="1"/>
    <col min="14595" max="14595" width="9.140625" style="2095"/>
    <col min="14596" max="14596" width="11.42578125" style="2095" bestFit="1" customWidth="1"/>
    <col min="14597" max="14597" width="11.7109375" style="2095" bestFit="1" customWidth="1"/>
    <col min="14598" max="14599" width="11" style="2095" bestFit="1" customWidth="1"/>
    <col min="14600" max="14600" width="11.140625" style="2095" bestFit="1" customWidth="1"/>
    <col min="14601" max="14604" width="11.140625" style="2095" customWidth="1"/>
    <col min="14605" max="14605" width="2.85546875" style="2095" customWidth="1"/>
    <col min="14606" max="14606" width="29.42578125" style="2095" bestFit="1" customWidth="1"/>
    <col min="14607" max="14607" width="9.140625" style="2095"/>
    <col min="14608" max="14608" width="11.42578125" style="2095" bestFit="1" customWidth="1"/>
    <col min="14609" max="14609" width="11.7109375" style="2095" bestFit="1" customWidth="1"/>
    <col min="14610" max="14611" width="11" style="2095" bestFit="1" customWidth="1"/>
    <col min="14612" max="14612" width="7.85546875" style="2095" bestFit="1" customWidth="1"/>
    <col min="14613" max="14613" width="8.42578125" style="2095" bestFit="1" customWidth="1"/>
    <col min="14614" max="14849" width="9.140625" style="2095"/>
    <col min="14850" max="14850" width="26.7109375" style="2095" bestFit="1" customWidth="1"/>
    <col min="14851" max="14851" width="9.140625" style="2095"/>
    <col min="14852" max="14852" width="11.42578125" style="2095" bestFit="1" customWidth="1"/>
    <col min="14853" max="14853" width="11.7109375" style="2095" bestFit="1" customWidth="1"/>
    <col min="14854" max="14855" width="11" style="2095" bestFit="1" customWidth="1"/>
    <col min="14856" max="14856" width="11.140625" style="2095" bestFit="1" customWidth="1"/>
    <col min="14857" max="14860" width="11.140625" style="2095" customWidth="1"/>
    <col min="14861" max="14861" width="2.85546875" style="2095" customWidth="1"/>
    <col min="14862" max="14862" width="29.42578125" style="2095" bestFit="1" customWidth="1"/>
    <col min="14863" max="14863" width="9.140625" style="2095"/>
    <col min="14864" max="14864" width="11.42578125" style="2095" bestFit="1" customWidth="1"/>
    <col min="14865" max="14865" width="11.7109375" style="2095" bestFit="1" customWidth="1"/>
    <col min="14866" max="14867" width="11" style="2095" bestFit="1" customWidth="1"/>
    <col min="14868" max="14868" width="7.85546875" style="2095" bestFit="1" customWidth="1"/>
    <col min="14869" max="14869" width="8.42578125" style="2095" bestFit="1" customWidth="1"/>
    <col min="14870" max="15105" width="9.140625" style="2095"/>
    <col min="15106" max="15106" width="26.7109375" style="2095" bestFit="1" customWidth="1"/>
    <col min="15107" max="15107" width="9.140625" style="2095"/>
    <col min="15108" max="15108" width="11.42578125" style="2095" bestFit="1" customWidth="1"/>
    <col min="15109" max="15109" width="11.7109375" style="2095" bestFit="1" customWidth="1"/>
    <col min="15110" max="15111" width="11" style="2095" bestFit="1" customWidth="1"/>
    <col min="15112" max="15112" width="11.140625" style="2095" bestFit="1" customWidth="1"/>
    <col min="15113" max="15116" width="11.140625" style="2095" customWidth="1"/>
    <col min="15117" max="15117" width="2.85546875" style="2095" customWidth="1"/>
    <col min="15118" max="15118" width="29.42578125" style="2095" bestFit="1" customWidth="1"/>
    <col min="15119" max="15119" width="9.140625" style="2095"/>
    <col min="15120" max="15120" width="11.42578125" style="2095" bestFit="1" customWidth="1"/>
    <col min="15121" max="15121" width="11.7109375" style="2095" bestFit="1" customWidth="1"/>
    <col min="15122" max="15123" width="11" style="2095" bestFit="1" customWidth="1"/>
    <col min="15124" max="15124" width="7.85546875" style="2095" bestFit="1" customWidth="1"/>
    <col min="15125" max="15125" width="8.42578125" style="2095" bestFit="1" customWidth="1"/>
    <col min="15126" max="15361" width="9.140625" style="2095"/>
    <col min="15362" max="15362" width="26.7109375" style="2095" bestFit="1" customWidth="1"/>
    <col min="15363" max="15363" width="9.140625" style="2095"/>
    <col min="15364" max="15364" width="11.42578125" style="2095" bestFit="1" customWidth="1"/>
    <col min="15365" max="15365" width="11.7109375" style="2095" bestFit="1" customWidth="1"/>
    <col min="15366" max="15367" width="11" style="2095" bestFit="1" customWidth="1"/>
    <col min="15368" max="15368" width="11.140625" style="2095" bestFit="1" customWidth="1"/>
    <col min="15369" max="15372" width="11.140625" style="2095" customWidth="1"/>
    <col min="15373" max="15373" width="2.85546875" style="2095" customWidth="1"/>
    <col min="15374" max="15374" width="29.42578125" style="2095" bestFit="1" customWidth="1"/>
    <col min="15375" max="15375" width="9.140625" style="2095"/>
    <col min="15376" max="15376" width="11.42578125" style="2095" bestFit="1" customWidth="1"/>
    <col min="15377" max="15377" width="11.7109375" style="2095" bestFit="1" customWidth="1"/>
    <col min="15378" max="15379" width="11" style="2095" bestFit="1" customWidth="1"/>
    <col min="15380" max="15380" width="7.85546875" style="2095" bestFit="1" customWidth="1"/>
    <col min="15381" max="15381" width="8.42578125" style="2095" bestFit="1" customWidth="1"/>
    <col min="15382" max="15617" width="9.140625" style="2095"/>
    <col min="15618" max="15618" width="26.7109375" style="2095" bestFit="1" customWidth="1"/>
    <col min="15619" max="15619" width="9.140625" style="2095"/>
    <col min="15620" max="15620" width="11.42578125" style="2095" bestFit="1" customWidth="1"/>
    <col min="15621" max="15621" width="11.7109375" style="2095" bestFit="1" customWidth="1"/>
    <col min="15622" max="15623" width="11" style="2095" bestFit="1" customWidth="1"/>
    <col min="15624" max="15624" width="11.140625" style="2095" bestFit="1" customWidth="1"/>
    <col min="15625" max="15628" width="11.140625" style="2095" customWidth="1"/>
    <col min="15629" max="15629" width="2.85546875" style="2095" customWidth="1"/>
    <col min="15630" max="15630" width="29.42578125" style="2095" bestFit="1" customWidth="1"/>
    <col min="15631" max="15631" width="9.140625" style="2095"/>
    <col min="15632" max="15632" width="11.42578125" style="2095" bestFit="1" customWidth="1"/>
    <col min="15633" max="15633" width="11.7109375" style="2095" bestFit="1" customWidth="1"/>
    <col min="15634" max="15635" width="11" style="2095" bestFit="1" customWidth="1"/>
    <col min="15636" max="15636" width="7.85546875" style="2095" bestFit="1" customWidth="1"/>
    <col min="15637" max="15637" width="8.42578125" style="2095" bestFit="1" customWidth="1"/>
    <col min="15638" max="15873" width="9.140625" style="2095"/>
    <col min="15874" max="15874" width="26.7109375" style="2095" bestFit="1" customWidth="1"/>
    <col min="15875" max="15875" width="9.140625" style="2095"/>
    <col min="15876" max="15876" width="11.42578125" style="2095" bestFit="1" customWidth="1"/>
    <col min="15877" max="15877" width="11.7109375" style="2095" bestFit="1" customWidth="1"/>
    <col min="15878" max="15879" width="11" style="2095" bestFit="1" customWidth="1"/>
    <col min="15880" max="15880" width="11.140625" style="2095" bestFit="1" customWidth="1"/>
    <col min="15881" max="15884" width="11.140625" style="2095" customWidth="1"/>
    <col min="15885" max="15885" width="2.85546875" style="2095" customWidth="1"/>
    <col min="15886" max="15886" width="29.42578125" style="2095" bestFit="1" customWidth="1"/>
    <col min="15887" max="15887" width="9.140625" style="2095"/>
    <col min="15888" max="15888" width="11.42578125" style="2095" bestFit="1" customWidth="1"/>
    <col min="15889" max="15889" width="11.7109375" style="2095" bestFit="1" customWidth="1"/>
    <col min="15890" max="15891" width="11" style="2095" bestFit="1" customWidth="1"/>
    <col min="15892" max="15892" width="7.85546875" style="2095" bestFit="1" customWidth="1"/>
    <col min="15893" max="15893" width="8.42578125" style="2095" bestFit="1" customWidth="1"/>
    <col min="15894" max="16129" width="9.140625" style="2095"/>
    <col min="16130" max="16130" width="26.7109375" style="2095" bestFit="1" customWidth="1"/>
    <col min="16131" max="16131" width="9.140625" style="2095"/>
    <col min="16132" max="16132" width="11.42578125" style="2095" bestFit="1" customWidth="1"/>
    <col min="16133" max="16133" width="11.7109375" style="2095" bestFit="1" customWidth="1"/>
    <col min="16134" max="16135" width="11" style="2095" bestFit="1" customWidth="1"/>
    <col min="16136" max="16136" width="11.140625" style="2095" bestFit="1" customWidth="1"/>
    <col min="16137" max="16140" width="11.140625" style="2095" customWidth="1"/>
    <col min="16141" max="16141" width="2.85546875" style="2095" customWidth="1"/>
    <col min="16142" max="16142" width="29.42578125" style="2095" bestFit="1" customWidth="1"/>
    <col min="16143" max="16143" width="9.140625" style="2095"/>
    <col min="16144" max="16144" width="11.42578125" style="2095" bestFit="1" customWidth="1"/>
    <col min="16145" max="16145" width="11.7109375" style="2095" bestFit="1" customWidth="1"/>
    <col min="16146" max="16147" width="11" style="2095" bestFit="1" customWidth="1"/>
    <col min="16148" max="16148" width="7.85546875" style="2095" bestFit="1" customWidth="1"/>
    <col min="16149" max="16149" width="8.42578125" style="2095" bestFit="1" customWidth="1"/>
    <col min="16150" max="16384" width="9.140625" style="2095"/>
  </cols>
  <sheetData>
    <row r="1" spans="2:24" s="1582" customFormat="1"/>
    <row r="2" spans="2:24" s="1582" customFormat="1"/>
    <row r="3" spans="2:24" ht="13.5" thickBot="1">
      <c r="B3" s="1582" t="str">
        <f>N100</f>
        <v>Rose</v>
      </c>
      <c r="C3" s="1582" t="s">
        <v>308</v>
      </c>
      <c r="F3" s="2096">
        <v>0.02</v>
      </c>
      <c r="G3" s="1582"/>
      <c r="H3" s="1582"/>
      <c r="I3" s="1582"/>
      <c r="J3" s="1582"/>
      <c r="K3" s="1582"/>
      <c r="L3" s="1582"/>
      <c r="N3" s="1582" t="str">
        <f>N101</f>
        <v>White</v>
      </c>
      <c r="O3" s="1582" t="s">
        <v>308</v>
      </c>
      <c r="P3" s="1582"/>
      <c r="Q3" s="1582"/>
      <c r="R3" s="2096">
        <v>0.02</v>
      </c>
      <c r="T3" s="1582"/>
      <c r="U3" s="1582"/>
      <c r="V3" s="1582"/>
      <c r="W3" s="1582"/>
      <c r="X3" s="1582"/>
    </row>
    <row r="4" spans="2:24" s="1582" customFormat="1">
      <c r="B4" s="1712" t="s">
        <v>309</v>
      </c>
      <c r="C4" s="1726"/>
      <c r="D4" s="2097">
        <f>Q100</f>
        <v>7.6693782179432777</v>
      </c>
      <c r="E4" s="2098">
        <f>E30</f>
        <v>17.2074</v>
      </c>
      <c r="F4" s="2098">
        <f>F31</f>
        <v>17.551548</v>
      </c>
      <c r="G4" s="2098">
        <f>G32</f>
        <v>17.90257896</v>
      </c>
      <c r="H4" s="2098">
        <f>H33</f>
        <v>18.260630539200001</v>
      </c>
      <c r="I4" s="2098">
        <f>I34</f>
        <v>18.625843149984</v>
      </c>
      <c r="J4" s="2098">
        <f>J35</f>
        <v>18.998360012983682</v>
      </c>
      <c r="K4" s="2098">
        <f>K36</f>
        <v>19.378327213243356</v>
      </c>
      <c r="L4" s="2099">
        <f>L37</f>
        <v>19.765893757508223</v>
      </c>
      <c r="N4" s="1712" t="s">
        <v>309</v>
      </c>
      <c r="O4" s="1726"/>
      <c r="P4" s="2097">
        <f>Q101</f>
        <v>7.6693782179432777</v>
      </c>
      <c r="Q4" s="2098">
        <f>Q30</f>
        <v>17.2074</v>
      </c>
      <c r="R4" s="2098">
        <f>R31</f>
        <v>17.551548</v>
      </c>
      <c r="S4" s="2098">
        <f>S32</f>
        <v>17.90257896</v>
      </c>
      <c r="T4" s="2098">
        <f>T33</f>
        <v>18.260630539200001</v>
      </c>
      <c r="U4" s="2098">
        <f>U34</f>
        <v>18.625843149984</v>
      </c>
      <c r="V4" s="2098">
        <f>V35</f>
        <v>18.998360012983682</v>
      </c>
      <c r="W4" s="2098">
        <f>W36</f>
        <v>19.378327213243356</v>
      </c>
      <c r="X4" s="2099">
        <f>X37</f>
        <v>19.765893757508223</v>
      </c>
    </row>
    <row r="5" spans="2:24" s="1582" customFormat="1">
      <c r="B5" s="1037"/>
      <c r="C5" s="1287"/>
      <c r="D5" s="1287"/>
      <c r="E5" s="1287"/>
      <c r="F5" s="1287"/>
      <c r="G5" s="1287"/>
      <c r="H5" s="1287"/>
      <c r="I5" s="1287"/>
      <c r="J5" s="1287"/>
      <c r="K5" s="1287"/>
      <c r="L5" s="1467"/>
      <c r="N5" s="1037"/>
      <c r="O5" s="1287"/>
      <c r="P5" s="1287"/>
      <c r="Q5" s="1287"/>
      <c r="R5" s="1287"/>
      <c r="S5" s="1287"/>
      <c r="T5" s="1287"/>
      <c r="U5" s="1287"/>
      <c r="V5" s="1287"/>
      <c r="W5" s="1287"/>
      <c r="X5" s="1467"/>
    </row>
    <row r="6" spans="2:24" s="1582" customFormat="1">
      <c r="B6" s="1037" t="s">
        <v>310</v>
      </c>
      <c r="C6" s="1287"/>
      <c r="D6" s="1492">
        <f>Bond!F4</f>
        <v>2023</v>
      </c>
      <c r="E6" s="1492">
        <f>D6+1</f>
        <v>2024</v>
      </c>
      <c r="F6" s="1492">
        <f t="shared" ref="F6:L6" si="0">E6+1</f>
        <v>2025</v>
      </c>
      <c r="G6" s="1492">
        <f t="shared" si="0"/>
        <v>2026</v>
      </c>
      <c r="H6" s="1492">
        <f t="shared" si="0"/>
        <v>2027</v>
      </c>
      <c r="I6" s="1492">
        <f t="shared" si="0"/>
        <v>2028</v>
      </c>
      <c r="J6" s="1492">
        <f t="shared" si="0"/>
        <v>2029</v>
      </c>
      <c r="K6" s="1492">
        <f t="shared" si="0"/>
        <v>2030</v>
      </c>
      <c r="L6" s="2100">
        <f t="shared" si="0"/>
        <v>2031</v>
      </c>
      <c r="N6" s="1037" t="s">
        <v>310</v>
      </c>
      <c r="O6" s="1287"/>
      <c r="P6" s="1492">
        <f>D6</f>
        <v>2023</v>
      </c>
      <c r="Q6" s="1492">
        <f>E6</f>
        <v>2024</v>
      </c>
      <c r="R6" s="1492">
        <f t="shared" ref="R6:X6" si="1">F6</f>
        <v>2025</v>
      </c>
      <c r="S6" s="1492">
        <f t="shared" si="1"/>
        <v>2026</v>
      </c>
      <c r="T6" s="1492">
        <f t="shared" si="1"/>
        <v>2027</v>
      </c>
      <c r="U6" s="1492">
        <f t="shared" si="1"/>
        <v>2028</v>
      </c>
      <c r="V6" s="1492">
        <f t="shared" si="1"/>
        <v>2029</v>
      </c>
      <c r="W6" s="1492">
        <f t="shared" si="1"/>
        <v>2030</v>
      </c>
      <c r="X6" s="2100">
        <f t="shared" si="1"/>
        <v>2031</v>
      </c>
    </row>
    <row r="7" spans="2:24">
      <c r="B7" s="1446">
        <f>B29</f>
        <v>2022</v>
      </c>
      <c r="C7" s="1287"/>
      <c r="D7" s="2101"/>
      <c r="E7" s="2102">
        <v>2.5000000000000001E-2</v>
      </c>
      <c r="F7" s="2103"/>
      <c r="G7" s="2103"/>
      <c r="H7" s="2103"/>
      <c r="I7" s="2103"/>
      <c r="J7" s="2103"/>
      <c r="K7" s="2103"/>
      <c r="L7" s="2104"/>
      <c r="N7" s="1446">
        <f>N29</f>
        <v>2022</v>
      </c>
      <c r="O7" s="1287"/>
      <c r="P7" s="2101"/>
      <c r="Q7" s="2102">
        <v>2.5000000000000001E-2</v>
      </c>
      <c r="R7" s="2103"/>
      <c r="S7" s="2103"/>
      <c r="T7" s="2103"/>
      <c r="U7" s="2103"/>
      <c r="V7" s="2103"/>
      <c r="W7" s="2103"/>
      <c r="X7" s="2104"/>
    </row>
    <row r="8" spans="2:24">
      <c r="B8" s="1446">
        <f>B7+1</f>
        <v>2023</v>
      </c>
      <c r="C8" s="1287"/>
      <c r="D8" s="2101"/>
      <c r="E8" s="2103"/>
      <c r="F8" s="2102">
        <v>2.5000000000000001E-2</v>
      </c>
      <c r="G8" s="2103"/>
      <c r="H8" s="2103"/>
      <c r="I8" s="2103"/>
      <c r="J8" s="2103"/>
      <c r="K8" s="2103"/>
      <c r="L8" s="2104"/>
      <c r="N8" s="1446">
        <f t="shared" ref="N8:N15" si="2">N30</f>
        <v>2023</v>
      </c>
      <c r="O8" s="1287"/>
      <c r="P8" s="2101"/>
      <c r="Q8" s="2103"/>
      <c r="R8" s="2102">
        <v>2.5000000000000001E-2</v>
      </c>
      <c r="S8" s="2103"/>
      <c r="T8" s="2103"/>
      <c r="U8" s="2103"/>
      <c r="V8" s="2103"/>
      <c r="W8" s="2103"/>
      <c r="X8" s="2104"/>
    </row>
    <row r="9" spans="2:24">
      <c r="B9" s="1446">
        <f t="shared" ref="B9:B15" si="3">B8+1</f>
        <v>2024</v>
      </c>
      <c r="C9" s="1287"/>
      <c r="D9" s="2101"/>
      <c r="E9" s="2103"/>
      <c r="F9" s="2103"/>
      <c r="G9" s="2102">
        <v>2.5000000000000001E-2</v>
      </c>
      <c r="H9" s="2103"/>
      <c r="I9" s="2103"/>
      <c r="J9" s="2103"/>
      <c r="K9" s="2103"/>
      <c r="L9" s="2104"/>
      <c r="N9" s="1446">
        <f t="shared" si="2"/>
        <v>2024</v>
      </c>
      <c r="O9" s="1287"/>
      <c r="P9" s="2101"/>
      <c r="Q9" s="2103"/>
      <c r="R9" s="2103"/>
      <c r="S9" s="2102">
        <v>2.5000000000000001E-2</v>
      </c>
      <c r="T9" s="2103"/>
      <c r="U9" s="2103"/>
      <c r="V9" s="2103"/>
      <c r="W9" s="2103"/>
      <c r="X9" s="2104"/>
    </row>
    <row r="10" spans="2:24">
      <c r="B10" s="1446">
        <f t="shared" si="3"/>
        <v>2025</v>
      </c>
      <c r="C10" s="1287"/>
      <c r="D10" s="2101"/>
      <c r="E10" s="2103"/>
      <c r="F10" s="2103"/>
      <c r="G10" s="2103"/>
      <c r="H10" s="2102">
        <v>2.5000000000000001E-2</v>
      </c>
      <c r="I10" s="2103"/>
      <c r="J10" s="2103"/>
      <c r="K10" s="2103"/>
      <c r="L10" s="2104"/>
      <c r="N10" s="1446">
        <f t="shared" si="2"/>
        <v>2025</v>
      </c>
      <c r="O10" s="1287"/>
      <c r="P10" s="2101"/>
      <c r="Q10" s="2103"/>
      <c r="R10" s="2103"/>
      <c r="S10" s="2103"/>
      <c r="T10" s="2102">
        <v>2.5000000000000001E-2</v>
      </c>
      <c r="U10" s="2103"/>
      <c r="V10" s="2103"/>
      <c r="W10" s="2103"/>
      <c r="X10" s="2104"/>
    </row>
    <row r="11" spans="2:24">
      <c r="B11" s="1446">
        <f t="shared" si="3"/>
        <v>2026</v>
      </c>
      <c r="C11" s="1287"/>
      <c r="D11" s="2101"/>
      <c r="E11" s="2101"/>
      <c r="F11" s="2101"/>
      <c r="G11" s="2101"/>
      <c r="H11" s="2101"/>
      <c r="I11" s="2102">
        <v>2.5000000000000001E-2</v>
      </c>
      <c r="J11" s="2103"/>
      <c r="K11" s="2103"/>
      <c r="L11" s="2104"/>
      <c r="N11" s="1446">
        <f t="shared" si="2"/>
        <v>2026</v>
      </c>
      <c r="O11" s="1287"/>
      <c r="P11" s="2101"/>
      <c r="Q11" s="2101"/>
      <c r="R11" s="2101"/>
      <c r="S11" s="2101"/>
      <c r="T11" s="2101"/>
      <c r="U11" s="2102">
        <v>2.5000000000000001E-2</v>
      </c>
      <c r="V11" s="2103"/>
      <c r="W11" s="2103"/>
      <c r="X11" s="2104"/>
    </row>
    <row r="12" spans="2:24">
      <c r="B12" s="1446">
        <f t="shared" si="3"/>
        <v>2027</v>
      </c>
      <c r="C12" s="1287"/>
      <c r="D12" s="2101"/>
      <c r="E12" s="2101"/>
      <c r="F12" s="2101"/>
      <c r="G12" s="2101"/>
      <c r="H12" s="2101"/>
      <c r="I12" s="2101"/>
      <c r="J12" s="2102">
        <v>2.5000000000000001E-2</v>
      </c>
      <c r="K12" s="2103"/>
      <c r="L12" s="2104"/>
      <c r="N12" s="1446">
        <f t="shared" si="2"/>
        <v>2027</v>
      </c>
      <c r="O12" s="1287"/>
      <c r="P12" s="2101"/>
      <c r="Q12" s="2101"/>
      <c r="R12" s="2101"/>
      <c r="S12" s="2101"/>
      <c r="T12" s="2101"/>
      <c r="U12" s="2101"/>
      <c r="V12" s="2102">
        <v>2.5000000000000001E-2</v>
      </c>
      <c r="W12" s="2103"/>
      <c r="X12" s="2104"/>
    </row>
    <row r="13" spans="2:24">
      <c r="B13" s="1446">
        <f t="shared" si="3"/>
        <v>2028</v>
      </c>
      <c r="C13" s="1287"/>
      <c r="D13" s="2101"/>
      <c r="E13" s="2101"/>
      <c r="F13" s="2101"/>
      <c r="G13" s="2101"/>
      <c r="H13" s="2101"/>
      <c r="I13" s="2101"/>
      <c r="J13" s="2101"/>
      <c r="K13" s="2102">
        <v>2.5000000000000001E-2</v>
      </c>
      <c r="L13" s="2104"/>
      <c r="N13" s="1446">
        <f t="shared" si="2"/>
        <v>2028</v>
      </c>
      <c r="O13" s="1287"/>
      <c r="P13" s="2101"/>
      <c r="Q13" s="2101"/>
      <c r="R13" s="2101"/>
      <c r="S13" s="2101"/>
      <c r="T13" s="2101"/>
      <c r="U13" s="2101"/>
      <c r="V13" s="2101"/>
      <c r="W13" s="2102">
        <v>2.5000000000000001E-2</v>
      </c>
      <c r="X13" s="2104"/>
    </row>
    <row r="14" spans="2:24">
      <c r="B14" s="1446">
        <f t="shared" si="3"/>
        <v>2029</v>
      </c>
      <c r="C14" s="1287"/>
      <c r="D14" s="2101"/>
      <c r="E14" s="2101"/>
      <c r="F14" s="2101"/>
      <c r="G14" s="2101"/>
      <c r="H14" s="2101"/>
      <c r="I14" s="2101"/>
      <c r="J14" s="2101"/>
      <c r="K14" s="2101"/>
      <c r="L14" s="2105">
        <v>2.5000000000000001E-2</v>
      </c>
      <c r="N14" s="1446">
        <f t="shared" si="2"/>
        <v>2029</v>
      </c>
      <c r="O14" s="1287"/>
      <c r="P14" s="2101"/>
      <c r="Q14" s="2101"/>
      <c r="R14" s="2101"/>
      <c r="S14" s="2101"/>
      <c r="T14" s="2101"/>
      <c r="U14" s="2101"/>
      <c r="V14" s="2101"/>
      <c r="W14" s="2101"/>
      <c r="X14" s="2105">
        <v>2.5000000000000001E-2</v>
      </c>
    </row>
    <row r="15" spans="2:24">
      <c r="B15" s="1446">
        <f t="shared" si="3"/>
        <v>2030</v>
      </c>
      <c r="C15" s="1287"/>
      <c r="D15" s="2101"/>
      <c r="E15" s="2101"/>
      <c r="F15" s="2101"/>
      <c r="G15" s="2101"/>
      <c r="H15" s="2101"/>
      <c r="I15" s="2101"/>
      <c r="J15" s="2101"/>
      <c r="K15" s="2101"/>
      <c r="L15" s="2106"/>
      <c r="N15" s="1446">
        <f t="shared" si="2"/>
        <v>2030</v>
      </c>
      <c r="O15" s="1287"/>
      <c r="P15" s="2101"/>
      <c r="Q15" s="2101"/>
      <c r="R15" s="2101"/>
      <c r="S15" s="2101"/>
      <c r="T15" s="2101"/>
      <c r="U15" s="2101"/>
      <c r="V15" s="2101"/>
      <c r="W15" s="2101"/>
      <c r="X15" s="2106"/>
    </row>
    <row r="16" spans="2:24" s="1582" customFormat="1">
      <c r="B16" s="1037"/>
      <c r="C16" s="1287"/>
      <c r="D16" s="2107"/>
      <c r="E16" s="2107"/>
      <c r="F16" s="2107"/>
      <c r="G16" s="2107"/>
      <c r="H16" s="2107"/>
      <c r="I16" s="2107"/>
      <c r="J16" s="2107"/>
      <c r="K16" s="2107"/>
      <c r="L16" s="2108"/>
      <c r="N16" s="1037"/>
      <c r="O16" s="1287"/>
      <c r="P16" s="2107"/>
      <c r="Q16" s="2107"/>
      <c r="R16" s="2107"/>
      <c r="S16" s="2107"/>
      <c r="T16" s="2107"/>
      <c r="U16" s="2107"/>
      <c r="V16" s="2107"/>
      <c r="W16" s="2107"/>
      <c r="X16" s="2108"/>
    </row>
    <row r="17" spans="2:24" s="1582" customFormat="1">
      <c r="B17" s="1037" t="s">
        <v>311</v>
      </c>
      <c r="C17" s="1287"/>
      <c r="D17" s="2107"/>
      <c r="E17" s="2107"/>
      <c r="F17" s="2107"/>
      <c r="G17" s="2107"/>
      <c r="H17" s="2107"/>
      <c r="I17" s="2107"/>
      <c r="J17" s="2107"/>
      <c r="K17" s="2107"/>
      <c r="L17" s="2108"/>
      <c r="N17" s="1037" t="s">
        <v>311</v>
      </c>
      <c r="O17" s="1287"/>
      <c r="P17" s="2107"/>
      <c r="Q17" s="2107"/>
      <c r="R17" s="2107"/>
      <c r="S17" s="2107"/>
      <c r="T17" s="2107"/>
      <c r="U17" s="2107"/>
      <c r="V17" s="2107"/>
      <c r="W17" s="2107"/>
      <c r="X17" s="2108"/>
    </row>
    <row r="18" spans="2:24">
      <c r="B18" s="1446">
        <f t="shared" ref="B18:B26" si="4">B7</f>
        <v>2022</v>
      </c>
      <c r="C18" s="1287"/>
      <c r="D18" s="2101"/>
      <c r="E18" s="2109">
        <f>E7</f>
        <v>2.5000000000000001E-2</v>
      </c>
      <c r="F18" s="2109">
        <f t="shared" ref="F18:L25" si="5">(1+E18)*(F7)+E18</f>
        <v>2.5000000000000001E-2</v>
      </c>
      <c r="G18" s="2109">
        <f t="shared" si="5"/>
        <v>2.5000000000000001E-2</v>
      </c>
      <c r="H18" s="2109">
        <f t="shared" si="5"/>
        <v>2.5000000000000001E-2</v>
      </c>
      <c r="I18" s="2109">
        <f t="shared" si="5"/>
        <v>2.5000000000000001E-2</v>
      </c>
      <c r="J18" s="2109">
        <f t="shared" si="5"/>
        <v>2.5000000000000001E-2</v>
      </c>
      <c r="K18" s="2109">
        <f t="shared" si="5"/>
        <v>2.5000000000000001E-2</v>
      </c>
      <c r="L18" s="2110">
        <f t="shared" si="5"/>
        <v>2.5000000000000001E-2</v>
      </c>
      <c r="N18" s="1446">
        <f t="shared" ref="N18:N26" si="6">N7</f>
        <v>2022</v>
      </c>
      <c r="O18" s="1287"/>
      <c r="P18" s="2101"/>
      <c r="Q18" s="2109">
        <f>Q7</f>
        <v>2.5000000000000001E-2</v>
      </c>
      <c r="R18" s="2109">
        <f t="shared" ref="R18:X19" si="7">(1+Q18)*(R7)+Q18</f>
        <v>2.5000000000000001E-2</v>
      </c>
      <c r="S18" s="2109">
        <f t="shared" si="7"/>
        <v>2.5000000000000001E-2</v>
      </c>
      <c r="T18" s="2109">
        <f t="shared" si="7"/>
        <v>2.5000000000000001E-2</v>
      </c>
      <c r="U18" s="2109">
        <f t="shared" si="7"/>
        <v>2.5000000000000001E-2</v>
      </c>
      <c r="V18" s="2109">
        <f t="shared" si="7"/>
        <v>2.5000000000000001E-2</v>
      </c>
      <c r="W18" s="2109">
        <f t="shared" si="7"/>
        <v>2.5000000000000001E-2</v>
      </c>
      <c r="X18" s="2110">
        <f t="shared" si="7"/>
        <v>2.5000000000000001E-2</v>
      </c>
    </row>
    <row r="19" spans="2:24">
      <c r="B19" s="1446">
        <f t="shared" si="4"/>
        <v>2023</v>
      </c>
      <c r="C19" s="1287"/>
      <c r="D19" s="2101"/>
      <c r="E19" s="2101"/>
      <c r="F19" s="2109">
        <f>F8</f>
        <v>2.5000000000000001E-2</v>
      </c>
      <c r="G19" s="2109">
        <f t="shared" si="5"/>
        <v>2.5000000000000001E-2</v>
      </c>
      <c r="H19" s="2109">
        <f t="shared" si="5"/>
        <v>2.5000000000000001E-2</v>
      </c>
      <c r="I19" s="2109">
        <f t="shared" si="5"/>
        <v>2.5000000000000001E-2</v>
      </c>
      <c r="J19" s="2109">
        <f t="shared" si="5"/>
        <v>2.5000000000000001E-2</v>
      </c>
      <c r="K19" s="2109">
        <f t="shared" si="5"/>
        <v>2.5000000000000001E-2</v>
      </c>
      <c r="L19" s="2110">
        <f t="shared" si="5"/>
        <v>2.5000000000000001E-2</v>
      </c>
      <c r="N19" s="1446">
        <f t="shared" si="6"/>
        <v>2023</v>
      </c>
      <c r="O19" s="1287"/>
      <c r="P19" s="2101"/>
      <c r="Q19" s="2101"/>
      <c r="R19" s="2109">
        <f>R8</f>
        <v>2.5000000000000001E-2</v>
      </c>
      <c r="S19" s="2109">
        <f t="shared" si="7"/>
        <v>2.5000000000000001E-2</v>
      </c>
      <c r="T19" s="2109">
        <f t="shared" si="7"/>
        <v>2.5000000000000001E-2</v>
      </c>
      <c r="U19" s="2109">
        <f t="shared" si="7"/>
        <v>2.5000000000000001E-2</v>
      </c>
      <c r="V19" s="2109">
        <f t="shared" si="7"/>
        <v>2.5000000000000001E-2</v>
      </c>
      <c r="W19" s="2109">
        <f t="shared" si="7"/>
        <v>2.5000000000000001E-2</v>
      </c>
      <c r="X19" s="2110">
        <f t="shared" si="7"/>
        <v>2.5000000000000001E-2</v>
      </c>
    </row>
    <row r="20" spans="2:24">
      <c r="B20" s="1446">
        <f t="shared" si="4"/>
        <v>2024</v>
      </c>
      <c r="C20" s="1287"/>
      <c r="D20" s="2101"/>
      <c r="E20" s="2101"/>
      <c r="F20" s="2101"/>
      <c r="G20" s="2109">
        <f>G9</f>
        <v>2.5000000000000001E-2</v>
      </c>
      <c r="H20" s="2109">
        <f>(1+G20)*(H9)+G20</f>
        <v>2.5000000000000001E-2</v>
      </c>
      <c r="I20" s="2109">
        <f t="shared" si="5"/>
        <v>2.5000000000000001E-2</v>
      </c>
      <c r="J20" s="2109">
        <f t="shared" si="5"/>
        <v>2.5000000000000001E-2</v>
      </c>
      <c r="K20" s="2109">
        <f t="shared" si="5"/>
        <v>2.5000000000000001E-2</v>
      </c>
      <c r="L20" s="2110">
        <f t="shared" si="5"/>
        <v>2.5000000000000001E-2</v>
      </c>
      <c r="N20" s="1446">
        <f t="shared" si="6"/>
        <v>2024</v>
      </c>
      <c r="O20" s="1287"/>
      <c r="P20" s="2101"/>
      <c r="Q20" s="2101"/>
      <c r="R20" s="2101"/>
      <c r="S20" s="2109">
        <f>S9</f>
        <v>2.5000000000000001E-2</v>
      </c>
      <c r="T20" s="2109">
        <f>(1+S20)*(T9)+S20</f>
        <v>2.5000000000000001E-2</v>
      </c>
      <c r="U20" s="2109">
        <f>(1+T20)*(U9)+T20</f>
        <v>2.5000000000000001E-2</v>
      </c>
      <c r="V20" s="2109">
        <f>(1+U20)*(V9)+U20</f>
        <v>2.5000000000000001E-2</v>
      </c>
      <c r="W20" s="2109">
        <f>(1+V20)*(W9)+V20</f>
        <v>2.5000000000000001E-2</v>
      </c>
      <c r="X20" s="2110">
        <f>(1+W20)*(X9)+W20</f>
        <v>2.5000000000000001E-2</v>
      </c>
    </row>
    <row r="21" spans="2:24">
      <c r="B21" s="1446">
        <f t="shared" si="4"/>
        <v>2025</v>
      </c>
      <c r="C21" s="1287"/>
      <c r="D21" s="2101"/>
      <c r="E21" s="2101"/>
      <c r="F21" s="2101"/>
      <c r="G21" s="2101"/>
      <c r="H21" s="2109">
        <f>H10</f>
        <v>2.5000000000000001E-2</v>
      </c>
      <c r="I21" s="2109">
        <f t="shared" si="5"/>
        <v>2.5000000000000001E-2</v>
      </c>
      <c r="J21" s="2109">
        <f t="shared" si="5"/>
        <v>2.5000000000000001E-2</v>
      </c>
      <c r="K21" s="2109">
        <f t="shared" si="5"/>
        <v>2.5000000000000001E-2</v>
      </c>
      <c r="L21" s="2110">
        <f t="shared" si="5"/>
        <v>2.5000000000000001E-2</v>
      </c>
      <c r="N21" s="1446">
        <f t="shared" si="6"/>
        <v>2025</v>
      </c>
      <c r="O21" s="1287"/>
      <c r="P21" s="2101"/>
      <c r="Q21" s="2101"/>
      <c r="R21" s="2101"/>
      <c r="S21" s="2101"/>
      <c r="T21" s="2109">
        <f>T10</f>
        <v>2.5000000000000001E-2</v>
      </c>
      <c r="U21" s="2109">
        <f t="shared" ref="U21:X22" si="8">(1+T21)*(U10)+T21</f>
        <v>2.5000000000000001E-2</v>
      </c>
      <c r="V21" s="2109">
        <f t="shared" si="8"/>
        <v>2.5000000000000001E-2</v>
      </c>
      <c r="W21" s="2109">
        <f t="shared" si="8"/>
        <v>2.5000000000000001E-2</v>
      </c>
      <c r="X21" s="2110">
        <f t="shared" si="8"/>
        <v>2.5000000000000001E-2</v>
      </c>
    </row>
    <row r="22" spans="2:24">
      <c r="B22" s="1446">
        <f t="shared" si="4"/>
        <v>2026</v>
      </c>
      <c r="C22" s="1287"/>
      <c r="D22" s="2101"/>
      <c r="E22" s="2101"/>
      <c r="F22" s="2101"/>
      <c r="G22" s="2101"/>
      <c r="H22" s="2101"/>
      <c r="I22" s="2109">
        <f t="shared" si="5"/>
        <v>2.5000000000000001E-2</v>
      </c>
      <c r="J22" s="2109">
        <f t="shared" si="5"/>
        <v>2.5000000000000001E-2</v>
      </c>
      <c r="K22" s="2109">
        <f t="shared" si="5"/>
        <v>2.5000000000000001E-2</v>
      </c>
      <c r="L22" s="2110">
        <f t="shared" si="5"/>
        <v>2.5000000000000001E-2</v>
      </c>
      <c r="N22" s="1446">
        <f t="shared" si="6"/>
        <v>2026</v>
      </c>
      <c r="O22" s="1287"/>
      <c r="P22" s="2101"/>
      <c r="Q22" s="2101"/>
      <c r="R22" s="2101"/>
      <c r="S22" s="2101"/>
      <c r="T22" s="2101"/>
      <c r="U22" s="2109">
        <f t="shared" si="8"/>
        <v>2.5000000000000001E-2</v>
      </c>
      <c r="V22" s="2109">
        <f t="shared" si="8"/>
        <v>2.5000000000000001E-2</v>
      </c>
      <c r="W22" s="2109">
        <f t="shared" si="8"/>
        <v>2.5000000000000001E-2</v>
      </c>
      <c r="X22" s="2110">
        <f t="shared" si="8"/>
        <v>2.5000000000000001E-2</v>
      </c>
    </row>
    <row r="23" spans="2:24">
      <c r="B23" s="1446">
        <f t="shared" si="4"/>
        <v>2027</v>
      </c>
      <c r="C23" s="1287"/>
      <c r="D23" s="2101"/>
      <c r="E23" s="2101"/>
      <c r="F23" s="2101"/>
      <c r="G23" s="2101"/>
      <c r="H23" s="2101"/>
      <c r="I23" s="2101"/>
      <c r="J23" s="2109">
        <f>(1+I23)*(J12)+I23</f>
        <v>2.5000000000000001E-2</v>
      </c>
      <c r="K23" s="2109">
        <f>(1+J23)*(K12)+J23</f>
        <v>2.5000000000000001E-2</v>
      </c>
      <c r="L23" s="2110">
        <f>(1+K23)*(L12)+K23</f>
        <v>2.5000000000000001E-2</v>
      </c>
      <c r="N23" s="1446">
        <f t="shared" si="6"/>
        <v>2027</v>
      </c>
      <c r="O23" s="1287"/>
      <c r="P23" s="2101"/>
      <c r="Q23" s="2101"/>
      <c r="R23" s="2101"/>
      <c r="S23" s="2101"/>
      <c r="T23" s="2101"/>
      <c r="U23" s="2101"/>
      <c r="V23" s="2109">
        <f>(1+U23)*(V12)+U23</f>
        <v>2.5000000000000001E-2</v>
      </c>
      <c r="W23" s="2109">
        <f>(1+V23)*(W12)+V23</f>
        <v>2.5000000000000001E-2</v>
      </c>
      <c r="X23" s="2110">
        <f>(1+W23)*(X12)+W23</f>
        <v>2.5000000000000001E-2</v>
      </c>
    </row>
    <row r="24" spans="2:24">
      <c r="B24" s="1446">
        <f t="shared" si="4"/>
        <v>2028</v>
      </c>
      <c r="C24" s="1287"/>
      <c r="D24" s="2101"/>
      <c r="E24" s="2101"/>
      <c r="F24" s="2101"/>
      <c r="G24" s="2101"/>
      <c r="H24" s="2101"/>
      <c r="I24" s="2101"/>
      <c r="J24" s="2101"/>
      <c r="K24" s="2109">
        <f t="shared" si="5"/>
        <v>2.5000000000000001E-2</v>
      </c>
      <c r="L24" s="2110">
        <f t="shared" si="5"/>
        <v>2.5000000000000001E-2</v>
      </c>
      <c r="N24" s="1446">
        <f t="shared" si="6"/>
        <v>2028</v>
      </c>
      <c r="O24" s="1287"/>
      <c r="P24" s="2101"/>
      <c r="Q24" s="2101"/>
      <c r="R24" s="2101"/>
      <c r="S24" s="2101"/>
      <c r="T24" s="2101"/>
      <c r="U24" s="2101"/>
      <c r="V24" s="2101"/>
      <c r="W24" s="2109">
        <f>(1+V24)*(W13)+V24</f>
        <v>2.5000000000000001E-2</v>
      </c>
      <c r="X24" s="2110">
        <f>(1+W24)*(X13)+W24</f>
        <v>2.5000000000000001E-2</v>
      </c>
    </row>
    <row r="25" spans="2:24">
      <c r="B25" s="1446">
        <f t="shared" si="4"/>
        <v>2029</v>
      </c>
      <c r="C25" s="1287"/>
      <c r="D25" s="2101"/>
      <c r="E25" s="2101"/>
      <c r="F25" s="2101"/>
      <c r="G25" s="2101"/>
      <c r="H25" s="2101"/>
      <c r="I25" s="2101"/>
      <c r="J25" s="2101"/>
      <c r="K25" s="2101"/>
      <c r="L25" s="2110">
        <f t="shared" si="5"/>
        <v>2.5000000000000001E-2</v>
      </c>
      <c r="N25" s="1446">
        <f t="shared" si="6"/>
        <v>2029</v>
      </c>
      <c r="O25" s="1287"/>
      <c r="P25" s="2101"/>
      <c r="Q25" s="2101"/>
      <c r="R25" s="2101"/>
      <c r="S25" s="2101"/>
      <c r="T25" s="2101"/>
      <c r="U25" s="2101"/>
      <c r="V25" s="2101"/>
      <c r="W25" s="2101"/>
      <c r="X25" s="2110">
        <f>(1+W25)*(X14)+W25</f>
        <v>2.5000000000000001E-2</v>
      </c>
    </row>
    <row r="26" spans="2:24">
      <c r="B26" s="1446">
        <f t="shared" si="4"/>
        <v>2030</v>
      </c>
      <c r="C26" s="1287"/>
      <c r="D26" s="2101"/>
      <c r="E26" s="2101"/>
      <c r="F26" s="2101"/>
      <c r="G26" s="2101"/>
      <c r="H26" s="2101"/>
      <c r="I26" s="2101"/>
      <c r="J26" s="2101"/>
      <c r="K26" s="2101"/>
      <c r="L26" s="2106"/>
      <c r="N26" s="1446">
        <f t="shared" si="6"/>
        <v>2030</v>
      </c>
      <c r="O26" s="1287"/>
      <c r="P26" s="2101"/>
      <c r="Q26" s="2101"/>
      <c r="R26" s="2101"/>
      <c r="S26" s="2101"/>
      <c r="T26" s="2101"/>
      <c r="U26" s="2101"/>
      <c r="V26" s="2101"/>
      <c r="W26" s="2101"/>
      <c r="X26" s="2106"/>
    </row>
    <row r="27" spans="2:24">
      <c r="B27" s="1037"/>
      <c r="C27" s="1287"/>
      <c r="D27" s="1287"/>
      <c r="E27" s="1287"/>
      <c r="F27" s="1287"/>
      <c r="G27" s="1287"/>
      <c r="H27" s="1287"/>
      <c r="I27" s="1287"/>
      <c r="J27" s="1287"/>
      <c r="K27" s="1287"/>
      <c r="L27" s="1467"/>
      <c r="N27" s="1037"/>
      <c r="O27" s="1287"/>
      <c r="P27" s="1287"/>
      <c r="Q27" s="1287"/>
      <c r="R27" s="1287"/>
      <c r="S27" s="1287"/>
      <c r="T27" s="1287"/>
      <c r="U27" s="1287"/>
      <c r="V27" s="1287"/>
      <c r="W27" s="1287"/>
      <c r="X27" s="1467"/>
    </row>
    <row r="28" spans="2:24">
      <c r="B28" s="1037" t="s">
        <v>312</v>
      </c>
      <c r="C28" s="1287"/>
      <c r="D28" s="2111"/>
      <c r="E28" s="2111"/>
      <c r="F28" s="2111"/>
      <c r="G28" s="2111"/>
      <c r="H28" s="2111"/>
      <c r="I28" s="2111"/>
      <c r="J28" s="2111"/>
      <c r="K28" s="2111"/>
      <c r="L28" s="2112"/>
      <c r="N28" s="1037" t="s">
        <v>312</v>
      </c>
      <c r="O28" s="1287"/>
      <c r="P28" s="2111"/>
      <c r="Q28" s="2111"/>
      <c r="R28" s="2111"/>
      <c r="S28" s="2111"/>
      <c r="T28" s="2111"/>
      <c r="U28" s="2111"/>
      <c r="V28" s="2111"/>
      <c r="W28" s="2111"/>
      <c r="X28" s="2112"/>
    </row>
    <row r="29" spans="2:24">
      <c r="B29" s="1446">
        <f>D6-Sale!R62</f>
        <v>2022</v>
      </c>
      <c r="C29" s="1287"/>
      <c r="D29" s="2113">
        <f>Q109</f>
        <v>16.87</v>
      </c>
      <c r="E29" s="2114">
        <f t="shared" ref="E29:L29" si="9">$D$29*(1+E18)</f>
        <v>17.29175</v>
      </c>
      <c r="F29" s="2114">
        <f t="shared" si="9"/>
        <v>17.29175</v>
      </c>
      <c r="G29" s="2114">
        <f t="shared" si="9"/>
        <v>17.29175</v>
      </c>
      <c r="H29" s="2114">
        <f t="shared" si="9"/>
        <v>17.29175</v>
      </c>
      <c r="I29" s="2114">
        <f t="shared" si="9"/>
        <v>17.29175</v>
      </c>
      <c r="J29" s="2114">
        <f t="shared" si="9"/>
        <v>17.29175</v>
      </c>
      <c r="K29" s="2114">
        <f t="shared" si="9"/>
        <v>17.29175</v>
      </c>
      <c r="L29" s="2115">
        <f t="shared" si="9"/>
        <v>17.29175</v>
      </c>
      <c r="N29" s="1446">
        <f>P6-Sale!R12</f>
        <v>2022</v>
      </c>
      <c r="O29" s="1287"/>
      <c r="P29" s="2113">
        <f>Q110</f>
        <v>16.87</v>
      </c>
      <c r="Q29" s="2114">
        <f t="shared" ref="Q29:X29" si="10">$P$29*(1+Q18)</f>
        <v>17.29175</v>
      </c>
      <c r="R29" s="2114">
        <f>$P$29*(1+R18)</f>
        <v>17.29175</v>
      </c>
      <c r="S29" s="2114">
        <f>$P$29*(1+S18)</f>
        <v>17.29175</v>
      </c>
      <c r="T29" s="2114">
        <f t="shared" si="10"/>
        <v>17.29175</v>
      </c>
      <c r="U29" s="2114">
        <f t="shared" si="10"/>
        <v>17.29175</v>
      </c>
      <c r="V29" s="2114">
        <f t="shared" si="10"/>
        <v>17.29175</v>
      </c>
      <c r="W29" s="2114">
        <f t="shared" si="10"/>
        <v>17.29175</v>
      </c>
      <c r="X29" s="2115">
        <f t="shared" si="10"/>
        <v>17.29175</v>
      </c>
    </row>
    <row r="30" spans="2:24">
      <c r="B30" s="1446">
        <f>B29+1</f>
        <v>2023</v>
      </c>
      <c r="C30" s="1287"/>
      <c r="D30" s="2116"/>
      <c r="E30" s="2117">
        <f>D29*$F$3+D29</f>
        <v>17.2074</v>
      </c>
      <c r="F30" s="2114">
        <f>$E$30*(1+F19)</f>
        <v>17.637584999999998</v>
      </c>
      <c r="G30" s="2114">
        <f t="shared" ref="G30:L30" si="11">$E$30*(1+G19)</f>
        <v>17.637584999999998</v>
      </c>
      <c r="H30" s="2114">
        <f t="shared" si="11"/>
        <v>17.637584999999998</v>
      </c>
      <c r="I30" s="2114">
        <f t="shared" si="11"/>
        <v>17.637584999999998</v>
      </c>
      <c r="J30" s="2114">
        <f t="shared" si="11"/>
        <v>17.637584999999998</v>
      </c>
      <c r="K30" s="2114">
        <f t="shared" si="11"/>
        <v>17.637584999999998</v>
      </c>
      <c r="L30" s="2115">
        <f t="shared" si="11"/>
        <v>17.637584999999998</v>
      </c>
      <c r="N30" s="1446">
        <f>N29+1</f>
        <v>2023</v>
      </c>
      <c r="O30" s="1287"/>
      <c r="P30" s="2116"/>
      <c r="Q30" s="2117">
        <f>P29*$R$3+P29</f>
        <v>17.2074</v>
      </c>
      <c r="R30" s="2114">
        <f t="shared" ref="R30:X30" si="12">$Q$30*(1+R19)</f>
        <v>17.637584999999998</v>
      </c>
      <c r="S30" s="2114">
        <f t="shared" si="12"/>
        <v>17.637584999999998</v>
      </c>
      <c r="T30" s="2114">
        <f>$Q$30*(1+T19)</f>
        <v>17.637584999999998</v>
      </c>
      <c r="U30" s="2114">
        <f t="shared" si="12"/>
        <v>17.637584999999998</v>
      </c>
      <c r="V30" s="2114">
        <f t="shared" si="12"/>
        <v>17.637584999999998</v>
      </c>
      <c r="W30" s="2114">
        <f t="shared" si="12"/>
        <v>17.637584999999998</v>
      </c>
      <c r="X30" s="2115">
        <f t="shared" si="12"/>
        <v>17.637584999999998</v>
      </c>
    </row>
    <row r="31" spans="2:24">
      <c r="B31" s="1446">
        <f t="shared" ref="B31:B37" si="13">B30+1</f>
        <v>2024</v>
      </c>
      <c r="C31" s="1287"/>
      <c r="D31" s="2116"/>
      <c r="E31" s="2116"/>
      <c r="F31" s="2117">
        <f>E30*$F$3+E30</f>
        <v>17.551548</v>
      </c>
      <c r="G31" s="2114">
        <f t="shared" ref="G31:L31" si="14">$F$31*(1+G20)</f>
        <v>17.9903367</v>
      </c>
      <c r="H31" s="2114">
        <f t="shared" si="14"/>
        <v>17.9903367</v>
      </c>
      <c r="I31" s="2114">
        <f t="shared" si="14"/>
        <v>17.9903367</v>
      </c>
      <c r="J31" s="2114">
        <f t="shared" si="14"/>
        <v>17.9903367</v>
      </c>
      <c r="K31" s="2114">
        <f t="shared" si="14"/>
        <v>17.9903367</v>
      </c>
      <c r="L31" s="2115">
        <f t="shared" si="14"/>
        <v>17.9903367</v>
      </c>
      <c r="N31" s="1446">
        <f t="shared" ref="N31:N37" si="15">N30+1</f>
        <v>2024</v>
      </c>
      <c r="O31" s="1287"/>
      <c r="P31" s="2116"/>
      <c r="Q31" s="2116"/>
      <c r="R31" s="2117">
        <f>Q30*$R$3+Q30</f>
        <v>17.551548</v>
      </c>
      <c r="S31" s="2114">
        <f t="shared" ref="S31:X31" si="16">$R$31*(1+S20)</f>
        <v>17.9903367</v>
      </c>
      <c r="T31" s="2114">
        <f t="shared" si="16"/>
        <v>17.9903367</v>
      </c>
      <c r="U31" s="2114">
        <f t="shared" si="16"/>
        <v>17.9903367</v>
      </c>
      <c r="V31" s="2114">
        <f t="shared" si="16"/>
        <v>17.9903367</v>
      </c>
      <c r="W31" s="2114">
        <f t="shared" si="16"/>
        <v>17.9903367</v>
      </c>
      <c r="X31" s="2115">
        <f t="shared" si="16"/>
        <v>17.9903367</v>
      </c>
    </row>
    <row r="32" spans="2:24">
      <c r="B32" s="1446">
        <f t="shared" si="13"/>
        <v>2025</v>
      </c>
      <c r="C32" s="1287"/>
      <c r="D32" s="2116"/>
      <c r="E32" s="2116"/>
      <c r="F32" s="2116"/>
      <c r="G32" s="2117">
        <f>F31*$F$3+F31</f>
        <v>17.90257896</v>
      </c>
      <c r="H32" s="2114">
        <f>$G$32*(1+H21)</f>
        <v>18.350143434</v>
      </c>
      <c r="I32" s="2114">
        <f>$G$32*(1+I21)</f>
        <v>18.350143434</v>
      </c>
      <c r="J32" s="2114">
        <f>$G$32*(1+J21)</f>
        <v>18.350143434</v>
      </c>
      <c r="K32" s="2114">
        <f>$G$32*(1+K21)</f>
        <v>18.350143434</v>
      </c>
      <c r="L32" s="2115">
        <f>$G$32*(1+L21)</f>
        <v>18.350143434</v>
      </c>
      <c r="N32" s="1446">
        <f t="shared" si="15"/>
        <v>2025</v>
      </c>
      <c r="O32" s="1287"/>
      <c r="P32" s="2116"/>
      <c r="Q32" s="2116"/>
      <c r="R32" s="2116"/>
      <c r="S32" s="2117">
        <f>R31*$R$3+R31</f>
        <v>17.90257896</v>
      </c>
      <c r="T32" s="2114">
        <f>$S$32*(1+T21)</f>
        <v>18.350143434</v>
      </c>
      <c r="U32" s="2114">
        <f>$S$32*(1+U21)</f>
        <v>18.350143434</v>
      </c>
      <c r="V32" s="2114">
        <f>$S$32*(1+V21)</f>
        <v>18.350143434</v>
      </c>
      <c r="W32" s="2114">
        <f>$S$32*(1+W21)</f>
        <v>18.350143434</v>
      </c>
      <c r="X32" s="2115">
        <f>$S$32*(1+X21)</f>
        <v>18.350143434</v>
      </c>
    </row>
    <row r="33" spans="2:24">
      <c r="B33" s="1446">
        <f t="shared" si="13"/>
        <v>2026</v>
      </c>
      <c r="C33" s="1287"/>
      <c r="D33" s="2116"/>
      <c r="E33" s="2116"/>
      <c r="F33" s="2116"/>
      <c r="G33" s="2116"/>
      <c r="H33" s="2117">
        <f>G32*$F$3+G32</f>
        <v>18.260630539200001</v>
      </c>
      <c r="I33" s="2114">
        <f>$H$33*(1+I22)</f>
        <v>18.71714630268</v>
      </c>
      <c r="J33" s="2114">
        <f>$H$33*(1+J22)</f>
        <v>18.71714630268</v>
      </c>
      <c r="K33" s="2114">
        <f>$H$33*(1+K22)</f>
        <v>18.71714630268</v>
      </c>
      <c r="L33" s="2115">
        <f>$H$33*(1+L22)</f>
        <v>18.71714630268</v>
      </c>
      <c r="N33" s="1446">
        <f t="shared" si="15"/>
        <v>2026</v>
      </c>
      <c r="O33" s="1287"/>
      <c r="P33" s="2116"/>
      <c r="Q33" s="2116"/>
      <c r="R33" s="2116"/>
      <c r="S33" s="2116"/>
      <c r="T33" s="2117">
        <f>S32*$R$3+S32</f>
        <v>18.260630539200001</v>
      </c>
      <c r="U33" s="2114">
        <f>$T$33*(1+U22)</f>
        <v>18.71714630268</v>
      </c>
      <c r="V33" s="2114">
        <f>$T$33*(1+V22)</f>
        <v>18.71714630268</v>
      </c>
      <c r="W33" s="2114">
        <f>$T$33*(1+W22)</f>
        <v>18.71714630268</v>
      </c>
      <c r="X33" s="2115">
        <f>$T$33*(1+X22)</f>
        <v>18.71714630268</v>
      </c>
    </row>
    <row r="34" spans="2:24">
      <c r="B34" s="1446">
        <f t="shared" si="13"/>
        <v>2027</v>
      </c>
      <c r="C34" s="1287"/>
      <c r="D34" s="2116"/>
      <c r="E34" s="2116"/>
      <c r="F34" s="2116"/>
      <c r="G34" s="2116"/>
      <c r="H34" s="2117">
        <f>G33*$F$3+G33</f>
        <v>0</v>
      </c>
      <c r="I34" s="2117">
        <f>H33*$F$3+H33</f>
        <v>18.625843149984</v>
      </c>
      <c r="J34" s="2114">
        <f>$I$34*(1+J23)</f>
        <v>19.091489228733597</v>
      </c>
      <c r="K34" s="2114">
        <f>$I$34*(1+K23)</f>
        <v>19.091489228733597</v>
      </c>
      <c r="L34" s="2115">
        <f>$I$34*(1+L23)</f>
        <v>19.091489228733597</v>
      </c>
      <c r="N34" s="1446">
        <f t="shared" si="15"/>
        <v>2027</v>
      </c>
      <c r="O34" s="1287"/>
      <c r="P34" s="2116"/>
      <c r="Q34" s="2116"/>
      <c r="R34" s="2116"/>
      <c r="S34" s="2116"/>
      <c r="T34" s="2117"/>
      <c r="U34" s="2117">
        <f>T33*$R$3+T33</f>
        <v>18.625843149984</v>
      </c>
      <c r="V34" s="2114">
        <f>$U$34*(1+V23)</f>
        <v>19.091489228733597</v>
      </c>
      <c r="W34" s="2114">
        <f>$U$34*(1+W23)</f>
        <v>19.091489228733597</v>
      </c>
      <c r="X34" s="2115">
        <f>$U$34*(1+X23)</f>
        <v>19.091489228733597</v>
      </c>
    </row>
    <row r="35" spans="2:24">
      <c r="B35" s="1446">
        <f t="shared" si="13"/>
        <v>2028</v>
      </c>
      <c r="C35" s="1287"/>
      <c r="D35" s="2116"/>
      <c r="E35" s="2116"/>
      <c r="F35" s="2116"/>
      <c r="G35" s="2116"/>
      <c r="H35" s="2117"/>
      <c r="I35" s="2117"/>
      <c r="J35" s="2117">
        <f>I34*$F$3+I34</f>
        <v>18.998360012983682</v>
      </c>
      <c r="K35" s="2114">
        <f>$J$35*(1+K24)</f>
        <v>19.473319013308274</v>
      </c>
      <c r="L35" s="2115">
        <f>$J$35*(1+L24)</f>
        <v>19.473319013308274</v>
      </c>
      <c r="M35" s="2114">
        <f>$J$35*(1+M24)</f>
        <v>18.998360012983682</v>
      </c>
      <c r="N35" s="1446">
        <f t="shared" si="15"/>
        <v>2028</v>
      </c>
      <c r="O35" s="1287"/>
      <c r="P35" s="2116"/>
      <c r="Q35" s="2116"/>
      <c r="R35" s="2116"/>
      <c r="S35" s="2116"/>
      <c r="T35" s="2117"/>
      <c r="U35" s="2117"/>
      <c r="V35" s="2117">
        <f>U34*$R$3+U34</f>
        <v>18.998360012983682</v>
      </c>
      <c r="W35" s="2114">
        <f>$V$35*(1+W24)</f>
        <v>19.473319013308274</v>
      </c>
      <c r="X35" s="2115">
        <f>$V$35*(1+X24)</f>
        <v>19.473319013308274</v>
      </c>
    </row>
    <row r="36" spans="2:24">
      <c r="B36" s="1446">
        <f t="shared" si="13"/>
        <v>2029</v>
      </c>
      <c r="C36" s="1287"/>
      <c r="D36" s="2116"/>
      <c r="E36" s="2116"/>
      <c r="F36" s="2116"/>
      <c r="G36" s="2116"/>
      <c r="H36" s="2117"/>
      <c r="I36" s="2117"/>
      <c r="J36" s="2117"/>
      <c r="K36" s="2117">
        <f>J35*$F$3+J35</f>
        <v>19.378327213243356</v>
      </c>
      <c r="L36" s="2115">
        <f>$K$36*(1+L25)</f>
        <v>19.862785393574438</v>
      </c>
      <c r="N36" s="1446">
        <f t="shared" si="15"/>
        <v>2029</v>
      </c>
      <c r="O36" s="1287"/>
      <c r="P36" s="2116"/>
      <c r="Q36" s="2116"/>
      <c r="R36" s="2116"/>
      <c r="S36" s="2116"/>
      <c r="T36" s="2117"/>
      <c r="U36" s="2117"/>
      <c r="V36" s="2117"/>
      <c r="W36" s="2117">
        <f>V35*$R$3+V35</f>
        <v>19.378327213243356</v>
      </c>
      <c r="X36" s="2115">
        <f>$W$36*(1+X25)</f>
        <v>19.862785393574438</v>
      </c>
    </row>
    <row r="37" spans="2:24">
      <c r="B37" s="1446">
        <f t="shared" si="13"/>
        <v>2030</v>
      </c>
      <c r="C37" s="1287"/>
      <c r="D37" s="2116"/>
      <c r="E37" s="2116"/>
      <c r="F37" s="2116"/>
      <c r="G37" s="2116"/>
      <c r="H37" s="2117"/>
      <c r="I37" s="2117"/>
      <c r="J37" s="2117"/>
      <c r="K37" s="2117"/>
      <c r="L37" s="2118">
        <f>K36*$F$3+K36</f>
        <v>19.765893757508223</v>
      </c>
      <c r="N37" s="1446">
        <f t="shared" si="15"/>
        <v>2030</v>
      </c>
      <c r="O37" s="1287"/>
      <c r="P37" s="2116"/>
      <c r="Q37" s="2116"/>
      <c r="R37" s="2116"/>
      <c r="S37" s="2116"/>
      <c r="T37" s="2117"/>
      <c r="U37" s="2117"/>
      <c r="V37" s="2117"/>
      <c r="W37" s="2117"/>
      <c r="X37" s="2118">
        <f>W36*$R$3+W36</f>
        <v>19.765893757508223</v>
      </c>
    </row>
    <row r="38" spans="2:24">
      <c r="B38" s="1037"/>
      <c r="C38" s="1287"/>
      <c r="D38" s="1287"/>
      <c r="E38" s="1287"/>
      <c r="F38" s="1287"/>
      <c r="G38" s="1287"/>
      <c r="H38" s="1287"/>
      <c r="I38" s="1287"/>
      <c r="J38" s="1287"/>
      <c r="K38" s="1287"/>
      <c r="L38" s="1467"/>
      <c r="N38" s="1037"/>
      <c r="O38" s="1287"/>
      <c r="P38" s="1287"/>
      <c r="Q38" s="1287"/>
      <c r="R38" s="1287"/>
      <c r="S38" s="1287"/>
      <c r="T38" s="1287"/>
      <c r="U38" s="1287"/>
      <c r="V38" s="1287"/>
      <c r="W38" s="1287"/>
      <c r="X38" s="1467"/>
    </row>
    <row r="39" spans="2:24">
      <c r="B39" s="1037" t="s">
        <v>313</v>
      </c>
      <c r="C39" s="1287"/>
      <c r="D39" s="2111"/>
      <c r="E39" s="1287"/>
      <c r="F39" s="1287"/>
      <c r="G39" s="1287"/>
      <c r="H39" s="1287"/>
      <c r="I39" s="1287"/>
      <c r="J39" s="1287"/>
      <c r="K39" s="1287"/>
      <c r="L39" s="1467"/>
      <c r="N39" s="1037" t="s">
        <v>313</v>
      </c>
      <c r="O39" s="1287"/>
      <c r="P39" s="2111"/>
      <c r="Q39" s="1287"/>
      <c r="R39" s="1287"/>
      <c r="S39" s="1287"/>
      <c r="T39" s="1287"/>
      <c r="U39" s="1287"/>
      <c r="V39" s="1287"/>
      <c r="W39" s="1287"/>
      <c r="X39" s="1467"/>
    </row>
    <row r="40" spans="2:24">
      <c r="B40" s="1446">
        <f t="shared" ref="B40:B48" si="17">B29</f>
        <v>2022</v>
      </c>
      <c r="C40" s="1287"/>
      <c r="D40" s="2101"/>
      <c r="E40" s="2119">
        <f>E29-D29</f>
        <v>0.4217499999999994</v>
      </c>
      <c r="F40" s="2119">
        <f>F29-E29</f>
        <v>0</v>
      </c>
      <c r="G40" s="2119">
        <f t="shared" ref="G40:L44" si="18">G29-F29</f>
        <v>0</v>
      </c>
      <c r="H40" s="2119">
        <f t="shared" si="18"/>
        <v>0</v>
      </c>
      <c r="I40" s="2119">
        <f t="shared" si="18"/>
        <v>0</v>
      </c>
      <c r="J40" s="2119">
        <f t="shared" si="18"/>
        <v>0</v>
      </c>
      <c r="K40" s="2119">
        <f t="shared" si="18"/>
        <v>0</v>
      </c>
      <c r="L40" s="2120">
        <f t="shared" si="18"/>
        <v>0</v>
      </c>
      <c r="N40" s="1446">
        <f>N29</f>
        <v>2022</v>
      </c>
      <c r="O40" s="1287"/>
      <c r="P40" s="2101"/>
      <c r="Q40" s="2119">
        <f t="shared" ref="Q40:X40" si="19">Q29-P29</f>
        <v>0.4217499999999994</v>
      </c>
      <c r="R40" s="2119">
        <f t="shared" si="19"/>
        <v>0</v>
      </c>
      <c r="S40" s="2119">
        <f t="shared" si="19"/>
        <v>0</v>
      </c>
      <c r="T40" s="2119">
        <f t="shared" si="19"/>
        <v>0</v>
      </c>
      <c r="U40" s="2119">
        <f t="shared" si="19"/>
        <v>0</v>
      </c>
      <c r="V40" s="2119">
        <f t="shared" si="19"/>
        <v>0</v>
      </c>
      <c r="W40" s="2119">
        <f t="shared" si="19"/>
        <v>0</v>
      </c>
      <c r="X40" s="2120">
        <f t="shared" si="19"/>
        <v>0</v>
      </c>
    </row>
    <row r="41" spans="2:24">
      <c r="B41" s="1446">
        <f t="shared" si="17"/>
        <v>2023</v>
      </c>
      <c r="C41" s="1287"/>
      <c r="D41" s="2101"/>
      <c r="E41" s="2101"/>
      <c r="F41" s="2119">
        <f>F30-E30</f>
        <v>0.43018499999999804</v>
      </c>
      <c r="G41" s="2119">
        <f t="shared" si="18"/>
        <v>0</v>
      </c>
      <c r="H41" s="2119">
        <f t="shared" si="18"/>
        <v>0</v>
      </c>
      <c r="I41" s="2119">
        <f t="shared" si="18"/>
        <v>0</v>
      </c>
      <c r="J41" s="2119">
        <f t="shared" si="18"/>
        <v>0</v>
      </c>
      <c r="K41" s="2119">
        <f t="shared" si="18"/>
        <v>0</v>
      </c>
      <c r="L41" s="2120">
        <f t="shared" si="18"/>
        <v>0</v>
      </c>
      <c r="N41" s="1446">
        <f>N30</f>
        <v>2023</v>
      </c>
      <c r="O41" s="1287"/>
      <c r="P41" s="2101"/>
      <c r="Q41" s="2101"/>
      <c r="R41" s="2119">
        <f t="shared" ref="R41:X41" si="20">R30-Q30</f>
        <v>0.43018499999999804</v>
      </c>
      <c r="S41" s="2119">
        <f t="shared" si="20"/>
        <v>0</v>
      </c>
      <c r="T41" s="2119">
        <f t="shared" si="20"/>
        <v>0</v>
      </c>
      <c r="U41" s="2119">
        <f t="shared" si="20"/>
        <v>0</v>
      </c>
      <c r="V41" s="2119">
        <f t="shared" si="20"/>
        <v>0</v>
      </c>
      <c r="W41" s="2119">
        <f t="shared" si="20"/>
        <v>0</v>
      </c>
      <c r="X41" s="2120">
        <f t="shared" si="20"/>
        <v>0</v>
      </c>
    </row>
    <row r="42" spans="2:24">
      <c r="B42" s="1446">
        <f t="shared" si="17"/>
        <v>2024</v>
      </c>
      <c r="C42" s="1287"/>
      <c r="D42" s="2101"/>
      <c r="E42" s="2101"/>
      <c r="F42" s="2101"/>
      <c r="G42" s="2119">
        <f>G31-F31</f>
        <v>0.43878869999999992</v>
      </c>
      <c r="H42" s="2119">
        <f t="shared" si="18"/>
        <v>0</v>
      </c>
      <c r="I42" s="2119">
        <f t="shared" si="18"/>
        <v>0</v>
      </c>
      <c r="J42" s="2119">
        <f t="shared" si="18"/>
        <v>0</v>
      </c>
      <c r="K42" s="2119">
        <f t="shared" si="18"/>
        <v>0</v>
      </c>
      <c r="L42" s="2120">
        <f t="shared" si="18"/>
        <v>0</v>
      </c>
      <c r="N42" s="1446">
        <f>N31</f>
        <v>2024</v>
      </c>
      <c r="O42" s="1287"/>
      <c r="P42" s="2101"/>
      <c r="Q42" s="2101"/>
      <c r="R42" s="2101"/>
      <c r="S42" s="2119">
        <f t="shared" ref="S42:X42" si="21">S31-R31</f>
        <v>0.43878869999999992</v>
      </c>
      <c r="T42" s="2119">
        <f t="shared" si="21"/>
        <v>0</v>
      </c>
      <c r="U42" s="2119">
        <f t="shared" si="21"/>
        <v>0</v>
      </c>
      <c r="V42" s="2119">
        <f t="shared" si="21"/>
        <v>0</v>
      </c>
      <c r="W42" s="2119">
        <f t="shared" si="21"/>
        <v>0</v>
      </c>
      <c r="X42" s="2120">
        <f t="shared" si="21"/>
        <v>0</v>
      </c>
    </row>
    <row r="43" spans="2:24">
      <c r="B43" s="1446">
        <f t="shared" si="17"/>
        <v>2025</v>
      </c>
      <c r="C43" s="1287"/>
      <c r="D43" s="2101"/>
      <c r="E43" s="2101"/>
      <c r="F43" s="2101"/>
      <c r="G43" s="2101"/>
      <c r="H43" s="2119">
        <f>H32-G32</f>
        <v>0.44756447399999999</v>
      </c>
      <c r="I43" s="2119">
        <f t="shared" si="18"/>
        <v>0</v>
      </c>
      <c r="J43" s="2119">
        <f t="shared" si="18"/>
        <v>0</v>
      </c>
      <c r="K43" s="2119">
        <f t="shared" si="18"/>
        <v>0</v>
      </c>
      <c r="L43" s="2120">
        <f t="shared" si="18"/>
        <v>0</v>
      </c>
      <c r="N43" s="1446">
        <f t="shared" ref="N43:N48" si="22">N32</f>
        <v>2025</v>
      </c>
      <c r="O43" s="1287"/>
      <c r="P43" s="2101"/>
      <c r="Q43" s="2101"/>
      <c r="R43" s="2101"/>
      <c r="S43" s="2101"/>
      <c r="T43" s="2119">
        <f>T32-S32</f>
        <v>0.44756447399999999</v>
      </c>
      <c r="U43" s="2119">
        <f>U32-T32</f>
        <v>0</v>
      </c>
      <c r="V43" s="2119">
        <f>V32-U32</f>
        <v>0</v>
      </c>
      <c r="W43" s="2119">
        <f>W32-V32</f>
        <v>0</v>
      </c>
      <c r="X43" s="2120">
        <f>X32-W32</f>
        <v>0</v>
      </c>
    </row>
    <row r="44" spans="2:24">
      <c r="B44" s="1446">
        <f t="shared" si="17"/>
        <v>2026</v>
      </c>
      <c r="C44" s="1287"/>
      <c r="D44" s="2101"/>
      <c r="E44" s="2101"/>
      <c r="F44" s="2101"/>
      <c r="G44" s="2101"/>
      <c r="H44" s="2101"/>
      <c r="I44" s="2119">
        <f t="shared" si="18"/>
        <v>0.45651576347999878</v>
      </c>
      <c r="J44" s="2119">
        <f t="shared" si="18"/>
        <v>0</v>
      </c>
      <c r="K44" s="2119">
        <f t="shared" si="18"/>
        <v>0</v>
      </c>
      <c r="L44" s="2120">
        <f t="shared" si="18"/>
        <v>0</v>
      </c>
      <c r="N44" s="1446">
        <f t="shared" si="22"/>
        <v>2026</v>
      </c>
      <c r="O44" s="1287"/>
      <c r="P44" s="2101"/>
      <c r="Q44" s="2101"/>
      <c r="R44" s="2101"/>
      <c r="S44" s="2101"/>
      <c r="T44" s="2101"/>
      <c r="U44" s="2119">
        <f>U33-T33</f>
        <v>0.45651576347999878</v>
      </c>
      <c r="V44" s="2119">
        <f>V33-U33</f>
        <v>0</v>
      </c>
      <c r="W44" s="2119">
        <f>W33-V33</f>
        <v>0</v>
      </c>
      <c r="X44" s="2120">
        <f>X33-W33</f>
        <v>0</v>
      </c>
    </row>
    <row r="45" spans="2:24">
      <c r="B45" s="1446">
        <f t="shared" si="17"/>
        <v>2027</v>
      </c>
      <c r="C45" s="1287"/>
      <c r="D45" s="2101"/>
      <c r="E45" s="2101"/>
      <c r="F45" s="2101"/>
      <c r="G45" s="2101"/>
      <c r="H45" s="2101"/>
      <c r="I45" s="2101"/>
      <c r="J45" s="2119">
        <f>J34-I34</f>
        <v>0.46564607874959663</v>
      </c>
      <c r="K45" s="2119">
        <f>K34-J34</f>
        <v>0</v>
      </c>
      <c r="L45" s="2120">
        <f>L34-K34</f>
        <v>0</v>
      </c>
      <c r="N45" s="1446">
        <f t="shared" si="22"/>
        <v>2027</v>
      </c>
      <c r="O45" s="1287"/>
      <c r="P45" s="2101"/>
      <c r="Q45" s="2101"/>
      <c r="R45" s="2101"/>
      <c r="S45" s="2101"/>
      <c r="T45" s="2101"/>
      <c r="U45" s="2101"/>
      <c r="V45" s="2119">
        <f>V34-U34</f>
        <v>0.46564607874959663</v>
      </c>
      <c r="W45" s="2119">
        <f>W34-V34</f>
        <v>0</v>
      </c>
      <c r="X45" s="2120">
        <f>X34-W34</f>
        <v>0</v>
      </c>
    </row>
    <row r="46" spans="2:24">
      <c r="B46" s="1446">
        <f t="shared" si="17"/>
        <v>2028</v>
      </c>
      <c r="C46" s="1287"/>
      <c r="D46" s="2101"/>
      <c r="E46" s="2101"/>
      <c r="F46" s="2101"/>
      <c r="G46" s="2101"/>
      <c r="H46" s="2101"/>
      <c r="I46" s="2101"/>
      <c r="J46" s="2101"/>
      <c r="K46" s="2119">
        <f>K35-J35</f>
        <v>0.47495900032459204</v>
      </c>
      <c r="L46" s="2120">
        <f>L35-K35</f>
        <v>0</v>
      </c>
      <c r="N46" s="1446">
        <f t="shared" si="22"/>
        <v>2028</v>
      </c>
      <c r="O46" s="1287"/>
      <c r="P46" s="2101"/>
      <c r="Q46" s="2101"/>
      <c r="R46" s="2101"/>
      <c r="S46" s="2101"/>
      <c r="T46" s="2101"/>
      <c r="U46" s="2101"/>
      <c r="V46" s="2101"/>
      <c r="W46" s="2119">
        <f>W35-V35</f>
        <v>0.47495900032459204</v>
      </c>
      <c r="X46" s="2120">
        <f>X35-W35</f>
        <v>0</v>
      </c>
    </row>
    <row r="47" spans="2:24">
      <c r="B47" s="1446">
        <f t="shared" si="17"/>
        <v>2029</v>
      </c>
      <c r="C47" s="1287"/>
      <c r="D47" s="2101"/>
      <c r="E47" s="2101"/>
      <c r="F47" s="2101"/>
      <c r="G47" s="2101"/>
      <c r="H47" s="2101"/>
      <c r="I47" s="2101"/>
      <c r="J47" s="2101"/>
      <c r="K47" s="2101"/>
      <c r="L47" s="2120">
        <f>L36-K36</f>
        <v>0.48445818033108168</v>
      </c>
      <c r="N47" s="1446">
        <f t="shared" si="22"/>
        <v>2029</v>
      </c>
      <c r="O47" s="1287"/>
      <c r="P47" s="2101"/>
      <c r="Q47" s="2101"/>
      <c r="R47" s="2101"/>
      <c r="S47" s="2101"/>
      <c r="T47" s="2101"/>
      <c r="U47" s="2101"/>
      <c r="V47" s="2101"/>
      <c r="W47" s="2101"/>
      <c r="X47" s="2120">
        <f>X36-W36</f>
        <v>0.48445818033108168</v>
      </c>
    </row>
    <row r="48" spans="2:24" ht="13.5" thickBot="1">
      <c r="B48" s="2121">
        <f t="shared" si="17"/>
        <v>2030</v>
      </c>
      <c r="C48" s="1524"/>
      <c r="D48" s="2122"/>
      <c r="E48" s="2122"/>
      <c r="F48" s="2122"/>
      <c r="G48" s="2122"/>
      <c r="H48" s="2122"/>
      <c r="I48" s="2122"/>
      <c r="J48" s="2122"/>
      <c r="K48" s="2122"/>
      <c r="L48" s="2123"/>
      <c r="N48" s="2121">
        <f t="shared" si="22"/>
        <v>2030</v>
      </c>
      <c r="O48" s="1524"/>
      <c r="P48" s="2122"/>
      <c r="Q48" s="2122"/>
      <c r="R48" s="2122"/>
      <c r="S48" s="2122"/>
      <c r="T48" s="2122"/>
      <c r="U48" s="2122"/>
      <c r="V48" s="2122"/>
      <c r="W48" s="2122"/>
      <c r="X48" s="2123"/>
    </row>
    <row r="49" spans="2:24">
      <c r="D49" s="1582"/>
      <c r="E49" s="1582"/>
      <c r="F49" s="1582"/>
      <c r="G49" s="1582"/>
      <c r="H49" s="1582"/>
      <c r="I49" s="1582"/>
      <c r="J49" s="1582"/>
      <c r="K49" s="1582"/>
      <c r="L49" s="1582"/>
      <c r="P49" s="1582"/>
      <c r="Q49" s="1582"/>
      <c r="R49" s="1582"/>
      <c r="S49" s="1582"/>
      <c r="T49" s="1582"/>
      <c r="U49" s="1582"/>
      <c r="V49" s="1582"/>
      <c r="W49" s="1582"/>
      <c r="X49" s="1582"/>
    </row>
    <row r="50" spans="2:24" ht="13.5" thickBot="1">
      <c r="B50" s="2124" t="str">
        <f>N102</f>
        <v>Classic</v>
      </c>
      <c r="C50" s="1582" t="s">
        <v>308</v>
      </c>
      <c r="F50" s="2096">
        <v>0.03</v>
      </c>
      <c r="G50" s="1582"/>
      <c r="H50" s="1582"/>
      <c r="I50" s="1582"/>
      <c r="J50" s="1582"/>
      <c r="K50" s="1582"/>
      <c r="L50" s="1582"/>
      <c r="N50" s="2823" t="str">
        <f>N103</f>
        <v>Premium</v>
      </c>
      <c r="O50" s="1663" t="s">
        <v>308</v>
      </c>
      <c r="P50" s="1663"/>
      <c r="Q50" s="1663"/>
      <c r="R50" s="2824">
        <v>3.5000000000000003E-2</v>
      </c>
      <c r="S50" s="1663"/>
      <c r="T50" s="1663"/>
      <c r="U50" s="1663"/>
      <c r="V50" s="1663"/>
      <c r="W50" s="1663"/>
      <c r="X50" s="1663"/>
    </row>
    <row r="51" spans="2:24" s="1582" customFormat="1">
      <c r="B51" s="1712" t="s">
        <v>309</v>
      </c>
      <c r="C51" s="1726"/>
      <c r="D51" s="2097">
        <f>P119</f>
        <v>25.1</v>
      </c>
      <c r="E51" s="2098">
        <f>E77</f>
        <v>25.853000000000002</v>
      </c>
      <c r="F51" s="2098">
        <f>F78</f>
        <v>26.628590000000003</v>
      </c>
      <c r="G51" s="2098">
        <f>G79</f>
        <v>27.427447700000002</v>
      </c>
      <c r="H51" s="2098">
        <f>H80</f>
        <v>28.250271131000002</v>
      </c>
      <c r="I51" s="2098">
        <f>I81</f>
        <v>29.097779264930001</v>
      </c>
      <c r="J51" s="2098">
        <f>J82</f>
        <v>29.970712642877899</v>
      </c>
      <c r="K51" s="2098">
        <f>K83</f>
        <v>30.869834022164238</v>
      </c>
      <c r="L51" s="2099">
        <f>L84</f>
        <v>31.795929042829165</v>
      </c>
      <c r="N51" s="1712" t="s">
        <v>309</v>
      </c>
      <c r="O51" s="1726"/>
      <c r="P51" s="2097">
        <f>P120</f>
        <v>33.75</v>
      </c>
      <c r="Q51" s="2098">
        <f>Q77</f>
        <v>35.1</v>
      </c>
      <c r="R51" s="2098">
        <f>R78</f>
        <v>36.503999999999998</v>
      </c>
      <c r="S51" s="2098">
        <f>S79</f>
        <v>37.96416</v>
      </c>
      <c r="T51" s="2098">
        <f>T80</f>
        <v>39.292905599999997</v>
      </c>
      <c r="U51" s="2098">
        <f>U81</f>
        <v>40.66815729599999</v>
      </c>
      <c r="V51" s="2098">
        <f>V82</f>
        <v>42.091542801359985</v>
      </c>
      <c r="W51" s="2098">
        <f>W83</f>
        <v>43.564746799407587</v>
      </c>
      <c r="X51" s="2099">
        <f>X84</f>
        <v>45.089512937386843</v>
      </c>
    </row>
    <row r="52" spans="2:24" s="1582" customFormat="1">
      <c r="B52" s="1037"/>
      <c r="C52" s="1287"/>
      <c r="D52" s="1287"/>
      <c r="E52" s="1287"/>
      <c r="F52" s="1287"/>
      <c r="G52" s="1287"/>
      <c r="H52" s="1287"/>
      <c r="I52" s="1287"/>
      <c r="J52" s="1287"/>
      <c r="K52" s="1287"/>
      <c r="L52" s="1467"/>
      <c r="N52" s="1037"/>
      <c r="O52" s="1461"/>
      <c r="P52" s="1461"/>
      <c r="Q52" s="1461"/>
      <c r="R52" s="1461"/>
      <c r="S52" s="1461"/>
      <c r="T52" s="1461"/>
      <c r="U52" s="1461"/>
      <c r="V52" s="1461"/>
      <c r="W52" s="1461"/>
      <c r="X52" s="1467"/>
    </row>
    <row r="53" spans="2:24" s="1582" customFormat="1">
      <c r="B53" s="1037" t="s">
        <v>310</v>
      </c>
      <c r="C53" s="1287"/>
      <c r="D53" s="1492">
        <f>D6</f>
        <v>2023</v>
      </c>
      <c r="E53" s="1492">
        <f>D53+1</f>
        <v>2024</v>
      </c>
      <c r="F53" s="1492">
        <f t="shared" ref="F53:K53" si="23">E53+1</f>
        <v>2025</v>
      </c>
      <c r="G53" s="1492">
        <f t="shared" si="23"/>
        <v>2026</v>
      </c>
      <c r="H53" s="1492">
        <f t="shared" si="23"/>
        <v>2027</v>
      </c>
      <c r="I53" s="1492">
        <f t="shared" si="23"/>
        <v>2028</v>
      </c>
      <c r="J53" s="1492">
        <f t="shared" si="23"/>
        <v>2029</v>
      </c>
      <c r="K53" s="1492">
        <f t="shared" si="23"/>
        <v>2030</v>
      </c>
      <c r="L53" s="2100">
        <f>K53+1</f>
        <v>2031</v>
      </c>
      <c r="N53" s="1037" t="s">
        <v>310</v>
      </c>
      <c r="O53" s="1461"/>
      <c r="P53" s="1447">
        <f>P6</f>
        <v>2023</v>
      </c>
      <c r="Q53" s="1447">
        <f>Q6</f>
        <v>2024</v>
      </c>
      <c r="R53" s="1447">
        <f>R6</f>
        <v>2025</v>
      </c>
      <c r="S53" s="1447">
        <f>S6</f>
        <v>2026</v>
      </c>
      <c r="T53" s="1447">
        <f>T6</f>
        <v>2027</v>
      </c>
      <c r="U53" s="1447">
        <f>T53+1</f>
        <v>2028</v>
      </c>
      <c r="V53" s="1447">
        <f>U53+1</f>
        <v>2029</v>
      </c>
      <c r="W53" s="1447">
        <f>V53+1</f>
        <v>2030</v>
      </c>
      <c r="X53" s="2100">
        <f>L53</f>
        <v>2031</v>
      </c>
    </row>
    <row r="54" spans="2:24">
      <c r="B54" s="1446">
        <f>B76</f>
        <v>2021</v>
      </c>
      <c r="C54" s="1287"/>
      <c r="D54" s="2101"/>
      <c r="E54" s="2102">
        <v>0.03</v>
      </c>
      <c r="F54" s="2102">
        <v>0.03</v>
      </c>
      <c r="G54" s="2102">
        <v>0.03</v>
      </c>
      <c r="H54" s="2102">
        <v>0.03</v>
      </c>
      <c r="I54" s="2102">
        <v>0.03</v>
      </c>
      <c r="J54" s="2102">
        <v>0.03</v>
      </c>
      <c r="K54" s="2103"/>
      <c r="L54" s="2104"/>
      <c r="N54" s="1446">
        <f>N76</f>
        <v>2019</v>
      </c>
      <c r="O54" s="1461"/>
      <c r="P54" s="2101"/>
      <c r="Q54" s="2102">
        <v>0.04</v>
      </c>
      <c r="R54" s="2102">
        <v>0.04</v>
      </c>
      <c r="S54" s="2102">
        <v>0.04</v>
      </c>
      <c r="T54" s="2102">
        <v>0.04</v>
      </c>
      <c r="U54" s="2102">
        <v>0.04</v>
      </c>
      <c r="V54" s="2102">
        <v>0.04</v>
      </c>
      <c r="W54" s="2102">
        <v>0.04</v>
      </c>
      <c r="X54" s="2102">
        <v>0.04</v>
      </c>
    </row>
    <row r="55" spans="2:24">
      <c r="B55" s="1446">
        <f t="shared" ref="B55:B62" si="24">B77</f>
        <v>2022</v>
      </c>
      <c r="C55" s="1287"/>
      <c r="D55" s="2101"/>
      <c r="E55" s="2103"/>
      <c r="F55" s="2102">
        <v>0.03</v>
      </c>
      <c r="G55" s="2102">
        <v>0.03</v>
      </c>
      <c r="H55" s="2102">
        <v>0.03</v>
      </c>
      <c r="I55" s="2102">
        <v>0.03</v>
      </c>
      <c r="J55" s="2102">
        <v>0.03</v>
      </c>
      <c r="K55" s="2102">
        <v>0.03</v>
      </c>
      <c r="L55" s="2104"/>
      <c r="N55" s="1446">
        <f t="shared" ref="N55:N62" si="25">N77</f>
        <v>2020</v>
      </c>
      <c r="O55" s="1461"/>
      <c r="P55" s="2101"/>
      <c r="Q55" s="2102">
        <v>0.04</v>
      </c>
      <c r="R55" s="2102">
        <v>0.04</v>
      </c>
      <c r="S55" s="2102">
        <v>0.04</v>
      </c>
      <c r="T55" s="2102">
        <v>0.04</v>
      </c>
      <c r="U55" s="2102">
        <v>0.04</v>
      </c>
      <c r="V55" s="2102">
        <v>0.04</v>
      </c>
      <c r="W55" s="2102">
        <v>0.04</v>
      </c>
      <c r="X55" s="2102">
        <v>0.04</v>
      </c>
    </row>
    <row r="56" spans="2:24">
      <c r="B56" s="1446">
        <f t="shared" si="24"/>
        <v>2023</v>
      </c>
      <c r="C56" s="1287"/>
      <c r="D56" s="2101"/>
      <c r="E56" s="2103"/>
      <c r="F56" s="2103"/>
      <c r="G56" s="2102">
        <f>F55</f>
        <v>0.03</v>
      </c>
      <c r="H56" s="2102">
        <f>G55</f>
        <v>0.03</v>
      </c>
      <c r="I56" s="2102">
        <f t="shared" ref="I56:L58" si="26">H55</f>
        <v>0.03</v>
      </c>
      <c r="J56" s="2102">
        <f t="shared" si="26"/>
        <v>0.03</v>
      </c>
      <c r="K56" s="2102">
        <f t="shared" si="26"/>
        <v>0.03</v>
      </c>
      <c r="L56" s="2105">
        <f t="shared" si="26"/>
        <v>0.03</v>
      </c>
      <c r="N56" s="1446">
        <f t="shared" si="25"/>
        <v>2021</v>
      </c>
      <c r="O56" s="1461"/>
      <c r="P56" s="2101"/>
      <c r="Q56" s="2102">
        <v>0.04</v>
      </c>
      <c r="R56" s="2102">
        <v>0.04</v>
      </c>
      <c r="S56" s="2102">
        <v>0.04</v>
      </c>
      <c r="T56" s="2102">
        <v>0.04</v>
      </c>
      <c r="U56" s="2102">
        <v>0.04</v>
      </c>
      <c r="V56" s="2102">
        <v>0.04</v>
      </c>
      <c r="W56" s="2102">
        <v>0.04</v>
      </c>
      <c r="X56" s="2102">
        <v>0.04</v>
      </c>
    </row>
    <row r="57" spans="2:24">
      <c r="B57" s="1446">
        <f t="shared" si="24"/>
        <v>2024</v>
      </c>
      <c r="C57" s="1287"/>
      <c r="D57" s="2101"/>
      <c r="E57" s="2103"/>
      <c r="F57" s="2103"/>
      <c r="G57" s="2103"/>
      <c r="H57" s="2102">
        <f>G56</f>
        <v>0.03</v>
      </c>
      <c r="I57" s="2102">
        <f t="shared" si="26"/>
        <v>0.03</v>
      </c>
      <c r="J57" s="2102">
        <f t="shared" si="26"/>
        <v>0.03</v>
      </c>
      <c r="K57" s="2102">
        <f t="shared" si="26"/>
        <v>0.03</v>
      </c>
      <c r="L57" s="2105">
        <f t="shared" si="26"/>
        <v>0.03</v>
      </c>
      <c r="N57" s="1446">
        <f t="shared" si="25"/>
        <v>2022</v>
      </c>
      <c r="O57" s="1461"/>
      <c r="P57" s="2101"/>
      <c r="Q57" s="2102">
        <v>0.04</v>
      </c>
      <c r="R57" s="2102">
        <v>0.04</v>
      </c>
      <c r="S57" s="2102">
        <v>0.04</v>
      </c>
      <c r="T57" s="2102">
        <v>0.04</v>
      </c>
      <c r="U57" s="2102">
        <v>0.04</v>
      </c>
      <c r="V57" s="2102">
        <v>0.04</v>
      </c>
      <c r="W57" s="2102">
        <v>0.04</v>
      </c>
      <c r="X57" s="2102">
        <v>0.04</v>
      </c>
    </row>
    <row r="58" spans="2:24">
      <c r="B58" s="1446">
        <f t="shared" si="24"/>
        <v>2025</v>
      </c>
      <c r="C58" s="1287"/>
      <c r="D58" s="2101"/>
      <c r="E58" s="2101"/>
      <c r="F58" s="2101"/>
      <c r="G58" s="2101"/>
      <c r="H58" s="2101"/>
      <c r="I58" s="2102">
        <f>H57</f>
        <v>0.03</v>
      </c>
      <c r="J58" s="2102">
        <f t="shared" si="26"/>
        <v>0.03</v>
      </c>
      <c r="K58" s="2102">
        <f t="shared" si="26"/>
        <v>0.03</v>
      </c>
      <c r="L58" s="2105">
        <f t="shared" si="26"/>
        <v>0.03</v>
      </c>
      <c r="N58" s="1446">
        <f t="shared" si="25"/>
        <v>2023</v>
      </c>
      <c r="O58" s="1461"/>
      <c r="P58" s="2101"/>
      <c r="Q58" s="2103"/>
      <c r="R58" s="2103"/>
      <c r="S58" s="2102">
        <v>0.04</v>
      </c>
      <c r="T58" s="2102">
        <v>0.04</v>
      </c>
      <c r="U58" s="2102">
        <v>0.04</v>
      </c>
      <c r="V58" s="2102">
        <v>0.04</v>
      </c>
      <c r="W58" s="2102">
        <v>0.04</v>
      </c>
      <c r="X58" s="2102">
        <v>0.04</v>
      </c>
    </row>
    <row r="59" spans="2:24">
      <c r="B59" s="1446">
        <f t="shared" si="24"/>
        <v>2026</v>
      </c>
      <c r="C59" s="1287"/>
      <c r="D59" s="2101"/>
      <c r="E59" s="2101"/>
      <c r="F59" s="2101"/>
      <c r="G59" s="2101"/>
      <c r="H59" s="2101"/>
      <c r="I59" s="2101"/>
      <c r="J59" s="2102">
        <f>I58</f>
        <v>0.03</v>
      </c>
      <c r="K59" s="2102">
        <f>J58</f>
        <v>0.03</v>
      </c>
      <c r="L59" s="2105">
        <f>K58</f>
        <v>0.03</v>
      </c>
      <c r="N59" s="1446">
        <f t="shared" si="25"/>
        <v>2024</v>
      </c>
      <c r="O59" s="1461"/>
      <c r="P59" s="2101"/>
      <c r="Q59" s="2103"/>
      <c r="R59" s="2103"/>
      <c r="S59" s="2101"/>
      <c r="T59" s="2102">
        <v>0.04</v>
      </c>
      <c r="U59" s="2102">
        <v>0.04</v>
      </c>
      <c r="V59" s="2102">
        <v>0.04</v>
      </c>
      <c r="W59" s="2102">
        <v>0.04</v>
      </c>
      <c r="X59" s="2102">
        <v>0.04</v>
      </c>
    </row>
    <row r="60" spans="2:24">
      <c r="B60" s="1446">
        <f t="shared" si="24"/>
        <v>2027</v>
      </c>
      <c r="C60" s="1287"/>
      <c r="D60" s="2101"/>
      <c r="E60" s="2101"/>
      <c r="F60" s="2101"/>
      <c r="G60" s="2101"/>
      <c r="H60" s="2101"/>
      <c r="I60" s="2101"/>
      <c r="J60" s="2101"/>
      <c r="K60" s="2102">
        <f>J59</f>
        <v>0.03</v>
      </c>
      <c r="L60" s="2105">
        <f>K59</f>
        <v>0.03</v>
      </c>
      <c r="N60" s="1446">
        <f t="shared" si="25"/>
        <v>2025</v>
      </c>
      <c r="O60" s="1461"/>
      <c r="P60" s="2101"/>
      <c r="Q60" s="2101"/>
      <c r="R60" s="2101"/>
      <c r="S60" s="2101"/>
      <c r="T60" s="2101"/>
      <c r="U60" s="2102">
        <v>0.04</v>
      </c>
      <c r="V60" s="2102">
        <v>0.04</v>
      </c>
      <c r="W60" s="2102">
        <v>0.04</v>
      </c>
      <c r="X60" s="2102">
        <v>0.04</v>
      </c>
    </row>
    <row r="61" spans="2:24">
      <c r="B61" s="1446">
        <f t="shared" si="24"/>
        <v>2028</v>
      </c>
      <c r="C61" s="1287"/>
      <c r="D61" s="2101"/>
      <c r="E61" s="2101"/>
      <c r="F61" s="2101"/>
      <c r="G61" s="2101"/>
      <c r="H61" s="2101"/>
      <c r="I61" s="2101"/>
      <c r="J61" s="2101"/>
      <c r="K61" s="2101"/>
      <c r="L61" s="2105">
        <f>K60</f>
        <v>0.03</v>
      </c>
      <c r="N61" s="1446">
        <f t="shared" si="25"/>
        <v>2026</v>
      </c>
      <c r="O61" s="1461"/>
      <c r="P61" s="2101"/>
      <c r="Q61" s="2101"/>
      <c r="R61" s="2101"/>
      <c r="S61" s="2101"/>
      <c r="T61" s="2101"/>
      <c r="U61" s="2101"/>
      <c r="V61" s="2102">
        <v>0.04</v>
      </c>
      <c r="W61" s="2102">
        <v>0.04</v>
      </c>
      <c r="X61" s="2102">
        <v>0.04</v>
      </c>
    </row>
    <row r="62" spans="2:24">
      <c r="B62" s="1446">
        <f t="shared" si="24"/>
        <v>2029</v>
      </c>
      <c r="C62" s="1287"/>
      <c r="D62" s="2101"/>
      <c r="E62" s="2101"/>
      <c r="F62" s="2101"/>
      <c r="G62" s="2101"/>
      <c r="H62" s="2101"/>
      <c r="I62" s="2101"/>
      <c r="J62" s="2101"/>
      <c r="K62" s="2101"/>
      <c r="L62" s="2106"/>
      <c r="N62" s="1446">
        <f t="shared" si="25"/>
        <v>2027</v>
      </c>
      <c r="O62" s="1461"/>
      <c r="P62" s="2101"/>
      <c r="Q62" s="2101"/>
      <c r="R62" s="2101"/>
      <c r="S62" s="2101"/>
      <c r="T62" s="2101"/>
      <c r="U62" s="2101"/>
      <c r="V62" s="2101"/>
      <c r="W62" s="2102">
        <v>0.04</v>
      </c>
      <c r="X62" s="2102">
        <v>0.04</v>
      </c>
    </row>
    <row r="63" spans="2:24">
      <c r="B63" s="1037"/>
      <c r="C63" s="1287"/>
      <c r="D63" s="2107"/>
      <c r="E63" s="2107"/>
      <c r="F63" s="2107"/>
      <c r="G63" s="2107"/>
      <c r="H63" s="2107"/>
      <c r="I63" s="2107"/>
      <c r="J63" s="2107"/>
      <c r="K63" s="2107"/>
      <c r="L63" s="2108"/>
      <c r="N63" s="1037"/>
      <c r="O63" s="1461"/>
      <c r="P63" s="2107"/>
      <c r="Q63" s="2107"/>
      <c r="R63" s="2107"/>
      <c r="S63" s="2107"/>
      <c r="T63" s="2107"/>
      <c r="U63" s="2107"/>
      <c r="V63" s="2107"/>
      <c r="W63" s="2107"/>
      <c r="X63" s="2108"/>
    </row>
    <row r="64" spans="2:24">
      <c r="B64" s="1037" t="s">
        <v>311</v>
      </c>
      <c r="C64" s="1287"/>
      <c r="D64" s="2107"/>
      <c r="E64" s="2107"/>
      <c r="F64" s="2107"/>
      <c r="G64" s="2107"/>
      <c r="H64" s="2107"/>
      <c r="I64" s="2107"/>
      <c r="J64" s="2107"/>
      <c r="K64" s="2107"/>
      <c r="L64" s="2108"/>
      <c r="N64" s="1037" t="s">
        <v>311</v>
      </c>
      <c r="O64" s="1461"/>
      <c r="P64" s="2107"/>
      <c r="Q64" s="2107"/>
      <c r="R64" s="2107"/>
      <c r="S64" s="2107"/>
      <c r="T64" s="2107"/>
      <c r="U64" s="2107"/>
      <c r="V64" s="2107"/>
      <c r="W64" s="2107"/>
      <c r="X64" s="2108"/>
    </row>
    <row r="65" spans="2:24">
      <c r="B65" s="1446">
        <f t="shared" ref="B65:B73" si="27">B54</f>
        <v>2021</v>
      </c>
      <c r="C65" s="1287"/>
      <c r="D65" s="2101"/>
      <c r="E65" s="2109">
        <f>E54</f>
        <v>0.03</v>
      </c>
      <c r="F65" s="2109">
        <f>(1+E65)*(F54)+E65</f>
        <v>6.0899999999999996E-2</v>
      </c>
      <c r="G65" s="2109">
        <f>(1+F65)*(G54)+F65</f>
        <v>9.272699999999999E-2</v>
      </c>
      <c r="H65" s="2109">
        <f>(1+G65)*(H54)+G65</f>
        <v>0.12550881</v>
      </c>
      <c r="I65" s="2109">
        <f>(1+H65)*(I54)+H65</f>
        <v>0.15927407429999998</v>
      </c>
      <c r="J65" s="2109">
        <f t="shared" ref="G65:L66" si="28">(1+I65)*(J54)+I65</f>
        <v>0.194052296529</v>
      </c>
      <c r="K65" s="2109">
        <f t="shared" si="28"/>
        <v>0.194052296529</v>
      </c>
      <c r="L65" s="2110">
        <f t="shared" si="28"/>
        <v>0.194052296529</v>
      </c>
      <c r="N65" s="1446">
        <f>N54</f>
        <v>2019</v>
      </c>
      <c r="O65" s="1461"/>
      <c r="P65" s="2101"/>
      <c r="Q65" s="2109">
        <f>Q54</f>
        <v>0.04</v>
      </c>
      <c r="R65" s="2109">
        <f>(1+Q65)*(R54)+Q65</f>
        <v>8.1600000000000006E-2</v>
      </c>
      <c r="S65" s="2109">
        <f t="shared" ref="S65:X65" si="29">(1+R65)*(S54)+R65</f>
        <v>0.124864</v>
      </c>
      <c r="T65" s="2109">
        <f t="shared" si="29"/>
        <v>0.16985855999999999</v>
      </c>
      <c r="U65" s="2109">
        <f t="shared" si="29"/>
        <v>0.21665290239999999</v>
      </c>
      <c r="V65" s="2109">
        <f t="shared" si="29"/>
        <v>0.26531901849599998</v>
      </c>
      <c r="W65" s="2109">
        <f t="shared" si="29"/>
        <v>0.31593177923583998</v>
      </c>
      <c r="X65" s="2110">
        <f t="shared" si="29"/>
        <v>0.3685690504052736</v>
      </c>
    </row>
    <row r="66" spans="2:24">
      <c r="B66" s="1446">
        <f t="shared" si="27"/>
        <v>2022</v>
      </c>
      <c r="C66" s="1287"/>
      <c r="D66" s="2101"/>
      <c r="E66" s="2101"/>
      <c r="F66" s="2109">
        <f>F55</f>
        <v>0.03</v>
      </c>
      <c r="G66" s="2109">
        <f t="shared" si="28"/>
        <v>6.0899999999999996E-2</v>
      </c>
      <c r="H66" s="2109">
        <f t="shared" si="28"/>
        <v>9.272699999999999E-2</v>
      </c>
      <c r="I66" s="2109">
        <f t="shared" si="28"/>
        <v>0.12550881</v>
      </c>
      <c r="J66" s="2109">
        <f t="shared" si="28"/>
        <v>0.15927407429999998</v>
      </c>
      <c r="K66" s="2109">
        <f t="shared" si="28"/>
        <v>0.194052296529</v>
      </c>
      <c r="L66" s="2110">
        <f t="shared" si="28"/>
        <v>0.194052296529</v>
      </c>
      <c r="N66" s="1446">
        <f>N55</f>
        <v>2020</v>
      </c>
      <c r="O66" s="1461"/>
      <c r="P66" s="2101"/>
      <c r="Q66" s="2109">
        <f>(1+P66)*(Q55)+P66</f>
        <v>0.04</v>
      </c>
      <c r="R66" s="2109">
        <f t="shared" ref="R66:X67" si="30">(1+Q66)*(R55)+Q66</f>
        <v>8.1600000000000006E-2</v>
      </c>
      <c r="S66" s="2109">
        <f t="shared" si="30"/>
        <v>0.124864</v>
      </c>
      <c r="T66" s="2109">
        <f t="shared" si="30"/>
        <v>0.16985855999999999</v>
      </c>
      <c r="U66" s="2109">
        <f t="shared" si="30"/>
        <v>0.21665290239999999</v>
      </c>
      <c r="V66" s="2109">
        <f t="shared" si="30"/>
        <v>0.26531901849599998</v>
      </c>
      <c r="W66" s="2109">
        <f t="shared" si="30"/>
        <v>0.31593177923583998</v>
      </c>
      <c r="X66" s="2110">
        <f t="shared" si="30"/>
        <v>0.3685690504052736</v>
      </c>
    </row>
    <row r="67" spans="2:24">
      <c r="B67" s="1446">
        <f t="shared" si="27"/>
        <v>2023</v>
      </c>
      <c r="C67" s="1287"/>
      <c r="D67" s="2101"/>
      <c r="E67" s="2101"/>
      <c r="F67" s="2101"/>
      <c r="G67" s="2109">
        <f>G56</f>
        <v>0.03</v>
      </c>
      <c r="H67" s="2109">
        <f>(1+G67)*(H56)+G67</f>
        <v>6.0899999999999996E-2</v>
      </c>
      <c r="I67" s="2109">
        <f>(1+H67)*(I56)+H67</f>
        <v>9.272699999999999E-2</v>
      </c>
      <c r="J67" s="2109">
        <f>(1+I67)*(J56)+I67</f>
        <v>0.12550881</v>
      </c>
      <c r="K67" s="2109">
        <f>(1+J67)*(K56)+J67</f>
        <v>0.15927407429999998</v>
      </c>
      <c r="L67" s="2110">
        <f>(1+K67)*(L56)+K67</f>
        <v>0.194052296529</v>
      </c>
      <c r="N67" s="1446">
        <f>N56</f>
        <v>2021</v>
      </c>
      <c r="O67" s="1461"/>
      <c r="P67" s="2101"/>
      <c r="Q67" s="2109">
        <f>(1+P67)*(Q56)+P67</f>
        <v>0.04</v>
      </c>
      <c r="R67" s="2109">
        <f>(1+Q67)*(R56)+Q67</f>
        <v>8.1600000000000006E-2</v>
      </c>
      <c r="S67" s="2109">
        <f t="shared" si="30"/>
        <v>0.124864</v>
      </c>
      <c r="T67" s="2109">
        <f t="shared" si="30"/>
        <v>0.16985855999999999</v>
      </c>
      <c r="U67" s="2109">
        <f t="shared" si="30"/>
        <v>0.21665290239999999</v>
      </c>
      <c r="V67" s="2109">
        <f t="shared" si="30"/>
        <v>0.26531901849599998</v>
      </c>
      <c r="W67" s="2109">
        <f t="shared" si="30"/>
        <v>0.31593177923583998</v>
      </c>
      <c r="X67" s="2110">
        <f t="shared" si="30"/>
        <v>0.3685690504052736</v>
      </c>
    </row>
    <row r="68" spans="2:24">
      <c r="B68" s="1446">
        <f t="shared" si="27"/>
        <v>2024</v>
      </c>
      <c r="C68" s="1287"/>
      <c r="D68" s="2101"/>
      <c r="E68" s="2101"/>
      <c r="F68" s="2101"/>
      <c r="G68" s="2101"/>
      <c r="H68" s="2109">
        <f>H57</f>
        <v>0.03</v>
      </c>
      <c r="I68" s="2109">
        <f t="shared" ref="I68:L69" si="31">(1+H68)*(I57)+H68</f>
        <v>6.0899999999999996E-2</v>
      </c>
      <c r="J68" s="2109">
        <f t="shared" si="31"/>
        <v>9.272699999999999E-2</v>
      </c>
      <c r="K68" s="2109">
        <f t="shared" si="31"/>
        <v>0.12550881</v>
      </c>
      <c r="L68" s="2110">
        <f t="shared" si="31"/>
        <v>0.15927407429999998</v>
      </c>
      <c r="N68" s="1446">
        <f t="shared" ref="N68:N73" si="32">N57</f>
        <v>2022</v>
      </c>
      <c r="O68" s="1461"/>
      <c r="P68" s="2101"/>
      <c r="Q68" s="2109">
        <f>(1+P68)*(Q57)+P68</f>
        <v>0.04</v>
      </c>
      <c r="R68" s="2109">
        <f>(1+Q68)*(R57)+Q68</f>
        <v>8.1600000000000006E-2</v>
      </c>
      <c r="S68" s="2109">
        <f t="shared" ref="S68:X73" si="33">(1+R68)*(S57)+R68</f>
        <v>0.124864</v>
      </c>
      <c r="T68" s="2109">
        <f t="shared" si="33"/>
        <v>0.16985855999999999</v>
      </c>
      <c r="U68" s="2109">
        <f t="shared" si="33"/>
        <v>0.21665290239999999</v>
      </c>
      <c r="V68" s="2109">
        <f t="shared" si="33"/>
        <v>0.26531901849599998</v>
      </c>
      <c r="W68" s="2109">
        <f t="shared" si="33"/>
        <v>0.31593177923583998</v>
      </c>
      <c r="X68" s="2110">
        <f t="shared" si="33"/>
        <v>0.3685690504052736</v>
      </c>
    </row>
    <row r="69" spans="2:24">
      <c r="B69" s="1446">
        <f t="shared" si="27"/>
        <v>2025</v>
      </c>
      <c r="C69" s="1287"/>
      <c r="D69" s="2101"/>
      <c r="E69" s="2101"/>
      <c r="F69" s="2101"/>
      <c r="G69" s="2101"/>
      <c r="H69" s="2101"/>
      <c r="I69" s="2109">
        <f t="shared" si="31"/>
        <v>0.03</v>
      </c>
      <c r="J69" s="2109">
        <f t="shared" si="31"/>
        <v>6.0899999999999996E-2</v>
      </c>
      <c r="K69" s="2109">
        <f t="shared" si="31"/>
        <v>9.272699999999999E-2</v>
      </c>
      <c r="L69" s="2110">
        <f t="shared" si="31"/>
        <v>0.12550881</v>
      </c>
      <c r="N69" s="1446">
        <f t="shared" si="32"/>
        <v>2023</v>
      </c>
      <c r="O69" s="1461"/>
      <c r="P69" s="2101"/>
      <c r="Q69" s="2101"/>
      <c r="R69" s="2109">
        <f>(1+Q69)*(R58)+Q69</f>
        <v>0</v>
      </c>
      <c r="S69" s="2109">
        <f t="shared" si="33"/>
        <v>0.04</v>
      </c>
      <c r="T69" s="2109">
        <f t="shared" si="33"/>
        <v>8.1600000000000006E-2</v>
      </c>
      <c r="U69" s="2109">
        <f t="shared" si="33"/>
        <v>0.124864</v>
      </c>
      <c r="V69" s="2109">
        <f t="shared" si="33"/>
        <v>0.16985855999999999</v>
      </c>
      <c r="W69" s="2109">
        <f t="shared" si="33"/>
        <v>0.21665290239999999</v>
      </c>
      <c r="X69" s="2110">
        <f t="shared" si="33"/>
        <v>0.26531901849599998</v>
      </c>
    </row>
    <row r="70" spans="2:24">
      <c r="B70" s="1446">
        <f t="shared" si="27"/>
        <v>2026</v>
      </c>
      <c r="C70" s="1287"/>
      <c r="D70" s="2101"/>
      <c r="E70" s="2101"/>
      <c r="F70" s="2101"/>
      <c r="G70" s="2101"/>
      <c r="H70" s="2101"/>
      <c r="I70" s="2101"/>
      <c r="J70" s="2109">
        <f>(1+I70)*(J59)+I70</f>
        <v>0.03</v>
      </c>
      <c r="K70" s="2109">
        <f>(1+J70)*(K59)+J70</f>
        <v>6.0899999999999996E-2</v>
      </c>
      <c r="L70" s="2110">
        <f>(1+K70)*(L59)+K70</f>
        <v>9.272699999999999E-2</v>
      </c>
      <c r="N70" s="1446">
        <f t="shared" si="32"/>
        <v>2024</v>
      </c>
      <c r="O70" s="1461"/>
      <c r="P70" s="2101"/>
      <c r="Q70" s="2101"/>
      <c r="R70" s="2101"/>
      <c r="S70" s="2101"/>
      <c r="T70" s="2109">
        <f>(1+S70)*(T59)+S70</f>
        <v>0.04</v>
      </c>
      <c r="U70" s="2109">
        <f>(1+T70)*(U59)+T70</f>
        <v>8.1600000000000006E-2</v>
      </c>
      <c r="V70" s="2109">
        <f t="shared" si="33"/>
        <v>0.124864</v>
      </c>
      <c r="W70" s="2109">
        <f t="shared" si="33"/>
        <v>0.16985855999999999</v>
      </c>
      <c r="X70" s="2110">
        <f t="shared" si="33"/>
        <v>0.21665290239999999</v>
      </c>
    </row>
    <row r="71" spans="2:24">
      <c r="B71" s="1446">
        <f t="shared" si="27"/>
        <v>2027</v>
      </c>
      <c r="C71" s="1287"/>
      <c r="D71" s="2101"/>
      <c r="E71" s="2101"/>
      <c r="F71" s="2101"/>
      <c r="G71" s="2101"/>
      <c r="H71" s="2101"/>
      <c r="I71" s="2101"/>
      <c r="J71" s="2101"/>
      <c r="K71" s="2109">
        <f>(1+J71)*(K60)+J71</f>
        <v>0.03</v>
      </c>
      <c r="L71" s="2110">
        <f>(1+K71)*(L60)+K71</f>
        <v>6.0899999999999996E-2</v>
      </c>
      <c r="N71" s="1446">
        <f t="shared" si="32"/>
        <v>2025</v>
      </c>
      <c r="O71" s="1461"/>
      <c r="P71" s="2101"/>
      <c r="Q71" s="2101"/>
      <c r="R71" s="2101"/>
      <c r="S71" s="2101"/>
      <c r="T71" s="2101"/>
      <c r="U71" s="2109">
        <f t="shared" si="33"/>
        <v>0.04</v>
      </c>
      <c r="V71" s="2109">
        <f t="shared" si="33"/>
        <v>8.1600000000000006E-2</v>
      </c>
      <c r="W71" s="2109">
        <f t="shared" si="33"/>
        <v>0.124864</v>
      </c>
      <c r="X71" s="2110">
        <f>(1+W71)*(X60)+W71</f>
        <v>0.16985855999999999</v>
      </c>
    </row>
    <row r="72" spans="2:24">
      <c r="B72" s="1446">
        <f t="shared" si="27"/>
        <v>2028</v>
      </c>
      <c r="C72" s="1287"/>
      <c r="D72" s="2101"/>
      <c r="E72" s="2101"/>
      <c r="F72" s="2101"/>
      <c r="G72" s="2101"/>
      <c r="H72" s="2101"/>
      <c r="I72" s="2101"/>
      <c r="J72" s="2101"/>
      <c r="K72" s="2101"/>
      <c r="L72" s="2110">
        <f>(1+K72)*(L61)+K72</f>
        <v>0.03</v>
      </c>
      <c r="N72" s="1446">
        <f t="shared" si="32"/>
        <v>2026</v>
      </c>
      <c r="O72" s="1461"/>
      <c r="P72" s="2101"/>
      <c r="Q72" s="2101"/>
      <c r="R72" s="2101"/>
      <c r="S72" s="2101"/>
      <c r="T72" s="2101"/>
      <c r="U72" s="2101"/>
      <c r="V72" s="2109">
        <f t="shared" si="33"/>
        <v>0.04</v>
      </c>
      <c r="W72" s="2109">
        <f t="shared" si="33"/>
        <v>8.1600000000000006E-2</v>
      </c>
      <c r="X72" s="2110">
        <f>(1+W72)*(X61)+W72</f>
        <v>0.124864</v>
      </c>
    </row>
    <row r="73" spans="2:24">
      <c r="B73" s="1446">
        <f t="shared" si="27"/>
        <v>2029</v>
      </c>
      <c r="C73" s="1287"/>
      <c r="D73" s="2101"/>
      <c r="E73" s="2101"/>
      <c r="F73" s="2101"/>
      <c r="G73" s="2101"/>
      <c r="H73" s="2101"/>
      <c r="I73" s="2101"/>
      <c r="J73" s="2101"/>
      <c r="K73" s="2101"/>
      <c r="L73" s="2106"/>
      <c r="N73" s="1446">
        <f t="shared" si="32"/>
        <v>2027</v>
      </c>
      <c r="O73" s="1461"/>
      <c r="P73" s="2101"/>
      <c r="Q73" s="2101"/>
      <c r="R73" s="2101"/>
      <c r="S73" s="2101"/>
      <c r="T73" s="2101"/>
      <c r="U73" s="2101"/>
      <c r="V73" s="2101"/>
      <c r="W73" s="2109">
        <f t="shared" si="33"/>
        <v>0.04</v>
      </c>
      <c r="X73" s="2110">
        <f>(1+W73)*(X62)+W73</f>
        <v>8.1600000000000006E-2</v>
      </c>
    </row>
    <row r="74" spans="2:24">
      <c r="B74" s="1037"/>
      <c r="C74" s="1287"/>
      <c r="D74" s="1287"/>
      <c r="E74" s="1287"/>
      <c r="F74" s="1287"/>
      <c r="G74" s="1287"/>
      <c r="H74" s="1287"/>
      <c r="I74" s="1287"/>
      <c r="J74" s="1287"/>
      <c r="K74" s="1287"/>
      <c r="L74" s="1467"/>
      <c r="N74" s="1037"/>
      <c r="O74" s="1461"/>
      <c r="P74" s="1461"/>
      <c r="Q74" s="1461"/>
      <c r="R74" s="1461"/>
      <c r="S74" s="1461"/>
      <c r="T74" s="1461"/>
      <c r="U74" s="1461"/>
      <c r="V74" s="1461"/>
      <c r="W74" s="1461"/>
      <c r="X74" s="1467"/>
    </row>
    <row r="75" spans="2:24">
      <c r="B75" s="1037" t="s">
        <v>312</v>
      </c>
      <c r="C75" s="1287"/>
      <c r="D75" s="2111"/>
      <c r="E75" s="2111"/>
      <c r="F75" s="2111"/>
      <c r="G75" s="2111"/>
      <c r="H75" s="2111"/>
      <c r="I75" s="2111"/>
      <c r="J75" s="2111"/>
      <c r="K75" s="2111"/>
      <c r="L75" s="2112"/>
      <c r="N75" s="1037" t="s">
        <v>312</v>
      </c>
      <c r="O75" s="1461"/>
      <c r="P75" s="1461"/>
      <c r="Q75" s="1461"/>
      <c r="R75" s="1461"/>
      <c r="S75" s="1461"/>
      <c r="T75" s="1461"/>
      <c r="U75" s="1461"/>
      <c r="V75" s="1461"/>
      <c r="W75" s="1461"/>
      <c r="X75" s="1467"/>
    </row>
    <row r="76" spans="2:24">
      <c r="B76" s="1446">
        <f>D53-Sale!C12</f>
        <v>2021</v>
      </c>
      <c r="C76" s="1287"/>
      <c r="D76" s="2113">
        <f>Q111</f>
        <v>25.1</v>
      </c>
      <c r="E76" s="2114">
        <f t="shared" ref="E76:L76" si="34">$D$76*(1+E65)</f>
        <v>25.853000000000002</v>
      </c>
      <c r="F76" s="2114">
        <f t="shared" si="34"/>
        <v>26.628589999999999</v>
      </c>
      <c r="G76" s="2114">
        <f>$D$76*(1+G65)</f>
        <v>27.427447700000002</v>
      </c>
      <c r="H76" s="2114">
        <f t="shared" si="34"/>
        <v>28.250271130999998</v>
      </c>
      <c r="I76" s="2114">
        <f t="shared" si="34"/>
        <v>29.097779264930004</v>
      </c>
      <c r="J76" s="2114">
        <f t="shared" si="34"/>
        <v>29.970712642877899</v>
      </c>
      <c r="K76" s="2114">
        <f t="shared" si="34"/>
        <v>29.970712642877899</v>
      </c>
      <c r="L76" s="2115">
        <f t="shared" si="34"/>
        <v>29.970712642877899</v>
      </c>
      <c r="N76" s="1446">
        <f>P53-Sale!C139</f>
        <v>2019</v>
      </c>
      <c r="O76" s="1461"/>
      <c r="P76" s="2746">
        <f>Q112</f>
        <v>33.75</v>
      </c>
      <c r="Q76" s="2114">
        <f>$P$76*(1+Q65)</f>
        <v>35.1</v>
      </c>
      <c r="R76" s="2114">
        <f>$P$76*(1+R65)</f>
        <v>36.503999999999998</v>
      </c>
      <c r="S76" s="2114">
        <f t="shared" ref="S76:X76" si="35">$P$76*(1+S65)</f>
        <v>37.96416</v>
      </c>
      <c r="T76" s="2114">
        <f t="shared" si="35"/>
        <v>39.482726399999997</v>
      </c>
      <c r="U76" s="2114">
        <f t="shared" si="35"/>
        <v>41.062035455999997</v>
      </c>
      <c r="V76" s="2114">
        <f t="shared" si="35"/>
        <v>42.704516874239999</v>
      </c>
      <c r="W76" s="2114">
        <f t="shared" si="35"/>
        <v>44.412697549209604</v>
      </c>
      <c r="X76" s="2115">
        <f t="shared" si="35"/>
        <v>46.189205451177983</v>
      </c>
    </row>
    <row r="77" spans="2:24">
      <c r="B77" s="1446">
        <f>B76+1</f>
        <v>2022</v>
      </c>
      <c r="C77" s="1287"/>
      <c r="D77" s="2116"/>
      <c r="E77" s="2117">
        <f>D76*$F$50+D76</f>
        <v>25.853000000000002</v>
      </c>
      <c r="F77" s="2114">
        <f t="shared" ref="F77:L77" si="36">$E$77*(1+F66)</f>
        <v>26.628590000000003</v>
      </c>
      <c r="G77" s="2114">
        <f>$E$77*(1+G66)</f>
        <v>27.427447700000002</v>
      </c>
      <c r="H77" s="2114">
        <f t="shared" si="36"/>
        <v>28.250271131000002</v>
      </c>
      <c r="I77" s="2114">
        <f t="shared" si="36"/>
        <v>29.097779264930001</v>
      </c>
      <c r="J77" s="2114">
        <f t="shared" si="36"/>
        <v>29.970712642877903</v>
      </c>
      <c r="K77" s="2114">
        <f t="shared" si="36"/>
        <v>30.869834022164238</v>
      </c>
      <c r="L77" s="2115">
        <f t="shared" si="36"/>
        <v>30.869834022164238</v>
      </c>
      <c r="N77" s="1446">
        <f>N76+1</f>
        <v>2020</v>
      </c>
      <c r="O77" s="1461"/>
      <c r="P77" s="2746">
        <f>P76</f>
        <v>33.75</v>
      </c>
      <c r="Q77" s="2114">
        <f>$P$76*(1+Q66)</f>
        <v>35.1</v>
      </c>
      <c r="R77" s="2114">
        <f>$P$77*(1+R66)</f>
        <v>36.503999999999998</v>
      </c>
      <c r="S77" s="2114">
        <f t="shared" ref="S77:X77" si="37">$P$77*(1+S66)</f>
        <v>37.96416</v>
      </c>
      <c r="T77" s="2114">
        <f t="shared" si="37"/>
        <v>39.482726399999997</v>
      </c>
      <c r="U77" s="2114">
        <f t="shared" si="37"/>
        <v>41.062035455999997</v>
      </c>
      <c r="V77" s="2114">
        <f>$P$77*(1+V66)</f>
        <v>42.704516874239999</v>
      </c>
      <c r="W77" s="2114">
        <f t="shared" si="37"/>
        <v>44.412697549209604</v>
      </c>
      <c r="X77" s="2115">
        <f t="shared" si="37"/>
        <v>46.189205451177983</v>
      </c>
    </row>
    <row r="78" spans="2:24">
      <c r="B78" s="1446">
        <f t="shared" ref="B78:B84" si="38">B77+1</f>
        <v>2023</v>
      </c>
      <c r="C78" s="1287"/>
      <c r="D78" s="2116"/>
      <c r="E78" s="2116"/>
      <c r="F78" s="2117">
        <f>E77*$F$50+E77</f>
        <v>26.628590000000003</v>
      </c>
      <c r="G78" s="2114">
        <f t="shared" ref="G78:L78" si="39">$F$78*(1+G67)</f>
        <v>27.427447700000002</v>
      </c>
      <c r="H78" s="2114">
        <f t="shared" si="39"/>
        <v>28.250271131000002</v>
      </c>
      <c r="I78" s="2114">
        <f t="shared" si="39"/>
        <v>29.097779264930004</v>
      </c>
      <c r="J78" s="2114">
        <f t="shared" si="39"/>
        <v>29.970712642877899</v>
      </c>
      <c r="K78" s="2114">
        <f t="shared" si="39"/>
        <v>30.869834022164241</v>
      </c>
      <c r="L78" s="2115">
        <f t="shared" si="39"/>
        <v>31.795929042829165</v>
      </c>
      <c r="N78" s="1446">
        <f t="shared" ref="N78:N84" si="40">N77+1</f>
        <v>2021</v>
      </c>
      <c r="O78" s="1461"/>
      <c r="P78" s="2746">
        <f>P77</f>
        <v>33.75</v>
      </c>
      <c r="Q78" s="2114">
        <f>$P$76*(1+Q67)</f>
        <v>35.1</v>
      </c>
      <c r="R78" s="2114">
        <f>$P$78*(1+R67)</f>
        <v>36.503999999999998</v>
      </c>
      <c r="S78" s="2114">
        <f t="shared" ref="S78:X78" si="41">$P$78*(1+S67)</f>
        <v>37.96416</v>
      </c>
      <c r="T78" s="2114">
        <f t="shared" si="41"/>
        <v>39.482726399999997</v>
      </c>
      <c r="U78" s="2114">
        <f t="shared" si="41"/>
        <v>41.062035455999997</v>
      </c>
      <c r="V78" s="2114">
        <f t="shared" si="41"/>
        <v>42.704516874239999</v>
      </c>
      <c r="W78" s="2114">
        <f t="shared" si="41"/>
        <v>44.412697549209604</v>
      </c>
      <c r="X78" s="2115">
        <f t="shared" si="41"/>
        <v>46.189205451177983</v>
      </c>
    </row>
    <row r="79" spans="2:24">
      <c r="B79" s="1446">
        <f t="shared" si="38"/>
        <v>2024</v>
      </c>
      <c r="C79" s="1287"/>
      <c r="D79" s="2116"/>
      <c r="E79" s="2116"/>
      <c r="F79" s="2116"/>
      <c r="G79" s="2117">
        <f>F78*$F$50+F78</f>
        <v>27.427447700000002</v>
      </c>
      <c r="H79" s="2114">
        <f>$G$79*(1+H68)</f>
        <v>28.250271131000002</v>
      </c>
      <c r="I79" s="2114">
        <f>$G$79*(1+I68)</f>
        <v>29.097779264930001</v>
      </c>
      <c r="J79" s="2114">
        <f>$G$79*(1+J68)</f>
        <v>29.970712642877903</v>
      </c>
      <c r="K79" s="2114">
        <f>$G$79*(1+K68)</f>
        <v>30.869834022164238</v>
      </c>
      <c r="L79" s="2115">
        <f>$G$79*(1+L68)</f>
        <v>31.795929042829169</v>
      </c>
      <c r="N79" s="1446">
        <f t="shared" si="40"/>
        <v>2022</v>
      </c>
      <c r="O79" s="1461"/>
      <c r="P79" s="2746">
        <f>P78</f>
        <v>33.75</v>
      </c>
      <c r="Q79" s="2114">
        <f>$P$76*(1+Q68)</f>
        <v>35.1</v>
      </c>
      <c r="R79" s="2114">
        <f>$P$79*(1+R68)</f>
        <v>36.503999999999998</v>
      </c>
      <c r="S79" s="2114">
        <f t="shared" ref="S79:X79" si="42">$P$79*(1+S68)</f>
        <v>37.96416</v>
      </c>
      <c r="T79" s="2114">
        <f t="shared" si="42"/>
        <v>39.482726399999997</v>
      </c>
      <c r="U79" s="2114">
        <f t="shared" si="42"/>
        <v>41.062035455999997</v>
      </c>
      <c r="V79" s="2114">
        <f t="shared" si="42"/>
        <v>42.704516874239999</v>
      </c>
      <c r="W79" s="2114">
        <f t="shared" si="42"/>
        <v>44.412697549209604</v>
      </c>
      <c r="X79" s="2115">
        <f t="shared" si="42"/>
        <v>46.189205451177983</v>
      </c>
    </row>
    <row r="80" spans="2:24">
      <c r="B80" s="1446">
        <f t="shared" si="38"/>
        <v>2025</v>
      </c>
      <c r="C80" s="1287"/>
      <c r="D80" s="2116"/>
      <c r="E80" s="2116"/>
      <c r="F80" s="2116"/>
      <c r="G80" s="2116"/>
      <c r="H80" s="2117">
        <f>G79*$F$50+G79</f>
        <v>28.250271131000002</v>
      </c>
      <c r="I80" s="2114">
        <f>$H$80*(1+I69)</f>
        <v>29.097779264930004</v>
      </c>
      <c r="J80" s="2114">
        <f>$H$80*(1+J69)</f>
        <v>29.970712642877899</v>
      </c>
      <c r="K80" s="2114">
        <f>$H$80*(1+K69)</f>
        <v>30.869834022164238</v>
      </c>
      <c r="L80" s="2115">
        <f>$H$80*(1+L69)</f>
        <v>31.795929042829165</v>
      </c>
      <c r="N80" s="1446">
        <f t="shared" si="40"/>
        <v>2023</v>
      </c>
      <c r="O80" s="1461"/>
      <c r="P80" s="2816"/>
      <c r="Q80" s="2816"/>
      <c r="R80" s="2818">
        <f>Q79*(1+$R$50)</f>
        <v>36.328499999999998</v>
      </c>
      <c r="S80" s="2114">
        <f t="shared" ref="S80:X80" si="43">$R$80*(1+S69)</f>
        <v>37.781640000000003</v>
      </c>
      <c r="T80" s="2114">
        <f t="shared" si="43"/>
        <v>39.292905599999997</v>
      </c>
      <c r="U80" s="2114">
        <f t="shared" si="43"/>
        <v>40.864621824000004</v>
      </c>
      <c r="V80" s="2114">
        <f t="shared" si="43"/>
        <v>42.499206696959995</v>
      </c>
      <c r="W80" s="2114">
        <f t="shared" si="43"/>
        <v>44.199174964838392</v>
      </c>
      <c r="X80" s="2115">
        <f t="shared" si="43"/>
        <v>45.967141963431928</v>
      </c>
    </row>
    <row r="81" spans="2:24">
      <c r="B81" s="1446">
        <f t="shared" si="38"/>
        <v>2026</v>
      </c>
      <c r="C81" s="1287"/>
      <c r="D81" s="2116"/>
      <c r="E81" s="2116"/>
      <c r="F81" s="2116"/>
      <c r="G81" s="2116"/>
      <c r="H81" s="2117"/>
      <c r="I81" s="2117">
        <f>H80*$F$50+H80</f>
        <v>29.097779264930001</v>
      </c>
      <c r="J81" s="2114">
        <f>$I$81*(1+J70)</f>
        <v>29.970712642877903</v>
      </c>
      <c r="K81" s="2114">
        <f>$I$81*(1+K70)</f>
        <v>30.869834022164238</v>
      </c>
      <c r="L81" s="2115">
        <f>$I$81*(1+L70)</f>
        <v>31.795929042829165</v>
      </c>
      <c r="N81" s="1446">
        <f t="shared" si="40"/>
        <v>2024</v>
      </c>
      <c r="O81" s="1461"/>
      <c r="P81" s="2816"/>
      <c r="Q81" s="2816"/>
      <c r="R81" s="2816"/>
      <c r="S81" s="2818">
        <f>R80*(1+$R$50)</f>
        <v>37.599997499999994</v>
      </c>
      <c r="T81" s="2114">
        <f>$S$81*(1+T70)</f>
        <v>39.103997399999997</v>
      </c>
      <c r="U81" s="2114">
        <f>$S$81*(1+U70)</f>
        <v>40.66815729599999</v>
      </c>
      <c r="V81" s="2114">
        <f>$S$81*(1+V70)</f>
        <v>42.294883587839998</v>
      </c>
      <c r="W81" s="2114">
        <f>$S$81*(1+W70)</f>
        <v>43.986678931353595</v>
      </c>
      <c r="X81" s="2115">
        <f>$S$81*(1+X70)</f>
        <v>45.74614608860773</v>
      </c>
    </row>
    <row r="82" spans="2:24">
      <c r="B82" s="1446">
        <f t="shared" si="38"/>
        <v>2027</v>
      </c>
      <c r="C82" s="1287"/>
      <c r="D82" s="2116"/>
      <c r="E82" s="2116"/>
      <c r="F82" s="2116"/>
      <c r="G82" s="2116"/>
      <c r="H82" s="2117"/>
      <c r="I82" s="2117"/>
      <c r="J82" s="2117">
        <f>I81*$F$50+I81</f>
        <v>29.970712642877899</v>
      </c>
      <c r="K82" s="2114">
        <f>$J$82*(1+K71)</f>
        <v>30.869834022164238</v>
      </c>
      <c r="L82" s="2115">
        <f>$J$82*(1+L71)</f>
        <v>31.795929042829162</v>
      </c>
      <c r="N82" s="1446">
        <f t="shared" si="40"/>
        <v>2025</v>
      </c>
      <c r="O82" s="1461"/>
      <c r="P82" s="2816"/>
      <c r="Q82" s="2816"/>
      <c r="R82" s="2816"/>
      <c r="S82" s="2816"/>
      <c r="T82" s="2818">
        <f>S81*(1+$R$50)</f>
        <v>38.915997412499991</v>
      </c>
      <c r="U82" s="2114">
        <f>$T$82*(1+U71)</f>
        <v>40.472637308999992</v>
      </c>
      <c r="V82" s="2114">
        <f>$T$82*(1+V71)</f>
        <v>42.091542801359985</v>
      </c>
      <c r="W82" s="2114">
        <f>$T$82*(1+W71)</f>
        <v>43.775204513414394</v>
      </c>
      <c r="X82" s="2115">
        <f>$T$82*(1+X71)</f>
        <v>45.526212693950967</v>
      </c>
    </row>
    <row r="83" spans="2:24">
      <c r="B83" s="1446">
        <f t="shared" si="38"/>
        <v>2028</v>
      </c>
      <c r="C83" s="1287"/>
      <c r="D83" s="2116"/>
      <c r="E83" s="2116"/>
      <c r="F83" s="2116"/>
      <c r="G83" s="2116"/>
      <c r="H83" s="2117"/>
      <c r="I83" s="2117"/>
      <c r="J83" s="2117"/>
      <c r="K83" s="2117">
        <f>J82*$F$50+J82</f>
        <v>30.869834022164238</v>
      </c>
      <c r="L83" s="2115">
        <f>$K$83*(1+L72)</f>
        <v>31.795929042829165</v>
      </c>
      <c r="N83" s="1446">
        <f t="shared" si="40"/>
        <v>2026</v>
      </c>
      <c r="O83" s="1461"/>
      <c r="P83" s="2816"/>
      <c r="Q83" s="2816"/>
      <c r="R83" s="2816"/>
      <c r="S83" s="2816"/>
      <c r="T83" s="2817"/>
      <c r="U83" s="2818">
        <f>T82*(1+$R$50)</f>
        <v>40.278057321937489</v>
      </c>
      <c r="V83" s="2114">
        <f>$U$83*(1+V72)</f>
        <v>41.889179614814992</v>
      </c>
      <c r="W83" s="2114">
        <f>$U$83*(1+W72)</f>
        <v>43.564746799407587</v>
      </c>
      <c r="X83" s="2115">
        <f>$U$83*(1+X72)</f>
        <v>45.307336671383894</v>
      </c>
    </row>
    <row r="84" spans="2:24">
      <c r="B84" s="1446">
        <f t="shared" si="38"/>
        <v>2029</v>
      </c>
      <c r="C84" s="1287"/>
      <c r="D84" s="2116"/>
      <c r="E84" s="2116"/>
      <c r="F84" s="2116"/>
      <c r="G84" s="2116"/>
      <c r="H84" s="2117"/>
      <c r="I84" s="2117"/>
      <c r="J84" s="2117"/>
      <c r="K84" s="2117"/>
      <c r="L84" s="2118">
        <f>K83*$F$50+K83</f>
        <v>31.795929042829165</v>
      </c>
      <c r="N84" s="1446">
        <f t="shared" si="40"/>
        <v>2027</v>
      </c>
      <c r="O84" s="1461"/>
      <c r="P84" s="2816"/>
      <c r="Q84" s="2816"/>
      <c r="R84" s="2816"/>
      <c r="S84" s="2816"/>
      <c r="T84" s="2817"/>
      <c r="U84" s="2817"/>
      <c r="V84" s="2818">
        <f>U83*(1+$R$50)</f>
        <v>41.687789328205298</v>
      </c>
      <c r="W84" s="2114">
        <f>$V$84*(1+W73)</f>
        <v>43.355300901333514</v>
      </c>
      <c r="X84" s="2115">
        <f>$V$84*(1+X73)</f>
        <v>45.089512937386843</v>
      </c>
    </row>
    <row r="85" spans="2:24">
      <c r="B85" s="1037"/>
      <c r="C85" s="1287"/>
      <c r="D85" s="1287"/>
      <c r="E85" s="1287"/>
      <c r="F85" s="1287"/>
      <c r="G85" s="1287"/>
      <c r="H85" s="1287"/>
      <c r="I85" s="1287"/>
      <c r="J85" s="1287"/>
      <c r="K85" s="1287"/>
      <c r="L85" s="1467"/>
      <c r="N85" s="1037"/>
      <c r="O85" s="1461"/>
      <c r="P85" s="1461"/>
      <c r="Q85" s="1461"/>
      <c r="R85" s="1461"/>
      <c r="S85" s="1461"/>
      <c r="T85" s="1461"/>
      <c r="U85" s="1461"/>
      <c r="V85" s="1461"/>
      <c r="W85" s="1461"/>
      <c r="X85" s="1467"/>
    </row>
    <row r="86" spans="2:24">
      <c r="B86" s="1037" t="s">
        <v>313</v>
      </c>
      <c r="C86" s="1287"/>
      <c r="D86" s="2111"/>
      <c r="E86" s="1287"/>
      <c r="F86" s="1287"/>
      <c r="G86" s="1287"/>
      <c r="H86" s="1287"/>
      <c r="I86" s="1287"/>
      <c r="J86" s="1287"/>
      <c r="K86" s="1287"/>
      <c r="L86" s="1467"/>
      <c r="N86" s="1037" t="s">
        <v>313</v>
      </c>
      <c r="O86" s="1461"/>
      <c r="P86" s="2776"/>
      <c r="Q86" s="1461"/>
      <c r="R86" s="1461"/>
      <c r="S86" s="1461"/>
      <c r="T86" s="1461"/>
      <c r="U86" s="1461"/>
      <c r="V86" s="1461"/>
      <c r="W86" s="1461"/>
      <c r="X86" s="1467"/>
    </row>
    <row r="87" spans="2:24">
      <c r="B87" s="1446">
        <f t="shared" ref="B87:B95" si="44">B76</f>
        <v>2021</v>
      </c>
      <c r="C87" s="1287"/>
      <c r="D87" s="2101"/>
      <c r="E87" s="2119">
        <f t="shared" ref="E87:L89" si="45">E76-D76</f>
        <v>0.75300000000000011</v>
      </c>
      <c r="F87" s="2119">
        <f t="shared" si="45"/>
        <v>0.77558999999999756</v>
      </c>
      <c r="G87" s="2119">
        <f t="shared" si="45"/>
        <v>0.79885770000000278</v>
      </c>
      <c r="H87" s="2119">
        <f t="shared" si="45"/>
        <v>0.82282343099999622</v>
      </c>
      <c r="I87" s="2119">
        <f t="shared" si="45"/>
        <v>0.84750813393000612</v>
      </c>
      <c r="J87" s="2119">
        <f t="shared" si="45"/>
        <v>0.87293337794789494</v>
      </c>
      <c r="K87" s="2119">
        <f t="shared" si="45"/>
        <v>0</v>
      </c>
      <c r="L87" s="2120">
        <f t="shared" si="45"/>
        <v>0</v>
      </c>
      <c r="N87" s="1446">
        <f>N76</f>
        <v>2019</v>
      </c>
      <c r="O87" s="1461"/>
      <c r="P87" s="2101"/>
      <c r="Q87" s="2119">
        <f>Q76-P76</f>
        <v>1.3500000000000014</v>
      </c>
      <c r="R87" s="2119">
        <f t="shared" ref="R87:X87" si="46">R76-Q76</f>
        <v>1.4039999999999964</v>
      </c>
      <c r="S87" s="2119">
        <f t="shared" si="46"/>
        <v>1.4601600000000019</v>
      </c>
      <c r="T87" s="2119">
        <f t="shared" si="46"/>
        <v>1.5185663999999974</v>
      </c>
      <c r="U87" s="2119">
        <f t="shared" si="46"/>
        <v>1.5793090559999996</v>
      </c>
      <c r="V87" s="2119">
        <f t="shared" si="46"/>
        <v>1.6424814182400027</v>
      </c>
      <c r="W87" s="2119">
        <f t="shared" si="46"/>
        <v>1.7081806749696042</v>
      </c>
      <c r="X87" s="2120">
        <f t="shared" si="46"/>
        <v>1.7765079019683796</v>
      </c>
    </row>
    <row r="88" spans="2:24">
      <c r="B88" s="1446">
        <f t="shared" si="44"/>
        <v>2022</v>
      </c>
      <c r="C88" s="1287"/>
      <c r="D88" s="2101"/>
      <c r="E88" s="2125">
        <f>E77-D76</f>
        <v>0.75300000000000011</v>
      </c>
      <c r="F88" s="2119">
        <f t="shared" si="45"/>
        <v>0.77559000000000111</v>
      </c>
      <c r="G88" s="2119">
        <f t="shared" si="45"/>
        <v>0.79885769999999923</v>
      </c>
      <c r="H88" s="2119">
        <f t="shared" si="45"/>
        <v>0.82282343099999977</v>
      </c>
      <c r="I88" s="2119">
        <f t="shared" si="45"/>
        <v>0.84750813392999902</v>
      </c>
      <c r="J88" s="2119">
        <f t="shared" si="45"/>
        <v>0.87293337794790204</v>
      </c>
      <c r="K88" s="2119">
        <f t="shared" si="45"/>
        <v>0.89912137928633484</v>
      </c>
      <c r="L88" s="2120">
        <f t="shared" si="45"/>
        <v>0</v>
      </c>
      <c r="N88" s="1446">
        <f>N77</f>
        <v>2020</v>
      </c>
      <c r="O88" s="1461"/>
      <c r="P88" s="2101"/>
      <c r="Q88" s="2119">
        <f t="shared" ref="Q88:X91" si="47">Q77-P77</f>
        <v>1.3500000000000014</v>
      </c>
      <c r="R88" s="2119">
        <f t="shared" si="47"/>
        <v>1.4039999999999964</v>
      </c>
      <c r="S88" s="2119">
        <f t="shared" si="47"/>
        <v>1.4601600000000019</v>
      </c>
      <c r="T88" s="2119">
        <f t="shared" si="47"/>
        <v>1.5185663999999974</v>
      </c>
      <c r="U88" s="2119">
        <f t="shared" si="47"/>
        <v>1.5793090559999996</v>
      </c>
      <c r="V88" s="2119">
        <f t="shared" si="47"/>
        <v>1.6424814182400027</v>
      </c>
      <c r="W88" s="2119">
        <f t="shared" si="47"/>
        <v>1.7081806749696042</v>
      </c>
      <c r="X88" s="2120">
        <f t="shared" si="47"/>
        <v>1.7765079019683796</v>
      </c>
    </row>
    <row r="89" spans="2:24">
      <c r="B89" s="1446">
        <f t="shared" si="44"/>
        <v>2023</v>
      </c>
      <c r="C89" s="1287"/>
      <c r="D89" s="2101"/>
      <c r="E89" s="2101"/>
      <c r="F89" s="2125">
        <f>F78-E77</f>
        <v>0.77559000000000111</v>
      </c>
      <c r="G89" s="2126">
        <f t="shared" si="45"/>
        <v>0.79885769999999923</v>
      </c>
      <c r="H89" s="2126">
        <f t="shared" si="45"/>
        <v>0.82282343099999977</v>
      </c>
      <c r="I89" s="2126">
        <f t="shared" si="45"/>
        <v>0.84750813393000257</v>
      </c>
      <c r="J89" s="2119">
        <f t="shared" si="45"/>
        <v>0.87293337794789494</v>
      </c>
      <c r="K89" s="2119">
        <f t="shared" si="45"/>
        <v>0.89912137928634195</v>
      </c>
      <c r="L89" s="2120">
        <f t="shared" si="45"/>
        <v>0.92609502066492411</v>
      </c>
      <c r="N89" s="1446">
        <f>N78</f>
        <v>2021</v>
      </c>
      <c r="O89" s="1461"/>
      <c r="P89" s="2101"/>
      <c r="Q89" s="2119">
        <f>Q78-P78</f>
        <v>1.3500000000000014</v>
      </c>
      <c r="R89" s="2119">
        <f t="shared" si="47"/>
        <v>1.4039999999999964</v>
      </c>
      <c r="S89" s="2119">
        <f t="shared" si="47"/>
        <v>1.4601600000000019</v>
      </c>
      <c r="T89" s="2119">
        <f t="shared" si="47"/>
        <v>1.5185663999999974</v>
      </c>
      <c r="U89" s="2119">
        <f t="shared" si="47"/>
        <v>1.5793090559999996</v>
      </c>
      <c r="V89" s="2119">
        <f t="shared" si="47"/>
        <v>1.6424814182400027</v>
      </c>
      <c r="W89" s="2119">
        <f t="shared" si="47"/>
        <v>1.7081806749696042</v>
      </c>
      <c r="X89" s="2120">
        <f t="shared" si="47"/>
        <v>1.7765079019683796</v>
      </c>
    </row>
    <row r="90" spans="2:24">
      <c r="B90" s="1446">
        <f t="shared" si="44"/>
        <v>2024</v>
      </c>
      <c r="C90" s="1287"/>
      <c r="D90" s="2101"/>
      <c r="E90" s="2101"/>
      <c r="F90" s="2125"/>
      <c r="G90" s="2125">
        <f>G79-F78</f>
        <v>0.79885769999999923</v>
      </c>
      <c r="H90" s="2126">
        <f>H79-G79</f>
        <v>0.82282343099999977</v>
      </c>
      <c r="I90" s="2126">
        <f>I79-H79</f>
        <v>0.84750813392999902</v>
      </c>
      <c r="J90" s="2119">
        <f>J79-I79</f>
        <v>0.87293337794790204</v>
      </c>
      <c r="K90" s="2119">
        <f>K79-J79</f>
        <v>0.89912137928633484</v>
      </c>
      <c r="L90" s="2120">
        <f>L79-K79</f>
        <v>0.92609502066493121</v>
      </c>
      <c r="N90" s="1446">
        <f t="shared" ref="N90:N95" si="48">N79</f>
        <v>2022</v>
      </c>
      <c r="O90" s="1461"/>
      <c r="P90" s="2101"/>
      <c r="Q90" s="2119">
        <f t="shared" si="47"/>
        <v>1.3500000000000014</v>
      </c>
      <c r="R90" s="2119">
        <f t="shared" si="47"/>
        <v>1.4039999999999964</v>
      </c>
      <c r="S90" s="2119">
        <f t="shared" si="47"/>
        <v>1.4601600000000019</v>
      </c>
      <c r="T90" s="2119">
        <f t="shared" si="47"/>
        <v>1.5185663999999974</v>
      </c>
      <c r="U90" s="2119">
        <f t="shared" si="47"/>
        <v>1.5793090559999996</v>
      </c>
      <c r="V90" s="2119">
        <f t="shared" si="47"/>
        <v>1.6424814182400027</v>
      </c>
      <c r="W90" s="2119">
        <f t="shared" si="47"/>
        <v>1.7081806749696042</v>
      </c>
      <c r="X90" s="2120">
        <f t="shared" si="47"/>
        <v>1.7765079019683796</v>
      </c>
    </row>
    <row r="91" spans="2:24">
      <c r="B91" s="1446">
        <f t="shared" si="44"/>
        <v>2025</v>
      </c>
      <c r="C91" s="1287"/>
      <c r="D91" s="2101"/>
      <c r="E91" s="2101"/>
      <c r="F91" s="2125"/>
      <c r="G91" s="2125"/>
      <c r="H91" s="2125">
        <f>H80-G79</f>
        <v>0.82282343099999977</v>
      </c>
      <c r="I91" s="2126">
        <f>I80-H80</f>
        <v>0.84750813393000257</v>
      </c>
      <c r="J91" s="2119">
        <f>J80-I80</f>
        <v>0.87293337794789494</v>
      </c>
      <c r="K91" s="2119">
        <f>K80-J80</f>
        <v>0.8991213792863384</v>
      </c>
      <c r="L91" s="2120">
        <f>L80-K80</f>
        <v>0.92609502066492766</v>
      </c>
      <c r="N91" s="1446">
        <f t="shared" si="48"/>
        <v>2023</v>
      </c>
      <c r="O91" s="1461"/>
      <c r="P91" s="2101"/>
      <c r="Q91" s="2819"/>
      <c r="R91" s="2819"/>
      <c r="S91" s="2119">
        <f t="shared" si="47"/>
        <v>1.4531400000000048</v>
      </c>
      <c r="T91" s="2119">
        <f t="shared" si="47"/>
        <v>1.5112655999999944</v>
      </c>
      <c r="U91" s="2119">
        <f t="shared" si="47"/>
        <v>1.5717162240000064</v>
      </c>
      <c r="V91" s="2119">
        <f t="shared" si="47"/>
        <v>1.6345848729599908</v>
      </c>
      <c r="W91" s="2119">
        <f t="shared" si="47"/>
        <v>1.6999682678783969</v>
      </c>
      <c r="X91" s="2120">
        <f t="shared" si="47"/>
        <v>1.7679669985935362</v>
      </c>
    </row>
    <row r="92" spans="2:24">
      <c r="B92" s="1446">
        <f t="shared" si="44"/>
        <v>2026</v>
      </c>
      <c r="C92" s="1287"/>
      <c r="D92" s="2101"/>
      <c r="E92" s="2101"/>
      <c r="F92" s="2101"/>
      <c r="G92" s="2101"/>
      <c r="H92" s="2101"/>
      <c r="I92" s="2125">
        <f>I81-H80</f>
        <v>0.84750813392999902</v>
      </c>
      <c r="J92" s="2119">
        <f>J81-I81</f>
        <v>0.87293337794790204</v>
      </c>
      <c r="K92" s="2119">
        <f>K81-J81</f>
        <v>0.89912137928633484</v>
      </c>
      <c r="L92" s="2120">
        <f>L81-K81</f>
        <v>0.92609502066492766</v>
      </c>
      <c r="N92" s="1446">
        <f t="shared" si="48"/>
        <v>2024</v>
      </c>
      <c r="O92" s="1461"/>
      <c r="P92" s="2101"/>
      <c r="Q92" s="2819"/>
      <c r="R92" s="2819"/>
      <c r="S92" s="2819"/>
      <c r="T92" s="2119">
        <f>T81-S81</f>
        <v>1.5039999000000037</v>
      </c>
      <c r="U92" s="2119">
        <f>U81-T81</f>
        <v>1.5641598959999925</v>
      </c>
      <c r="V92" s="2119">
        <f>V81-U81</f>
        <v>1.6267262918400078</v>
      </c>
      <c r="W92" s="2119">
        <f>W81-V81</f>
        <v>1.6917953435135971</v>
      </c>
      <c r="X92" s="2120">
        <f>X81-W81</f>
        <v>1.7594671572541358</v>
      </c>
    </row>
    <row r="93" spans="2:24">
      <c r="B93" s="1446">
        <f t="shared" si="44"/>
        <v>2027</v>
      </c>
      <c r="C93" s="1287"/>
      <c r="D93" s="2101"/>
      <c r="E93" s="2101"/>
      <c r="F93" s="2101"/>
      <c r="G93" s="2101"/>
      <c r="H93" s="2101"/>
      <c r="I93" s="2101"/>
      <c r="J93" s="2125">
        <f>J82-I81</f>
        <v>0.87293337794789849</v>
      </c>
      <c r="K93" s="2119">
        <f>K82-J82</f>
        <v>0.8991213792863384</v>
      </c>
      <c r="L93" s="2120">
        <f>L82-K82</f>
        <v>0.92609502066492411</v>
      </c>
      <c r="N93" s="1446">
        <f t="shared" si="48"/>
        <v>2025</v>
      </c>
      <c r="O93" s="1461"/>
      <c r="P93" s="2101"/>
      <c r="Q93" s="2819"/>
      <c r="R93" s="2819"/>
      <c r="S93" s="2819"/>
      <c r="T93" s="2819"/>
      <c r="U93" s="2119">
        <f>U82-T82</f>
        <v>1.5566398965000019</v>
      </c>
      <c r="V93" s="2119">
        <f>V82-U82</f>
        <v>1.6189054923599926</v>
      </c>
      <c r="W93" s="2119">
        <f>W82-V82</f>
        <v>1.6836617120544091</v>
      </c>
      <c r="X93" s="2120">
        <f>X82-W82</f>
        <v>1.7510081805365729</v>
      </c>
    </row>
    <row r="94" spans="2:24">
      <c r="B94" s="1446">
        <f t="shared" si="44"/>
        <v>2028</v>
      </c>
      <c r="C94" s="1287"/>
      <c r="D94" s="2101"/>
      <c r="E94" s="2101"/>
      <c r="F94" s="2101"/>
      <c r="G94" s="2101"/>
      <c r="H94" s="2101"/>
      <c r="I94" s="2101"/>
      <c r="J94" s="2101"/>
      <c r="K94" s="2125">
        <f>K83-J82</f>
        <v>0.8991213792863384</v>
      </c>
      <c r="L94" s="2120">
        <f>L83-K83</f>
        <v>0.92609502066492766</v>
      </c>
      <c r="N94" s="1446">
        <f t="shared" si="48"/>
        <v>2026</v>
      </c>
      <c r="O94" s="1461"/>
      <c r="P94" s="2101"/>
      <c r="Q94" s="2819"/>
      <c r="R94" s="2819"/>
      <c r="S94" s="2819"/>
      <c r="T94" s="2819"/>
      <c r="U94" s="2819"/>
      <c r="V94" s="2119">
        <f>V83-U83</f>
        <v>1.6111222928775035</v>
      </c>
      <c r="W94" s="2119">
        <f>W83-V83</f>
        <v>1.6755671845925946</v>
      </c>
      <c r="X94" s="2120">
        <f>X83-W83</f>
        <v>1.7425898719763069</v>
      </c>
    </row>
    <row r="95" spans="2:24" ht="13.5" thickBot="1">
      <c r="B95" s="2121">
        <f t="shared" si="44"/>
        <v>2029</v>
      </c>
      <c r="C95" s="1524"/>
      <c r="D95" s="2122"/>
      <c r="E95" s="2122"/>
      <c r="F95" s="2122"/>
      <c r="G95" s="2122"/>
      <c r="H95" s="2122"/>
      <c r="I95" s="2122"/>
      <c r="J95" s="2122"/>
      <c r="K95" s="2122"/>
      <c r="L95" s="2128">
        <f>L84-K83</f>
        <v>0.92609502066492766</v>
      </c>
      <c r="N95" s="2121">
        <f t="shared" si="48"/>
        <v>2027</v>
      </c>
      <c r="O95" s="1524"/>
      <c r="P95" s="2122"/>
      <c r="Q95" s="2820"/>
      <c r="R95" s="2820"/>
      <c r="S95" s="2820"/>
      <c r="T95" s="2820"/>
      <c r="U95" s="2820"/>
      <c r="V95" s="2820"/>
      <c r="W95" s="2821">
        <f>W84-V84</f>
        <v>1.6675115731282162</v>
      </c>
      <c r="X95" s="2822">
        <f>X84-W84</f>
        <v>1.7342120360533286</v>
      </c>
    </row>
    <row r="96" spans="2:24" s="1582" customFormat="1"/>
    <row r="97" spans="2:24" s="1582" customFormat="1" ht="13.5" thickBot="1">
      <c r="B97" s="2124" t="str">
        <f>N104</f>
        <v>Selection individuelle</v>
      </c>
      <c r="C97" s="1582" t="s">
        <v>308</v>
      </c>
      <c r="F97" s="2096">
        <v>4.7500000000000001E-2</v>
      </c>
    </row>
    <row r="98" spans="2:24">
      <c r="B98" s="1712" t="s">
        <v>309</v>
      </c>
      <c r="C98" s="1726"/>
      <c r="D98" s="2097">
        <f>P121</f>
        <v>113.51</v>
      </c>
      <c r="E98" s="2098">
        <f>E124</f>
        <v>118.901725</v>
      </c>
      <c r="F98" s="2098">
        <f>F125</f>
        <v>124.5495569375</v>
      </c>
      <c r="G98" s="2098">
        <f>G126</f>
        <v>130.46566089203125</v>
      </c>
      <c r="H98" s="2098">
        <f>H127</f>
        <v>136.66277978440274</v>
      </c>
      <c r="I98" s="2098">
        <f>I128</f>
        <v>140.76266317793483</v>
      </c>
      <c r="J98" s="2098">
        <f>J129</f>
        <v>144.98554307327288</v>
      </c>
      <c r="K98" s="2098">
        <f>K130</f>
        <v>149.33510936547106</v>
      </c>
      <c r="L98" s="2099">
        <f>L131</f>
        <v>153.8151626464352</v>
      </c>
      <c r="N98" s="2131" t="s">
        <v>314</v>
      </c>
      <c r="O98" s="1574" t="s">
        <v>315</v>
      </c>
      <c r="P98" s="1574" t="s">
        <v>316</v>
      </c>
      <c r="Q98" s="1575" t="s">
        <v>316</v>
      </c>
      <c r="R98" s="1582"/>
      <c r="S98" s="1582"/>
      <c r="T98" s="1582"/>
      <c r="U98" s="1582"/>
      <c r="V98" s="1582"/>
      <c r="W98" s="1582"/>
      <c r="X98" s="1582"/>
    </row>
    <row r="99" spans="2:24">
      <c r="B99" s="1037"/>
      <c r="C99" s="1287"/>
      <c r="D99" s="1287"/>
      <c r="E99" s="1287"/>
      <c r="F99" s="1287"/>
      <c r="G99" s="1287"/>
      <c r="H99" s="1287"/>
      <c r="I99" s="1287"/>
      <c r="J99" s="1287"/>
      <c r="K99" s="1287"/>
      <c r="L99" s="1467"/>
      <c r="N99" s="1612"/>
      <c r="O99" s="2132" t="s">
        <v>317</v>
      </c>
      <c r="P99" s="2132" t="s">
        <v>317</v>
      </c>
      <c r="Q99" s="2133" t="s">
        <v>318</v>
      </c>
      <c r="R99" s="1582"/>
      <c r="S99" s="1582"/>
      <c r="T99" s="1582"/>
      <c r="U99" s="1582"/>
      <c r="V99" s="1582"/>
      <c r="W99" s="1582"/>
      <c r="X99" s="1582"/>
    </row>
    <row r="100" spans="2:24">
      <c r="B100" s="1037" t="s">
        <v>310</v>
      </c>
      <c r="C100" s="1287"/>
      <c r="D100" s="1492">
        <f>D53</f>
        <v>2023</v>
      </c>
      <c r="E100" s="1492">
        <f>E53</f>
        <v>2024</v>
      </c>
      <c r="F100" s="1492">
        <f>F53</f>
        <v>2025</v>
      </c>
      <c r="G100" s="1492">
        <f>G53</f>
        <v>2026</v>
      </c>
      <c r="H100" s="1492">
        <f>H53</f>
        <v>2027</v>
      </c>
      <c r="I100" s="1492">
        <f>H100+1</f>
        <v>2028</v>
      </c>
      <c r="J100" s="1492">
        <f>I100+1</f>
        <v>2029</v>
      </c>
      <c r="K100" s="1492">
        <f>J100+1</f>
        <v>2030</v>
      </c>
      <c r="L100" s="2100">
        <f>L53</f>
        <v>2031</v>
      </c>
      <c r="N100" s="1612" t="s">
        <v>198</v>
      </c>
      <c r="O100" s="1749">
        <v>18</v>
      </c>
      <c r="P100" s="2134">
        <f>O100/1.2</f>
        <v>15</v>
      </c>
      <c r="Q100" s="2135">
        <f>P100/RCV!$O$24</f>
        <v>7.6693782179432777</v>
      </c>
      <c r="R100" s="1582"/>
      <c r="S100" s="1582"/>
      <c r="T100" s="1582"/>
      <c r="U100" s="1582"/>
      <c r="V100" s="1582"/>
      <c r="W100" s="1582"/>
      <c r="X100" s="1582"/>
    </row>
    <row r="101" spans="2:24">
      <c r="B101" s="1446">
        <f>B123</f>
        <v>2019</v>
      </c>
      <c r="C101" s="1287"/>
      <c r="D101" s="2101"/>
      <c r="E101" s="2102">
        <v>0.05</v>
      </c>
      <c r="F101" s="2102">
        <v>0.05</v>
      </c>
      <c r="G101" s="2102">
        <v>0.05</v>
      </c>
      <c r="H101" s="2102">
        <v>0.05</v>
      </c>
      <c r="I101" s="2102">
        <v>0.05</v>
      </c>
      <c r="J101" s="2102">
        <v>0.05</v>
      </c>
      <c r="K101" s="2103">
        <v>0.05</v>
      </c>
      <c r="L101" s="2104">
        <v>0.05</v>
      </c>
      <c r="N101" s="1612" t="s">
        <v>196</v>
      </c>
      <c r="O101" s="1749">
        <v>18</v>
      </c>
      <c r="P101" s="2134">
        <f>O101/1.2</f>
        <v>15</v>
      </c>
      <c r="Q101" s="2135">
        <f>P101/RCV!$O$24</f>
        <v>7.6693782179432777</v>
      </c>
      <c r="R101" s="1582"/>
      <c r="S101" s="1582"/>
      <c r="T101" s="1582"/>
      <c r="U101" s="1582"/>
      <c r="V101" s="1582"/>
      <c r="W101" s="1582"/>
      <c r="X101" s="1582"/>
    </row>
    <row r="102" spans="2:24">
      <c r="B102" s="1446">
        <f t="shared" ref="B102:B109" si="49">B124</f>
        <v>2020</v>
      </c>
      <c r="C102" s="1287"/>
      <c r="D102" s="2101"/>
      <c r="E102" s="2103"/>
      <c r="F102" s="2102">
        <f t="shared" ref="F102:L102" si="50">E101</f>
        <v>0.05</v>
      </c>
      <c r="G102" s="2102">
        <f t="shared" si="50"/>
        <v>0.05</v>
      </c>
      <c r="H102" s="2102">
        <f t="shared" si="50"/>
        <v>0.05</v>
      </c>
      <c r="I102" s="2102">
        <f t="shared" si="50"/>
        <v>0.05</v>
      </c>
      <c r="J102" s="2102">
        <f t="shared" si="50"/>
        <v>0.05</v>
      </c>
      <c r="K102" s="2102">
        <f t="shared" si="50"/>
        <v>0.05</v>
      </c>
      <c r="L102" s="2104">
        <f t="shared" si="50"/>
        <v>0.05</v>
      </c>
      <c r="N102" s="1612" t="str">
        <f>Sale!B6</f>
        <v>Classic</v>
      </c>
      <c r="O102" s="1749">
        <v>38.5</v>
      </c>
      <c r="P102" s="2134">
        <f>O102/1.2</f>
        <v>32.083333333333336</v>
      </c>
      <c r="Q102" s="2135">
        <f>P102/RCV!$O$24</f>
        <v>16.403947855045345</v>
      </c>
      <c r="R102" s="1582"/>
      <c r="S102" s="1582"/>
      <c r="T102" s="1582"/>
      <c r="U102" s="1582"/>
      <c r="V102" s="1582"/>
      <c r="W102" s="1582"/>
      <c r="X102" s="1582"/>
    </row>
    <row r="103" spans="2:24">
      <c r="B103" s="1446">
        <f t="shared" si="49"/>
        <v>2021</v>
      </c>
      <c r="C103" s="1287"/>
      <c r="D103" s="2101"/>
      <c r="E103" s="2103"/>
      <c r="F103" s="2103"/>
      <c r="G103" s="2102">
        <f t="shared" ref="G103:L103" si="51">F102</f>
        <v>0.05</v>
      </c>
      <c r="H103" s="2102">
        <f t="shared" si="51"/>
        <v>0.05</v>
      </c>
      <c r="I103" s="2102">
        <f t="shared" si="51"/>
        <v>0.05</v>
      </c>
      <c r="J103" s="2102">
        <f t="shared" si="51"/>
        <v>0.05</v>
      </c>
      <c r="K103" s="2102">
        <f t="shared" si="51"/>
        <v>0.05</v>
      </c>
      <c r="L103" s="2105">
        <f t="shared" si="51"/>
        <v>0.05</v>
      </c>
      <c r="N103" s="1612" t="str">
        <f>Sale!B7</f>
        <v>Premium</v>
      </c>
      <c r="O103" s="2136">
        <f>P103*1.2</f>
        <v>44.592923999999996</v>
      </c>
      <c r="P103" s="2134">
        <f>Q103*RCV!$O$24</f>
        <v>37.160769999999999</v>
      </c>
      <c r="Q103" s="2135">
        <v>19</v>
      </c>
      <c r="R103" s="1582"/>
      <c r="S103" s="1582"/>
      <c r="T103" s="1582"/>
      <c r="U103" s="1582"/>
      <c r="V103" s="1582"/>
      <c r="W103" s="1582"/>
      <c r="X103" s="1582"/>
    </row>
    <row r="104" spans="2:24" ht="13.5" thickBot="1">
      <c r="B104" s="1446">
        <f t="shared" si="49"/>
        <v>2022</v>
      </c>
      <c r="C104" s="1287"/>
      <c r="D104" s="2101"/>
      <c r="E104" s="2103"/>
      <c r="F104" s="2103"/>
      <c r="G104" s="2103"/>
      <c r="H104" s="2102">
        <f>G103</f>
        <v>0.05</v>
      </c>
      <c r="I104" s="2102">
        <f>H103</f>
        <v>0.05</v>
      </c>
      <c r="J104" s="2102">
        <f>I103</f>
        <v>0.05</v>
      </c>
      <c r="K104" s="2102">
        <f>J103</f>
        <v>0.05</v>
      </c>
      <c r="L104" s="2105">
        <f>K103</f>
        <v>0.05</v>
      </c>
      <c r="N104" s="1662" t="str">
        <f>Sale!B8</f>
        <v>Selection individuelle</v>
      </c>
      <c r="O104" s="1663">
        <f>P104*1.2</f>
        <v>82.144859999999994</v>
      </c>
      <c r="P104" s="2137">
        <f>Q104*RCV!$O$24</f>
        <v>68.454049999999995</v>
      </c>
      <c r="Q104" s="2138">
        <v>35</v>
      </c>
      <c r="R104" s="1582"/>
      <c r="S104" s="1582"/>
      <c r="T104" s="1582"/>
      <c r="U104" s="1582"/>
      <c r="V104" s="1582"/>
      <c r="W104" s="1582"/>
      <c r="X104" s="1582"/>
    </row>
    <row r="105" spans="2:24">
      <c r="B105" s="1446">
        <f t="shared" si="49"/>
        <v>2023</v>
      </c>
      <c r="C105" s="1287"/>
      <c r="D105" s="2101"/>
      <c r="E105" s="2101"/>
      <c r="F105" s="2101"/>
      <c r="G105" s="2101"/>
      <c r="H105" s="2101"/>
      <c r="I105" s="2102">
        <f>H104</f>
        <v>0.05</v>
      </c>
      <c r="J105" s="2102">
        <f>I104</f>
        <v>0.05</v>
      </c>
      <c r="K105" s="2102">
        <f>J104</f>
        <v>0.05</v>
      </c>
      <c r="L105" s="2105">
        <f>K104</f>
        <v>0.05</v>
      </c>
      <c r="P105" s="2139"/>
      <c r="Q105" s="1582"/>
      <c r="R105" s="1582"/>
      <c r="S105" s="1582"/>
      <c r="T105" s="1582"/>
      <c r="U105" s="1582"/>
      <c r="V105" s="1582"/>
      <c r="W105" s="1582"/>
      <c r="X105" s="1582"/>
    </row>
    <row r="106" spans="2:24">
      <c r="B106" s="1446">
        <f t="shared" si="49"/>
        <v>2024</v>
      </c>
      <c r="C106" s="1287"/>
      <c r="D106" s="2101"/>
      <c r="E106" s="2101"/>
      <c r="F106" s="2101"/>
      <c r="G106" s="2101"/>
      <c r="H106" s="2101"/>
      <c r="I106" s="2101"/>
      <c r="J106" s="2102">
        <f>I105</f>
        <v>0.05</v>
      </c>
      <c r="K106" s="2102">
        <f>J105</f>
        <v>0.05</v>
      </c>
      <c r="L106" s="2105">
        <f>K105</f>
        <v>0.05</v>
      </c>
      <c r="O106" s="1434"/>
      <c r="P106" s="2140"/>
      <c r="Q106" s="1582"/>
      <c r="R106" s="1582"/>
      <c r="S106" s="1582"/>
      <c r="T106" s="1582"/>
      <c r="U106" s="1582"/>
      <c r="V106" s="1582"/>
      <c r="W106" s="1582"/>
      <c r="X106" s="1582"/>
    </row>
    <row r="107" spans="2:24">
      <c r="B107" s="1446">
        <f t="shared" si="49"/>
        <v>2025</v>
      </c>
      <c r="C107" s="1287"/>
      <c r="D107" s="2101"/>
      <c r="E107" s="2101"/>
      <c r="F107" s="2101"/>
      <c r="G107" s="2101"/>
      <c r="H107" s="2101"/>
      <c r="I107" s="2101"/>
      <c r="J107" s="2101"/>
      <c r="K107" s="2102">
        <f>J106</f>
        <v>0.05</v>
      </c>
      <c r="L107" s="2105">
        <f>K106</f>
        <v>0.05</v>
      </c>
      <c r="O107" s="2141"/>
      <c r="P107" s="1582"/>
      <c r="Q107" s="1582"/>
      <c r="R107" s="1582"/>
      <c r="S107" s="1582"/>
      <c r="T107" s="1582"/>
      <c r="U107" s="1582"/>
      <c r="V107" s="1582"/>
      <c r="W107" s="1582"/>
      <c r="X107" s="1582"/>
    </row>
    <row r="108" spans="2:24">
      <c r="B108" s="1446">
        <f t="shared" si="49"/>
        <v>2026</v>
      </c>
      <c r="C108" s="1287"/>
      <c r="D108" s="2101"/>
      <c r="E108" s="2101"/>
      <c r="F108" s="2101"/>
      <c r="G108" s="2101"/>
      <c r="H108" s="2101"/>
      <c r="I108" s="2101"/>
      <c r="J108" s="2101"/>
      <c r="K108" s="2101"/>
      <c r="L108" s="2105">
        <f>K107</f>
        <v>0.05</v>
      </c>
      <c r="N108" s="1618" t="str">
        <f t="shared" ref="N108:N113" si="52">N116</f>
        <v>Selling price (excl. VAT)</v>
      </c>
      <c r="O108" s="2141"/>
      <c r="P108" s="1584" t="s">
        <v>1195</v>
      </c>
      <c r="Q108" s="1584" t="s">
        <v>1196</v>
      </c>
      <c r="R108" s="1618" t="s">
        <v>945</v>
      </c>
      <c r="S108" s="1618"/>
      <c r="T108" s="1582"/>
      <c r="U108" s="1618"/>
      <c r="V108" s="1582"/>
      <c r="W108" s="1582"/>
      <c r="X108" s="1582"/>
    </row>
    <row r="109" spans="2:24">
      <c r="B109" s="1446">
        <f t="shared" si="49"/>
        <v>2027</v>
      </c>
      <c r="C109" s="1287"/>
      <c r="D109" s="2101"/>
      <c r="E109" s="2101"/>
      <c r="F109" s="2101"/>
      <c r="G109" s="2101"/>
      <c r="H109" s="2101"/>
      <c r="I109" s="2101"/>
      <c r="J109" s="2101"/>
      <c r="K109" s="2101"/>
      <c r="L109" s="2106"/>
      <c r="N109" s="1582" t="str">
        <f t="shared" si="52"/>
        <v>White</v>
      </c>
      <c r="P109" s="1434">
        <v>8</v>
      </c>
      <c r="Q109" s="1434">
        <v>16.87</v>
      </c>
      <c r="R109" s="1582" t="str">
        <f>N117</f>
        <v>White</v>
      </c>
      <c r="S109" s="1582"/>
      <c r="T109" s="1582"/>
      <c r="U109" s="1780">
        <f>E7</f>
        <v>2.5000000000000001E-2</v>
      </c>
      <c r="V109" s="1582"/>
      <c r="W109" s="2142"/>
      <c r="X109" s="2142"/>
    </row>
    <row r="110" spans="2:24">
      <c r="B110" s="1037"/>
      <c r="C110" s="1287"/>
      <c r="D110" s="2107"/>
      <c r="E110" s="2107"/>
      <c r="F110" s="2107"/>
      <c r="G110" s="2107"/>
      <c r="H110" s="2107"/>
      <c r="I110" s="2107"/>
      <c r="J110" s="2107"/>
      <c r="K110" s="2107"/>
      <c r="L110" s="2108"/>
      <c r="N110" s="1582" t="str">
        <f t="shared" si="52"/>
        <v>Rose</v>
      </c>
      <c r="P110" s="1434">
        <v>8</v>
      </c>
      <c r="Q110" s="1434">
        <v>16.87</v>
      </c>
      <c r="R110" s="1582" t="str">
        <f>N118</f>
        <v>Rose</v>
      </c>
      <c r="S110" s="1582"/>
      <c r="T110" s="1582"/>
      <c r="U110" s="1780">
        <f>Q7</f>
        <v>2.5000000000000001E-2</v>
      </c>
      <c r="V110" s="1582"/>
      <c r="W110" s="2142"/>
      <c r="X110" s="2142"/>
    </row>
    <row r="111" spans="2:24">
      <c r="B111" s="1037" t="s">
        <v>311</v>
      </c>
      <c r="C111" s="1287"/>
      <c r="D111" s="2107"/>
      <c r="E111" s="2107"/>
      <c r="F111" s="2107"/>
      <c r="G111" s="2107"/>
      <c r="H111" s="2107"/>
      <c r="I111" s="2107"/>
      <c r="J111" s="2107"/>
      <c r="K111" s="2107"/>
      <c r="L111" s="2108"/>
      <c r="N111" s="1582" t="str">
        <f t="shared" si="52"/>
        <v>Classic</v>
      </c>
      <c r="P111" s="1434">
        <f>Q102</f>
        <v>16.403947855045345</v>
      </c>
      <c r="Q111" s="1434">
        <v>25.1</v>
      </c>
      <c r="R111" s="1582" t="str">
        <f>N119</f>
        <v>Classic</v>
      </c>
      <c r="S111" s="1582"/>
      <c r="T111" s="1582"/>
      <c r="U111" s="1780">
        <f>E54</f>
        <v>0.03</v>
      </c>
      <c r="V111" s="1582"/>
      <c r="W111" s="2142"/>
      <c r="X111" s="2142"/>
    </row>
    <row r="112" spans="2:24">
      <c r="B112" s="1446">
        <f t="shared" ref="B112:B120" si="53">B101</f>
        <v>2019</v>
      </c>
      <c r="C112" s="1287"/>
      <c r="D112" s="2101"/>
      <c r="E112" s="2109">
        <f>E101</f>
        <v>0.05</v>
      </c>
      <c r="F112" s="2109">
        <f t="shared" ref="F112:L113" si="54">(1+E112)*(F101)+E112</f>
        <v>0.10250000000000001</v>
      </c>
      <c r="G112" s="2109">
        <f t="shared" si="54"/>
        <v>0.15762500000000002</v>
      </c>
      <c r="H112" s="2109">
        <f t="shared" si="54"/>
        <v>0.21550625000000001</v>
      </c>
      <c r="I112" s="2109">
        <f>(1+H112)*(I101)+H112</f>
        <v>0.27628156250000002</v>
      </c>
      <c r="J112" s="2109">
        <f>(1+I112)*(J101)+I112</f>
        <v>0.34009564062500003</v>
      </c>
      <c r="K112" s="2109">
        <f t="shared" si="54"/>
        <v>0.40710042265625002</v>
      </c>
      <c r="L112" s="2110">
        <f t="shared" si="54"/>
        <v>0.47745544378906252</v>
      </c>
      <c r="N112" s="1582" t="str">
        <f t="shared" si="52"/>
        <v>Premium</v>
      </c>
      <c r="P112" s="1434">
        <f>Q103</f>
        <v>19</v>
      </c>
      <c r="Q112" s="1434">
        <v>33.75</v>
      </c>
      <c r="R112" s="1582" t="str">
        <f>N120</f>
        <v>Premium</v>
      </c>
      <c r="S112" s="1582"/>
      <c r="T112" s="1582"/>
      <c r="U112" s="1780">
        <f>Q54</f>
        <v>0.04</v>
      </c>
      <c r="V112" s="1582"/>
      <c r="W112" s="1582"/>
      <c r="X112" s="1582"/>
    </row>
    <row r="113" spans="2:25">
      <c r="B113" s="1446">
        <f t="shared" si="53"/>
        <v>2020</v>
      </c>
      <c r="C113" s="1287"/>
      <c r="D113" s="2101"/>
      <c r="E113" s="2101"/>
      <c r="F113" s="2109">
        <f>F102</f>
        <v>0.05</v>
      </c>
      <c r="G113" s="2109">
        <f t="shared" si="54"/>
        <v>0.10250000000000001</v>
      </c>
      <c r="H113" s="2109">
        <f t="shared" si="54"/>
        <v>0.15762500000000002</v>
      </c>
      <c r="I113" s="2109">
        <f t="shared" si="54"/>
        <v>0.21550625000000001</v>
      </c>
      <c r="J113" s="2109">
        <f t="shared" si="54"/>
        <v>0.27628156250000002</v>
      </c>
      <c r="K113" s="2109">
        <f t="shared" si="54"/>
        <v>0.34009564062500003</v>
      </c>
      <c r="L113" s="2110">
        <f t="shared" si="54"/>
        <v>0.40710042265625002</v>
      </c>
      <c r="N113" s="1582" t="str">
        <f t="shared" si="52"/>
        <v>Selection individuelle</v>
      </c>
      <c r="P113" s="1434">
        <f>Q104</f>
        <v>35</v>
      </c>
      <c r="Q113" s="1434">
        <v>113.51</v>
      </c>
      <c r="R113" s="1582" t="str">
        <f>N121</f>
        <v>Selection individuelle</v>
      </c>
      <c r="S113" s="1582"/>
      <c r="T113" s="1582"/>
      <c r="U113" s="1780">
        <f>E101</f>
        <v>0.05</v>
      </c>
      <c r="V113" s="1582"/>
      <c r="W113" s="1582"/>
      <c r="X113" s="1582"/>
    </row>
    <row r="114" spans="2:25">
      <c r="B114" s="1446">
        <f t="shared" si="53"/>
        <v>2021</v>
      </c>
      <c r="C114" s="1287"/>
      <c r="D114" s="2101"/>
      <c r="E114" s="2101"/>
      <c r="F114" s="2101"/>
      <c r="G114" s="2109">
        <f>G103</f>
        <v>0.05</v>
      </c>
      <c r="H114" s="2109">
        <f>(1+G114)*(H103)+G114</f>
        <v>0.10250000000000001</v>
      </c>
      <c r="I114" s="2109">
        <f>(1+H114)*(I103)+H114</f>
        <v>0.15762500000000002</v>
      </c>
      <c r="J114" s="2109">
        <f>(1+I114)*(J103)+I114</f>
        <v>0.21550625000000001</v>
      </c>
      <c r="K114" s="2109">
        <f>(1+J114)*(K103)+J114</f>
        <v>0.27628156250000002</v>
      </c>
      <c r="L114" s="2110">
        <f>(1+K114)*(L103)+K114</f>
        <v>0.34009564062500003</v>
      </c>
      <c r="P114" s="1582"/>
      <c r="Q114" s="1582"/>
      <c r="R114" s="1582"/>
      <c r="S114" s="1582"/>
      <c r="T114" s="1582"/>
      <c r="U114" s="1582"/>
      <c r="V114" s="1582"/>
      <c r="W114" s="1582"/>
      <c r="X114" s="1582"/>
    </row>
    <row r="115" spans="2:25">
      <c r="B115" s="1446">
        <f t="shared" si="53"/>
        <v>2022</v>
      </c>
      <c r="C115" s="1287"/>
      <c r="D115" s="2101"/>
      <c r="E115" s="2101"/>
      <c r="F115" s="2101"/>
      <c r="G115" s="2101"/>
      <c r="H115" s="2109">
        <f>H104</f>
        <v>0.05</v>
      </c>
      <c r="I115" s="2109">
        <f>(1+H115)*(I104)+H115</f>
        <v>0.10250000000000001</v>
      </c>
      <c r="J115" s="2109">
        <f>(1+I115)*(J104)+I115</f>
        <v>0.15762500000000002</v>
      </c>
      <c r="K115" s="2109">
        <f>(1+J115)*(K104)+J115</f>
        <v>0.21550625000000001</v>
      </c>
      <c r="L115" s="2110">
        <f>(1+K115)*(L104)+K115</f>
        <v>0.27628156250000002</v>
      </c>
      <c r="P115" s="1582"/>
      <c r="Q115" s="1582"/>
      <c r="R115" s="1582"/>
      <c r="S115" s="1582"/>
      <c r="T115" s="1582"/>
      <c r="U115" s="1582"/>
      <c r="V115" s="1582"/>
      <c r="W115" s="1582"/>
      <c r="X115" s="1582"/>
    </row>
    <row r="116" spans="2:25">
      <c r="B116" s="1446">
        <f t="shared" si="53"/>
        <v>2023</v>
      </c>
      <c r="C116" s="1287"/>
      <c r="D116" s="2101"/>
      <c r="E116" s="2101"/>
      <c r="F116" s="2101"/>
      <c r="G116" s="2101"/>
      <c r="H116" s="2101"/>
      <c r="I116" s="2109">
        <f>(1+H116)*(I105)+H116</f>
        <v>0.05</v>
      </c>
      <c r="J116" s="2109">
        <f t="shared" ref="J116:L119" si="55">(1+I116)*(J105)+I116</f>
        <v>0.10250000000000001</v>
      </c>
      <c r="K116" s="2109">
        <f t="shared" si="55"/>
        <v>0.15762500000000002</v>
      </c>
      <c r="L116" s="2110">
        <f t="shared" si="55"/>
        <v>0.21550625000000001</v>
      </c>
      <c r="N116" s="1582" t="s">
        <v>944</v>
      </c>
      <c r="O116" s="2141"/>
      <c r="P116" s="1618">
        <f t="shared" ref="P116:V116" si="56">P53</f>
        <v>2023</v>
      </c>
      <c r="Q116" s="1618">
        <f t="shared" si="56"/>
        <v>2024</v>
      </c>
      <c r="R116" s="1618">
        <f t="shared" si="56"/>
        <v>2025</v>
      </c>
      <c r="S116" s="1618">
        <f t="shared" si="56"/>
        <v>2026</v>
      </c>
      <c r="T116" s="1618">
        <f t="shared" si="56"/>
        <v>2027</v>
      </c>
      <c r="U116" s="1618">
        <f t="shared" si="56"/>
        <v>2028</v>
      </c>
      <c r="V116" s="1618">
        <f t="shared" si="56"/>
        <v>2029</v>
      </c>
      <c r="W116" s="1582"/>
      <c r="X116" s="1582"/>
    </row>
    <row r="117" spans="2:25">
      <c r="B117" s="1446">
        <f t="shared" si="53"/>
        <v>2024</v>
      </c>
      <c r="C117" s="1287"/>
      <c r="D117" s="2101"/>
      <c r="E117" s="2101"/>
      <c r="F117" s="2101"/>
      <c r="G117" s="2101"/>
      <c r="H117" s="2101"/>
      <c r="I117" s="2101"/>
      <c r="J117" s="2109">
        <f t="shared" si="55"/>
        <v>0.05</v>
      </c>
      <c r="K117" s="2109">
        <f t="shared" si="55"/>
        <v>0.10250000000000001</v>
      </c>
      <c r="L117" s="2110">
        <f t="shared" si="55"/>
        <v>0.15762500000000002</v>
      </c>
      <c r="N117" s="1582" t="str">
        <f>N101</f>
        <v>White</v>
      </c>
      <c r="P117" s="1434">
        <f>Q109</f>
        <v>16.87</v>
      </c>
      <c r="Q117" s="1434">
        <f>Q30</f>
        <v>17.2074</v>
      </c>
      <c r="R117" s="1434">
        <f>R31</f>
        <v>17.551548</v>
      </c>
      <c r="S117" s="1434">
        <f>S32</f>
        <v>17.90257896</v>
      </c>
      <c r="T117" s="1434">
        <f>T33</f>
        <v>18.260630539200001</v>
      </c>
      <c r="U117" s="1434">
        <f>U34</f>
        <v>18.625843149984</v>
      </c>
      <c r="V117" s="1434">
        <f>V35</f>
        <v>18.998360012983682</v>
      </c>
      <c r="W117" s="1582"/>
      <c r="X117" s="1582"/>
    </row>
    <row r="118" spans="2:25">
      <c r="B118" s="1446">
        <f t="shared" si="53"/>
        <v>2025</v>
      </c>
      <c r="C118" s="1287"/>
      <c r="D118" s="2101"/>
      <c r="E118" s="2101"/>
      <c r="F118" s="2101"/>
      <c r="G118" s="2101"/>
      <c r="H118" s="2101"/>
      <c r="I118" s="2101"/>
      <c r="J118" s="2101"/>
      <c r="K118" s="2109">
        <f t="shared" si="55"/>
        <v>0.05</v>
      </c>
      <c r="L118" s="2110">
        <f t="shared" si="55"/>
        <v>0.10250000000000001</v>
      </c>
      <c r="N118" s="1582" t="str">
        <f>N100</f>
        <v>Rose</v>
      </c>
      <c r="P118" s="1434">
        <f>Q110</f>
        <v>16.87</v>
      </c>
      <c r="Q118" s="1434">
        <f t="shared" ref="Q118:V118" si="57">Q117</f>
        <v>17.2074</v>
      </c>
      <c r="R118" s="1434">
        <f t="shared" si="57"/>
        <v>17.551548</v>
      </c>
      <c r="S118" s="1434">
        <f t="shared" si="57"/>
        <v>17.90257896</v>
      </c>
      <c r="T118" s="1434">
        <f t="shared" si="57"/>
        <v>18.260630539200001</v>
      </c>
      <c r="U118" s="1434">
        <f t="shared" si="57"/>
        <v>18.625843149984</v>
      </c>
      <c r="V118" s="1434">
        <f t="shared" si="57"/>
        <v>18.998360012983682</v>
      </c>
      <c r="W118" s="1582"/>
      <c r="X118" s="1582"/>
      <c r="Y118" s="1287"/>
    </row>
    <row r="119" spans="2:25">
      <c r="B119" s="1446">
        <f t="shared" si="53"/>
        <v>2026</v>
      </c>
      <c r="C119" s="1287"/>
      <c r="D119" s="2101"/>
      <c r="E119" s="2101"/>
      <c r="F119" s="2101"/>
      <c r="G119" s="2101"/>
      <c r="H119" s="2101"/>
      <c r="I119" s="2101"/>
      <c r="J119" s="2101"/>
      <c r="K119" s="2101"/>
      <c r="L119" s="2110">
        <f t="shared" si="55"/>
        <v>0.05</v>
      </c>
      <c r="N119" s="1582" t="str">
        <f>N102</f>
        <v>Classic</v>
      </c>
      <c r="P119" s="1434">
        <f>Q111</f>
        <v>25.1</v>
      </c>
      <c r="Q119" s="1434">
        <f t="shared" ref="Q119:V119" si="58">E51</f>
        <v>25.853000000000002</v>
      </c>
      <c r="R119" s="1434">
        <f t="shared" si="58"/>
        <v>26.628590000000003</v>
      </c>
      <c r="S119" s="1434">
        <f t="shared" si="58"/>
        <v>27.427447700000002</v>
      </c>
      <c r="T119" s="1434">
        <f t="shared" si="58"/>
        <v>28.250271131000002</v>
      </c>
      <c r="U119" s="1434">
        <f t="shared" si="58"/>
        <v>29.097779264930001</v>
      </c>
      <c r="V119" s="1434">
        <f t="shared" si="58"/>
        <v>29.970712642877899</v>
      </c>
      <c r="W119" s="1582"/>
      <c r="X119" s="1582"/>
    </row>
    <row r="120" spans="2:25">
      <c r="B120" s="1446">
        <f t="shared" si="53"/>
        <v>2027</v>
      </c>
      <c r="C120" s="1287"/>
      <c r="D120" s="2101"/>
      <c r="E120" s="2101"/>
      <c r="F120" s="2101"/>
      <c r="G120" s="2101"/>
      <c r="H120" s="2101"/>
      <c r="I120" s="2101"/>
      <c r="J120" s="2101"/>
      <c r="K120" s="2101"/>
      <c r="L120" s="2106"/>
      <c r="N120" s="1582" t="str">
        <f>N103</f>
        <v>Premium</v>
      </c>
      <c r="P120" s="1434">
        <f>Q112</f>
        <v>33.75</v>
      </c>
      <c r="Q120" s="1434">
        <f t="shared" ref="Q120:V120" si="59">Q51</f>
        <v>35.1</v>
      </c>
      <c r="R120" s="1434">
        <f t="shared" si="59"/>
        <v>36.503999999999998</v>
      </c>
      <c r="S120" s="1434">
        <f t="shared" si="59"/>
        <v>37.96416</v>
      </c>
      <c r="T120" s="1434">
        <f t="shared" si="59"/>
        <v>39.292905599999997</v>
      </c>
      <c r="U120" s="1434">
        <f t="shared" si="59"/>
        <v>40.66815729599999</v>
      </c>
      <c r="V120" s="1434">
        <f t="shared" si="59"/>
        <v>42.091542801359985</v>
      </c>
      <c r="W120" s="1582"/>
      <c r="X120" s="1582"/>
    </row>
    <row r="121" spans="2:25">
      <c r="B121" s="1037"/>
      <c r="C121" s="1287"/>
      <c r="D121" s="1287"/>
      <c r="E121" s="1287"/>
      <c r="F121" s="1287"/>
      <c r="G121" s="1287"/>
      <c r="H121" s="1287"/>
      <c r="I121" s="1287"/>
      <c r="J121" s="1287"/>
      <c r="K121" s="1287"/>
      <c r="L121" s="1467"/>
      <c r="N121" s="1582" t="str">
        <f>N104</f>
        <v>Selection individuelle</v>
      </c>
      <c r="P121" s="1434">
        <v>113.51</v>
      </c>
      <c r="Q121" s="1434">
        <f t="shared" ref="Q121:V121" si="60">E98</f>
        <v>118.901725</v>
      </c>
      <c r="R121" s="1434">
        <f t="shared" si="60"/>
        <v>124.5495569375</v>
      </c>
      <c r="S121" s="1434">
        <f t="shared" si="60"/>
        <v>130.46566089203125</v>
      </c>
      <c r="T121" s="1434">
        <f t="shared" si="60"/>
        <v>136.66277978440274</v>
      </c>
      <c r="U121" s="1434">
        <f t="shared" si="60"/>
        <v>140.76266317793483</v>
      </c>
      <c r="V121" s="1434">
        <f t="shared" si="60"/>
        <v>144.98554307327288</v>
      </c>
      <c r="W121" s="1582"/>
      <c r="X121" s="1582"/>
    </row>
    <row r="122" spans="2:25">
      <c r="B122" s="1037" t="s">
        <v>312</v>
      </c>
      <c r="C122" s="1287"/>
      <c r="D122" s="1287"/>
      <c r="E122" s="1287"/>
      <c r="F122" s="1287"/>
      <c r="G122" s="1287"/>
      <c r="H122" s="1287"/>
      <c r="I122" s="1287"/>
      <c r="J122" s="1287"/>
      <c r="K122" s="1287"/>
      <c r="L122" s="1467"/>
      <c r="P122" s="1582"/>
      <c r="Q122" s="1582"/>
      <c r="R122" s="1582"/>
      <c r="S122" s="1582"/>
      <c r="T122" s="1582"/>
      <c r="U122" s="1582"/>
      <c r="V122" s="1582"/>
      <c r="W122" s="1582"/>
      <c r="X122" s="1582"/>
    </row>
    <row r="123" spans="2:25">
      <c r="B123" s="1446">
        <f>D100-Sale!C189</f>
        <v>2019</v>
      </c>
      <c r="C123" s="1287"/>
      <c r="D123" s="2113">
        <f>Q113</f>
        <v>113.51</v>
      </c>
      <c r="E123" s="2114">
        <f t="shared" ref="E123:L123" si="61">$D$123*(1+E112)</f>
        <v>119.1855</v>
      </c>
      <c r="F123" s="2114">
        <f t="shared" si="61"/>
        <v>125.14477500000001</v>
      </c>
      <c r="G123" s="2114">
        <f t="shared" si="61"/>
        <v>131.40201375000001</v>
      </c>
      <c r="H123" s="2114">
        <f t="shared" si="61"/>
        <v>137.97211443750001</v>
      </c>
      <c r="I123" s="2114">
        <f t="shared" si="61"/>
        <v>144.870720159375</v>
      </c>
      <c r="J123" s="2114">
        <f t="shared" si="61"/>
        <v>152.11425616734374</v>
      </c>
      <c r="K123" s="2114">
        <f t="shared" si="61"/>
        <v>159.71996897571094</v>
      </c>
      <c r="L123" s="2115">
        <f t="shared" si="61"/>
        <v>167.70596742449649</v>
      </c>
      <c r="P123" s="1582"/>
      <c r="Q123" s="1582"/>
      <c r="R123" s="1582"/>
      <c r="S123" s="1582"/>
      <c r="T123" s="1582"/>
      <c r="U123" s="1582"/>
      <c r="V123" s="1582"/>
      <c r="W123" s="1582"/>
      <c r="X123" s="1582"/>
    </row>
    <row r="124" spans="2:25">
      <c r="B124" s="1446">
        <f>B123+1</f>
        <v>2020</v>
      </c>
      <c r="C124" s="1287"/>
      <c r="D124" s="2116"/>
      <c r="E124" s="2117">
        <f>D123*$F$97+D123</f>
        <v>118.901725</v>
      </c>
      <c r="F124" s="2114">
        <f t="shared" ref="F124:L124" si="62">$E$124*(1+F113)</f>
        <v>124.84681125</v>
      </c>
      <c r="G124" s="2114">
        <f t="shared" si="62"/>
        <v>131.08915181250001</v>
      </c>
      <c r="H124" s="2114">
        <f t="shared" si="62"/>
        <v>137.643609403125</v>
      </c>
      <c r="I124" s="2114">
        <f t="shared" si="62"/>
        <v>144.52578987328124</v>
      </c>
      <c r="J124" s="2114">
        <f t="shared" si="62"/>
        <v>151.75207936694531</v>
      </c>
      <c r="K124" s="2114">
        <f t="shared" si="62"/>
        <v>159.33968333529256</v>
      </c>
      <c r="L124" s="2115">
        <f t="shared" si="62"/>
        <v>167.30666750205719</v>
      </c>
      <c r="P124" s="1582"/>
      <c r="Q124" s="1582"/>
      <c r="R124" s="1582"/>
      <c r="S124" s="1582"/>
      <c r="T124" s="1582"/>
      <c r="U124" s="1582"/>
      <c r="V124" s="1582"/>
      <c r="W124" s="1582"/>
      <c r="X124" s="1582"/>
    </row>
    <row r="125" spans="2:25">
      <c r="B125" s="1446">
        <f t="shared" ref="B125:B131" si="63">B124+1</f>
        <v>2021</v>
      </c>
      <c r="C125" s="1287"/>
      <c r="D125" s="2116"/>
      <c r="E125" s="2116"/>
      <c r="F125" s="2117">
        <f>E124*$F$97+E124</f>
        <v>124.5495569375</v>
      </c>
      <c r="G125" s="2114">
        <f t="shared" ref="G125:L125" si="64">$F$125*(1+G114)</f>
        <v>130.77703478437502</v>
      </c>
      <c r="H125" s="2114">
        <f t="shared" si="64"/>
        <v>137.31588652359375</v>
      </c>
      <c r="I125" s="2114">
        <f t="shared" si="64"/>
        <v>144.18168084977341</v>
      </c>
      <c r="J125" s="2114">
        <f t="shared" si="64"/>
        <v>151.3907648922621</v>
      </c>
      <c r="K125" s="2114">
        <f t="shared" si="64"/>
        <v>158.96030313687521</v>
      </c>
      <c r="L125" s="2115">
        <f t="shared" si="64"/>
        <v>166.90831829371896</v>
      </c>
      <c r="P125" s="1582"/>
      <c r="Q125" s="1582"/>
      <c r="R125" s="1582"/>
      <c r="S125" s="1582"/>
      <c r="T125" s="1582"/>
      <c r="U125" s="1582"/>
      <c r="V125" s="1582"/>
      <c r="W125" s="1582"/>
      <c r="X125" s="1582"/>
    </row>
    <row r="126" spans="2:25">
      <c r="B126" s="1446">
        <f t="shared" si="63"/>
        <v>2022</v>
      </c>
      <c r="C126" s="1287"/>
      <c r="D126" s="2116"/>
      <c r="E126" s="2116"/>
      <c r="F126" s="2116"/>
      <c r="G126" s="2117">
        <f>F125*$F$97+F125</f>
        <v>130.46566089203125</v>
      </c>
      <c r="H126" s="2114">
        <f>$G$126*(1+H115)</f>
        <v>136.98894393663281</v>
      </c>
      <c r="I126" s="2114">
        <f>$G$126*(1+I115)</f>
        <v>143.83839113346446</v>
      </c>
      <c r="J126" s="2114">
        <f>$G$126*(1+J115)</f>
        <v>151.03031069013767</v>
      </c>
      <c r="K126" s="2114">
        <f>$G$126*(1+K115)</f>
        <v>158.58182622464457</v>
      </c>
      <c r="L126" s="2115">
        <f>$G$126*(1+L115)</f>
        <v>166.51091753587679</v>
      </c>
      <c r="P126" s="1582"/>
      <c r="Q126" s="1582"/>
      <c r="R126" s="1582"/>
      <c r="S126" s="1582"/>
      <c r="T126" s="1582"/>
      <c r="U126" s="1582"/>
      <c r="V126" s="1582"/>
      <c r="W126" s="1582"/>
      <c r="X126" s="1582"/>
    </row>
    <row r="127" spans="2:25">
      <c r="B127" s="1446">
        <f t="shared" si="63"/>
        <v>2023</v>
      </c>
      <c r="C127" s="1287"/>
      <c r="D127" s="2116"/>
      <c r="E127" s="2116"/>
      <c r="F127" s="2116"/>
      <c r="G127" s="2116"/>
      <c r="H127" s="2117">
        <f>G126*$F$97+G126</f>
        <v>136.66277978440274</v>
      </c>
      <c r="I127" s="2114">
        <f>$H$127*(1+I116)</f>
        <v>143.49591877362289</v>
      </c>
      <c r="J127" s="2114">
        <f>$H$127*(1+J116)</f>
        <v>150.67071471230403</v>
      </c>
      <c r="K127" s="2114">
        <f>$H$127*(1+K116)</f>
        <v>158.20425044791921</v>
      </c>
      <c r="L127" s="2115">
        <f>$H$127*(1+L116)</f>
        <v>166.1144629703152</v>
      </c>
      <c r="P127" s="1582"/>
      <c r="Q127" s="1582"/>
      <c r="R127" s="1582"/>
      <c r="S127" s="1582"/>
      <c r="T127" s="1582"/>
      <c r="U127" s="1582"/>
      <c r="V127" s="1582"/>
      <c r="W127" s="1582"/>
      <c r="X127" s="1582"/>
    </row>
    <row r="128" spans="2:25">
      <c r="B128" s="1446">
        <f t="shared" si="63"/>
        <v>2024</v>
      </c>
      <c r="C128" s="1287"/>
      <c r="D128" s="2116"/>
      <c r="E128" s="2116"/>
      <c r="F128" s="2116"/>
      <c r="G128" s="2116"/>
      <c r="H128" s="2117"/>
      <c r="I128" s="2117">
        <f>H127*$F$50+H127</f>
        <v>140.76266317793483</v>
      </c>
      <c r="J128" s="2114">
        <f>$I$128*(1+J117)</f>
        <v>147.80079633683158</v>
      </c>
      <c r="K128" s="2114">
        <f>$I$128*(1+K117)</f>
        <v>155.19083615367316</v>
      </c>
      <c r="L128" s="2115">
        <f>$I$128*(1+L117)</f>
        <v>162.95037796135679</v>
      </c>
      <c r="P128" s="1582"/>
      <c r="Q128" s="1582"/>
      <c r="R128" s="1582"/>
      <c r="S128" s="1582"/>
      <c r="T128" s="1582"/>
      <c r="U128" s="1582"/>
      <c r="V128" s="1582"/>
      <c r="W128" s="1582"/>
      <c r="X128" s="1582"/>
    </row>
    <row r="129" spans="2:24">
      <c r="B129" s="1446">
        <f t="shared" si="63"/>
        <v>2025</v>
      </c>
      <c r="C129" s="1287"/>
      <c r="D129" s="2116"/>
      <c r="E129" s="2116"/>
      <c r="F129" s="2116"/>
      <c r="G129" s="2116"/>
      <c r="H129" s="2117"/>
      <c r="I129" s="2117"/>
      <c r="J129" s="2117">
        <f>I128*$F$50+I128</f>
        <v>144.98554307327288</v>
      </c>
      <c r="K129" s="2114">
        <f>$J$129*(1+K118)</f>
        <v>152.23482022693653</v>
      </c>
      <c r="L129" s="2115">
        <f>$J$129*(1+K117)</f>
        <v>159.84656123828336</v>
      </c>
      <c r="P129" s="1582"/>
      <c r="Q129" s="1582"/>
      <c r="R129" s="1582"/>
      <c r="S129" s="1582"/>
      <c r="T129" s="1582"/>
      <c r="U129" s="1582"/>
      <c r="V129" s="1582"/>
      <c r="W129" s="1582"/>
      <c r="X129" s="1582"/>
    </row>
    <row r="130" spans="2:24">
      <c r="B130" s="1446">
        <f t="shared" si="63"/>
        <v>2026</v>
      </c>
      <c r="C130" s="1287"/>
      <c r="D130" s="2116"/>
      <c r="E130" s="2116"/>
      <c r="F130" s="2116"/>
      <c r="G130" s="2116"/>
      <c r="H130" s="2117"/>
      <c r="I130" s="2117"/>
      <c r="J130" s="2117"/>
      <c r="K130" s="2117">
        <f>J129*$F$50+J129</f>
        <v>149.33510936547106</v>
      </c>
      <c r="L130" s="2115">
        <f>$K$130*(1+L119)</f>
        <v>156.80186483374462</v>
      </c>
      <c r="P130" s="1582"/>
      <c r="Q130" s="1582"/>
      <c r="R130" s="1582"/>
      <c r="S130" s="1582"/>
      <c r="T130" s="1582"/>
      <c r="U130" s="1582"/>
      <c r="V130" s="1582"/>
      <c r="W130" s="1582"/>
      <c r="X130" s="1582"/>
    </row>
    <row r="131" spans="2:24">
      <c r="B131" s="1446">
        <f t="shared" si="63"/>
        <v>2027</v>
      </c>
      <c r="C131" s="1287"/>
      <c r="D131" s="2116"/>
      <c r="E131" s="2116"/>
      <c r="F131" s="2116"/>
      <c r="G131" s="2116"/>
      <c r="H131" s="2117"/>
      <c r="I131" s="2117"/>
      <c r="J131" s="2117"/>
      <c r="K131" s="2117"/>
      <c r="L131" s="2118">
        <f>K130*$F$50+K130</f>
        <v>153.8151626464352</v>
      </c>
      <c r="P131" s="1582"/>
      <c r="Q131" s="1582"/>
      <c r="R131" s="1582"/>
      <c r="S131" s="1582"/>
      <c r="T131" s="1582"/>
      <c r="U131" s="1582"/>
      <c r="V131" s="1582"/>
      <c r="W131" s="1582"/>
      <c r="X131" s="1582"/>
    </row>
    <row r="132" spans="2:24">
      <c r="B132" s="1037"/>
      <c r="C132" s="1287"/>
      <c r="D132" s="1287"/>
      <c r="E132" s="1287"/>
      <c r="F132" s="1287"/>
      <c r="G132" s="1287"/>
      <c r="H132" s="1287"/>
      <c r="I132" s="1287"/>
      <c r="J132" s="1287"/>
      <c r="K132" s="1287"/>
      <c r="L132" s="1467"/>
      <c r="P132" s="1582"/>
      <c r="Q132" s="1582"/>
      <c r="R132" s="1582"/>
      <c r="S132" s="1582"/>
      <c r="T132" s="1582"/>
      <c r="U132" s="1582"/>
      <c r="V132" s="1582"/>
      <c r="W132" s="1582"/>
      <c r="X132" s="1582"/>
    </row>
    <row r="133" spans="2:24">
      <c r="B133" s="1037" t="s">
        <v>313</v>
      </c>
      <c r="C133" s="1287"/>
      <c r="D133" s="2111"/>
      <c r="E133" s="1287"/>
      <c r="F133" s="1287"/>
      <c r="G133" s="1287"/>
      <c r="H133" s="1287"/>
      <c r="I133" s="1287"/>
      <c r="J133" s="1287"/>
      <c r="K133" s="1287"/>
      <c r="L133" s="1467"/>
      <c r="P133" s="1582"/>
      <c r="Q133" s="1582"/>
      <c r="R133" s="1582"/>
      <c r="S133" s="1582"/>
      <c r="T133" s="1582"/>
      <c r="U133" s="1582"/>
      <c r="V133" s="1582"/>
      <c r="W133" s="1582"/>
      <c r="X133" s="1582"/>
    </row>
    <row r="134" spans="2:24">
      <c r="B134" s="1446">
        <f t="shared" ref="B134:B142" si="65">B123</f>
        <v>2019</v>
      </c>
      <c r="C134" s="1287"/>
      <c r="D134" s="2101"/>
      <c r="E134" s="2119">
        <f t="shared" ref="E134:L136" si="66">E123-D123</f>
        <v>5.6754999999999995</v>
      </c>
      <c r="F134" s="2119">
        <f t="shared" si="66"/>
        <v>5.9592750000000052</v>
      </c>
      <c r="G134" s="2119">
        <f t="shared" si="66"/>
        <v>6.2572387499999991</v>
      </c>
      <c r="H134" s="2119">
        <f t="shared" si="66"/>
        <v>6.5701006875000019</v>
      </c>
      <c r="I134" s="2119">
        <f t="shared" si="66"/>
        <v>6.8986057218749863</v>
      </c>
      <c r="J134" s="2119">
        <f t="shared" si="66"/>
        <v>7.2435360079687428</v>
      </c>
      <c r="K134" s="2119">
        <f t="shared" si="66"/>
        <v>7.6057128083672012</v>
      </c>
      <c r="L134" s="2120">
        <f t="shared" si="66"/>
        <v>7.9859984487855513</v>
      </c>
      <c r="P134" s="1582"/>
      <c r="Q134" s="1582"/>
      <c r="R134" s="1582"/>
      <c r="S134" s="1582"/>
      <c r="T134" s="1582"/>
      <c r="U134" s="1582"/>
      <c r="V134" s="1582"/>
      <c r="W134" s="1582"/>
      <c r="X134" s="1582"/>
    </row>
    <row r="135" spans="2:24">
      <c r="B135" s="1446">
        <f t="shared" si="65"/>
        <v>2020</v>
      </c>
      <c r="C135" s="1287"/>
      <c r="D135" s="2101"/>
      <c r="E135" s="2125">
        <f>E124-D123</f>
        <v>5.3917249999999939</v>
      </c>
      <c r="F135" s="2119">
        <f t="shared" si="66"/>
        <v>5.9450862500000028</v>
      </c>
      <c r="G135" s="2119">
        <f t="shared" si="66"/>
        <v>6.2423405625000044</v>
      </c>
      <c r="H135" s="2119">
        <f t="shared" si="66"/>
        <v>6.5544575906249918</v>
      </c>
      <c r="I135" s="2119">
        <f t="shared" si="66"/>
        <v>6.8821804701562428</v>
      </c>
      <c r="J135" s="2119">
        <f t="shared" si="66"/>
        <v>7.2262894936640691</v>
      </c>
      <c r="K135" s="2119">
        <f t="shared" si="66"/>
        <v>7.5876039683472527</v>
      </c>
      <c r="L135" s="2120">
        <f t="shared" si="66"/>
        <v>7.9669841667646324</v>
      </c>
      <c r="P135" s="1582"/>
      <c r="Q135" s="1582"/>
      <c r="R135" s="1582"/>
      <c r="S135" s="1582"/>
      <c r="T135" s="1582"/>
      <c r="U135" s="1582"/>
      <c r="V135" s="1582"/>
      <c r="W135" s="1582"/>
      <c r="X135" s="1582"/>
    </row>
    <row r="136" spans="2:24">
      <c r="B136" s="1446">
        <f t="shared" si="65"/>
        <v>2021</v>
      </c>
      <c r="C136" s="1287"/>
      <c r="D136" s="2101"/>
      <c r="E136" s="2101"/>
      <c r="F136" s="2125">
        <f>F125-E124</f>
        <v>5.6478319375000012</v>
      </c>
      <c r="G136" s="2126">
        <f t="shared" si="66"/>
        <v>6.2274778468750185</v>
      </c>
      <c r="H136" s="2126">
        <f t="shared" si="66"/>
        <v>6.5388517392187282</v>
      </c>
      <c r="I136" s="2126">
        <f t="shared" si="66"/>
        <v>6.8657943261796675</v>
      </c>
      <c r="J136" s="2119">
        <f t="shared" si="66"/>
        <v>7.2090840424886835</v>
      </c>
      <c r="K136" s="2119">
        <f t="shared" si="66"/>
        <v>7.5695382446131134</v>
      </c>
      <c r="L136" s="2120">
        <f t="shared" si="66"/>
        <v>7.948015156843752</v>
      </c>
      <c r="P136" s="1582"/>
      <c r="Q136" s="1582"/>
      <c r="R136" s="1582"/>
      <c r="S136" s="1582"/>
      <c r="T136" s="1582"/>
      <c r="U136" s="1582"/>
      <c r="V136" s="1582"/>
      <c r="W136" s="1582"/>
      <c r="X136" s="1582"/>
    </row>
    <row r="137" spans="2:24">
      <c r="B137" s="1446">
        <f t="shared" si="65"/>
        <v>2022</v>
      </c>
      <c r="C137" s="1287"/>
      <c r="D137" s="2101"/>
      <c r="E137" s="2101"/>
      <c r="F137" s="2125"/>
      <c r="G137" s="2125">
        <f>G126-F125</f>
        <v>5.9161039545312519</v>
      </c>
      <c r="H137" s="2126">
        <f>H126-G126</f>
        <v>6.5232830446015555</v>
      </c>
      <c r="I137" s="2126">
        <f>I126-H126</f>
        <v>6.8494471968316475</v>
      </c>
      <c r="J137" s="2119">
        <f>J126-I126</f>
        <v>7.1919195566732128</v>
      </c>
      <c r="K137" s="2119">
        <f>K126-J126</f>
        <v>7.5515155345069047</v>
      </c>
      <c r="L137" s="2120">
        <f>L126-K126</f>
        <v>7.929091311232213</v>
      </c>
      <c r="P137" s="1582"/>
      <c r="Q137" s="1582"/>
      <c r="R137" s="1582"/>
      <c r="S137" s="1582"/>
      <c r="T137" s="1582"/>
      <c r="U137" s="1582"/>
      <c r="V137" s="1582"/>
      <c r="W137" s="1582"/>
      <c r="X137" s="1582"/>
    </row>
    <row r="138" spans="2:24">
      <c r="B138" s="1446">
        <f t="shared" si="65"/>
        <v>2023</v>
      </c>
      <c r="C138" s="1287"/>
      <c r="D138" s="2101"/>
      <c r="E138" s="2101"/>
      <c r="F138" s="2125"/>
      <c r="G138" s="2125"/>
      <c r="H138" s="2125">
        <f>H127-G126</f>
        <v>6.1971188923714919</v>
      </c>
      <c r="I138" s="2126">
        <f>I127-H127</f>
        <v>6.8331389892201457</v>
      </c>
      <c r="J138" s="2119">
        <f>J127-I127</f>
        <v>7.1747959386811431</v>
      </c>
      <c r="K138" s="2119">
        <f>K127-J127</f>
        <v>7.5335357356151746</v>
      </c>
      <c r="L138" s="2120">
        <f>L127-K127</f>
        <v>7.9102125223959945</v>
      </c>
      <c r="P138" s="1582"/>
      <c r="Q138" s="1582"/>
      <c r="R138" s="1582"/>
      <c r="S138" s="1582"/>
      <c r="T138" s="1582"/>
      <c r="U138" s="1582"/>
      <c r="V138" s="1582"/>
      <c r="W138" s="1582"/>
      <c r="X138" s="1582"/>
    </row>
    <row r="139" spans="2:24">
      <c r="B139" s="1446">
        <f t="shared" si="65"/>
        <v>2024</v>
      </c>
      <c r="C139" s="1287"/>
      <c r="D139" s="2101"/>
      <c r="E139" s="2101"/>
      <c r="F139" s="2101"/>
      <c r="G139" s="2101"/>
      <c r="H139" s="2101"/>
      <c r="I139" s="2125">
        <f>I128-H127</f>
        <v>4.0998833935320818</v>
      </c>
      <c r="J139" s="2126">
        <f>J128-I128</f>
        <v>7.0381331588967555</v>
      </c>
      <c r="K139" s="2126">
        <f>K128-J128</f>
        <v>7.3900398168415791</v>
      </c>
      <c r="L139" s="2127">
        <f>L128-K128</f>
        <v>7.7595418076836324</v>
      </c>
      <c r="P139" s="1582"/>
      <c r="Q139" s="1582"/>
      <c r="R139" s="1582"/>
      <c r="S139" s="1582"/>
      <c r="T139" s="1582"/>
      <c r="U139" s="1582"/>
      <c r="V139" s="1582"/>
      <c r="W139" s="1582"/>
      <c r="X139" s="1582"/>
    </row>
    <row r="140" spans="2:24">
      <c r="B140" s="1446">
        <f t="shared" si="65"/>
        <v>2025</v>
      </c>
      <c r="C140" s="1287"/>
      <c r="D140" s="2101"/>
      <c r="E140" s="2101"/>
      <c r="F140" s="2101"/>
      <c r="G140" s="2101"/>
      <c r="H140" s="2101"/>
      <c r="I140" s="2125"/>
      <c r="J140" s="2125">
        <f>J129-I128</f>
        <v>4.2228798953380533</v>
      </c>
      <c r="K140" s="2126">
        <f>K129-J129</f>
        <v>7.2492771536636553</v>
      </c>
      <c r="L140" s="2127">
        <f>L129-K129</f>
        <v>7.6117410113468225</v>
      </c>
      <c r="P140" s="1582"/>
      <c r="Q140" s="1582"/>
      <c r="R140" s="1582"/>
      <c r="S140" s="1582"/>
      <c r="T140" s="1582"/>
      <c r="U140" s="1582"/>
      <c r="V140" s="1582"/>
      <c r="W140" s="1582"/>
      <c r="X140" s="1582"/>
    </row>
    <row r="141" spans="2:24">
      <c r="B141" s="1446">
        <f t="shared" si="65"/>
        <v>2026</v>
      </c>
      <c r="C141" s="1287"/>
      <c r="D141" s="2101"/>
      <c r="E141" s="2101"/>
      <c r="F141" s="2101"/>
      <c r="G141" s="2101"/>
      <c r="H141" s="2101"/>
      <c r="I141" s="2125"/>
      <c r="J141" s="2125"/>
      <c r="K141" s="2125">
        <f>K130-J129</f>
        <v>4.3495662921981761</v>
      </c>
      <c r="L141" s="2127">
        <f>L130-K130</f>
        <v>7.4667554682735613</v>
      </c>
      <c r="P141" s="1582"/>
      <c r="Q141" s="1582"/>
      <c r="R141" s="1582"/>
      <c r="S141" s="1582"/>
      <c r="T141" s="1582"/>
      <c r="U141" s="1582"/>
      <c r="V141" s="1582"/>
      <c r="W141" s="1582"/>
      <c r="X141" s="1582"/>
    </row>
    <row r="142" spans="2:24" ht="13.5" thickBot="1">
      <c r="B142" s="2121">
        <f t="shared" si="65"/>
        <v>2027</v>
      </c>
      <c r="C142" s="1524"/>
      <c r="D142" s="2122"/>
      <c r="E142" s="2122"/>
      <c r="F142" s="2122"/>
      <c r="G142" s="2122"/>
      <c r="H142" s="2122"/>
      <c r="I142" s="2129"/>
      <c r="J142" s="2129"/>
      <c r="K142" s="2129"/>
      <c r="L142" s="2130">
        <f>L131-K130</f>
        <v>4.4800532809641425</v>
      </c>
      <c r="P142" s="1582"/>
      <c r="Q142" s="1582"/>
      <c r="R142" s="1582"/>
      <c r="S142" s="1582"/>
      <c r="T142" s="1582"/>
      <c r="U142" s="1582"/>
      <c r="V142" s="1582"/>
      <c r="W142" s="1582"/>
      <c r="X142" s="1582"/>
    </row>
    <row r="143" spans="2:24" s="1582" customFormat="1"/>
    <row r="144" spans="2:24" s="1582" customFormat="1"/>
    <row r="145" s="1582" customFormat="1"/>
    <row r="146" s="1582" customFormat="1"/>
    <row r="147" s="1582" customFormat="1"/>
    <row r="148" s="1582" customFormat="1"/>
    <row r="149" s="1582" customFormat="1"/>
    <row r="150" s="1582" customFormat="1"/>
    <row r="151" s="1582" customFormat="1"/>
    <row r="152" s="1582" customFormat="1"/>
    <row r="153" s="1582" customFormat="1"/>
    <row r="154" s="1582" customFormat="1"/>
    <row r="155" s="1582" customFormat="1"/>
    <row r="156" s="1582" customFormat="1"/>
    <row r="157" s="1582" customFormat="1"/>
    <row r="158" s="1582" customFormat="1"/>
    <row r="159" s="1582" customFormat="1"/>
    <row r="160" s="1582" customFormat="1"/>
    <row r="161" s="1582" customFormat="1"/>
    <row r="162" s="1582" customFormat="1"/>
    <row r="163" s="1582" customFormat="1"/>
    <row r="164" s="1582" customFormat="1"/>
    <row r="165" s="1582" customFormat="1"/>
    <row r="166" s="1582" customFormat="1"/>
    <row r="167" s="1582" customFormat="1"/>
    <row r="168" s="1582" customFormat="1"/>
    <row r="169" s="1582" customFormat="1"/>
    <row r="170" s="1582" customFormat="1"/>
    <row r="171" s="1582" customFormat="1"/>
    <row r="172" s="1582" customFormat="1"/>
    <row r="173" s="1582" customFormat="1"/>
    <row r="174" s="1582" customFormat="1"/>
    <row r="175" s="1582" customFormat="1"/>
    <row r="176" s="1582" customFormat="1"/>
    <row r="177" s="1582" customFormat="1"/>
    <row r="178" s="1582" customFormat="1"/>
    <row r="179" s="1582" customFormat="1"/>
    <row r="180" s="1582" customFormat="1"/>
    <row r="181" s="1582" customFormat="1"/>
    <row r="182" s="1582" customFormat="1"/>
    <row r="183" s="1582" customFormat="1"/>
    <row r="184" s="1582" customFormat="1"/>
    <row r="185" s="1582" customFormat="1"/>
    <row r="186" s="1582" customFormat="1"/>
    <row r="187" s="1582" customFormat="1"/>
    <row r="188" s="1582" customFormat="1"/>
    <row r="189" s="1582" customFormat="1"/>
    <row r="190" s="1582" customFormat="1"/>
    <row r="191" s="1582" customFormat="1"/>
    <row r="192" s="1582" customFormat="1"/>
    <row r="193" s="1582" customFormat="1"/>
    <row r="194" s="1582" customFormat="1"/>
    <row r="195" s="1582" customFormat="1"/>
    <row r="196" s="1582" customFormat="1"/>
    <row r="197" s="1582" customFormat="1"/>
    <row r="198" s="1582" customFormat="1"/>
    <row r="199" s="1582" customFormat="1"/>
    <row r="200" s="1582" customFormat="1"/>
    <row r="201" s="1582" customFormat="1"/>
    <row r="202" s="1582" customFormat="1"/>
    <row r="203" s="1582" customFormat="1"/>
    <row r="204" s="1582" customFormat="1"/>
    <row r="205" s="1582" customFormat="1"/>
    <row r="206" s="1582" customFormat="1"/>
    <row r="207" s="1582" customFormat="1"/>
    <row r="208" s="1582" customFormat="1"/>
    <row r="209" s="1582" customFormat="1"/>
    <row r="210" s="1582" customFormat="1"/>
    <row r="211" s="1582" customFormat="1"/>
    <row r="212" s="1582" customFormat="1"/>
    <row r="213" s="1582" customFormat="1"/>
    <row r="214" s="1582" customFormat="1"/>
    <row r="215" s="1582" customFormat="1"/>
    <row r="216" s="1582" customFormat="1"/>
    <row r="217" s="1582" customFormat="1"/>
    <row r="218" s="1582" customFormat="1"/>
    <row r="219" s="1582" customFormat="1"/>
    <row r="220" s="1582" customFormat="1"/>
    <row r="221" s="1582" customFormat="1"/>
    <row r="222" s="1582" customFormat="1"/>
    <row r="223" s="1582" customFormat="1"/>
    <row r="224" s="1582" customFormat="1"/>
    <row r="225" s="1582" customFormat="1"/>
    <row r="226" s="1582" customFormat="1"/>
    <row r="227" s="1582" customFormat="1"/>
    <row r="228" s="1582" customFormat="1"/>
    <row r="229" s="1582" customFormat="1"/>
    <row r="230" s="1582" customFormat="1"/>
    <row r="231" s="1582" customFormat="1"/>
    <row r="232" s="1582" customFormat="1"/>
    <row r="233" s="1582" customFormat="1"/>
    <row r="234" s="1582" customFormat="1"/>
    <row r="235" s="1582" customFormat="1"/>
    <row r="236" s="1582" customFormat="1"/>
    <row r="237" s="1582" customFormat="1"/>
    <row r="238" s="1582" customFormat="1"/>
    <row r="239" s="1582" customFormat="1"/>
    <row r="240" s="1582" customFormat="1"/>
    <row r="241" s="1582" customFormat="1"/>
    <row r="242" s="1582" customFormat="1"/>
    <row r="243" s="1582" customFormat="1"/>
    <row r="244" s="1582" customFormat="1"/>
    <row r="245" s="1582" customFormat="1"/>
    <row r="246" s="1582" customFormat="1"/>
    <row r="247" s="1582" customFormat="1"/>
    <row r="248" s="1582" customFormat="1"/>
    <row r="249" s="1582" customFormat="1"/>
    <row r="250" s="1582" customFormat="1"/>
    <row r="251" s="1582" customFormat="1"/>
    <row r="252" s="1582" customFormat="1"/>
    <row r="253" s="1582" customFormat="1"/>
    <row r="254" s="1582" customFormat="1"/>
    <row r="255" s="1582" customFormat="1"/>
    <row r="256" s="1582" customFormat="1"/>
    <row r="257" s="1582" customFormat="1"/>
    <row r="258" s="1582" customFormat="1"/>
    <row r="259" s="1582" customFormat="1"/>
    <row r="260" s="1582" customFormat="1"/>
    <row r="261" s="1582" customFormat="1"/>
    <row r="262" s="1582" customFormat="1"/>
    <row r="263" s="1582" customFormat="1"/>
    <row r="264" s="1582" customFormat="1"/>
    <row r="265" s="1582" customFormat="1"/>
    <row r="266" s="1582" customFormat="1"/>
    <row r="267" s="1582" customFormat="1"/>
    <row r="268" s="1582" customFormat="1"/>
    <row r="269" s="1582" customFormat="1"/>
    <row r="270" s="1582" customFormat="1"/>
    <row r="271" s="1582" customFormat="1"/>
    <row r="272" s="1582" customFormat="1"/>
    <row r="273" spans="16:24" s="1582" customFormat="1"/>
    <row r="274" spans="16:24" s="1582" customFormat="1"/>
    <row r="275" spans="16:24" s="1582" customFormat="1"/>
    <row r="276" spans="16:24" s="1582" customFormat="1"/>
    <row r="277" spans="16:24" s="1582" customFormat="1"/>
    <row r="278" spans="16:24">
      <c r="P278" s="1582"/>
      <c r="Q278" s="1582"/>
      <c r="R278" s="1582"/>
      <c r="S278" s="1582"/>
      <c r="T278" s="1582"/>
      <c r="U278" s="1582"/>
      <c r="V278" s="1582"/>
      <c r="W278" s="1582"/>
      <c r="X278" s="1582"/>
    </row>
    <row r="279" spans="16:24">
      <c r="P279" s="1582"/>
      <c r="Q279" s="1582"/>
      <c r="R279" s="1582"/>
      <c r="S279" s="1582"/>
      <c r="T279" s="1582"/>
      <c r="U279" s="1582"/>
      <c r="V279" s="1582"/>
      <c r="W279" s="1582"/>
      <c r="X279" s="1582"/>
    </row>
    <row r="280" spans="16:24">
      <c r="P280" s="1582"/>
      <c r="Q280" s="1582"/>
      <c r="R280" s="1582"/>
      <c r="S280" s="1582"/>
      <c r="T280" s="1582"/>
      <c r="U280" s="1582"/>
      <c r="V280" s="1582"/>
      <c r="W280" s="1582"/>
      <c r="X280" s="1582"/>
    </row>
    <row r="281" spans="16:24">
      <c r="P281" s="1582"/>
      <c r="Q281" s="1582"/>
      <c r="R281" s="1582"/>
      <c r="S281" s="1582"/>
      <c r="T281" s="1582"/>
      <c r="U281" s="1582"/>
      <c r="V281" s="1582"/>
      <c r="W281" s="1582"/>
      <c r="X281" s="1582"/>
    </row>
    <row r="282" spans="16:24">
      <c r="P282" s="1582"/>
      <c r="Q282" s="1582"/>
      <c r="R282" s="1582"/>
      <c r="S282" s="1582"/>
      <c r="T282" s="1582"/>
      <c r="U282" s="1582"/>
      <c r="V282" s="1582"/>
      <c r="W282" s="1582"/>
      <c r="X282" s="1582"/>
    </row>
    <row r="283" spans="16:24">
      <c r="P283" s="1582"/>
      <c r="Q283" s="1582"/>
      <c r="R283" s="1582"/>
      <c r="S283" s="1582"/>
      <c r="T283" s="1582"/>
      <c r="U283" s="1582"/>
      <c r="V283" s="1582"/>
      <c r="W283" s="1582"/>
      <c r="X283" s="1582"/>
    </row>
    <row r="284" spans="16:24">
      <c r="P284" s="1582"/>
      <c r="Q284" s="1582"/>
      <c r="R284" s="1582"/>
      <c r="S284" s="1582"/>
      <c r="T284" s="1582"/>
      <c r="U284" s="1582"/>
      <c r="V284" s="1582"/>
      <c r="W284" s="1582"/>
      <c r="X284" s="1582"/>
    </row>
    <row r="285" spans="16:24">
      <c r="P285" s="1582"/>
      <c r="Q285" s="1582"/>
      <c r="R285" s="1582"/>
      <c r="S285" s="1582"/>
      <c r="T285" s="1582"/>
      <c r="U285" s="1582"/>
      <c r="V285" s="1582"/>
      <c r="W285" s="1582"/>
      <c r="X285" s="1582"/>
    </row>
    <row r="286" spans="16:24">
      <c r="P286" s="1582"/>
      <c r="Q286" s="1582"/>
      <c r="R286" s="1582"/>
      <c r="S286" s="1582"/>
      <c r="T286" s="1582"/>
      <c r="U286" s="1582"/>
      <c r="V286" s="1582"/>
      <c r="W286" s="1582"/>
      <c r="X286" s="1582"/>
    </row>
    <row r="287" spans="16:24">
      <c r="P287" s="1582"/>
      <c r="Q287" s="1582"/>
      <c r="R287" s="1582"/>
      <c r="S287" s="1582"/>
      <c r="T287" s="1582"/>
      <c r="U287" s="1582"/>
      <c r="V287" s="1582"/>
      <c r="W287" s="1582"/>
      <c r="X287" s="1582"/>
    </row>
    <row r="288" spans="16:24">
      <c r="P288" s="1582"/>
      <c r="Q288" s="1582"/>
      <c r="R288" s="1582"/>
      <c r="S288" s="1582"/>
      <c r="T288" s="1582"/>
      <c r="U288" s="1582"/>
      <c r="V288" s="1582"/>
      <c r="W288" s="1582"/>
      <c r="X288" s="1582"/>
    </row>
    <row r="289" spans="16:24">
      <c r="P289" s="1582"/>
      <c r="Q289" s="1582"/>
      <c r="R289" s="1582"/>
      <c r="S289" s="1582"/>
      <c r="T289" s="1582"/>
      <c r="U289" s="1582"/>
      <c r="V289" s="1582"/>
      <c r="W289" s="1582"/>
      <c r="X289" s="1582"/>
    </row>
    <row r="290" spans="16:24">
      <c r="P290" s="1582"/>
      <c r="Q290" s="1582"/>
      <c r="R290" s="1582"/>
      <c r="S290" s="1582"/>
      <c r="T290" s="1582"/>
      <c r="U290" s="1582"/>
      <c r="V290" s="1582"/>
      <c r="W290" s="1582"/>
      <c r="X290" s="1582"/>
    </row>
    <row r="291" spans="16:24">
      <c r="P291" s="1582"/>
      <c r="Q291" s="1582"/>
      <c r="R291" s="1582"/>
      <c r="S291" s="1582"/>
      <c r="T291" s="1582"/>
      <c r="U291" s="1582"/>
      <c r="V291" s="1582"/>
      <c r="W291" s="1582"/>
      <c r="X291" s="1582"/>
    </row>
    <row r="292" spans="16:24">
      <c r="P292" s="1582"/>
      <c r="Q292" s="1582"/>
      <c r="R292" s="1582"/>
      <c r="S292" s="1582"/>
      <c r="T292" s="1582"/>
      <c r="U292" s="1582"/>
      <c r="V292" s="1582"/>
      <c r="W292" s="1582"/>
      <c r="X292" s="1582"/>
    </row>
    <row r="293" spans="16:24">
      <c r="P293" s="1582"/>
      <c r="Q293" s="1582"/>
      <c r="R293" s="1582"/>
      <c r="S293" s="1582"/>
      <c r="T293" s="1582"/>
      <c r="U293" s="1582"/>
      <c r="V293" s="1582"/>
      <c r="W293" s="1582"/>
      <c r="X293" s="1582"/>
    </row>
    <row r="294" spans="16:24">
      <c r="P294" s="1582"/>
      <c r="Q294" s="1582"/>
      <c r="R294" s="1582"/>
      <c r="S294" s="1582"/>
      <c r="T294" s="1582"/>
      <c r="U294" s="1582"/>
      <c r="V294" s="1582"/>
      <c r="W294" s="1582"/>
      <c r="X294" s="1582"/>
    </row>
    <row r="295" spans="16:24">
      <c r="P295" s="1582"/>
      <c r="Q295" s="1582"/>
      <c r="R295" s="1582"/>
      <c r="S295" s="1582"/>
      <c r="T295" s="1582"/>
      <c r="U295" s="1582"/>
      <c r="V295" s="1582"/>
      <c r="W295" s="1582"/>
      <c r="X295" s="1582"/>
    </row>
    <row r="296" spans="16:24">
      <c r="P296" s="1582"/>
      <c r="Q296" s="1582"/>
      <c r="R296" s="1582"/>
      <c r="S296" s="1582"/>
      <c r="T296" s="1582"/>
      <c r="U296" s="1582"/>
      <c r="V296" s="1582"/>
      <c r="W296" s="1582"/>
      <c r="X296" s="1582"/>
    </row>
    <row r="297" spans="16:24">
      <c r="P297" s="1582"/>
      <c r="Q297" s="1582"/>
      <c r="R297" s="1582"/>
      <c r="S297" s="1582"/>
      <c r="T297" s="1582"/>
      <c r="U297" s="1582"/>
      <c r="V297" s="1582"/>
      <c r="W297" s="1582"/>
      <c r="X297" s="1582"/>
    </row>
    <row r="298" spans="16:24">
      <c r="P298" s="1582"/>
      <c r="Q298" s="1582"/>
      <c r="R298" s="1582"/>
      <c r="S298" s="1582"/>
      <c r="T298" s="1582"/>
      <c r="U298" s="1582"/>
      <c r="V298" s="1582"/>
      <c r="W298" s="1582"/>
      <c r="X298" s="1582"/>
    </row>
    <row r="299" spans="16:24">
      <c r="P299" s="1582"/>
      <c r="Q299" s="1582"/>
      <c r="R299" s="1582"/>
      <c r="S299" s="1582"/>
      <c r="T299" s="1582"/>
      <c r="U299" s="1582"/>
      <c r="V299" s="1582"/>
      <c r="W299" s="1582"/>
      <c r="X299" s="1582"/>
    </row>
    <row r="300" spans="16:24">
      <c r="P300" s="1582"/>
      <c r="Q300" s="1582"/>
      <c r="R300" s="1582"/>
      <c r="S300" s="1582"/>
      <c r="T300" s="1582"/>
      <c r="U300" s="1582"/>
      <c r="V300" s="1582"/>
      <c r="W300" s="1582"/>
      <c r="X300" s="1582"/>
    </row>
    <row r="301" spans="16:24">
      <c r="P301" s="1582"/>
      <c r="Q301" s="1582"/>
      <c r="R301" s="1582"/>
      <c r="S301" s="1582"/>
      <c r="T301" s="1582"/>
      <c r="U301" s="1582"/>
      <c r="V301" s="1582"/>
      <c r="W301" s="1582"/>
      <c r="X301" s="1582"/>
    </row>
    <row r="302" spans="16:24">
      <c r="P302" s="1582"/>
      <c r="Q302" s="1582"/>
      <c r="R302" s="1582"/>
      <c r="S302" s="1582"/>
      <c r="T302" s="1582"/>
      <c r="U302" s="1582"/>
      <c r="V302" s="1582"/>
      <c r="W302" s="1582"/>
      <c r="X302" s="1582"/>
    </row>
    <row r="303" spans="16:24">
      <c r="P303" s="1582"/>
      <c r="Q303" s="1582"/>
      <c r="R303" s="1582"/>
      <c r="S303" s="1582"/>
      <c r="T303" s="1582"/>
      <c r="U303" s="1582"/>
      <c r="V303" s="1582"/>
      <c r="W303" s="1582"/>
      <c r="X303" s="1582"/>
    </row>
    <row r="304" spans="16:24">
      <c r="P304" s="1582"/>
      <c r="Q304" s="1582"/>
      <c r="R304" s="1582"/>
      <c r="S304" s="1582"/>
      <c r="T304" s="1582"/>
      <c r="U304" s="1582"/>
      <c r="V304" s="1582"/>
      <c r="W304" s="1582"/>
      <c r="X304" s="1582"/>
    </row>
    <row r="305" spans="16:24">
      <c r="P305" s="1582"/>
      <c r="Q305" s="1582"/>
      <c r="R305" s="1582"/>
      <c r="S305" s="1582"/>
      <c r="T305" s="1582"/>
      <c r="U305" s="1582"/>
      <c r="V305" s="1582"/>
      <c r="W305" s="1582"/>
      <c r="X305" s="1582"/>
    </row>
    <row r="306" spans="16:24">
      <c r="P306" s="1582"/>
      <c r="Q306" s="1582"/>
      <c r="R306" s="1582"/>
      <c r="S306" s="1582"/>
      <c r="T306" s="1582"/>
      <c r="U306" s="1582"/>
      <c r="V306" s="1582"/>
      <c r="W306" s="1582"/>
      <c r="X306" s="1582"/>
    </row>
    <row r="307" spans="16:24">
      <c r="P307" s="1582"/>
      <c r="Q307" s="1582"/>
      <c r="R307" s="1582"/>
      <c r="S307" s="1582"/>
      <c r="T307" s="1582"/>
      <c r="U307" s="1582"/>
      <c r="V307" s="1582"/>
      <c r="W307" s="1582"/>
      <c r="X307" s="1582"/>
    </row>
    <row r="308" spans="16:24">
      <c r="P308" s="1582"/>
      <c r="Q308" s="1582"/>
      <c r="R308" s="1582"/>
      <c r="S308" s="1582"/>
      <c r="T308" s="1582"/>
      <c r="U308" s="1582"/>
      <c r="V308" s="1582"/>
      <c r="W308" s="1582"/>
      <c r="X308" s="1582"/>
    </row>
    <row r="309" spans="16:24">
      <c r="P309" s="1582"/>
      <c r="Q309" s="1582"/>
      <c r="R309" s="1582"/>
      <c r="S309" s="1582"/>
      <c r="T309" s="1582"/>
      <c r="U309" s="1582"/>
      <c r="V309" s="1582"/>
      <c r="W309" s="1582"/>
      <c r="X309" s="1582"/>
    </row>
    <row r="310" spans="16:24">
      <c r="P310" s="1582"/>
      <c r="Q310" s="1582"/>
      <c r="R310" s="1582"/>
      <c r="S310" s="1582"/>
      <c r="T310" s="1582"/>
      <c r="U310" s="1582"/>
      <c r="V310" s="1582"/>
      <c r="W310" s="1582"/>
      <c r="X310" s="1582"/>
    </row>
    <row r="311" spans="16:24">
      <c r="P311" s="1582"/>
      <c r="Q311" s="1582"/>
      <c r="R311" s="1582"/>
      <c r="S311" s="1582"/>
      <c r="T311" s="1582"/>
      <c r="U311" s="1582"/>
      <c r="V311" s="1582"/>
      <c r="W311" s="1582"/>
      <c r="X311" s="1582"/>
    </row>
    <row r="312" spans="16:24">
      <c r="P312" s="1582"/>
      <c r="Q312" s="1582"/>
      <c r="R312" s="1582"/>
      <c r="S312" s="1582"/>
      <c r="T312" s="1582"/>
      <c r="U312" s="1582"/>
      <c r="V312" s="1582"/>
      <c r="W312" s="1582"/>
      <c r="X312" s="1582"/>
    </row>
    <row r="313" spans="16:24">
      <c r="P313" s="1582"/>
      <c r="Q313" s="1582"/>
      <c r="R313" s="1582"/>
      <c r="S313" s="1582"/>
      <c r="T313" s="1582"/>
      <c r="U313" s="1582"/>
      <c r="V313" s="1582"/>
      <c r="W313" s="1582"/>
      <c r="X313" s="1582"/>
    </row>
    <row r="314" spans="16:24">
      <c r="P314" s="1582"/>
      <c r="Q314" s="1582"/>
      <c r="R314" s="1582"/>
      <c r="S314" s="1582"/>
      <c r="T314" s="1582"/>
      <c r="U314" s="1582"/>
      <c r="V314" s="1582"/>
      <c r="W314" s="1582"/>
      <c r="X314" s="1582"/>
    </row>
    <row r="315" spans="16:24">
      <c r="P315" s="1582"/>
      <c r="Q315" s="1582"/>
      <c r="R315" s="1582"/>
      <c r="S315" s="1582"/>
      <c r="T315" s="1582"/>
      <c r="U315" s="1582"/>
      <c r="V315" s="1582"/>
      <c r="W315" s="1582"/>
      <c r="X315" s="1582"/>
    </row>
    <row r="316" spans="16:24">
      <c r="P316" s="1582"/>
      <c r="Q316" s="1582"/>
      <c r="R316" s="1582"/>
      <c r="S316" s="1582"/>
      <c r="T316" s="1582"/>
      <c r="U316" s="1582"/>
      <c r="V316" s="1582"/>
      <c r="W316" s="1582"/>
      <c r="X316" s="1582"/>
    </row>
    <row r="317" spans="16:24">
      <c r="P317" s="1582"/>
      <c r="Q317" s="1582"/>
      <c r="R317" s="1582"/>
      <c r="S317" s="1582"/>
      <c r="T317" s="1582"/>
      <c r="U317" s="1582"/>
      <c r="V317" s="1582"/>
      <c r="W317" s="1582"/>
      <c r="X317" s="1582"/>
    </row>
    <row r="318" spans="16:24">
      <c r="P318" s="1582"/>
      <c r="Q318" s="1582"/>
      <c r="R318" s="1582"/>
      <c r="S318" s="1582"/>
      <c r="T318" s="1582"/>
      <c r="U318" s="1582"/>
      <c r="V318" s="1582"/>
      <c r="W318" s="1582"/>
      <c r="X318" s="1582"/>
    </row>
    <row r="319" spans="16:24">
      <c r="P319" s="1582"/>
      <c r="Q319" s="1582"/>
      <c r="R319" s="1582"/>
      <c r="S319" s="1582"/>
      <c r="T319" s="1582"/>
      <c r="U319" s="1582"/>
      <c r="V319" s="1582"/>
      <c r="W319" s="1582"/>
      <c r="X319" s="1582"/>
    </row>
    <row r="320" spans="16:24">
      <c r="P320" s="1582"/>
      <c r="Q320" s="1582"/>
      <c r="R320" s="1582"/>
      <c r="S320" s="1582"/>
      <c r="T320" s="1582"/>
      <c r="U320" s="1582"/>
      <c r="V320" s="1582"/>
      <c r="W320" s="1582"/>
      <c r="X320" s="1582"/>
    </row>
    <row r="321" spans="16:24">
      <c r="P321" s="1582"/>
      <c r="Q321" s="1582"/>
      <c r="R321" s="1582"/>
      <c r="S321" s="1582"/>
      <c r="T321" s="1582"/>
      <c r="U321" s="1582"/>
      <c r="V321" s="1582"/>
      <c r="W321" s="1582"/>
      <c r="X321" s="1582"/>
    </row>
    <row r="322" spans="16:24">
      <c r="P322" s="1582"/>
      <c r="Q322" s="1582"/>
      <c r="R322" s="1582"/>
      <c r="S322" s="1582"/>
      <c r="T322" s="1582"/>
      <c r="U322" s="1582"/>
      <c r="V322" s="1582"/>
      <c r="W322" s="1582"/>
      <c r="X322" s="1582"/>
    </row>
    <row r="323" spans="16:24">
      <c r="P323" s="1582"/>
      <c r="Q323" s="1582"/>
      <c r="R323" s="1582"/>
      <c r="S323" s="1582"/>
      <c r="T323" s="1582"/>
      <c r="U323" s="1582"/>
      <c r="V323" s="1582"/>
      <c r="W323" s="1582"/>
      <c r="X323" s="1582"/>
    </row>
    <row r="324" spans="16:24">
      <c r="P324" s="1582"/>
      <c r="Q324" s="1582"/>
      <c r="R324" s="1582"/>
      <c r="S324" s="1582"/>
      <c r="T324" s="1582"/>
      <c r="U324" s="1582"/>
      <c r="V324" s="1582"/>
      <c r="W324" s="1582"/>
      <c r="X324" s="1582"/>
    </row>
    <row r="325" spans="16:24">
      <c r="P325" s="1582"/>
      <c r="Q325" s="1582"/>
      <c r="R325" s="1582"/>
      <c r="S325" s="1582"/>
      <c r="T325" s="1582"/>
      <c r="U325" s="1582"/>
      <c r="V325" s="1582"/>
      <c r="W325" s="1582"/>
      <c r="X325" s="1582"/>
    </row>
    <row r="326" spans="16:24">
      <c r="P326" s="1582"/>
      <c r="Q326" s="1582"/>
      <c r="R326" s="1582"/>
      <c r="S326" s="1582"/>
      <c r="T326" s="1582"/>
      <c r="U326" s="1582"/>
      <c r="V326" s="1582"/>
      <c r="W326" s="1582"/>
      <c r="X326" s="1582"/>
    </row>
    <row r="327" spans="16:24">
      <c r="P327" s="1582"/>
      <c r="Q327" s="1582"/>
      <c r="R327" s="1582"/>
      <c r="S327" s="1582"/>
      <c r="T327" s="1582"/>
      <c r="U327" s="1582"/>
      <c r="V327" s="1582"/>
      <c r="W327" s="1582"/>
      <c r="X327" s="1582"/>
    </row>
    <row r="328" spans="16:24">
      <c r="P328" s="1582"/>
      <c r="Q328" s="1582"/>
      <c r="R328" s="1582"/>
      <c r="S328" s="1582"/>
      <c r="T328" s="1582"/>
      <c r="U328" s="1582"/>
      <c r="V328" s="1582"/>
      <c r="W328" s="1582"/>
      <c r="X328" s="1582"/>
    </row>
    <row r="329" spans="16:24">
      <c r="P329" s="1582"/>
      <c r="Q329" s="1582"/>
      <c r="R329" s="1582"/>
      <c r="S329" s="1582"/>
      <c r="T329" s="1582"/>
      <c r="U329" s="1582"/>
      <c r="V329" s="1582"/>
      <c r="W329" s="1582"/>
      <c r="X329" s="1582"/>
    </row>
    <row r="330" spans="16:24">
      <c r="P330" s="1582"/>
      <c r="Q330" s="1582"/>
      <c r="R330" s="1582"/>
      <c r="S330" s="1582"/>
      <c r="T330" s="1582"/>
      <c r="U330" s="1582"/>
      <c r="V330" s="1582"/>
      <c r="W330" s="1582"/>
      <c r="X330" s="1582"/>
    </row>
    <row r="331" spans="16:24">
      <c r="P331" s="1582"/>
      <c r="Q331" s="1582"/>
      <c r="R331" s="1582"/>
      <c r="S331" s="1582"/>
      <c r="T331" s="1582"/>
      <c r="U331" s="1582"/>
      <c r="V331" s="1582"/>
      <c r="W331" s="1582"/>
      <c r="X331" s="1582"/>
    </row>
    <row r="332" spans="16:24">
      <c r="P332" s="1582"/>
      <c r="Q332" s="1582"/>
      <c r="R332" s="1582"/>
      <c r="S332" s="1582"/>
      <c r="T332" s="1582"/>
      <c r="U332" s="1582"/>
      <c r="V332" s="1582"/>
      <c r="W332" s="1582"/>
      <c r="X332" s="1582"/>
    </row>
    <row r="333" spans="16:24">
      <c r="P333" s="1582"/>
      <c r="Q333" s="1582"/>
      <c r="R333" s="1582"/>
      <c r="S333" s="1582"/>
      <c r="T333" s="1582"/>
      <c r="U333" s="1582"/>
      <c r="V333" s="1582"/>
      <c r="W333" s="1582"/>
      <c r="X333" s="1582"/>
    </row>
    <row r="334" spans="16:24">
      <c r="P334" s="1582"/>
      <c r="Q334" s="1582"/>
      <c r="R334" s="1582"/>
      <c r="S334" s="1582"/>
      <c r="T334" s="1582"/>
      <c r="U334" s="1582"/>
      <c r="V334" s="1582"/>
      <c r="W334" s="1582"/>
      <c r="X334" s="1582"/>
    </row>
    <row r="335" spans="16:24">
      <c r="P335" s="1582"/>
      <c r="Q335" s="1582"/>
      <c r="R335" s="1582"/>
      <c r="S335" s="1582"/>
      <c r="T335" s="1582"/>
      <c r="U335" s="1582"/>
      <c r="V335" s="1582"/>
      <c r="W335" s="1582"/>
      <c r="X335" s="1582"/>
    </row>
    <row r="336" spans="16:24">
      <c r="P336" s="1582"/>
      <c r="Q336" s="1582"/>
      <c r="R336" s="1582"/>
      <c r="S336" s="1582"/>
      <c r="T336" s="1582"/>
      <c r="U336" s="1582"/>
      <c r="V336" s="1582"/>
      <c r="W336" s="1582"/>
      <c r="X336" s="1582"/>
    </row>
    <row r="337" spans="16:24">
      <c r="P337" s="1582"/>
      <c r="Q337" s="1582"/>
      <c r="R337" s="1582"/>
      <c r="S337" s="1582"/>
      <c r="T337" s="1582"/>
      <c r="U337" s="1582"/>
      <c r="V337" s="1582"/>
      <c r="W337" s="1582"/>
      <c r="X337" s="1582"/>
    </row>
    <row r="338" spans="16:24">
      <c r="P338" s="1582"/>
      <c r="Q338" s="1582"/>
      <c r="R338" s="1582"/>
      <c r="S338" s="1582"/>
      <c r="T338" s="1582"/>
      <c r="U338" s="1582"/>
      <c r="V338" s="1582"/>
      <c r="W338" s="1582"/>
      <c r="X338" s="1582"/>
    </row>
    <row r="339" spans="16:24">
      <c r="P339" s="1582"/>
      <c r="Q339" s="1582"/>
      <c r="R339" s="1582"/>
      <c r="S339" s="1582"/>
      <c r="T339" s="1582"/>
      <c r="U339" s="1582"/>
      <c r="V339" s="1582"/>
      <c r="W339" s="1582"/>
      <c r="X339" s="1582"/>
    </row>
    <row r="340" spans="16:24">
      <c r="P340" s="1582"/>
      <c r="Q340" s="1582"/>
      <c r="R340" s="1582"/>
      <c r="S340" s="1582"/>
      <c r="T340" s="1582"/>
      <c r="U340" s="1582"/>
      <c r="V340" s="1582"/>
      <c r="W340" s="1582"/>
      <c r="X340" s="1582"/>
    </row>
    <row r="341" spans="16:24">
      <c r="P341" s="1582"/>
      <c r="Q341" s="1582"/>
      <c r="R341" s="1582"/>
      <c r="S341" s="1582"/>
      <c r="T341" s="1582"/>
      <c r="U341" s="1582"/>
      <c r="V341" s="1582"/>
      <c r="W341" s="1582"/>
      <c r="X341" s="1582"/>
    </row>
    <row r="342" spans="16:24">
      <c r="P342" s="1582"/>
      <c r="Q342" s="1582"/>
      <c r="R342" s="1582"/>
      <c r="S342" s="1582"/>
      <c r="T342" s="1582"/>
      <c r="U342" s="1582"/>
      <c r="V342" s="1582"/>
      <c r="W342" s="1582"/>
      <c r="X342" s="1582"/>
    </row>
    <row r="343" spans="16:24">
      <c r="P343" s="1582"/>
      <c r="Q343" s="1582"/>
      <c r="R343" s="1582"/>
      <c r="S343" s="1582"/>
      <c r="T343" s="1582"/>
      <c r="U343" s="1582"/>
      <c r="V343" s="1582"/>
      <c r="W343" s="1582"/>
      <c r="X343" s="1582"/>
    </row>
    <row r="344" spans="16:24">
      <c r="P344" s="1582"/>
      <c r="Q344" s="1582"/>
      <c r="R344" s="1582"/>
      <c r="S344" s="1582"/>
      <c r="T344" s="1582"/>
      <c r="U344" s="1582"/>
      <c r="V344" s="1582"/>
      <c r="W344" s="1582"/>
      <c r="X344" s="1582"/>
    </row>
    <row r="345" spans="16:24">
      <c r="P345" s="1582"/>
      <c r="Q345" s="1582"/>
      <c r="R345" s="1582"/>
      <c r="S345" s="1582"/>
      <c r="T345" s="1582"/>
      <c r="U345" s="1582"/>
      <c r="V345" s="1582"/>
      <c r="W345" s="1582"/>
      <c r="X345" s="1582"/>
    </row>
    <row r="346" spans="16:24">
      <c r="P346" s="1582"/>
      <c r="Q346" s="1582"/>
      <c r="R346" s="1582"/>
      <c r="S346" s="1582"/>
      <c r="T346" s="1582"/>
      <c r="U346" s="1582"/>
      <c r="V346" s="1582"/>
      <c r="W346" s="1582"/>
      <c r="X346" s="1582"/>
    </row>
    <row r="347" spans="16:24">
      <c r="P347" s="1582"/>
      <c r="Q347" s="1582"/>
      <c r="R347" s="1582"/>
      <c r="S347" s="1582"/>
      <c r="T347" s="1582"/>
      <c r="U347" s="1582"/>
      <c r="V347" s="1582"/>
      <c r="W347" s="1582"/>
      <c r="X347" s="1582"/>
    </row>
    <row r="348" spans="16:24">
      <c r="P348" s="1582"/>
      <c r="Q348" s="1582"/>
      <c r="R348" s="1582"/>
      <c r="S348" s="1582"/>
      <c r="T348" s="1582"/>
      <c r="U348" s="1582"/>
      <c r="V348" s="1582"/>
      <c r="W348" s="1582"/>
      <c r="X348" s="1582"/>
    </row>
    <row r="349" spans="16:24">
      <c r="P349" s="1582"/>
      <c r="Q349" s="1582"/>
      <c r="R349" s="1582"/>
      <c r="S349" s="1582"/>
      <c r="T349" s="1582"/>
      <c r="U349" s="1582"/>
      <c r="V349" s="1582"/>
      <c r="W349" s="1582"/>
      <c r="X349" s="1582"/>
    </row>
    <row r="350" spans="16:24">
      <c r="P350" s="1582"/>
      <c r="Q350" s="1582"/>
      <c r="R350" s="1582"/>
      <c r="S350" s="1582"/>
      <c r="T350" s="1582"/>
      <c r="U350" s="1582"/>
      <c r="V350" s="1582"/>
      <c r="W350" s="1582"/>
      <c r="X350" s="1582"/>
    </row>
    <row r="351" spans="16:24">
      <c r="P351" s="1582"/>
      <c r="Q351" s="1582"/>
      <c r="R351" s="1582"/>
      <c r="S351" s="1582"/>
      <c r="T351" s="1582"/>
      <c r="U351" s="1582"/>
      <c r="V351" s="1582"/>
      <c r="W351" s="1582"/>
      <c r="X351" s="1582"/>
    </row>
    <row r="352" spans="16:24">
      <c r="P352" s="1582"/>
      <c r="Q352" s="1582"/>
      <c r="R352" s="1582"/>
      <c r="S352" s="1582"/>
      <c r="T352" s="1582"/>
      <c r="U352" s="1582"/>
      <c r="V352" s="1582"/>
      <c r="W352" s="1582"/>
      <c r="X352" s="1582"/>
    </row>
    <row r="353" spans="16:24">
      <c r="P353" s="1582"/>
      <c r="Q353" s="1582"/>
      <c r="R353" s="1582"/>
      <c r="S353" s="1582"/>
      <c r="T353" s="1582"/>
      <c r="U353" s="1582"/>
      <c r="V353" s="1582"/>
      <c r="W353" s="1582"/>
      <c r="X353" s="1582"/>
    </row>
    <row r="354" spans="16:24">
      <c r="P354" s="1582"/>
      <c r="Q354" s="1582"/>
      <c r="R354" s="1582"/>
      <c r="S354" s="1582"/>
      <c r="T354" s="1582"/>
      <c r="U354" s="1582"/>
      <c r="V354" s="1582"/>
      <c r="W354" s="1582"/>
      <c r="X354" s="1582"/>
    </row>
    <row r="355" spans="16:24">
      <c r="P355" s="1582"/>
      <c r="Q355" s="1582"/>
      <c r="R355" s="1582"/>
      <c r="S355" s="1582"/>
      <c r="T355" s="1582"/>
      <c r="U355" s="1582"/>
      <c r="V355" s="1582"/>
      <c r="W355" s="1582"/>
      <c r="X355" s="1582"/>
    </row>
    <row r="356" spans="16:24">
      <c r="P356" s="1582"/>
      <c r="Q356" s="1582"/>
      <c r="R356" s="1582"/>
      <c r="S356" s="1582"/>
      <c r="T356" s="1582"/>
      <c r="U356" s="1582"/>
      <c r="V356" s="1582"/>
      <c r="W356" s="1582"/>
      <c r="X356" s="1582"/>
    </row>
    <row r="357" spans="16:24">
      <c r="P357" s="1582"/>
      <c r="Q357" s="1582"/>
      <c r="R357" s="1582"/>
      <c r="S357" s="1582"/>
      <c r="T357" s="1582"/>
      <c r="U357" s="1582"/>
      <c r="V357" s="1582"/>
      <c r="W357" s="1582"/>
      <c r="X357" s="1582"/>
    </row>
    <row r="358" spans="16:24">
      <c r="P358" s="1582"/>
      <c r="Q358" s="1582"/>
      <c r="R358" s="1582"/>
      <c r="S358" s="1582"/>
      <c r="T358" s="1582"/>
      <c r="U358" s="1582"/>
      <c r="V358" s="1582"/>
      <c r="W358" s="1582"/>
      <c r="X358" s="1582"/>
    </row>
    <row r="359" spans="16:24">
      <c r="P359" s="1582"/>
      <c r="Q359" s="1582"/>
      <c r="R359" s="1582"/>
      <c r="S359" s="1582"/>
      <c r="T359" s="1582"/>
      <c r="U359" s="1582"/>
      <c r="V359" s="1582"/>
      <c r="W359" s="1582"/>
      <c r="X359" s="1582"/>
    </row>
    <row r="360" spans="16:24">
      <c r="P360" s="1582"/>
      <c r="Q360" s="1582"/>
      <c r="R360" s="1582"/>
      <c r="S360" s="1582"/>
      <c r="T360" s="1582"/>
      <c r="U360" s="1582"/>
      <c r="V360" s="1582"/>
      <c r="W360" s="1582"/>
      <c r="X360" s="1582"/>
    </row>
    <row r="361" spans="16:24">
      <c r="P361" s="1582"/>
      <c r="Q361" s="1582"/>
      <c r="R361" s="1582"/>
      <c r="S361" s="1582"/>
      <c r="T361" s="1582"/>
      <c r="U361" s="1582"/>
      <c r="V361" s="1582"/>
      <c r="W361" s="1582"/>
      <c r="X361" s="1582"/>
    </row>
    <row r="362" spans="16:24">
      <c r="P362" s="1582"/>
      <c r="Q362" s="1582"/>
      <c r="R362" s="1582"/>
      <c r="S362" s="1582"/>
      <c r="T362" s="1582"/>
      <c r="U362" s="1582"/>
      <c r="V362" s="1582"/>
      <c r="W362" s="1582"/>
      <c r="X362" s="1582"/>
    </row>
    <row r="363" spans="16:24">
      <c r="P363" s="1582"/>
      <c r="Q363" s="1582"/>
      <c r="R363" s="1582"/>
      <c r="S363" s="1582"/>
      <c r="T363" s="1582"/>
      <c r="U363" s="1582"/>
      <c r="V363" s="1582"/>
      <c r="W363" s="1582"/>
      <c r="X363" s="1582"/>
    </row>
    <row r="364" spans="16:24">
      <c r="P364" s="1582"/>
      <c r="Q364" s="1582"/>
      <c r="R364" s="1582"/>
      <c r="S364" s="1582"/>
      <c r="T364" s="1582"/>
      <c r="U364" s="1582"/>
      <c r="V364" s="1582"/>
      <c r="W364" s="1582"/>
      <c r="X364" s="1582"/>
    </row>
    <row r="365" spans="16:24">
      <c r="P365" s="1582"/>
      <c r="Q365" s="1582"/>
      <c r="R365" s="1582"/>
      <c r="S365" s="1582"/>
      <c r="T365" s="1582"/>
      <c r="U365" s="1582"/>
      <c r="V365" s="1582"/>
      <c r="W365" s="1582"/>
      <c r="X365" s="1582"/>
    </row>
    <row r="366" spans="16:24">
      <c r="P366" s="1582"/>
      <c r="Q366" s="1582"/>
      <c r="R366" s="1582"/>
      <c r="S366" s="1582"/>
      <c r="T366" s="1582"/>
      <c r="U366" s="1582"/>
      <c r="V366" s="1582"/>
      <c r="W366" s="1582"/>
      <c r="X366" s="1582"/>
    </row>
    <row r="367" spans="16:24">
      <c r="P367" s="1582"/>
      <c r="Q367" s="1582"/>
      <c r="R367" s="1582"/>
      <c r="S367" s="1582"/>
      <c r="T367" s="1582"/>
      <c r="U367" s="1582"/>
      <c r="V367" s="1582"/>
      <c r="W367" s="1582"/>
      <c r="X367" s="1582"/>
    </row>
    <row r="368" spans="16:24">
      <c r="P368" s="1582"/>
      <c r="Q368" s="1582"/>
      <c r="R368" s="1582"/>
      <c r="S368" s="1582"/>
      <c r="T368" s="1582"/>
      <c r="U368" s="1582"/>
      <c r="V368" s="1582"/>
      <c r="W368" s="1582"/>
      <c r="X368" s="1582"/>
    </row>
    <row r="369" spans="16:24">
      <c r="P369" s="1582"/>
      <c r="Q369" s="1582"/>
      <c r="R369" s="1582"/>
      <c r="S369" s="1582"/>
      <c r="T369" s="1582"/>
      <c r="U369" s="1582"/>
      <c r="V369" s="1582"/>
      <c r="W369" s="1582"/>
      <c r="X369" s="1582"/>
    </row>
    <row r="370" spans="16:24">
      <c r="P370" s="1582"/>
      <c r="Q370" s="1582"/>
      <c r="R370" s="1582"/>
      <c r="S370" s="1582"/>
      <c r="T370" s="1582"/>
      <c r="U370" s="1582"/>
      <c r="V370" s="1582"/>
      <c r="W370" s="1582"/>
      <c r="X370" s="1582"/>
    </row>
    <row r="371" spans="16:24">
      <c r="P371" s="1582"/>
      <c r="Q371" s="1582"/>
      <c r="R371" s="1582"/>
      <c r="S371" s="1582"/>
      <c r="T371" s="1582"/>
      <c r="U371" s="1582"/>
      <c r="V371" s="1582"/>
      <c r="W371" s="1582"/>
      <c r="X371" s="1582"/>
    </row>
    <row r="372" spans="16:24">
      <c r="P372" s="1582"/>
      <c r="Q372" s="1582"/>
      <c r="R372" s="1582"/>
      <c r="S372" s="1582"/>
      <c r="T372" s="1582"/>
      <c r="U372" s="1582"/>
      <c r="V372" s="1582"/>
      <c r="W372" s="1582"/>
      <c r="X372" s="1582"/>
    </row>
    <row r="373" spans="16:24">
      <c r="P373" s="1582"/>
      <c r="Q373" s="1582"/>
      <c r="R373" s="1582"/>
      <c r="S373" s="1582"/>
      <c r="T373" s="1582"/>
      <c r="U373" s="1582"/>
      <c r="V373" s="1582"/>
      <c r="W373" s="1582"/>
      <c r="X373" s="1582"/>
    </row>
    <row r="374" spans="16:24">
      <c r="P374" s="1582"/>
      <c r="Q374" s="1582"/>
      <c r="R374" s="1582"/>
      <c r="S374" s="1582"/>
      <c r="T374" s="1582"/>
      <c r="U374" s="1582"/>
      <c r="V374" s="1582"/>
      <c r="W374" s="1582"/>
      <c r="X374" s="1582"/>
    </row>
    <row r="375" spans="16:24">
      <c r="P375" s="1582"/>
      <c r="Q375" s="1582"/>
      <c r="R375" s="1582"/>
      <c r="S375" s="1582"/>
      <c r="T375" s="1582"/>
      <c r="U375" s="1582"/>
      <c r="V375" s="1582"/>
      <c r="W375" s="1582"/>
      <c r="X375" s="1582"/>
    </row>
    <row r="376" spans="16:24">
      <c r="P376" s="1582"/>
      <c r="Q376" s="1582"/>
      <c r="R376" s="1582"/>
      <c r="S376" s="1582"/>
      <c r="T376" s="1582"/>
      <c r="U376" s="1582"/>
      <c r="V376" s="1582"/>
      <c r="W376" s="1582"/>
      <c r="X376" s="1582"/>
    </row>
    <row r="377" spans="16:24">
      <c r="P377" s="1582"/>
      <c r="Q377" s="1582"/>
      <c r="R377" s="1582"/>
      <c r="S377" s="1582"/>
      <c r="T377" s="1582"/>
      <c r="U377" s="1582"/>
      <c r="V377" s="1582"/>
      <c r="W377" s="1582"/>
      <c r="X377" s="1582"/>
    </row>
    <row r="378" spans="16:24">
      <c r="P378" s="1582"/>
      <c r="Q378" s="1582"/>
      <c r="R378" s="1582"/>
      <c r="S378" s="1582"/>
      <c r="T378" s="1582"/>
      <c r="U378" s="1582"/>
      <c r="V378" s="1582"/>
      <c r="W378" s="1582"/>
      <c r="X378" s="1582"/>
    </row>
    <row r="379" spans="16:24">
      <c r="P379" s="1582"/>
      <c r="Q379" s="1582"/>
      <c r="R379" s="1582"/>
      <c r="S379" s="1582"/>
      <c r="T379" s="1582"/>
      <c r="U379" s="1582"/>
      <c r="V379" s="1582"/>
      <c r="W379" s="1582"/>
      <c r="X379" s="1582"/>
    </row>
    <row r="380" spans="16:24">
      <c r="P380" s="1582"/>
      <c r="Q380" s="1582"/>
      <c r="R380" s="1582"/>
      <c r="S380" s="1582"/>
      <c r="T380" s="1582"/>
      <c r="U380" s="1582"/>
      <c r="V380" s="1582"/>
      <c r="W380" s="1582"/>
      <c r="X380" s="1582"/>
    </row>
    <row r="381" spans="16:24">
      <c r="P381" s="1582"/>
      <c r="Q381" s="1582"/>
      <c r="R381" s="1582"/>
      <c r="S381" s="1582"/>
      <c r="T381" s="1582"/>
      <c r="U381" s="1582"/>
      <c r="V381" s="1582"/>
      <c r="W381" s="1582"/>
      <c r="X381" s="1582"/>
    </row>
    <row r="382" spans="16:24">
      <c r="P382" s="1582"/>
      <c r="Q382" s="1582"/>
      <c r="R382" s="1582"/>
      <c r="S382" s="1582"/>
      <c r="T382" s="1582"/>
      <c r="U382" s="1582"/>
      <c r="V382" s="1582"/>
      <c r="W382" s="1582"/>
      <c r="X382" s="1582"/>
    </row>
    <row r="383" spans="16:24">
      <c r="P383" s="1582"/>
      <c r="Q383" s="1582"/>
      <c r="R383" s="1582"/>
      <c r="S383" s="1582"/>
      <c r="T383" s="1582"/>
      <c r="U383" s="1582"/>
      <c r="V383" s="1582"/>
      <c r="W383" s="1582"/>
      <c r="X383" s="1582"/>
    </row>
    <row r="384" spans="16:24">
      <c r="P384" s="1582"/>
      <c r="Q384" s="1582"/>
      <c r="R384" s="1582"/>
      <c r="S384" s="1582"/>
      <c r="T384" s="1582"/>
      <c r="U384" s="1582"/>
      <c r="V384" s="1582"/>
      <c r="W384" s="1582"/>
      <c r="X384" s="1582"/>
    </row>
    <row r="385" spans="16:24">
      <c r="P385" s="1582"/>
      <c r="Q385" s="1582"/>
      <c r="R385" s="1582"/>
      <c r="S385" s="1582"/>
      <c r="T385" s="1582"/>
      <c r="U385" s="1582"/>
      <c r="V385" s="1582"/>
      <c r="W385" s="1582"/>
      <c r="X385" s="1582"/>
    </row>
    <row r="386" spans="16:24">
      <c r="P386" s="1582"/>
      <c r="Q386" s="1582"/>
      <c r="R386" s="1582"/>
      <c r="S386" s="1582"/>
      <c r="T386" s="1582"/>
      <c r="U386" s="1582"/>
      <c r="V386" s="1582"/>
      <c r="W386" s="1582"/>
      <c r="X386" s="1582"/>
    </row>
    <row r="387" spans="16:24">
      <c r="P387" s="1582"/>
      <c r="Q387" s="1582"/>
      <c r="R387" s="1582"/>
      <c r="S387" s="1582"/>
      <c r="T387" s="1582"/>
      <c r="U387" s="1582"/>
      <c r="V387" s="1582"/>
      <c r="W387" s="1582"/>
      <c r="X387" s="1582"/>
    </row>
    <row r="388" spans="16:24">
      <c r="P388" s="1582"/>
      <c r="Q388" s="1582"/>
      <c r="R388" s="1582"/>
      <c r="S388" s="1582"/>
      <c r="T388" s="1582"/>
      <c r="U388" s="1582"/>
      <c r="V388" s="1582"/>
      <c r="W388" s="1582"/>
      <c r="X388" s="1582"/>
    </row>
    <row r="389" spans="16:24">
      <c r="P389" s="1582"/>
      <c r="Q389" s="1582"/>
      <c r="R389" s="1582"/>
      <c r="S389" s="1582"/>
      <c r="T389" s="1582"/>
      <c r="U389" s="1582"/>
      <c r="V389" s="1582"/>
      <c r="W389" s="1582"/>
      <c r="X389" s="1582"/>
    </row>
    <row r="390" spans="16:24">
      <c r="P390" s="1582"/>
      <c r="Q390" s="1582"/>
      <c r="R390" s="1582"/>
      <c r="S390" s="1582"/>
      <c r="T390" s="1582"/>
      <c r="U390" s="1582"/>
      <c r="V390" s="1582"/>
      <c r="W390" s="1582"/>
      <c r="X390" s="1582"/>
    </row>
    <row r="391" spans="16:24">
      <c r="P391" s="1582"/>
      <c r="Q391" s="1582"/>
      <c r="R391" s="1582"/>
      <c r="S391" s="1582"/>
      <c r="T391" s="1582"/>
      <c r="U391" s="1582"/>
      <c r="V391" s="1582"/>
      <c r="W391" s="1582"/>
      <c r="X391" s="1582"/>
    </row>
    <row r="392" spans="16:24">
      <c r="P392" s="1582"/>
      <c r="Q392" s="1582"/>
      <c r="R392" s="1582"/>
      <c r="S392" s="1582"/>
      <c r="T392" s="1582"/>
      <c r="U392" s="1582"/>
      <c r="V392" s="1582"/>
      <c r="W392" s="1582"/>
      <c r="X392" s="1582"/>
    </row>
    <row r="393" spans="16:24">
      <c r="P393" s="1582"/>
      <c r="Q393" s="1582"/>
      <c r="R393" s="1582"/>
      <c r="S393" s="1582"/>
      <c r="T393" s="1582"/>
      <c r="U393" s="1582"/>
      <c r="V393" s="1582"/>
      <c r="W393" s="1582"/>
      <c r="X393" s="1582"/>
    </row>
    <row r="394" spans="16:24">
      <c r="P394" s="1582"/>
      <c r="Q394" s="1582"/>
      <c r="R394" s="1582"/>
      <c r="S394" s="1582"/>
      <c r="T394" s="1582"/>
      <c r="U394" s="1582"/>
      <c r="V394" s="1582"/>
      <c r="W394" s="1582"/>
      <c r="X394" s="1582"/>
    </row>
    <row r="395" spans="16:24">
      <c r="P395" s="1582"/>
      <c r="Q395" s="1582"/>
      <c r="R395" s="1582"/>
      <c r="S395" s="1582"/>
      <c r="T395" s="1582"/>
      <c r="U395" s="1582"/>
      <c r="V395" s="1582"/>
      <c r="W395" s="1582"/>
      <c r="X395" s="1582"/>
    </row>
    <row r="396" spans="16:24">
      <c r="P396" s="1582"/>
      <c r="Q396" s="1582"/>
      <c r="R396" s="1582"/>
      <c r="S396" s="1582"/>
      <c r="T396" s="1582"/>
      <c r="U396" s="1582"/>
      <c r="V396" s="1582"/>
      <c r="W396" s="1582"/>
      <c r="X396" s="1582"/>
    </row>
    <row r="397" spans="16:24">
      <c r="P397" s="1582"/>
      <c r="Q397" s="1582"/>
      <c r="R397" s="1582"/>
      <c r="S397" s="1582"/>
      <c r="T397" s="1582"/>
      <c r="U397" s="1582"/>
      <c r="V397" s="1582"/>
      <c r="W397" s="1582"/>
      <c r="X397" s="1582"/>
    </row>
    <row r="398" spans="16:24">
      <c r="P398" s="1582"/>
      <c r="Q398" s="1582"/>
      <c r="R398" s="1582"/>
      <c r="S398" s="1582"/>
      <c r="T398" s="1582"/>
      <c r="U398" s="1582"/>
      <c r="V398" s="1582"/>
      <c r="W398" s="1582"/>
      <c r="X398" s="1582"/>
    </row>
    <row r="399" spans="16:24">
      <c r="P399" s="1582"/>
      <c r="Q399" s="1582"/>
      <c r="R399" s="1582"/>
      <c r="S399" s="1582"/>
      <c r="T399" s="1582"/>
      <c r="U399" s="1582"/>
      <c r="V399" s="1582"/>
      <c r="W399" s="1582"/>
      <c r="X399" s="1582"/>
    </row>
    <row r="400" spans="16:24">
      <c r="P400" s="1582"/>
      <c r="Q400" s="1582"/>
      <c r="R400" s="1582"/>
      <c r="S400" s="1582"/>
      <c r="T400" s="1582"/>
      <c r="U400" s="1582"/>
      <c r="V400" s="1582"/>
      <c r="W400" s="1582"/>
      <c r="X400" s="1582"/>
    </row>
    <row r="401" spans="16:24">
      <c r="P401" s="1582"/>
      <c r="Q401" s="1582"/>
      <c r="R401" s="1582"/>
      <c r="S401" s="1582"/>
      <c r="T401" s="1582"/>
      <c r="U401" s="1582"/>
      <c r="V401" s="1582"/>
      <c r="W401" s="1582"/>
      <c r="X401" s="1582"/>
    </row>
    <row r="402" spans="16:24">
      <c r="P402" s="1582"/>
      <c r="Q402" s="1582"/>
      <c r="R402" s="1582"/>
      <c r="S402" s="1582"/>
      <c r="T402" s="1582"/>
      <c r="U402" s="1582"/>
      <c r="V402" s="1582"/>
      <c r="W402" s="1582"/>
      <c r="X402" s="1582"/>
    </row>
    <row r="403" spans="16:24">
      <c r="P403" s="1582"/>
      <c r="Q403" s="1582"/>
      <c r="R403" s="1582"/>
      <c r="S403" s="1582"/>
      <c r="T403" s="1582"/>
      <c r="U403" s="1582"/>
      <c r="V403" s="1582"/>
      <c r="W403" s="1582"/>
      <c r="X403" s="1582"/>
    </row>
    <row r="404" spans="16:24">
      <c r="P404" s="1582"/>
      <c r="Q404" s="1582"/>
      <c r="R404" s="1582"/>
      <c r="S404" s="1582"/>
      <c r="T404" s="1582"/>
      <c r="U404" s="1582"/>
      <c r="V404" s="1582"/>
      <c r="W404" s="1582"/>
      <c r="X404" s="1582"/>
    </row>
    <row r="405" spans="16:24">
      <c r="P405" s="1582"/>
      <c r="Q405" s="1582"/>
      <c r="R405" s="1582"/>
      <c r="S405" s="1582"/>
      <c r="T405" s="1582"/>
      <c r="U405" s="1582"/>
      <c r="V405" s="1582"/>
      <c r="W405" s="1582"/>
      <c r="X405" s="1582"/>
    </row>
    <row r="406" spans="16:24">
      <c r="P406" s="1582"/>
      <c r="Q406" s="1582"/>
      <c r="R406" s="1582"/>
      <c r="S406" s="1582"/>
      <c r="T406" s="1582"/>
      <c r="U406" s="1582"/>
      <c r="V406" s="1582"/>
      <c r="W406" s="1582"/>
      <c r="X406" s="1582"/>
    </row>
    <row r="407" spans="16:24">
      <c r="P407" s="1582"/>
      <c r="Q407" s="1582"/>
      <c r="R407" s="1582"/>
      <c r="S407" s="1582"/>
      <c r="T407" s="1582"/>
      <c r="U407" s="1582"/>
      <c r="V407" s="1582"/>
      <c r="W407" s="1582"/>
      <c r="X407" s="1582"/>
    </row>
    <row r="408" spans="16:24">
      <c r="P408" s="1582"/>
      <c r="Q408" s="1582"/>
      <c r="R408" s="1582"/>
      <c r="S408" s="1582"/>
      <c r="T408" s="1582"/>
      <c r="U408" s="1582"/>
      <c r="V408" s="1582"/>
      <c r="W408" s="1582"/>
      <c r="X408" s="1582"/>
    </row>
    <row r="409" spans="16:24">
      <c r="P409" s="1582"/>
      <c r="Q409" s="1582"/>
      <c r="R409" s="1582"/>
      <c r="S409" s="1582"/>
      <c r="T409" s="1582"/>
      <c r="U409" s="1582"/>
      <c r="V409" s="1582"/>
      <c r="W409" s="1582"/>
      <c r="X409" s="1582"/>
    </row>
    <row r="410" spans="16:24">
      <c r="P410" s="1582"/>
      <c r="Q410" s="1582"/>
      <c r="R410" s="1582"/>
      <c r="S410" s="1582"/>
      <c r="T410" s="1582"/>
      <c r="U410" s="1582"/>
      <c r="V410" s="1582"/>
      <c r="W410" s="1582"/>
      <c r="X410" s="1582"/>
    </row>
    <row r="411" spans="16:24">
      <c r="P411" s="1582"/>
      <c r="Q411" s="1582"/>
      <c r="R411" s="1582"/>
      <c r="S411" s="1582"/>
      <c r="T411" s="1582"/>
      <c r="U411" s="1582"/>
      <c r="V411" s="1582"/>
      <c r="W411" s="1582"/>
      <c r="X411" s="1582"/>
    </row>
    <row r="412" spans="16:24">
      <c r="P412" s="1582"/>
      <c r="Q412" s="1582"/>
      <c r="R412" s="1582"/>
      <c r="S412" s="1582"/>
      <c r="T412" s="1582"/>
      <c r="U412" s="1582"/>
      <c r="V412" s="1582"/>
      <c r="W412" s="1582"/>
      <c r="X412" s="1582"/>
    </row>
    <row r="413" spans="16:24">
      <c r="P413" s="1582"/>
      <c r="Q413" s="1582"/>
      <c r="R413" s="1582"/>
      <c r="S413" s="1582"/>
      <c r="T413" s="1582"/>
      <c r="U413" s="1582"/>
      <c r="V413" s="1582"/>
      <c r="W413" s="1582"/>
      <c r="X413" s="1582"/>
    </row>
    <row r="414" spans="16:24">
      <c r="P414" s="1582"/>
      <c r="Q414" s="1582"/>
      <c r="R414" s="1582"/>
      <c r="S414" s="1582"/>
      <c r="T414" s="1582"/>
      <c r="U414" s="1582"/>
      <c r="V414" s="1582"/>
      <c r="W414" s="1582"/>
      <c r="X414" s="1582"/>
    </row>
    <row r="415" spans="16:24">
      <c r="P415" s="1582"/>
      <c r="Q415" s="1582"/>
      <c r="R415" s="1582"/>
      <c r="S415" s="1582"/>
      <c r="T415" s="1582"/>
      <c r="U415" s="1582"/>
      <c r="V415" s="1582"/>
      <c r="W415" s="1582"/>
      <c r="X415" s="1582"/>
    </row>
    <row r="416" spans="16:24">
      <c r="P416" s="1582"/>
      <c r="Q416" s="1582"/>
      <c r="R416" s="1582"/>
      <c r="S416" s="1582"/>
      <c r="T416" s="1582"/>
      <c r="U416" s="1582"/>
      <c r="V416" s="1582"/>
      <c r="W416" s="1582"/>
      <c r="X416" s="1582"/>
    </row>
    <row r="417" spans="16:24">
      <c r="P417" s="1582"/>
      <c r="Q417" s="1582"/>
      <c r="R417" s="1582"/>
      <c r="S417" s="1582"/>
      <c r="T417" s="1582"/>
      <c r="U417" s="1582"/>
      <c r="V417" s="1582"/>
      <c r="W417" s="1582"/>
      <c r="X417" s="1582"/>
    </row>
    <row r="418" spans="16:24">
      <c r="P418" s="1582"/>
      <c r="Q418" s="1582"/>
      <c r="R418" s="1582"/>
      <c r="S418" s="1582"/>
      <c r="T418" s="1582"/>
      <c r="U418" s="1582"/>
      <c r="V418" s="1582"/>
      <c r="W418" s="1582"/>
      <c r="X418" s="1582"/>
    </row>
    <row r="419" spans="16:24">
      <c r="P419" s="1582"/>
      <c r="Q419" s="1582"/>
      <c r="R419" s="1582"/>
      <c r="S419" s="1582"/>
      <c r="T419" s="1582"/>
      <c r="U419" s="1582"/>
      <c r="V419" s="1582"/>
      <c r="W419" s="1582"/>
      <c r="X419" s="1582"/>
    </row>
    <row r="420" spans="16:24">
      <c r="P420" s="1582"/>
      <c r="Q420" s="1582"/>
      <c r="R420" s="1582"/>
      <c r="S420" s="1582"/>
      <c r="T420" s="1582"/>
      <c r="U420" s="1582"/>
      <c r="V420" s="1582"/>
      <c r="W420" s="1582"/>
      <c r="X420" s="1582"/>
    </row>
    <row r="421" spans="16:24">
      <c r="P421" s="1582"/>
      <c r="Q421" s="1582"/>
      <c r="R421" s="1582"/>
      <c r="S421" s="1582"/>
      <c r="T421" s="1582"/>
      <c r="U421" s="1582"/>
      <c r="V421" s="1582"/>
      <c r="W421" s="1582"/>
      <c r="X421" s="1582"/>
    </row>
    <row r="422" spans="16:24">
      <c r="P422" s="1582"/>
      <c r="Q422" s="1582"/>
      <c r="R422" s="1582"/>
      <c r="S422" s="1582"/>
      <c r="T422" s="1582"/>
      <c r="U422" s="1582"/>
      <c r="V422" s="1582"/>
      <c r="W422" s="1582"/>
      <c r="X422" s="1582"/>
    </row>
    <row r="423" spans="16:24">
      <c r="P423" s="1582"/>
      <c r="Q423" s="1582"/>
      <c r="R423" s="1582"/>
      <c r="S423" s="1582"/>
      <c r="T423" s="1582"/>
      <c r="U423" s="1582"/>
      <c r="V423" s="1582"/>
      <c r="W423" s="1582"/>
      <c r="X423" s="1582"/>
    </row>
    <row r="424" spans="16:24">
      <c r="P424" s="1582"/>
      <c r="Q424" s="1582"/>
      <c r="R424" s="1582"/>
      <c r="S424" s="1582"/>
      <c r="T424" s="1582"/>
      <c r="U424" s="1582"/>
      <c r="V424" s="1582"/>
      <c r="W424" s="1582"/>
      <c r="X424" s="1582"/>
    </row>
    <row r="425" spans="16:24">
      <c r="P425" s="1582"/>
      <c r="Q425" s="1582"/>
      <c r="R425" s="1582"/>
      <c r="S425" s="1582"/>
      <c r="T425" s="1582"/>
      <c r="U425" s="1582"/>
      <c r="V425" s="1582"/>
      <c r="W425" s="1582"/>
      <c r="X425" s="1582"/>
    </row>
    <row r="426" spans="16:24">
      <c r="P426" s="1582"/>
      <c r="Q426" s="1582"/>
      <c r="R426" s="1582"/>
      <c r="S426" s="1582"/>
      <c r="T426" s="1582"/>
      <c r="U426" s="1582"/>
      <c r="V426" s="1582"/>
      <c r="W426" s="1582"/>
      <c r="X426" s="1582"/>
    </row>
    <row r="427" spans="16:24">
      <c r="P427" s="1582"/>
      <c r="Q427" s="1582"/>
      <c r="R427" s="1582"/>
      <c r="S427" s="1582"/>
      <c r="T427" s="1582"/>
      <c r="U427" s="1582"/>
      <c r="V427" s="1582"/>
      <c r="W427" s="1582"/>
      <c r="X427" s="1582"/>
    </row>
    <row r="428" spans="16:24">
      <c r="P428" s="1582"/>
      <c r="Q428" s="1582"/>
      <c r="R428" s="1582"/>
      <c r="S428" s="1582"/>
      <c r="T428" s="1582"/>
      <c r="U428" s="1582"/>
      <c r="V428" s="1582"/>
      <c r="W428" s="1582"/>
      <c r="X428" s="1582"/>
    </row>
    <row r="429" spans="16:24">
      <c r="P429" s="1582"/>
      <c r="Q429" s="1582"/>
      <c r="R429" s="1582"/>
      <c r="S429" s="1582"/>
      <c r="T429" s="1582"/>
      <c r="U429" s="1582"/>
      <c r="V429" s="1582"/>
      <c r="W429" s="1582"/>
      <c r="X429" s="1582"/>
    </row>
    <row r="430" spans="16:24">
      <c r="P430" s="1582"/>
      <c r="Q430" s="1582"/>
      <c r="R430" s="1582"/>
      <c r="S430" s="1582"/>
      <c r="T430" s="1582"/>
      <c r="U430" s="1582"/>
      <c r="V430" s="1582"/>
      <c r="W430" s="1582"/>
      <c r="X430" s="1582"/>
    </row>
    <row r="431" spans="16:24">
      <c r="P431" s="1582"/>
      <c r="Q431" s="1582"/>
      <c r="R431" s="1582"/>
      <c r="S431" s="1582"/>
      <c r="T431" s="1582"/>
      <c r="U431" s="1582"/>
      <c r="V431" s="1582"/>
      <c r="W431" s="1582"/>
      <c r="X431" s="1582"/>
    </row>
    <row r="432" spans="16:24">
      <c r="P432" s="1582"/>
      <c r="Q432" s="1582"/>
      <c r="R432" s="1582"/>
      <c r="S432" s="1582"/>
      <c r="T432" s="1582"/>
      <c r="U432" s="1582"/>
      <c r="V432" s="1582"/>
      <c r="W432" s="1582"/>
      <c r="X432" s="1582"/>
    </row>
    <row r="433" spans="16:24">
      <c r="P433" s="1582"/>
      <c r="Q433" s="1582"/>
      <c r="R433" s="1582"/>
      <c r="S433" s="1582"/>
      <c r="T433" s="1582"/>
      <c r="U433" s="1582"/>
      <c r="V433" s="1582"/>
      <c r="W433" s="1582"/>
      <c r="X433" s="1582"/>
    </row>
    <row r="434" spans="16:24">
      <c r="P434" s="1582"/>
      <c r="Q434" s="1582"/>
      <c r="R434" s="1582"/>
      <c r="S434" s="1582"/>
      <c r="T434" s="1582"/>
      <c r="U434" s="1582"/>
      <c r="V434" s="1582"/>
      <c r="W434" s="1582"/>
      <c r="X434" s="1582"/>
    </row>
    <row r="435" spans="16:24">
      <c r="P435" s="1582"/>
      <c r="Q435" s="1582"/>
      <c r="R435" s="1582"/>
      <c r="S435" s="1582"/>
      <c r="T435" s="1582"/>
      <c r="U435" s="1582"/>
      <c r="V435" s="1582"/>
      <c r="W435" s="1582"/>
      <c r="X435" s="1582"/>
    </row>
    <row r="436" spans="16:24">
      <c r="P436" s="1582"/>
      <c r="Q436" s="1582"/>
      <c r="R436" s="1582"/>
      <c r="S436" s="1582"/>
      <c r="T436" s="1582"/>
      <c r="U436" s="1582"/>
      <c r="V436" s="1582"/>
      <c r="W436" s="1582"/>
      <c r="X436" s="1582"/>
    </row>
    <row r="437" spans="16:24">
      <c r="P437" s="1582"/>
      <c r="Q437" s="1582"/>
      <c r="R437" s="1582"/>
      <c r="S437" s="1582"/>
      <c r="T437" s="1582"/>
      <c r="U437" s="1582"/>
      <c r="V437" s="1582"/>
      <c r="W437" s="1582"/>
      <c r="X437" s="1582"/>
    </row>
    <row r="438" spans="16:24">
      <c r="P438" s="1582"/>
      <c r="Q438" s="1582"/>
      <c r="R438" s="1582"/>
      <c r="S438" s="1582"/>
      <c r="T438" s="1582"/>
      <c r="U438" s="1582"/>
      <c r="V438" s="1582"/>
      <c r="W438" s="1582"/>
      <c r="X438" s="1582"/>
    </row>
    <row r="439" spans="16:24">
      <c r="P439" s="1582"/>
      <c r="Q439" s="1582"/>
      <c r="R439" s="1582"/>
      <c r="S439" s="1582"/>
      <c r="T439" s="1582"/>
      <c r="U439" s="1582"/>
      <c r="V439" s="1582"/>
      <c r="W439" s="1582"/>
      <c r="X439" s="1582"/>
    </row>
    <row r="440" spans="16:24">
      <c r="P440" s="1582"/>
      <c r="Q440" s="1582"/>
      <c r="R440" s="1582"/>
      <c r="S440" s="1582"/>
      <c r="T440" s="1582"/>
      <c r="U440" s="1582"/>
      <c r="V440" s="1582"/>
      <c r="W440" s="1582"/>
      <c r="X440" s="1582"/>
    </row>
    <row r="441" spans="16:24">
      <c r="P441" s="1582"/>
      <c r="Q441" s="1582"/>
      <c r="R441" s="1582"/>
      <c r="S441" s="1582"/>
      <c r="T441" s="1582"/>
      <c r="U441" s="1582"/>
      <c r="V441" s="1582"/>
      <c r="W441" s="1582"/>
      <c r="X441" s="1582"/>
    </row>
    <row r="442" spans="16:24">
      <c r="P442" s="1582"/>
      <c r="Q442" s="1582"/>
      <c r="R442" s="1582"/>
      <c r="S442" s="1582"/>
      <c r="T442" s="1582"/>
      <c r="U442" s="1582"/>
      <c r="V442" s="1582"/>
      <c r="W442" s="1582"/>
      <c r="X442" s="1582"/>
    </row>
    <row r="443" spans="16:24">
      <c r="P443" s="1582"/>
      <c r="Q443" s="1582"/>
      <c r="R443" s="1582"/>
      <c r="S443" s="1582"/>
      <c r="T443" s="1582"/>
      <c r="U443" s="1582"/>
      <c r="V443" s="1582"/>
      <c r="W443" s="1582"/>
      <c r="X443" s="1582"/>
    </row>
    <row r="444" spans="16:24">
      <c r="P444" s="1582"/>
      <c r="Q444" s="1582"/>
      <c r="R444" s="1582"/>
      <c r="S444" s="1582"/>
      <c r="T444" s="1582"/>
      <c r="U444" s="1582"/>
      <c r="V444" s="1582"/>
      <c r="W444" s="1582"/>
      <c r="X444" s="1582"/>
    </row>
    <row r="445" spans="16:24">
      <c r="P445" s="1582"/>
      <c r="Q445" s="1582"/>
      <c r="R445" s="1582"/>
      <c r="S445" s="1582"/>
      <c r="T445" s="1582"/>
      <c r="U445" s="1582"/>
      <c r="V445" s="1582"/>
      <c r="W445" s="1582"/>
      <c r="X445" s="1582"/>
    </row>
    <row r="446" spans="16:24">
      <c r="P446" s="1582"/>
      <c r="Q446" s="1582"/>
      <c r="R446" s="1582"/>
      <c r="S446" s="1582"/>
      <c r="T446" s="1582"/>
      <c r="U446" s="1582"/>
      <c r="V446" s="1582"/>
      <c r="W446" s="1582"/>
      <c r="X446" s="1582"/>
    </row>
    <row r="447" spans="16:24">
      <c r="P447" s="1582"/>
      <c r="Q447" s="1582"/>
      <c r="R447" s="1582"/>
      <c r="S447" s="1582"/>
      <c r="T447" s="1582"/>
      <c r="U447" s="1582"/>
      <c r="V447" s="1582"/>
      <c r="W447" s="1582"/>
      <c r="X447" s="1582"/>
    </row>
    <row r="448" spans="16:24">
      <c r="P448" s="1582"/>
      <c r="Q448" s="1582"/>
      <c r="R448" s="1582"/>
      <c r="S448" s="1582"/>
      <c r="T448" s="1582"/>
      <c r="U448" s="1582"/>
      <c r="V448" s="1582"/>
      <c r="W448" s="1582"/>
      <c r="X448" s="1582"/>
    </row>
    <row r="449" spans="16:24">
      <c r="P449" s="1582"/>
      <c r="Q449" s="1582"/>
      <c r="R449" s="1582"/>
      <c r="S449" s="1582"/>
      <c r="T449" s="1582"/>
      <c r="U449" s="1582"/>
      <c r="V449" s="1582"/>
      <c r="W449" s="1582"/>
      <c r="X449" s="1582"/>
    </row>
    <row r="450" spans="16:24">
      <c r="P450" s="1582"/>
      <c r="Q450" s="1582"/>
      <c r="R450" s="1582"/>
      <c r="S450" s="1582"/>
      <c r="T450" s="1582"/>
      <c r="U450" s="1582"/>
      <c r="V450" s="1582"/>
      <c r="W450" s="1582"/>
      <c r="X450" s="1582"/>
    </row>
    <row r="451" spans="16:24">
      <c r="P451" s="1582"/>
      <c r="Q451" s="1582"/>
      <c r="R451" s="1582"/>
      <c r="S451" s="1582"/>
      <c r="T451" s="1582"/>
      <c r="U451" s="1582"/>
      <c r="V451" s="1582"/>
      <c r="W451" s="1582"/>
      <c r="X451" s="1582"/>
    </row>
    <row r="452" spans="16:24">
      <c r="P452" s="1582"/>
      <c r="Q452" s="1582"/>
      <c r="R452" s="1582"/>
      <c r="S452" s="1582"/>
      <c r="T452" s="1582"/>
      <c r="U452" s="1582"/>
      <c r="V452" s="1582"/>
      <c r="W452" s="1582"/>
      <c r="X452" s="1582"/>
    </row>
    <row r="453" spans="16:24">
      <c r="P453" s="1582"/>
      <c r="Q453" s="1582"/>
      <c r="R453" s="1582"/>
      <c r="S453" s="1582"/>
      <c r="T453" s="1582"/>
      <c r="U453" s="1582"/>
      <c r="V453" s="1582"/>
      <c r="W453" s="1582"/>
      <c r="X453" s="1582"/>
    </row>
    <row r="454" spans="16:24">
      <c r="P454" s="1582"/>
      <c r="Q454" s="1582"/>
      <c r="R454" s="1582"/>
      <c r="S454" s="1582"/>
      <c r="T454" s="1582"/>
      <c r="U454" s="1582"/>
      <c r="V454" s="1582"/>
      <c r="W454" s="1582"/>
      <c r="X454" s="1582"/>
    </row>
    <row r="455" spans="16:24">
      <c r="P455" s="1582"/>
      <c r="Q455" s="1582"/>
      <c r="R455" s="1582"/>
      <c r="S455" s="1582"/>
      <c r="T455" s="1582"/>
      <c r="U455" s="1582"/>
      <c r="V455" s="1582"/>
      <c r="W455" s="1582"/>
      <c r="X455" s="1582"/>
    </row>
    <row r="456" spans="16:24">
      <c r="P456" s="1582"/>
      <c r="Q456" s="1582"/>
      <c r="R456" s="1582"/>
      <c r="S456" s="1582"/>
      <c r="T456" s="1582"/>
      <c r="U456" s="1582"/>
      <c r="V456" s="1582"/>
      <c r="W456" s="1582"/>
      <c r="X456" s="1582"/>
    </row>
    <row r="457" spans="16:24">
      <c r="P457" s="1582"/>
      <c r="Q457" s="1582"/>
      <c r="R457" s="1582"/>
      <c r="S457" s="1582"/>
      <c r="T457" s="1582"/>
      <c r="U457" s="1582"/>
      <c r="V457" s="1582"/>
      <c r="W457" s="1582"/>
      <c r="X457" s="1582"/>
    </row>
    <row r="458" spans="16:24">
      <c r="P458" s="1582"/>
      <c r="Q458" s="1582"/>
      <c r="R458" s="1582"/>
      <c r="S458" s="1582"/>
      <c r="T458" s="1582"/>
      <c r="U458" s="1582"/>
      <c r="V458" s="1582"/>
      <c r="W458" s="1582"/>
      <c r="X458" s="1582"/>
    </row>
    <row r="459" spans="16:24">
      <c r="P459" s="1582"/>
      <c r="Q459" s="1582"/>
      <c r="R459" s="1582"/>
      <c r="S459" s="1582"/>
      <c r="T459" s="1582"/>
      <c r="U459" s="1582"/>
      <c r="V459" s="1582"/>
      <c r="W459" s="1582"/>
      <c r="X459" s="1582"/>
    </row>
    <row r="460" spans="16:24">
      <c r="P460" s="1582"/>
      <c r="Q460" s="1582"/>
      <c r="R460" s="1582"/>
      <c r="S460" s="1582"/>
      <c r="T460" s="1582"/>
      <c r="U460" s="1582"/>
      <c r="V460" s="1582"/>
      <c r="W460" s="1582"/>
      <c r="X460" s="1582"/>
    </row>
    <row r="461" spans="16:24">
      <c r="P461" s="1582"/>
      <c r="Q461" s="1582"/>
      <c r="R461" s="1582"/>
      <c r="S461" s="1582"/>
      <c r="T461" s="1582"/>
      <c r="U461" s="1582"/>
      <c r="V461" s="1582"/>
      <c r="W461" s="1582"/>
      <c r="X461" s="1582"/>
    </row>
    <row r="462" spans="16:24">
      <c r="P462" s="1582"/>
      <c r="Q462" s="1582"/>
      <c r="R462" s="1582"/>
      <c r="S462" s="1582"/>
      <c r="T462" s="1582"/>
      <c r="U462" s="1582"/>
      <c r="V462" s="1582"/>
      <c r="W462" s="1582"/>
      <c r="X462" s="1582"/>
    </row>
    <row r="463" spans="16:24">
      <c r="P463" s="1582"/>
      <c r="Q463" s="1582"/>
      <c r="R463" s="1582"/>
      <c r="S463" s="1582"/>
      <c r="T463" s="1582"/>
      <c r="U463" s="1582"/>
      <c r="V463" s="1582"/>
      <c r="W463" s="1582"/>
      <c r="X463" s="1582"/>
    </row>
    <row r="464" spans="16:24">
      <c r="P464" s="1582"/>
      <c r="Q464" s="1582"/>
      <c r="R464" s="1582"/>
      <c r="S464" s="1582"/>
      <c r="T464" s="1582"/>
      <c r="U464" s="1582"/>
      <c r="V464" s="1582"/>
      <c r="W464" s="1582"/>
      <c r="X464" s="1582"/>
    </row>
    <row r="465" spans="16:24">
      <c r="P465" s="1582"/>
      <c r="Q465" s="1582"/>
      <c r="R465" s="1582"/>
      <c r="S465" s="1582"/>
      <c r="T465" s="1582"/>
      <c r="U465" s="1582"/>
      <c r="V465" s="1582"/>
      <c r="W465" s="1582"/>
      <c r="X465" s="1582"/>
    </row>
    <row r="466" spans="16:24">
      <c r="P466" s="1582"/>
      <c r="Q466" s="1582"/>
      <c r="R466" s="1582"/>
      <c r="S466" s="1582"/>
      <c r="T466" s="1582"/>
      <c r="U466" s="1582"/>
      <c r="V466" s="1582"/>
      <c r="W466" s="1582"/>
      <c r="X466" s="1582"/>
    </row>
    <row r="467" spans="16:24">
      <c r="P467" s="1582"/>
      <c r="Q467" s="1582"/>
      <c r="R467" s="1582"/>
      <c r="S467" s="1582"/>
      <c r="T467" s="1582"/>
      <c r="U467" s="1582"/>
      <c r="V467" s="1582"/>
      <c r="W467" s="1582"/>
      <c r="X467" s="1582"/>
    </row>
    <row r="468" spans="16:24">
      <c r="P468" s="1582"/>
      <c r="Q468" s="1582"/>
      <c r="R468" s="1582"/>
      <c r="S468" s="1582"/>
      <c r="T468" s="1582"/>
      <c r="U468" s="1582"/>
      <c r="V468" s="1582"/>
      <c r="W468" s="1582"/>
      <c r="X468" s="1582"/>
    </row>
    <row r="469" spans="16:24">
      <c r="P469" s="1582"/>
      <c r="Q469" s="1582"/>
      <c r="R469" s="1582"/>
      <c r="S469" s="1582"/>
      <c r="T469" s="1582"/>
      <c r="U469" s="1582"/>
      <c r="V469" s="1582"/>
      <c r="W469" s="1582"/>
      <c r="X469" s="1582"/>
    </row>
    <row r="470" spans="16:24">
      <c r="P470" s="1582"/>
      <c r="Q470" s="1582"/>
      <c r="R470" s="1582"/>
      <c r="S470" s="1582"/>
      <c r="T470" s="1582"/>
      <c r="U470" s="1582"/>
      <c r="V470" s="1582"/>
      <c r="W470" s="1582"/>
      <c r="X470" s="1582"/>
    </row>
    <row r="471" spans="16:24">
      <c r="P471" s="1582"/>
      <c r="Q471" s="1582"/>
      <c r="R471" s="1582"/>
      <c r="S471" s="1582"/>
      <c r="T471" s="1582"/>
      <c r="U471" s="1582"/>
      <c r="V471" s="1582"/>
      <c r="W471" s="1582"/>
      <c r="X471" s="1582"/>
    </row>
    <row r="472" spans="16:24">
      <c r="P472" s="1582"/>
      <c r="Q472" s="1582"/>
      <c r="R472" s="1582"/>
      <c r="S472" s="1582"/>
      <c r="T472" s="1582"/>
      <c r="U472" s="1582"/>
      <c r="V472" s="1582"/>
      <c r="W472" s="1582"/>
      <c r="X472" s="1582"/>
    </row>
    <row r="473" spans="16:24">
      <c r="P473" s="1582"/>
      <c r="Q473" s="1582"/>
      <c r="R473" s="1582"/>
      <c r="S473" s="1582"/>
      <c r="T473" s="1582"/>
      <c r="U473" s="1582"/>
      <c r="V473" s="1582"/>
      <c r="W473" s="1582"/>
      <c r="X473" s="1582"/>
    </row>
    <row r="474" spans="16:24">
      <c r="P474" s="1582"/>
      <c r="Q474" s="1582"/>
      <c r="R474" s="1582"/>
      <c r="S474" s="1582"/>
      <c r="T474" s="1582"/>
      <c r="U474" s="1582"/>
      <c r="V474" s="1582"/>
      <c r="W474" s="1582"/>
      <c r="X474" s="1582"/>
    </row>
    <row r="475" spans="16:24">
      <c r="P475" s="1582"/>
      <c r="Q475" s="1582"/>
      <c r="R475" s="1582"/>
      <c r="S475" s="1582"/>
      <c r="T475" s="1582"/>
      <c r="U475" s="1582"/>
      <c r="V475" s="1582"/>
      <c r="W475" s="1582"/>
      <c r="X475" s="1582"/>
    </row>
    <row r="476" spans="16:24">
      <c r="P476" s="1582"/>
      <c r="Q476" s="1582"/>
      <c r="R476" s="1582"/>
      <c r="S476" s="1582"/>
      <c r="T476" s="1582"/>
      <c r="U476" s="1582"/>
      <c r="V476" s="1582"/>
      <c r="W476" s="1582"/>
      <c r="X476" s="1582"/>
    </row>
    <row r="477" spans="16:24">
      <c r="P477" s="1582"/>
      <c r="Q477" s="1582"/>
      <c r="R477" s="1582"/>
      <c r="S477" s="1582"/>
      <c r="T477" s="1582"/>
      <c r="U477" s="1582"/>
      <c r="V477" s="1582"/>
      <c r="W477" s="1582"/>
      <c r="X477" s="1582"/>
    </row>
    <row r="478" spans="16:24">
      <c r="P478" s="1582"/>
      <c r="Q478" s="1582"/>
      <c r="R478" s="1582"/>
      <c r="S478" s="1582"/>
      <c r="T478" s="1582"/>
      <c r="U478" s="1582"/>
      <c r="V478" s="1582"/>
      <c r="W478" s="1582"/>
      <c r="X478" s="1582"/>
    </row>
    <row r="479" spans="16:24">
      <c r="P479" s="1582"/>
      <c r="Q479" s="1582"/>
      <c r="R479" s="1582"/>
      <c r="S479" s="1582"/>
      <c r="T479" s="1582"/>
      <c r="U479" s="1582"/>
      <c r="V479" s="1582"/>
      <c r="W479" s="1582"/>
      <c r="X479" s="1582"/>
    </row>
    <row r="480" spans="16:24">
      <c r="P480" s="1582"/>
      <c r="Q480" s="1582"/>
      <c r="R480" s="1582"/>
      <c r="S480" s="1582"/>
      <c r="T480" s="1582"/>
      <c r="U480" s="1582"/>
      <c r="V480" s="1582"/>
      <c r="W480" s="1582"/>
      <c r="X480" s="1582"/>
    </row>
    <row r="481" spans="16:24">
      <c r="P481" s="1582"/>
      <c r="Q481" s="1582"/>
      <c r="R481" s="1582"/>
      <c r="S481" s="1582"/>
      <c r="T481" s="1582"/>
      <c r="U481" s="1582"/>
      <c r="V481" s="1582"/>
      <c r="W481" s="1582"/>
      <c r="X481" s="1582"/>
    </row>
    <row r="482" spans="16:24">
      <c r="P482" s="1582"/>
      <c r="Q482" s="1582"/>
      <c r="R482" s="1582"/>
      <c r="S482" s="1582"/>
      <c r="T482" s="1582"/>
      <c r="U482" s="1582"/>
      <c r="V482" s="1582"/>
      <c r="W482" s="1582"/>
      <c r="X482" s="1582"/>
    </row>
    <row r="483" spans="16:24">
      <c r="P483" s="1582"/>
      <c r="Q483" s="1582"/>
      <c r="R483" s="1582"/>
      <c r="S483" s="1582"/>
      <c r="T483" s="1582"/>
      <c r="U483" s="1582"/>
      <c r="V483" s="1582"/>
      <c r="W483" s="1582"/>
      <c r="X483" s="1582"/>
    </row>
    <row r="484" spans="16:24">
      <c r="P484" s="1582"/>
      <c r="Q484" s="1582"/>
      <c r="R484" s="1582"/>
      <c r="S484" s="1582"/>
      <c r="T484" s="1582"/>
      <c r="U484" s="1582"/>
      <c r="V484" s="1582"/>
      <c r="W484" s="1582"/>
      <c r="X484" s="1582"/>
    </row>
    <row r="485" spans="16:24">
      <c r="P485" s="1582"/>
      <c r="Q485" s="1582"/>
      <c r="R485" s="1582"/>
      <c r="S485" s="1582"/>
      <c r="T485" s="1582"/>
      <c r="U485" s="1582"/>
      <c r="V485" s="1582"/>
      <c r="W485" s="1582"/>
      <c r="X485" s="1582"/>
    </row>
    <row r="486" spans="16:24">
      <c r="P486" s="1582"/>
      <c r="Q486" s="1582"/>
      <c r="R486" s="1582"/>
      <c r="S486" s="1582"/>
      <c r="T486" s="1582"/>
      <c r="U486" s="1582"/>
      <c r="V486" s="1582"/>
      <c r="W486" s="1582"/>
      <c r="X486" s="1582"/>
    </row>
    <row r="487" spans="16:24">
      <c r="P487" s="1582"/>
      <c r="Q487" s="1582"/>
      <c r="R487" s="1582"/>
      <c r="S487" s="1582"/>
      <c r="T487" s="1582"/>
      <c r="U487" s="1582"/>
      <c r="V487" s="1582"/>
      <c r="W487" s="1582"/>
      <c r="X487" s="1582"/>
    </row>
    <row r="488" spans="16:24">
      <c r="P488" s="1582"/>
      <c r="Q488" s="1582"/>
      <c r="R488" s="1582"/>
      <c r="S488" s="1582"/>
      <c r="T488" s="1582"/>
      <c r="U488" s="1582"/>
      <c r="V488" s="1582"/>
      <c r="W488" s="1582"/>
      <c r="X488" s="1582"/>
    </row>
    <row r="489" spans="16:24">
      <c r="P489" s="1582"/>
      <c r="Q489" s="1582"/>
      <c r="R489" s="1582"/>
      <c r="S489" s="1582"/>
      <c r="T489" s="1582"/>
      <c r="U489" s="1582"/>
      <c r="V489" s="1582"/>
      <c r="W489" s="1582"/>
      <c r="X489" s="1582"/>
    </row>
    <row r="490" spans="16:24">
      <c r="P490" s="1582"/>
      <c r="Q490" s="1582"/>
      <c r="R490" s="1582"/>
      <c r="S490" s="1582"/>
      <c r="T490" s="1582"/>
      <c r="U490" s="1582"/>
      <c r="V490" s="1582"/>
      <c r="W490" s="1582"/>
      <c r="X490" s="1582"/>
    </row>
    <row r="491" spans="16:24">
      <c r="P491" s="1582"/>
      <c r="Q491" s="1582"/>
      <c r="R491" s="1582"/>
      <c r="S491" s="1582"/>
      <c r="T491" s="1582"/>
      <c r="U491" s="1582"/>
      <c r="V491" s="1582"/>
      <c r="W491" s="1582"/>
      <c r="X491" s="1582"/>
    </row>
    <row r="492" spans="16:24">
      <c r="P492" s="1582"/>
      <c r="Q492" s="1582"/>
      <c r="R492" s="1582"/>
      <c r="S492" s="1582"/>
      <c r="T492" s="1582"/>
      <c r="U492" s="1582"/>
      <c r="V492" s="1582"/>
      <c r="W492" s="1582"/>
      <c r="X492" s="1582"/>
    </row>
    <row r="493" spans="16:24">
      <c r="P493" s="1582"/>
      <c r="Q493" s="1582"/>
      <c r="R493" s="1582"/>
      <c r="S493" s="1582"/>
      <c r="T493" s="1582"/>
      <c r="U493" s="1582"/>
      <c r="V493" s="1582"/>
      <c r="W493" s="1582"/>
      <c r="X493" s="1582"/>
    </row>
    <row r="494" spans="16:24">
      <c r="P494" s="1582"/>
      <c r="Q494" s="1582"/>
      <c r="R494" s="1582"/>
      <c r="S494" s="1582"/>
      <c r="T494" s="1582"/>
      <c r="U494" s="1582"/>
      <c r="V494" s="1582"/>
      <c r="W494" s="1582"/>
      <c r="X494" s="1582"/>
    </row>
    <row r="495" spans="16:24">
      <c r="P495" s="1582"/>
      <c r="Q495" s="1582"/>
      <c r="R495" s="1582"/>
      <c r="S495" s="1582"/>
      <c r="T495" s="1582"/>
      <c r="U495" s="1582"/>
      <c r="V495" s="1582"/>
      <c r="W495" s="1582"/>
      <c r="X495" s="1582"/>
    </row>
    <row r="496" spans="16:24">
      <c r="P496" s="1582"/>
      <c r="Q496" s="1582"/>
      <c r="R496" s="1582"/>
      <c r="S496" s="1582"/>
      <c r="T496" s="1582"/>
      <c r="U496" s="1582"/>
      <c r="V496" s="1582"/>
      <c r="W496" s="1582"/>
      <c r="X496" s="1582"/>
    </row>
    <row r="497" spans="16:24">
      <c r="P497" s="1582"/>
      <c r="Q497" s="1582"/>
      <c r="R497" s="1582"/>
      <c r="S497" s="1582"/>
      <c r="T497" s="1582"/>
      <c r="U497" s="1582"/>
      <c r="V497" s="1582"/>
      <c r="W497" s="1582"/>
      <c r="X497" s="1582"/>
    </row>
    <row r="498" spans="16:24">
      <c r="P498" s="1582"/>
      <c r="Q498" s="1582"/>
      <c r="R498" s="1582"/>
      <c r="S498" s="1582"/>
      <c r="T498" s="1582"/>
      <c r="U498" s="1582"/>
      <c r="V498" s="1582"/>
      <c r="W498" s="1582"/>
      <c r="X498" s="1582"/>
    </row>
    <row r="499" spans="16:24">
      <c r="P499" s="1582"/>
      <c r="Q499" s="1582"/>
      <c r="R499" s="1582"/>
      <c r="S499" s="1582"/>
      <c r="T499" s="1582"/>
      <c r="U499" s="1582"/>
      <c r="V499" s="1582"/>
      <c r="W499" s="1582"/>
      <c r="X499" s="1582"/>
    </row>
    <row r="500" spans="16:24">
      <c r="P500" s="1582"/>
      <c r="Q500" s="1582"/>
      <c r="R500" s="1582"/>
      <c r="S500" s="1582"/>
      <c r="T500" s="1582"/>
      <c r="U500" s="1582"/>
      <c r="V500" s="1582"/>
      <c r="W500" s="1582"/>
      <c r="X500" s="1582"/>
    </row>
    <row r="501" spans="16:24">
      <c r="P501" s="1582"/>
      <c r="Q501" s="1582"/>
      <c r="R501" s="1582"/>
      <c r="S501" s="1582"/>
      <c r="T501" s="1582"/>
      <c r="U501" s="1582"/>
      <c r="V501" s="1582"/>
      <c r="W501" s="1582"/>
      <c r="X501" s="1582"/>
    </row>
    <row r="502" spans="16:24">
      <c r="P502" s="1582"/>
      <c r="Q502" s="1582"/>
      <c r="R502" s="1582"/>
      <c r="S502" s="1582"/>
      <c r="T502" s="1582"/>
      <c r="U502" s="1582"/>
      <c r="V502" s="1582"/>
      <c r="W502" s="1582"/>
      <c r="X502" s="1582"/>
    </row>
    <row r="503" spans="16:24">
      <c r="W503" s="1582"/>
      <c r="X503" s="1582"/>
    </row>
    <row r="504" spans="16:24">
      <c r="W504" s="1582"/>
      <c r="X504" s="1582"/>
    </row>
    <row r="505" spans="16:24">
      <c r="W505" s="1582"/>
      <c r="X505" s="1582"/>
    </row>
    <row r="506" spans="16:24">
      <c r="W506" s="1582"/>
      <c r="X506" s="1582"/>
    </row>
  </sheetData>
  <sheetProtection password="CD53" sheet="1" objects="1" scenarios="1" select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3" tint="0.59999389629810485"/>
    <pageSetUpPr fitToPage="1"/>
  </sheetPr>
  <dimension ref="A1:Y94"/>
  <sheetViews>
    <sheetView topLeftCell="A4" zoomScale="60" zoomScaleNormal="60" workbookViewId="0">
      <selection activeCell="O59" sqref="O59"/>
    </sheetView>
  </sheetViews>
  <sheetFormatPr defaultColWidth="9.140625" defaultRowHeight="12.75"/>
  <cols>
    <col min="1" max="1" width="4.28515625" style="2143" customWidth="1"/>
    <col min="2" max="2" width="36.85546875" style="2143" customWidth="1"/>
    <col min="3" max="3" width="14.85546875" style="2143" customWidth="1"/>
    <col min="4" max="4" width="20.5703125" style="2143" customWidth="1"/>
    <col min="5" max="5" width="16.140625" style="2143" customWidth="1"/>
    <col min="6" max="6" width="15.140625" style="2143" customWidth="1"/>
    <col min="7" max="7" width="19.42578125" style="2143" customWidth="1"/>
    <col min="8" max="8" width="13.7109375" style="2143" customWidth="1"/>
    <col min="9" max="9" width="15.85546875" style="2143" customWidth="1"/>
    <col min="10" max="13" width="13.7109375" style="2143" customWidth="1"/>
    <col min="14" max="14" width="1.85546875" style="2143" customWidth="1"/>
    <col min="15" max="15" width="13.42578125" style="2143" bestFit="1" customWidth="1"/>
    <col min="16" max="16" width="4.140625" style="2143" customWidth="1"/>
    <col min="17" max="17" width="19.85546875" style="2143" bestFit="1" customWidth="1"/>
    <col min="18" max="18" width="12.85546875" style="2143" customWidth="1"/>
    <col min="19" max="19" width="16.5703125" style="2143" bestFit="1" customWidth="1"/>
    <col min="20" max="20" width="18" style="2143" bestFit="1" customWidth="1"/>
    <col min="21" max="21" width="12.28515625" style="2143" bestFit="1" customWidth="1"/>
    <col min="22" max="22" width="12.7109375" style="2143" bestFit="1" customWidth="1"/>
    <col min="23" max="23" width="12.5703125" style="2143" bestFit="1" customWidth="1"/>
    <col min="24" max="24" width="12.28515625" style="2143" bestFit="1" customWidth="1"/>
    <col min="25" max="25" width="12.7109375" style="2143" bestFit="1" customWidth="1"/>
    <col min="26" max="16384" width="9.140625" style="2143"/>
  </cols>
  <sheetData>
    <row r="1" spans="1:25" ht="13.5" thickBot="1"/>
    <row r="2" spans="1:25" ht="13.5" thickBot="1">
      <c r="B2" s="2144" t="s">
        <v>109</v>
      </c>
      <c r="C2" s="2145" t="s">
        <v>22</v>
      </c>
      <c r="D2" s="2146" t="s">
        <v>249</v>
      </c>
      <c r="E2" s="2147" t="s">
        <v>250</v>
      </c>
      <c r="F2" s="2148" t="s">
        <v>251</v>
      </c>
      <c r="G2" s="2147">
        <f>'RCF-F'!F3</f>
        <v>2023</v>
      </c>
      <c r="H2" s="2147">
        <f t="shared" ref="H2:M2" si="0">G2+1</f>
        <v>2024</v>
      </c>
      <c r="I2" s="2147">
        <f t="shared" si="0"/>
        <v>2025</v>
      </c>
      <c r="J2" s="2147">
        <f t="shared" si="0"/>
        <v>2026</v>
      </c>
      <c r="K2" s="2147">
        <f t="shared" si="0"/>
        <v>2027</v>
      </c>
      <c r="L2" s="2147">
        <f t="shared" si="0"/>
        <v>2028</v>
      </c>
      <c r="M2" s="2148">
        <f t="shared" si="0"/>
        <v>2029</v>
      </c>
      <c r="O2" s="2149" t="s">
        <v>272</v>
      </c>
      <c r="P2" s="2150"/>
      <c r="Q2" s="2151" t="s">
        <v>652</v>
      </c>
      <c r="R2" s="2152"/>
      <c r="S2" s="2152"/>
      <c r="T2" s="2152"/>
      <c r="U2" s="2152"/>
      <c r="V2" s="2152"/>
      <c r="W2" s="2152"/>
      <c r="X2" s="2152"/>
      <c r="Y2" s="2153"/>
    </row>
    <row r="3" spans="1:25" ht="13.5" thickBot="1">
      <c r="B3" s="1325" t="s">
        <v>541</v>
      </c>
      <c r="C3" s="906">
        <v>1179205.48</v>
      </c>
      <c r="D3" s="2154" t="s">
        <v>541</v>
      </c>
      <c r="E3" s="1287" t="s">
        <v>253</v>
      </c>
      <c r="F3" s="2155">
        <v>2023</v>
      </c>
      <c r="G3" s="2156">
        <f t="shared" ref="G3:M5" si="1">IF(G$2=$F3,$C3,0)</f>
        <v>1179205.48</v>
      </c>
      <c r="H3" s="2156">
        <f t="shared" si="1"/>
        <v>0</v>
      </c>
      <c r="I3" s="2156">
        <f t="shared" si="1"/>
        <v>0</v>
      </c>
      <c r="J3" s="2156">
        <f t="shared" si="1"/>
        <v>0</v>
      </c>
      <c r="K3" s="2156">
        <f t="shared" si="1"/>
        <v>0</v>
      </c>
      <c r="L3" s="2156">
        <f t="shared" si="1"/>
        <v>0</v>
      </c>
      <c r="M3" s="2157">
        <f t="shared" si="1"/>
        <v>0</v>
      </c>
      <c r="O3" s="2158">
        <v>0.51196799999999998</v>
      </c>
      <c r="P3" s="2159"/>
      <c r="Q3" s="2160"/>
      <c r="Y3" s="2161"/>
    </row>
    <row r="4" spans="1:25" ht="13.5" thickBot="1">
      <c r="B4" s="2162" t="s">
        <v>254</v>
      </c>
      <c r="C4" s="214">
        <v>639468.23</v>
      </c>
      <c r="D4" s="2154" t="s">
        <v>254</v>
      </c>
      <c r="E4" s="2159" t="s">
        <v>253</v>
      </c>
      <c r="F4" s="2163">
        <v>2023</v>
      </c>
      <c r="G4" s="2164">
        <f t="shared" si="1"/>
        <v>639468.23</v>
      </c>
      <c r="H4" s="2164">
        <f t="shared" si="1"/>
        <v>0</v>
      </c>
      <c r="I4" s="2164">
        <f t="shared" si="1"/>
        <v>0</v>
      </c>
      <c r="J4" s="2164">
        <f t="shared" si="1"/>
        <v>0</v>
      </c>
      <c r="K4" s="2164">
        <f t="shared" si="1"/>
        <v>0</v>
      </c>
      <c r="L4" s="2164">
        <f t="shared" si="1"/>
        <v>0</v>
      </c>
      <c r="M4" s="2165">
        <f t="shared" si="1"/>
        <v>0</v>
      </c>
      <c r="Q4" s="2166" t="s">
        <v>653</v>
      </c>
      <c r="R4" s="2167" t="s">
        <v>655</v>
      </c>
      <c r="S4" s="2168">
        <f t="shared" ref="S4:Y4" si="2">G2</f>
        <v>2023</v>
      </c>
      <c r="T4" s="2169">
        <f t="shared" si="2"/>
        <v>2024</v>
      </c>
      <c r="U4" s="2169">
        <f t="shared" si="2"/>
        <v>2025</v>
      </c>
      <c r="V4" s="2169">
        <f t="shared" si="2"/>
        <v>2026</v>
      </c>
      <c r="W4" s="2169">
        <f t="shared" si="2"/>
        <v>2027</v>
      </c>
      <c r="X4" s="2169">
        <f t="shared" si="2"/>
        <v>2028</v>
      </c>
      <c r="Y4" s="2167">
        <f t="shared" si="2"/>
        <v>2029</v>
      </c>
    </row>
    <row r="5" spans="1:25">
      <c r="B5" s="2162" t="s">
        <v>1012</v>
      </c>
      <c r="C5" s="214">
        <v>100</v>
      </c>
      <c r="D5" s="2154" t="s">
        <v>255</v>
      </c>
      <c r="E5" s="2159" t="s">
        <v>1012</v>
      </c>
      <c r="F5" s="2163">
        <v>2023</v>
      </c>
      <c r="G5" s="2164">
        <f t="shared" si="1"/>
        <v>100</v>
      </c>
      <c r="H5" s="2164">
        <f t="shared" si="1"/>
        <v>0</v>
      </c>
      <c r="I5" s="2164">
        <f t="shared" si="1"/>
        <v>0</v>
      </c>
      <c r="J5" s="2164">
        <f t="shared" si="1"/>
        <v>0</v>
      </c>
      <c r="K5" s="2164">
        <f t="shared" si="1"/>
        <v>0</v>
      </c>
      <c r="L5" s="2164">
        <f t="shared" si="1"/>
        <v>0</v>
      </c>
      <c r="M5" s="2165">
        <f t="shared" si="1"/>
        <v>0</v>
      </c>
      <c r="Q5" s="2160" t="s">
        <v>605</v>
      </c>
      <c r="R5" s="2150">
        <f>'Prod info'!O5</f>
        <v>2</v>
      </c>
      <c r="S5" s="2170">
        <f>IF(G17='Prod info'!$AA$5,SUMIF('Prod info'!$AC$3:$AC$5,'Prod info'!$P$5,'Prod info'!$AD$3:$AD$5),0)*Opex!D$29</f>
        <v>0</v>
      </c>
      <c r="T5" s="2170">
        <f>IF(H17='Prod info'!$AA$5,SUMIF('Prod info'!$AC$3:$AC$5,'Prod info'!$P$5,'Prod info'!$AD$3:$AD$5),0)*Opex!E$29</f>
        <v>0</v>
      </c>
      <c r="U5" s="2170">
        <f>IF(I17='Prod info'!$AA$5,SUMIF('Prod info'!$AC$3:$AC$5,'Prod info'!$P$5,'Prod info'!$AD$3:$AD$5),0)*Opex!F$29</f>
        <v>0</v>
      </c>
      <c r="V5" s="2170">
        <f>IF(J17='Prod info'!$AA$5,SUMIF('Prod info'!$AC$3:$AC$5,'Prod info'!$P$5,'Prod info'!$AD$3:$AD$5),0)*Opex!G$29</f>
        <v>0</v>
      </c>
      <c r="W5" s="2170">
        <f>IF(K17='Prod info'!$AA$5,SUMIF('Prod info'!$AC$3:$AC$5,'Prod info'!$P$5,'Prod info'!$AD$3:$AD$5),0)*Opex!H$29</f>
        <v>0</v>
      </c>
      <c r="X5" s="2170">
        <f>IF(L17='Prod info'!$AA$5,SUMIF('Prod info'!$AC$3:$AC$5,'Prod info'!$P$5,'Prod info'!$AD$3:$AD$5),0)*Opex!I$29</f>
        <v>0</v>
      </c>
      <c r="Y5" s="2171">
        <f>IF(M$17='Prod info'!$AA$5,SUMIF('Prod info'!$AC$3:$AC$5,'Prod info'!$P$5,'Prod info'!$AD$3:$AD$5),0)*Opex!J$29</f>
        <v>14983.963615578594</v>
      </c>
    </row>
    <row r="6" spans="1:25" ht="13.5" thickBot="1">
      <c r="B6" s="2172" t="s">
        <v>105</v>
      </c>
      <c r="C6" s="293">
        <f>(IF(E3="Shares",0,C3)+IF(E4="Shares",0,C4)+IF(E5="Shares",0,C5))*O33</f>
        <v>20</v>
      </c>
      <c r="D6" s="2173"/>
      <c r="E6" s="2174"/>
      <c r="F6" s="2175">
        <v>2023</v>
      </c>
      <c r="G6" s="2164">
        <f>IF(G$2=$F6,$C6,0)</f>
        <v>20</v>
      </c>
      <c r="H6" s="2164">
        <f t="shared" ref="H6:M6" si="3">IF(H$2=$F6,$C6,0)</f>
        <v>0</v>
      </c>
      <c r="I6" s="2164">
        <f t="shared" si="3"/>
        <v>0</v>
      </c>
      <c r="J6" s="2164">
        <f t="shared" si="3"/>
        <v>0</v>
      </c>
      <c r="K6" s="2164">
        <f t="shared" si="3"/>
        <v>0</v>
      </c>
      <c r="L6" s="2164">
        <f t="shared" si="3"/>
        <v>0</v>
      </c>
      <c r="M6" s="2165">
        <f t="shared" si="3"/>
        <v>0</v>
      </c>
      <c r="Q6" s="2160" t="s">
        <v>605</v>
      </c>
      <c r="R6" s="2150">
        <f>'Prod info'!O7</f>
        <v>5</v>
      </c>
      <c r="S6" s="2170">
        <f>IF(G$17='Prod info'!$AA$7,SUMIF('Prod info'!$AC$3:$AC$5,'Prod info'!$P$7,'Prod info'!$AD$3:$AD$5),0)*Opex!D$29</f>
        <v>0</v>
      </c>
      <c r="T6" s="2170">
        <f>IF(H$17='Prod info'!$AA$7,SUMIF('Prod info'!$AC$3:$AC$5,'Prod info'!$P$7,'Prod info'!$AD$3:$AD$5),0)*Opex!E$29</f>
        <v>0</v>
      </c>
      <c r="U6" s="2170">
        <f>IF(I$17='Prod info'!$AA$7,SUMIF('Prod info'!$AC$3:$AC$5,'Prod info'!$P$7,'Prod info'!$AD$3:$AD$5),0)*Opex!F$29</f>
        <v>0</v>
      </c>
      <c r="V6" s="2170">
        <f>IF(J$17='Prod info'!$AA$7,SUMIF('Prod info'!$AC$3:$AC$5,'Prod info'!$P$7,'Prod info'!$AD$3:$AD$5),0)*Opex!G$29</f>
        <v>0</v>
      </c>
      <c r="W6" s="2170">
        <f>IF(K$17='Prod info'!$AA$7,SUMIF('Prod info'!$AC$3:$AC$5,'Prod info'!$P$7,'Prod info'!$AD$3:$AD$5),0)*Opex!H$29</f>
        <v>0</v>
      </c>
      <c r="X6" s="2170">
        <f>IF(L$17='Prod info'!$AA$7,SUMIF('Prod info'!$AC$3:$AC$5,'Prod info'!$P$7,'Prod info'!$AD$3:$AD$5),0)*Opex!I$29</f>
        <v>0</v>
      </c>
      <c r="Y6" s="2171">
        <f>IF(M$17='Prod info'!$AA$7,SUMIF('Prod info'!$AC$3:$AC$5,'Prod info'!$P$7,'Prod info'!$AD$3:$AD$5),0)*Opex!J$29</f>
        <v>11387.812347839732</v>
      </c>
    </row>
    <row r="7" spans="1:25" ht="13.5" thickBot="1">
      <c r="A7" s="2176"/>
      <c r="B7" s="2177" t="s">
        <v>110</v>
      </c>
      <c r="C7" s="2178"/>
      <c r="D7" s="2179"/>
      <c r="E7" s="2179"/>
      <c r="F7" s="2180"/>
      <c r="G7" s="2181">
        <f t="shared" ref="G7:M7" si="4">SUM(G3:G6)</f>
        <v>1818793.71</v>
      </c>
      <c r="H7" s="2181">
        <f t="shared" si="4"/>
        <v>0</v>
      </c>
      <c r="I7" s="2181">
        <f t="shared" si="4"/>
        <v>0</v>
      </c>
      <c r="J7" s="2181">
        <f t="shared" si="4"/>
        <v>0</v>
      </c>
      <c r="K7" s="2181">
        <f t="shared" si="4"/>
        <v>0</v>
      </c>
      <c r="L7" s="2181">
        <f t="shared" si="4"/>
        <v>0</v>
      </c>
      <c r="M7" s="2182">
        <f t="shared" si="4"/>
        <v>0</v>
      </c>
      <c r="Q7" s="2160" t="s">
        <v>605</v>
      </c>
      <c r="R7" s="2150">
        <f>'Prod info'!O8</f>
        <v>2</v>
      </c>
      <c r="S7" s="2170">
        <f>IF(G$17='Prod info'!$AA$8,SUMIF('Prod info'!$AC$3:$AC$5,'Prod info'!$P$8,'Prod info'!$AD$3:$AD$5),0)*Opex!D$29</f>
        <v>0</v>
      </c>
      <c r="T7" s="2170">
        <f>IF(H$17='Prod info'!$AA$8,SUMIF('Prod info'!$AC$3:$AC$5,'Prod info'!$P$8,'Prod info'!$AD$3:$AD$5),0)*Opex!E$29</f>
        <v>0</v>
      </c>
      <c r="U7" s="2170">
        <f>IF(I$17='Prod info'!$AA$8,SUMIF('Prod info'!$AC$3:$AC$5,'Prod info'!$P$8,'Prod info'!$AD$3:$AD$5),0)*Opex!F$29</f>
        <v>0</v>
      </c>
      <c r="V7" s="2170">
        <f>IF(J$17='Prod info'!$AA$8,SUMIF('Prod info'!$AC$3:$AC$5,'Prod info'!$P$8,'Prod info'!$AD$3:$AD$5),0)*Opex!G$29</f>
        <v>0</v>
      </c>
      <c r="W7" s="2170">
        <f>IF(K$17='Prod info'!$AA$8,SUMIF('Prod info'!$AC$3:$AC$5,'Prod info'!$P$8,'Prod info'!$AD$3:$AD$5),0)*Opex!H$29</f>
        <v>0</v>
      </c>
      <c r="X7" s="2170">
        <f>IF(L$17='Prod info'!$AA$8,SUMIF('Prod info'!$AC$3:$AC$5,'Prod info'!$P$8,'Prod info'!$AD$3:$AD$5),0)*Opex!I$29</f>
        <v>14690.160407429994</v>
      </c>
      <c r="Y7" s="2171">
        <f>IF(M$17='Prod info'!$AA$8,SUMIF('Prod info'!$AC$3:$AC$5,'Prod info'!$P$8,'Prod info'!$AD$3:$AD$5),0)*Opex!J$29</f>
        <v>0</v>
      </c>
    </row>
    <row r="8" spans="1:25" ht="13.5" thickBot="1">
      <c r="Q8" s="2160" t="s">
        <v>605</v>
      </c>
      <c r="R8" s="2150">
        <f>'Prod info'!O9</f>
        <v>3</v>
      </c>
      <c r="S8" s="2170">
        <f>IF(G$17='Prod info'!$AA$9,SUMIF('Prod info'!$AC$3:$AC$5,'Prod info'!$P$9,'Prod info'!$AD$3:$AD$5),0)*Opex!D$29</f>
        <v>0</v>
      </c>
      <c r="T8" s="2170">
        <f>IF(H$17='Prod info'!$AA$9,SUMIF('Prod info'!$AC$3:$AC$5,'Prod info'!$P$9,'Prod info'!$AD$3:$AD$5),0)*Opex!E$29</f>
        <v>0</v>
      </c>
      <c r="U8" s="2170">
        <f>IF(I$17='Prod info'!$AA$9,SUMIF('Prod info'!$AC$3:$AC$5,'Prod info'!$P$9,'Prod info'!$AD$3:$AD$5),0)*Opex!F$29</f>
        <v>0</v>
      </c>
      <c r="V8" s="2170">
        <f>IF(J$17='Prod info'!$AA$9,SUMIF('Prod info'!$AC$3:$AC$5,'Prod info'!$P$9,'Prod info'!$AD$3:$AD$5),0)*Opex!G$29</f>
        <v>0</v>
      </c>
      <c r="W8" s="2170">
        <f>IF(K$17='Prod info'!$AA$9,SUMIF('Prod info'!$AC$3:$AC$5,'Prod info'!$P$9,'Prod info'!$AD$3:$AD$5),0)*Opex!H$29</f>
        <v>0</v>
      </c>
      <c r="X8" s="2170">
        <f>IF(L$17='Prod info'!$AA$9,SUMIF('Prod info'!$AC$3:$AC$5,'Prod info'!$P$9,'Prod info'!$AD$3:$AD$5),0)*Opex!I$29</f>
        <v>0</v>
      </c>
      <c r="Y8" s="2171">
        <f>IF(M$17='Prod info'!$AA$9,SUMIF('Prod info'!$AC$3:$AC$5,'Prod info'!$P$9,'Prod info'!$AD$3:$AD$5),0)*Opex!J$29</f>
        <v>0</v>
      </c>
    </row>
    <row r="9" spans="1:25" ht="13.5" thickBot="1">
      <c r="B9" s="2183" t="s">
        <v>111</v>
      </c>
      <c r="C9" s="2184" t="s">
        <v>22</v>
      </c>
      <c r="D9" s="2184" t="s">
        <v>249</v>
      </c>
      <c r="E9" s="2184"/>
      <c r="F9" s="2184" t="s">
        <v>251</v>
      </c>
      <c r="G9" s="2184">
        <f>G2</f>
        <v>2023</v>
      </c>
      <c r="H9" s="2184">
        <f t="shared" ref="H9:M9" si="5">G9+1</f>
        <v>2024</v>
      </c>
      <c r="I9" s="2184">
        <f t="shared" si="5"/>
        <v>2025</v>
      </c>
      <c r="J9" s="2184">
        <f t="shared" si="5"/>
        <v>2026</v>
      </c>
      <c r="K9" s="2184">
        <f t="shared" si="5"/>
        <v>2027</v>
      </c>
      <c r="L9" s="2184">
        <f t="shared" si="5"/>
        <v>2028</v>
      </c>
      <c r="M9" s="2185">
        <f t="shared" si="5"/>
        <v>2029</v>
      </c>
      <c r="O9" s="2186" t="s">
        <v>105</v>
      </c>
      <c r="Q9" s="2160" t="s">
        <v>605</v>
      </c>
      <c r="R9" s="2150">
        <f>'Prod info'!O6</f>
        <v>1</v>
      </c>
      <c r="S9" s="2170">
        <f>IF(G$17='Prod info'!$AA$6,SUMIF('Prod info'!$AC$3:$AC$5,'Prod info'!$P$6,'Prod info'!$AD$3:$AD$5),0)*Opex!D$29</f>
        <v>0</v>
      </c>
      <c r="T9" s="2170">
        <f>IF(H$17='Prod info'!$AA$6,SUMIF('Prod info'!$AC$3:$AC$5,'Prod info'!$P$6,'Prod info'!$AD$3:$AD$5),0)*Opex!E$29</f>
        <v>0</v>
      </c>
      <c r="U9" s="2170">
        <f>IF(I$17='Prod info'!$AA$6,SUMIF('Prod info'!$AC$3:$AC$5,'Prod info'!$P$6,'Prod info'!$AD$3:$AD$5),0)*Opex!F$29</f>
        <v>0</v>
      </c>
      <c r="V9" s="2170">
        <f>IF(J$17='Prod info'!$AA$6,SUMIF('Prod info'!$AC$3:$AC$5,'Prod info'!$P$6,'Prod info'!$AD$3:$AD$5),0)*Opex!G$29</f>
        <v>0</v>
      </c>
      <c r="W9" s="2170">
        <f>IF(K$17='Prod info'!$AA$6,SUMIF('Prod info'!$AC$3:$AC$5,'Prod info'!$P$6,'Prod info'!$AD$3:$AD$5),0)*Opex!H$29</f>
        <v>0</v>
      </c>
      <c r="X9" s="2170">
        <f>IF(L$17='Prod info'!$AA$6,SUMIF('Prod info'!$AC$3:$AC$5,'Prod info'!$P$6,'Prod info'!$AD$3:$AD$5),0)*Opex!I$29</f>
        <v>0</v>
      </c>
      <c r="Y9" s="2171">
        <f>IF(M$17='Prod info'!$AA$6,SUMIF('Prod info'!$AC$3:$AC$5,'Prod info'!$P$6,'Prod info'!$AD$3:$AD$5),0)*Opex!J$29</f>
        <v>6467.0786964837207</v>
      </c>
    </row>
    <row r="10" spans="1:25">
      <c r="B10" s="2187" t="s">
        <v>540</v>
      </c>
      <c r="C10" s="906">
        <f>5850+7500</f>
        <v>13350</v>
      </c>
      <c r="D10" s="2188" t="s">
        <v>255</v>
      </c>
      <c r="E10" s="2152"/>
      <c r="F10" s="2155">
        <v>2023</v>
      </c>
      <c r="G10" s="2156">
        <f t="shared" ref="G10:M14" si="6">IF(G$2=$F10,$C10,0)</f>
        <v>13350</v>
      </c>
      <c r="H10" s="2156">
        <f t="shared" si="6"/>
        <v>0</v>
      </c>
      <c r="I10" s="2156">
        <f t="shared" si="6"/>
        <v>0</v>
      </c>
      <c r="J10" s="2156">
        <f t="shared" si="6"/>
        <v>0</v>
      </c>
      <c r="K10" s="2156">
        <f t="shared" si="6"/>
        <v>0</v>
      </c>
      <c r="L10" s="2156">
        <f t="shared" si="6"/>
        <v>0</v>
      </c>
      <c r="M10" s="2157">
        <f t="shared" si="6"/>
        <v>0</v>
      </c>
      <c r="O10" s="2189" t="s">
        <v>258</v>
      </c>
      <c r="Q10" s="2160" t="s">
        <v>605</v>
      </c>
      <c r="R10" s="2150">
        <f>'Prod info'!O10</f>
        <v>7</v>
      </c>
      <c r="S10" s="2170">
        <f>IF(G$17='Prod info'!$AA$10,SUMIF('Prod info'!$AC$3:$AC$5,'Prod info'!$P$10,'Prod info'!$AD$3:$AD$5),0)*Opex!D$29</f>
        <v>0</v>
      </c>
      <c r="T10" s="2170">
        <f>IF(H$17='Prod info'!$AA$10,SUMIF('Prod info'!$AC$3:$AC$5,'Prod info'!$P$10,'Prod info'!$AD$3:$AD$5),0)*Opex!E$29</f>
        <v>0</v>
      </c>
      <c r="U10" s="2170">
        <f>IF(I$17='Prod info'!$AA$10,SUMIF('Prod info'!$AC$3:$AC$5,'Prod info'!$P$10,'Prod info'!$AD$3:$AD$5),0)*Opex!F$29</f>
        <v>0</v>
      </c>
      <c r="V10" s="2170">
        <f>IF(J$17='Prod info'!$AA$10,SUMIF('Prod info'!$AC$3:$AC$5,'Prod info'!$P$10,'Prod info'!$AD$3:$AD$5),0)*Opex!G$29</f>
        <v>0</v>
      </c>
      <c r="W10" s="2170">
        <f>IF(K$17='Prod info'!$AA$10,SUMIF('Prod info'!$AC$3:$AC$5,'Prod info'!$P$10,'Prod info'!$AD$3:$AD$5),0)*Opex!H$29</f>
        <v>0</v>
      </c>
      <c r="X10" s="2170">
        <f>IF(L$17='Prod info'!$AA$10,SUMIF('Prod info'!$AC$3:$AC$5,'Prod info'!$P$10,'Prod info'!$AD$3:$AD$5),0)*Opex!I$29</f>
        <v>14690.160407429994</v>
      </c>
      <c r="Y10" s="2171">
        <f>IF(M$17='Prod info'!$AA$10,SUMIF('Prod info'!$AC$3:$AC$5,'Prod info'!$P$10,'Prod info'!$AD$3:$AD$5),0)*Opex!J$29</f>
        <v>0</v>
      </c>
    </row>
    <row r="11" spans="1:25">
      <c r="B11" s="2160" t="s">
        <v>256</v>
      </c>
      <c r="C11" s="214">
        <v>9500</v>
      </c>
      <c r="D11" s="2154" t="s">
        <v>255</v>
      </c>
      <c r="F11" s="2163">
        <v>2023</v>
      </c>
      <c r="G11" s="2164">
        <f t="shared" si="6"/>
        <v>9500</v>
      </c>
      <c r="H11" s="2164">
        <f t="shared" si="6"/>
        <v>0</v>
      </c>
      <c r="I11" s="2164">
        <f t="shared" si="6"/>
        <v>0</v>
      </c>
      <c r="J11" s="2164">
        <f t="shared" si="6"/>
        <v>0</v>
      </c>
      <c r="K11" s="2164">
        <f t="shared" si="6"/>
        <v>0</v>
      </c>
      <c r="L11" s="2164">
        <f t="shared" si="6"/>
        <v>0</v>
      </c>
      <c r="M11" s="2165">
        <f t="shared" si="6"/>
        <v>0</v>
      </c>
      <c r="O11" s="2190" t="s">
        <v>258</v>
      </c>
      <c r="Q11" s="2160" t="s">
        <v>605</v>
      </c>
      <c r="R11" s="2150">
        <f>'Prod info'!O11</f>
        <v>6</v>
      </c>
      <c r="S11" s="2170">
        <f>IF(G$17='Prod info'!$AA$11,SUMIF('Prod info'!$AC$3:$AC$5,'Prod info'!$P$11,'Prod info'!$AD$3:$AD$5),0)*Opex!D$29</f>
        <v>0</v>
      </c>
      <c r="T11" s="2170">
        <f>IF(H$17='Prod info'!$AA$11,SUMIF('Prod info'!$AC$3:$AC$5,'Prod info'!$P$11,'Prod info'!$AD$3:$AD$5),0)*Opex!E$29</f>
        <v>0</v>
      </c>
      <c r="U11" s="2170">
        <f>IF(I$17='Prod info'!$AA$11,SUMIF('Prod info'!$AC$3:$AC$5,'Prod info'!$P$11,'Prod info'!$AD$3:$AD$5),0)*Opex!F$29</f>
        <v>0</v>
      </c>
      <c r="V11" s="2170">
        <f>IF(J$17='Prod info'!$AA$11,SUMIF('Prod info'!$AC$3:$AC$5,'Prod info'!$P$11,'Prod info'!$AD$3:$AD$5),0)*Opex!G$29</f>
        <v>0</v>
      </c>
      <c r="W11" s="2170">
        <f>IF(K$17='Prod info'!$AA$11,SUMIF('Prod info'!$AC$3:$AC$5,'Prod info'!$P$11,'Prod info'!$AD$3:$AD$5),0)*Opex!H$29</f>
        <v>0</v>
      </c>
      <c r="X11" s="2170">
        <f>IF(L$17='Prod info'!$AA$11,SUMIF('Prod info'!$AC$3:$AC$5,'Prod info'!$P$11,'Prod info'!$AD$3:$AD$5),0)*Opex!I$29</f>
        <v>0</v>
      </c>
      <c r="Y11" s="2171">
        <f>IF(M$17='Prod info'!$AA$11,SUMIF('Prod info'!$AC$3:$AC$5,'Prod info'!$P$11,'Prod info'!$AD$3:$AD$5),0)*Opex!J$29</f>
        <v>0</v>
      </c>
    </row>
    <row r="12" spans="1:25">
      <c r="B12" s="2160" t="s">
        <v>112</v>
      </c>
      <c r="C12" s="214">
        <f>125000+17500+25000</f>
        <v>167500</v>
      </c>
      <c r="D12" s="2154" t="s">
        <v>255</v>
      </c>
      <c r="F12" s="2163">
        <v>2023</v>
      </c>
      <c r="G12" s="2164">
        <f t="shared" si="6"/>
        <v>167500</v>
      </c>
      <c r="H12" s="2164">
        <f t="shared" si="6"/>
        <v>0</v>
      </c>
      <c r="I12" s="2164">
        <f t="shared" si="6"/>
        <v>0</v>
      </c>
      <c r="J12" s="2164">
        <f t="shared" si="6"/>
        <v>0</v>
      </c>
      <c r="K12" s="2164">
        <f t="shared" si="6"/>
        <v>0</v>
      </c>
      <c r="L12" s="2164">
        <f t="shared" si="6"/>
        <v>0</v>
      </c>
      <c r="M12" s="2165">
        <f t="shared" si="6"/>
        <v>0</v>
      </c>
      <c r="O12" s="2190" t="s">
        <v>258</v>
      </c>
      <c r="Q12" s="2160" t="s">
        <v>654</v>
      </c>
      <c r="R12" s="2150">
        <f>'Prod info'!O21</f>
        <v>8</v>
      </c>
      <c r="S12" s="1139">
        <f>IF(Capex!S$4='Prod info'!$AA21,IF(SUM('Prod info'!$R21:$Y21)='Prod info'!$AC$3,'Prod info'!$AD$3,IF(SUM('Prod info'!$R21:$Y21)='Prod info'!$AC$4,'Prod info'!$AD$4,IF(SUM('Prod info'!$R21:$Y21)='Prod info'!$AC$5,'Prod info'!$AD$5,0))),0)*Opex!D$29</f>
        <v>0</v>
      </c>
      <c r="T12" s="1139">
        <f>IF(Capex!T$4='Prod info'!$AA21,IF(SUM('Prod info'!$R21:$Y21)='Prod info'!$AC$3,'Prod info'!$AD$3,IF(SUM('Prod info'!$R21:$Y21)='Prod info'!$AC$4,'Prod info'!$AD$4,IF(SUM('Prod info'!$R21:$Y21)='Prod info'!$AC$5,'Prod info'!$AD$5,0))),0)*Opex!E$29</f>
        <v>0</v>
      </c>
      <c r="U12" s="1139">
        <f>IF(Capex!U$4='Prod info'!$AA21,IF(SUM('Prod info'!$R21:$Y21)='Prod info'!$AC$3,'Prod info'!$AD$3,IF(SUM('Prod info'!$R21:$Y21)='Prod info'!$AC$4,'Prod info'!$AD$4,IF(SUM('Prod info'!$R21:$Y21)='Prod info'!$AC$5,'Prod info'!$AD$5,0))),0)*Opex!F$29</f>
        <v>0</v>
      </c>
      <c r="V12" s="1139">
        <f>IF(Capex!V$4='Prod info'!$AA21,IF(SUM('Prod info'!$R21:$Y21)='Prod info'!$AC$3,'Prod info'!$AD$3,IF(SUM('Prod info'!$R21:$Y21)='Prod info'!$AC$4,'Prod info'!$AD$4,IF(SUM('Prod info'!$R21:$Y21)='Prod info'!$AC$5,'Prod info'!$AD$5,0))),0)*Opex!G$29</f>
        <v>0</v>
      </c>
      <c r="W12" s="1139">
        <f>IF(Capex!W$4='Prod info'!$AA21,IF(SUM('Prod info'!$R21:$Y21)='Prod info'!$AC$3,'Prod info'!$AD$3,IF(SUM('Prod info'!$R21:$Y21)='Prod info'!$AC$4,'Prod info'!$AD$4,IF(SUM('Prod info'!$R21:$Y21)='Prod info'!$AC$5,'Prod info'!$AD$5,0))),0)*Opex!H$29</f>
        <v>0</v>
      </c>
      <c r="X12" s="1139">
        <f>IF(Capex!X$4='Prod info'!$AA21,IF(SUM('Prod info'!$R21:$Y21)='Prod info'!$AC$3,'Prod info'!$AD$3,IF(SUM('Prod info'!$R21:$Y21)='Prod info'!$AC$4,'Prod info'!$AD$4,IF(SUM('Prod info'!$R21:$Y21)='Prod info'!$AC$5,'Prod info'!$AD$5,0))),0)*Opex!I$29</f>
        <v>0</v>
      </c>
      <c r="Y12" s="1746">
        <f>IF(Capex!Y$4='Prod info'!$AA21,IF(SUM('Prod info'!$R21:$Y21)='Prod info'!$AC$3,'Prod info'!$AD$3,IF(SUM('Prod info'!$R21:$Y21)='Prod info'!$AC$4,'Prod info'!$AD$4,IF(SUM('Prod info'!$R21:$Y21)='Prod info'!$AC$5,'Prod info'!$AD$5,0))),0)*Opex!J$29</f>
        <v>0</v>
      </c>
    </row>
    <row r="13" spans="1:25">
      <c r="B13" s="2160" t="s">
        <v>1037</v>
      </c>
      <c r="C13" s="214">
        <v>130000</v>
      </c>
      <c r="D13" s="2154" t="s">
        <v>255</v>
      </c>
      <c r="F13" s="2163">
        <v>2023</v>
      </c>
      <c r="G13" s="2164">
        <f>IF(G$2=$F13,$C13,0)</f>
        <v>130000</v>
      </c>
      <c r="H13" s="2164">
        <f t="shared" si="6"/>
        <v>0</v>
      </c>
      <c r="I13" s="2164">
        <f t="shared" si="6"/>
        <v>0</v>
      </c>
      <c r="J13" s="2164">
        <f t="shared" si="6"/>
        <v>0</v>
      </c>
      <c r="K13" s="2164">
        <f t="shared" si="6"/>
        <v>0</v>
      </c>
      <c r="L13" s="2164">
        <f t="shared" si="6"/>
        <v>0</v>
      </c>
      <c r="M13" s="2165">
        <f t="shared" si="6"/>
        <v>0</v>
      </c>
      <c r="O13" s="2190" t="s">
        <v>258</v>
      </c>
      <c r="Q13" s="2160" t="s">
        <v>654</v>
      </c>
      <c r="R13" s="2150">
        <f>'Prod info'!O22</f>
        <v>9</v>
      </c>
      <c r="S13" s="1139">
        <f>IF(Capex!S$4='Prod info'!$AA22,IF(SUM('Prod info'!$R22:$Y22)='Prod info'!$AC$3,'Prod info'!$AD$3,IF(SUM('Prod info'!$R22:$Y22)='Prod info'!$AC$4,'Prod info'!$AD$4,IF(SUM('Prod info'!$R22:$Y22)='Prod info'!$AC$5,'Prod info'!$AD$5,0))),0)*Opex!D$29</f>
        <v>0</v>
      </c>
      <c r="T13" s="1139">
        <f>IF(Capex!T$4='Prod info'!$AA22,IF(SUM('Prod info'!$R22:$Y22)='Prod info'!$AC$3,'Prod info'!$AD$3,IF(SUM('Prod info'!$R22:$Y22)='Prod info'!$AC$4,'Prod info'!$AD$4,IF(SUM('Prod info'!$R22:$Y22)='Prod info'!$AC$5,'Prod info'!$AD$5,0))),0)*Opex!E$29</f>
        <v>0</v>
      </c>
      <c r="U13" s="1139">
        <f>IF(Capex!U$4='Prod info'!$AA22,IF(SUM('Prod info'!$R22:$Y22)='Prod info'!$AC$3,'Prod info'!$AD$3,IF(SUM('Prod info'!$R22:$Y22)='Prod info'!$AC$4,'Prod info'!$AD$4,IF(SUM('Prod info'!$R22:$Y22)='Prod info'!$AC$5,'Prod info'!$AD$5,0))),0)*Opex!F$29</f>
        <v>5974.5810734999986</v>
      </c>
      <c r="V13" s="1139">
        <f>IF(Capex!V$4='Prod info'!$AA22,IF(SUM('Prod info'!$R22:$Y22)='Prod info'!$AC$3,'Prod info'!$AD$3,IF(SUM('Prod info'!$R22:$Y22)='Prod info'!$AC$4,'Prod info'!$AD$4,IF(SUM('Prod info'!$R22:$Y22)='Prod info'!$AC$5,'Prod info'!$AD$5,0))),0)*Opex!G$29</f>
        <v>0</v>
      </c>
      <c r="W13" s="1139">
        <f>IF(Capex!W$4='Prod info'!$AA22,IF(SUM('Prod info'!$R22:$Y22)='Prod info'!$AC$3,'Prod info'!$AD$3,IF(SUM('Prod info'!$R22:$Y22)='Prod info'!$AC$4,'Prod info'!$AD$4,IF(SUM('Prod info'!$R22:$Y22)='Prod info'!$AC$5,'Prod info'!$AD$5,0))),0)*Opex!H$29</f>
        <v>0</v>
      </c>
      <c r="X13" s="1139">
        <f>IF(Capex!X$4='Prod info'!$AA22,IF(SUM('Prod info'!$R22:$Y22)='Prod info'!$AC$3,'Prod info'!$AD$3,IF(SUM('Prod info'!$R22:$Y22)='Prod info'!$AC$4,'Prod info'!$AD$4,IF(SUM('Prod info'!$R22:$Y22)='Prod info'!$AC$5,'Prod info'!$AD$5,0))),0)*Opex!I$29</f>
        <v>0</v>
      </c>
      <c r="Y13" s="1746">
        <f>IF(Capex!Y$4='Prod info'!$AA22,IF(SUM('Prod info'!$R22:$Y22)='Prod info'!$AC$3,'Prod info'!$AD$3,IF(SUM('Prod info'!$R22:$Y22)='Prod info'!$AC$4,'Prod info'!$AD$4,IF(SUM('Prod info'!$R22:$Y22)='Prod info'!$AC$5,'Prod info'!$AD$5,0))),0)*Opex!J$29</f>
        <v>0</v>
      </c>
    </row>
    <row r="14" spans="1:25" ht="13.5" thickBot="1">
      <c r="B14" s="2191" t="s">
        <v>1184</v>
      </c>
      <c r="C14" s="214">
        <v>550000</v>
      </c>
      <c r="D14" s="2154" t="s">
        <v>255</v>
      </c>
      <c r="E14" s="2159"/>
      <c r="F14" s="2163">
        <v>2023</v>
      </c>
      <c r="G14" s="2164">
        <f t="shared" si="6"/>
        <v>550000</v>
      </c>
      <c r="H14" s="2164">
        <f t="shared" si="6"/>
        <v>0</v>
      </c>
      <c r="I14" s="2164">
        <f t="shared" si="6"/>
        <v>0</v>
      </c>
      <c r="J14" s="2164">
        <f t="shared" si="6"/>
        <v>0</v>
      </c>
      <c r="K14" s="2164">
        <f t="shared" si="6"/>
        <v>0</v>
      </c>
      <c r="L14" s="2164">
        <f t="shared" si="6"/>
        <v>0</v>
      </c>
      <c r="M14" s="2165">
        <f t="shared" si="6"/>
        <v>0</v>
      </c>
      <c r="O14" s="2190" t="s">
        <v>258</v>
      </c>
      <c r="Q14" s="2160" t="s">
        <v>654</v>
      </c>
      <c r="R14" s="2150">
        <f>'Prod info'!O23</f>
        <v>10</v>
      </c>
      <c r="S14" s="1139">
        <f>IF(Capex!S$4='Prod info'!$AA23,IF(SUM('Prod info'!$R23:$Y23)='Prod info'!$AC$3,'Prod info'!$AD$3,IF(SUM('Prod info'!$R23:$Y23)='Prod info'!$AC$4,'Prod info'!$AD$4,IF(SUM('Prod info'!$R23:$Y23)='Prod info'!$AC$5,'Prod info'!$AD$5,0))),0)*Opex!D$29</f>
        <v>0</v>
      </c>
      <c r="T14" s="1139">
        <f>IF(Capex!T$4='Prod info'!$AA23,IF(SUM('Prod info'!$R23:$Y23)='Prod info'!$AC$3,'Prod info'!$AD$3,IF(SUM('Prod info'!$R23:$Y23)='Prod info'!$AC$4,'Prod info'!$AD$4,IF(SUM('Prod info'!$R23:$Y23)='Prod info'!$AC$5,'Prod info'!$AD$5,0))),0)*Opex!E$29</f>
        <v>0</v>
      </c>
      <c r="U14" s="1139">
        <f>IF(Capex!U$4='Prod info'!$AA23,IF(SUM('Prod info'!$R23:$Y23)='Prod info'!$AC$3,'Prod info'!$AD$3,IF(SUM('Prod info'!$R23:$Y23)='Prod info'!$AC$4,'Prod info'!$AD$4,IF(SUM('Prod info'!$R23:$Y23)='Prod info'!$AC$5,'Prod info'!$AD$5,0))),0)*Opex!F$29</f>
        <v>0</v>
      </c>
      <c r="V14" s="1139">
        <f>IF(Capex!V$4='Prod info'!$AA23,IF(SUM('Prod info'!$R23:$Y23)='Prod info'!$AC$3,'Prod info'!$AD$3,IF(SUM('Prod info'!$R23:$Y23)='Prod info'!$AC$4,'Prod info'!$AD$4,IF(SUM('Prod info'!$R23:$Y23)='Prod info'!$AC$5,'Prod info'!$AD$5,0))),0)*Opex!G$29</f>
        <v>0</v>
      </c>
      <c r="W14" s="1139">
        <f>IF(Capex!W$4='Prod info'!$AA23,IF(SUM('Prod info'!$R23:$Y23)='Prod info'!$AC$3,'Prod info'!$AD$3,IF(SUM('Prod info'!$R23:$Y23)='Prod info'!$AC$4,'Prod info'!$AD$4,IF(SUM('Prod info'!$R23:$Y23)='Prod info'!$AC$5,'Prod info'!$AD$5,0))),0)*Opex!H$29</f>
        <v>0</v>
      </c>
      <c r="X14" s="1139">
        <f>IF(Capex!X$4='Prod info'!$AA23,IF(SUM('Prod info'!$R23:$Y23)='Prod info'!$AC$3,'Prod info'!$AD$3,IF(SUM('Prod info'!$R23:$Y23)='Prod info'!$AC$4,'Prod info'!$AD$4,IF(SUM('Prod info'!$R23:$Y23)='Prod info'!$AC$5,'Prod info'!$AD$5,0))),0)*Opex!I$29</f>
        <v>0</v>
      </c>
      <c r="Y14" s="1746">
        <f>IF(Capex!Y$4='Prod info'!$AA23,IF(SUM('Prod info'!$R23:$Y23)='Prod info'!$AC$3,'Prod info'!$AD$3,IF(SUM('Prod info'!$R23:$Y23)='Prod info'!$AC$4,'Prod info'!$AD$4,IF(SUM('Prod info'!$R23:$Y23)='Prod info'!$AC$5,'Prod info'!$AD$5,0))),0)*Opex!J$29</f>
        <v>0</v>
      </c>
    </row>
    <row r="15" spans="1:25" ht="13.5" thickBot="1">
      <c r="B15" s="2192" t="s">
        <v>113</v>
      </c>
      <c r="C15" s="2179"/>
      <c r="D15" s="2179"/>
      <c r="E15" s="2179"/>
      <c r="F15" s="2179"/>
      <c r="G15" s="2181">
        <f>SUM(G10:G14)</f>
        <v>870350</v>
      </c>
      <c r="H15" s="2181">
        <f t="shared" ref="H15:M15" si="7">SUM(H10:H14)</f>
        <v>0</v>
      </c>
      <c r="I15" s="2181">
        <f t="shared" si="7"/>
        <v>0</v>
      </c>
      <c r="J15" s="2181">
        <f t="shared" si="7"/>
        <v>0</v>
      </c>
      <c r="K15" s="2181">
        <f t="shared" si="7"/>
        <v>0</v>
      </c>
      <c r="L15" s="2181">
        <f t="shared" si="7"/>
        <v>0</v>
      </c>
      <c r="M15" s="2182">
        <f t="shared" si="7"/>
        <v>0</v>
      </c>
      <c r="O15" s="2193">
        <v>0.2</v>
      </c>
      <c r="Q15" s="2160" t="s">
        <v>654</v>
      </c>
      <c r="R15" s="2150">
        <f>'Prod info'!O24</f>
        <v>11</v>
      </c>
      <c r="S15" s="1139">
        <f>IF(Capex!S$4='Prod info'!$AA24,IF(SUM('Prod info'!$R24:$Y24)='Prod info'!$AC$3,'Prod info'!$AD$3,IF(SUM('Prod info'!$R24:$Y24)='Prod info'!$AC$4,'Prod info'!$AD$4,IF(SUM('Prod info'!$R24:$Y24)='Prod info'!$AC$5,'Prod info'!$AD$5,0))),0)*Opex!D$29</f>
        <v>0</v>
      </c>
      <c r="T15" s="1139">
        <f>IF(Capex!T$4='Prod info'!$AA24,IF(SUM('Prod info'!$R24:$Y24)='Prod info'!$AC$3,'Prod info'!$AD$3,IF(SUM('Prod info'!$R24:$Y24)='Prod info'!$AC$4,'Prod info'!$AD$4,IF(SUM('Prod info'!$R24:$Y24)='Prod info'!$AC$5,'Prod info'!$AD$5,0))),0)*Opex!E$29</f>
        <v>0</v>
      </c>
      <c r="U15" s="1139">
        <f>IF(Capex!U$4='Prod info'!$AA24,IF(SUM('Prod info'!$R24:$Y24)='Prod info'!$AC$3,'Prod info'!$AD$3,IF(SUM('Prod info'!$R24:$Y24)='Prod info'!$AC$4,'Prod info'!$AD$4,IF(SUM('Prod info'!$R24:$Y24)='Prod info'!$AC$5,'Prod info'!$AD$5,0))),0)*Opex!F$29</f>
        <v>0</v>
      </c>
      <c r="V15" s="1139">
        <f>IF(Capex!V$4='Prod info'!$AA24,IF(SUM('Prod info'!$R24:$Y24)='Prod info'!$AC$3,'Prod info'!$AD$3,IF(SUM('Prod info'!$R24:$Y24)='Prod info'!$AC$4,'Prod info'!$AD$4,IF(SUM('Prod info'!$R24:$Y24)='Prod info'!$AC$5,'Prod info'!$AD$5,0))),0)*Opex!G$29</f>
        <v>0</v>
      </c>
      <c r="W15" s="1139">
        <f>IF(Capex!W$4='Prod info'!$AA24,IF(SUM('Prod info'!$R24:$Y24)='Prod info'!$AC$3,'Prod info'!$AD$3,IF(SUM('Prod info'!$R24:$Y24)='Prod info'!$AC$4,'Prod info'!$AD$4,IF(SUM('Prod info'!$R24:$Y24)='Prod info'!$AC$5,'Prod info'!$AD$5,0))),0)*Opex!H$29</f>
        <v>0</v>
      </c>
      <c r="X15" s="1139">
        <f>IF(Capex!X$4='Prod info'!$AA24,IF(SUM('Prod info'!$R24:$Y24)='Prod info'!$AC$3,'Prod info'!$AD$3,IF(SUM('Prod info'!$R24:$Y24)='Prod info'!$AC$4,'Prod info'!$AD$4,IF(SUM('Prod info'!$R24:$Y24)='Prod info'!$AC$5,'Prod info'!$AD$5,0))),0)*Opex!I$29</f>
        <v>0</v>
      </c>
      <c r="Y15" s="1746">
        <f>IF(Capex!Y$4='Prod info'!$AA24,IF(SUM('Prod info'!$R24:$Y24)='Prod info'!$AC$3,'Prod info'!$AD$3,IF(SUM('Prod info'!$R24:$Y24)='Prod info'!$AC$4,'Prod info'!$AD$4,IF(SUM('Prod info'!$R24:$Y24)='Prod info'!$AC$5,'Prod info'!$AD$5,0))),0)*Opex!J$29</f>
        <v>0</v>
      </c>
    </row>
    <row r="16" spans="1:25" ht="13.5" thickBot="1">
      <c r="Q16" s="2160" t="s">
        <v>654</v>
      </c>
      <c r="R16" s="2150">
        <f>'Prod info'!O25</f>
        <v>12</v>
      </c>
      <c r="S16" s="1139">
        <f>IF(Capex!S$4='Prod info'!$AA25,IF(SUM('Prod info'!$R25:$Y25)='Prod info'!$AC$3,'Prod info'!$AD$3,IF(SUM('Prod info'!$R25:$Y25)='Prod info'!$AC$4,'Prod info'!$AD$4,IF(SUM('Prod info'!$R25:$Y25)='Prod info'!$AC$5,'Prod info'!$AD$5,0))),0)*Opex!D$29</f>
        <v>0</v>
      </c>
      <c r="T16" s="1139">
        <f>IF(Capex!T$4='Prod info'!$AA25,IF(SUM('Prod info'!$R25:$Y25)='Prod info'!$AC$3,'Prod info'!$AD$3,IF(SUM('Prod info'!$R25:$Y25)='Prod info'!$AC$4,'Prod info'!$AD$4,IF(SUM('Prod info'!$R25:$Y25)='Prod info'!$AC$5,'Prod info'!$AD$5,0))),0)*Opex!E$29</f>
        <v>0</v>
      </c>
      <c r="U16" s="1139">
        <f>IF(Capex!U$4='Prod info'!$AA25,IF(SUM('Prod info'!$R25:$Y25)='Prod info'!$AC$3,'Prod info'!$AD$3,IF(SUM('Prod info'!$R25:$Y25)='Prod info'!$AC$4,'Prod info'!$AD$4,IF(SUM('Prod info'!$R25:$Y25)='Prod info'!$AC$5,'Prod info'!$AD$5,0))),0)*Opex!F$29</f>
        <v>0</v>
      </c>
      <c r="V16" s="1139">
        <f>IF(Capex!V$4='Prod info'!$AA25,IF(SUM('Prod info'!$R25:$Y25)='Prod info'!$AC$3,'Prod info'!$AD$3,IF(SUM('Prod info'!$R25:$Y25)='Prod info'!$AC$4,'Prod info'!$AD$4,IF(SUM('Prod info'!$R25:$Y25)='Prod info'!$AC$5,'Prod info'!$AD$5,0))),0)*Opex!G$29</f>
        <v>0</v>
      </c>
      <c r="W16" s="1139">
        <f>IF(Capex!W$4='Prod info'!$AA25,IF(SUM('Prod info'!$R25:$Y25)='Prod info'!$AC$3,'Prod info'!$AD$3,IF(SUM('Prod info'!$R25:$Y25)='Prod info'!$AC$4,'Prod info'!$AD$4,IF(SUM('Prod info'!$R25:$Y25)='Prod info'!$AC$5,'Prod info'!$AD$5,0))),0)*Opex!H$29</f>
        <v>0</v>
      </c>
      <c r="X16" s="1139">
        <f>IF(Capex!X$4='Prod info'!$AA25,IF(SUM('Prod info'!$R25:$Y25)='Prod info'!$AC$3,'Prod info'!$AD$3,IF(SUM('Prod info'!$R25:$Y25)='Prod info'!$AC$4,'Prod info'!$AD$4,IF(SUM('Prod info'!$R25:$Y25)='Prod info'!$AC$5,'Prod info'!$AD$5,0))),0)*Opex!I$29</f>
        <v>0</v>
      </c>
      <c r="Y16" s="1746">
        <f>IF(Capex!Y$4='Prod info'!$AA25,IF(SUM('Prod info'!$R25:$Y25)='Prod info'!$AC$3,'Prod info'!$AD$3,IF(SUM('Prod info'!$R25:$Y25)='Prod info'!$AC$4,'Prod info'!$AD$4,IF(SUM('Prod info'!$R25:$Y25)='Prod info'!$AC$5,'Prod info'!$AD$5,0))),0)*Opex!J$29</f>
        <v>0</v>
      </c>
    </row>
    <row r="17" spans="2:25" ht="13.5" thickBot="1">
      <c r="B17" s="2144" t="s">
        <v>134</v>
      </c>
      <c r="C17" s="2145" t="str">
        <f>C9</f>
        <v>Amount</v>
      </c>
      <c r="D17" s="2145" t="str">
        <f>D9</f>
        <v>Entity</v>
      </c>
      <c r="E17" s="2145" t="s">
        <v>250</v>
      </c>
      <c r="F17" s="2184" t="s">
        <v>251</v>
      </c>
      <c r="G17" s="2184">
        <f t="shared" ref="G17:M17" si="8">G9</f>
        <v>2023</v>
      </c>
      <c r="H17" s="2184">
        <f t="shared" si="8"/>
        <v>2024</v>
      </c>
      <c r="I17" s="2184">
        <f t="shared" si="8"/>
        <v>2025</v>
      </c>
      <c r="J17" s="2184">
        <f t="shared" si="8"/>
        <v>2026</v>
      </c>
      <c r="K17" s="2184">
        <f t="shared" si="8"/>
        <v>2027</v>
      </c>
      <c r="L17" s="2184">
        <f t="shared" si="8"/>
        <v>2028</v>
      </c>
      <c r="M17" s="2185">
        <f t="shared" si="8"/>
        <v>2029</v>
      </c>
      <c r="O17" s="2186" t="s">
        <v>105</v>
      </c>
      <c r="Q17" s="2160" t="s">
        <v>654</v>
      </c>
      <c r="R17" s="2150">
        <f>'Prod info'!O26</f>
        <v>13</v>
      </c>
      <c r="S17" s="2000">
        <f>IF(Capex!S$4='Prod info'!$AA26,IF(SUM('Prod info'!$R26:$Y26)='Prod info'!$AC$3,'Prod info'!$AD$3,IF(SUM('Prod info'!$R26:$Y26)='Prod info'!$AC$4,'Prod info'!$AD$4,IF(SUM('Prod info'!$R26:$Y26)='Prod info'!$AC$5,'Prod info'!$AD$5,0))),0)*Opex!D$29</f>
        <v>0</v>
      </c>
      <c r="T17" s="2000">
        <f>IF(Capex!T$4='Prod info'!$AA26,IF(SUM('Prod info'!$R26:$Y26)='Prod info'!$AC$3,'Prod info'!$AD$3,IF(SUM('Prod info'!$R26:$Y26)='Prod info'!$AC$4,'Prod info'!$AD$4,IF(SUM('Prod info'!$R26:$Y26)='Prod info'!$AC$5,'Prod info'!$AD$5,0))),0)*Opex!E$29</f>
        <v>0</v>
      </c>
      <c r="U17" s="2000">
        <f>IF(Capex!U$4='Prod info'!$AA26,IF(SUM('Prod info'!$R26:$Y26)='Prod info'!$AC$3,'Prod info'!$AD$3,IF(SUM('Prod info'!$R26:$Y26)='Prod info'!$AC$4,'Prod info'!$AD$4,IF(SUM('Prod info'!$R26:$Y26)='Prod info'!$AC$5,'Prod info'!$AD$5,0))),0)*Opex!F$29</f>
        <v>0</v>
      </c>
      <c r="V17" s="2000">
        <f>IF(Capex!V$4='Prod info'!$AA26,IF(SUM('Prod info'!$R26:$Y26)='Prod info'!$AC$3,'Prod info'!$AD$3,IF(SUM('Prod info'!$R26:$Y26)='Prod info'!$AC$4,'Prod info'!$AD$4,IF(SUM('Prod info'!$R26:$Y26)='Prod info'!$AC$5,'Prod info'!$AD$5,0))),0)*Opex!G$29</f>
        <v>0</v>
      </c>
      <c r="W17" s="2000">
        <f>IF(Capex!W$4='Prod info'!$AA26,IF(SUM('Prod info'!$R26:$Y26)='Prod info'!$AC$3,'Prod info'!$AD$3,IF(SUM('Prod info'!$R26:$Y26)='Prod info'!$AC$4,'Prod info'!$AD$4,IF(SUM('Prod info'!$R26:$Y26)='Prod info'!$AC$5,'Prod info'!$AD$5,0))),0)*Opex!H$29</f>
        <v>0</v>
      </c>
      <c r="X17" s="2000">
        <f>IF(Capex!X$4='Prod info'!$AA26,IF(SUM('Prod info'!$R26:$Y26)='Prod info'!$AC$3,'Prod info'!$AD$3,IF(SUM('Prod info'!$R26:$Y26)='Prod info'!$AC$4,'Prod info'!$AD$4,IF(SUM('Prod info'!$R26:$Y26)='Prod info'!$AC$5,'Prod info'!$AD$5,0))),0)*Opex!I$29</f>
        <v>0</v>
      </c>
      <c r="Y17" s="2194">
        <f>IF(Capex!Y$4='Prod info'!$AA26,IF(SUM('Prod info'!$R26:$Y26)='Prod info'!$AC$3,'Prod info'!$AD$3,IF(SUM('Prod info'!$R26:$Y26)='Prod info'!$AC$4,'Prod info'!$AD$4,IF(SUM('Prod info'!$R26:$Y26)='Prod info'!$AC$5,'Prod info'!$AD$5,0))),0)*Opex!J$29</f>
        <v>0</v>
      </c>
    </row>
    <row r="18" spans="2:25" ht="13.5" thickBot="1">
      <c r="B18" s="2131" t="s">
        <v>262</v>
      </c>
      <c r="C18" s="906">
        <v>300000</v>
      </c>
      <c r="D18" s="2188" t="s">
        <v>255</v>
      </c>
      <c r="E18" s="1726"/>
      <c r="F18" s="1575"/>
      <c r="G18" s="2156">
        <f t="shared" ref="G18:M18" si="9">G57*$C$18</f>
        <v>0</v>
      </c>
      <c r="H18" s="2156">
        <f t="shared" si="9"/>
        <v>82500</v>
      </c>
      <c r="I18" s="2156">
        <f t="shared" si="9"/>
        <v>52500</v>
      </c>
      <c r="J18" s="2156">
        <f t="shared" si="9"/>
        <v>45000</v>
      </c>
      <c r="K18" s="2156">
        <f t="shared" si="9"/>
        <v>45000</v>
      </c>
      <c r="L18" s="2156">
        <f t="shared" si="9"/>
        <v>37500</v>
      </c>
      <c r="M18" s="2157">
        <f t="shared" si="9"/>
        <v>37500</v>
      </c>
      <c r="O18" s="2189" t="s">
        <v>258</v>
      </c>
      <c r="Q18" s="2195"/>
      <c r="R18" s="2180"/>
      <c r="S18" s="2196">
        <f t="shared" ref="S18:Y18" si="10">SUM(S5:S17)</f>
        <v>0</v>
      </c>
      <c r="T18" s="2196">
        <f t="shared" si="10"/>
        <v>0</v>
      </c>
      <c r="U18" s="2196">
        <f t="shared" si="10"/>
        <v>5974.5810734999986</v>
      </c>
      <c r="V18" s="2196">
        <f t="shared" si="10"/>
        <v>0</v>
      </c>
      <c r="W18" s="2196">
        <f t="shared" si="10"/>
        <v>0</v>
      </c>
      <c r="X18" s="2196">
        <f t="shared" si="10"/>
        <v>29380.320814859988</v>
      </c>
      <c r="Y18" s="2197">
        <f t="shared" si="10"/>
        <v>32838.854659902048</v>
      </c>
    </row>
    <row r="19" spans="2:25" ht="13.5" thickBot="1">
      <c r="B19" s="1612" t="s">
        <v>257</v>
      </c>
      <c r="C19" s="214">
        <v>124500</v>
      </c>
      <c r="D19" s="2154" t="s">
        <v>541</v>
      </c>
      <c r="E19" s="1287" t="s">
        <v>114</v>
      </c>
      <c r="F19" s="2198">
        <v>2024</v>
      </c>
      <c r="G19" s="2199">
        <f t="shared" ref="G19:M28" si="11">IF(G$2=$F19,$C19,0)</f>
        <v>0</v>
      </c>
      <c r="H19" s="2164">
        <f t="shared" si="11"/>
        <v>124500</v>
      </c>
      <c r="I19" s="2164">
        <f t="shared" si="11"/>
        <v>0</v>
      </c>
      <c r="J19" s="2164">
        <f t="shared" si="11"/>
        <v>0</v>
      </c>
      <c r="K19" s="2164">
        <f t="shared" si="11"/>
        <v>0</v>
      </c>
      <c r="L19" s="2164">
        <f t="shared" si="11"/>
        <v>0</v>
      </c>
      <c r="M19" s="2165">
        <f t="shared" si="11"/>
        <v>0</v>
      </c>
      <c r="O19" s="2190" t="s">
        <v>258</v>
      </c>
      <c r="Q19" s="2160"/>
      <c r="Y19" s="2161"/>
    </row>
    <row r="20" spans="2:25" ht="13.5" thickBot="1">
      <c r="B20" s="1612" t="s">
        <v>259</v>
      </c>
      <c r="C20" s="214">
        <v>124500</v>
      </c>
      <c r="D20" s="2154" t="s">
        <v>541</v>
      </c>
      <c r="E20" s="1287" t="s">
        <v>114</v>
      </c>
      <c r="F20" s="2198">
        <v>2024</v>
      </c>
      <c r="G20" s="2199">
        <f t="shared" si="11"/>
        <v>0</v>
      </c>
      <c r="H20" s="2164">
        <f t="shared" si="11"/>
        <v>124500</v>
      </c>
      <c r="I20" s="2164">
        <f t="shared" si="11"/>
        <v>0</v>
      </c>
      <c r="J20" s="2164">
        <f t="shared" si="11"/>
        <v>0</v>
      </c>
      <c r="K20" s="2164">
        <f t="shared" si="11"/>
        <v>0</v>
      </c>
      <c r="L20" s="2164">
        <f t="shared" si="11"/>
        <v>0</v>
      </c>
      <c r="M20" s="2165">
        <f t="shared" si="11"/>
        <v>0</v>
      </c>
      <c r="O20" s="2190" t="s">
        <v>258</v>
      </c>
      <c r="Q20" s="2166" t="s">
        <v>651</v>
      </c>
      <c r="R20" s="2167" t="s">
        <v>655</v>
      </c>
      <c r="S20" s="2168">
        <f t="shared" ref="S20:Y20" si="12">S4</f>
        <v>2023</v>
      </c>
      <c r="T20" s="2169">
        <f t="shared" si="12"/>
        <v>2024</v>
      </c>
      <c r="U20" s="2169">
        <f t="shared" si="12"/>
        <v>2025</v>
      </c>
      <c r="V20" s="2169">
        <f t="shared" si="12"/>
        <v>2026</v>
      </c>
      <c r="W20" s="2169">
        <f t="shared" si="12"/>
        <v>2027</v>
      </c>
      <c r="X20" s="2169">
        <f t="shared" si="12"/>
        <v>2028</v>
      </c>
      <c r="Y20" s="2167">
        <f t="shared" si="12"/>
        <v>2029</v>
      </c>
    </row>
    <row r="21" spans="2:25">
      <c r="B21" s="1612" t="s">
        <v>260</v>
      </c>
      <c r="C21" s="214">
        <v>95000</v>
      </c>
      <c r="D21" s="2154" t="s">
        <v>254</v>
      </c>
      <c r="E21" s="1287" t="s">
        <v>100</v>
      </c>
      <c r="F21" s="2198">
        <v>2024</v>
      </c>
      <c r="G21" s="2199">
        <f t="shared" si="11"/>
        <v>0</v>
      </c>
      <c r="H21" s="2164">
        <f t="shared" si="11"/>
        <v>95000</v>
      </c>
      <c r="I21" s="2164">
        <f t="shared" si="11"/>
        <v>0</v>
      </c>
      <c r="J21" s="2164">
        <f t="shared" si="11"/>
        <v>0</v>
      </c>
      <c r="K21" s="2164">
        <f t="shared" si="11"/>
        <v>0</v>
      </c>
      <c r="L21" s="2164">
        <f t="shared" si="11"/>
        <v>0</v>
      </c>
      <c r="M21" s="2165">
        <f t="shared" si="11"/>
        <v>0</v>
      </c>
      <c r="O21" s="2190" t="s">
        <v>261</v>
      </c>
      <c r="Q21" s="2187" t="str">
        <f>IF('Prod info'!O45="New","Expansion","Replacement")</f>
        <v>Replacement</v>
      </c>
      <c r="R21" s="2796">
        <f>'Prod info'!O45</f>
        <v>10</v>
      </c>
      <c r="S21" s="1747">
        <f>IF(G$17='Prod info'!$AD45,SUMIF('Prod info'!$AC$8:$AC$11,'Prod info'!$T45,'Prod info'!$AD$8:$AD$11),0)*Opex!D$29+IF(G$17='Prod info'!$AC45,SUMIF('Prod info'!$AC$8:$AC$11,'Prod info'!$T45,'Prod info'!$AD$8:$AD$11),0)*Opex!D$29</f>
        <v>0</v>
      </c>
      <c r="T21" s="1747">
        <f>IF(H$17='Prod info'!$AD45,SUMIF('Prod info'!$AC$8:$AC$11,'Prod info'!$T45,'Prod info'!$AD$8:$AD$11),0)*Opex!E$29+IF(H$17='Prod info'!$AC45,SUMIF('Prod info'!$AC$8:$AC$11,'Prod info'!$T45,'Prod info'!$AD$8:$AD$11),0)*Opex!E$29</f>
        <v>0</v>
      </c>
      <c r="U21" s="1747">
        <f>IF(I$17='Prod info'!$AD45,SUMIF('Prod info'!$AC$8:$AC$11,'Prod info'!$T45,'Prod info'!$AD$8:$AD$11),0)*Opex!F$29+IF(I$17='Prod info'!$AC45,SUMIF('Prod info'!$AC$8:$AC$11,'Prod info'!$T45,'Prod info'!$AD$8:$AD$11),0)*Opex!F$29</f>
        <v>0</v>
      </c>
      <c r="V21" s="1747">
        <f>IF(J$17='Prod info'!$AD45,SUMIF('Prod info'!$AC$8:$AC$11,'Prod info'!$T45,'Prod info'!$AD$8:$AD$11),0)*Opex!G$29+IF(J$17='Prod info'!$AC45,SUMIF('Prod info'!$AC$8:$AC$11,'Prod info'!$T45,'Prod info'!$AD$8:$AD$11),0)*Opex!G$29</f>
        <v>0</v>
      </c>
      <c r="W21" s="1747">
        <f>IF(K$17='Prod info'!$AD45,SUMIF('Prod info'!$AC$8:$AC$11,'Prod info'!$T45,'Prod info'!$AD$8:$AD$11),0)*Opex!H$29+IF(K$17='Prod info'!$AC45,SUMIF('Prod info'!$AC$8:$AC$11,'Prod info'!$T45,'Prod info'!$AD$8:$AD$11),0)*Opex!H$29</f>
        <v>14402.118046499996</v>
      </c>
      <c r="X21" s="1747">
        <f>IF(L$17='Prod info'!$AD45,SUMIF('Prod info'!$AC$8:$AC$11,'Prod info'!$T45,'Prod info'!$AD$8:$AD$11),0)*Opex!I$29+IF(L$17='Prod info'!$AC45,SUMIF('Prod info'!$AC$8:$AC$11,'Prod info'!$T45,'Prod info'!$AD$8:$AD$11),0)*Opex!I$29</f>
        <v>0</v>
      </c>
      <c r="Y21" s="1608">
        <f>IF(M$17='Prod info'!$AD45,SUMIF('Prod info'!$AC$8:$AC$11,'Prod info'!$T45,'Prod info'!$AD$8:$AD$11),0)*Opex!J$29+IF(M$17='Prod info'!$AC45,SUMIF('Prod info'!$AC$8:$AC$11,'Prod info'!$T45,'Prod info'!$AD$8:$AD$11),0)*Opex!J$29</f>
        <v>0</v>
      </c>
    </row>
    <row r="22" spans="2:25">
      <c r="B22" s="1612" t="s">
        <v>267</v>
      </c>
      <c r="C22" s="214">
        <v>95000</v>
      </c>
      <c r="D22" s="2154" t="s">
        <v>254</v>
      </c>
      <c r="E22" s="1287" t="s">
        <v>582</v>
      </c>
      <c r="F22" s="2198">
        <v>2024</v>
      </c>
      <c r="G22" s="2199">
        <f t="shared" si="11"/>
        <v>0</v>
      </c>
      <c r="H22" s="2164">
        <f t="shared" si="11"/>
        <v>95000</v>
      </c>
      <c r="I22" s="2164">
        <f t="shared" si="11"/>
        <v>0</v>
      </c>
      <c r="J22" s="2164">
        <f t="shared" si="11"/>
        <v>0</v>
      </c>
      <c r="K22" s="2164">
        <f t="shared" si="11"/>
        <v>0</v>
      </c>
      <c r="L22" s="2164">
        <f t="shared" si="11"/>
        <v>0</v>
      </c>
      <c r="M22" s="2165">
        <f t="shared" si="11"/>
        <v>0</v>
      </c>
      <c r="O22" s="2190" t="s">
        <v>105</v>
      </c>
      <c r="P22" s="2200"/>
      <c r="Q22" s="2160" t="str">
        <f>IF('Prod info'!O46="New","Expansion","Replacement")</f>
        <v>Replacement</v>
      </c>
      <c r="R22" s="2797" t="str">
        <f>'Prod info'!O46</f>
        <v>А5</v>
      </c>
      <c r="S22" s="1139">
        <f>IF(G$17='Prod info'!$AD46,SUMIF('Prod info'!$AC$8:$AC$11,'Prod info'!$T46,'Prod info'!$AD$8:$AD$11),0)*Opex!D$29+IF(G$17='Prod info'!$AC46,SUMIF('Prod info'!$AC$8:$AC$11,'Prod info'!$T46,'Prod info'!$AD$8:$AD$11),0)*Opex!D$29</f>
        <v>0</v>
      </c>
      <c r="T22" s="1139">
        <f>IF(H$17='Prod info'!$AD46,SUMIF('Prod info'!$AC$8:$AC$11,'Prod info'!$T46,'Prod info'!$AD$8:$AD$11),0)*Opex!E$29+IF(H$17='Prod info'!$AC46,SUMIF('Prod info'!$AC$8:$AC$11,'Prod info'!$T46,'Prod info'!$AD$8:$AD$11),0)*Opex!E$29</f>
        <v>0</v>
      </c>
      <c r="U22" s="1139">
        <f>IF(I$17='Prod info'!$AD46,SUMIF('Prod info'!$AC$8:$AC$11,'Prod info'!$T46,'Prod info'!$AD$8:$AD$11),0)*Opex!F$29+IF(I$17='Prod info'!$AC46,SUMIF('Prod info'!$AC$8:$AC$11,'Prod info'!$T46,'Prod info'!$AD$8:$AD$11),0)*Opex!F$29</f>
        <v>0</v>
      </c>
      <c r="V22" s="1139">
        <f>IF(J$17='Prod info'!$AD46,SUMIF('Prod info'!$AC$8:$AC$11,'Prod info'!$T46,'Prod info'!$AD$8:$AD$11),0)*Opex!G$29+IF(J$17='Prod info'!$AC46,SUMIF('Prod info'!$AC$8:$AC$11,'Prod info'!$T46,'Prod info'!$AD$8:$AD$11),0)*Opex!G$29</f>
        <v>0</v>
      </c>
      <c r="W22" s="1139">
        <f>IF(K$17='Prod info'!$AD46,SUMIF('Prod info'!$AC$8:$AC$11,'Prod info'!$T46,'Prod info'!$AD$8:$AD$11),0)*Opex!H$29+IF(K$17='Prod info'!$AC46,SUMIF('Prod info'!$AC$8:$AC$11,'Prod info'!$T46,'Prod info'!$AD$8:$AD$11),0)*Opex!H$29</f>
        <v>0</v>
      </c>
      <c r="X22" s="1139">
        <f>IF(L$17='Prod info'!$AD46,SUMIF('Prod info'!$AC$8:$AC$11,'Prod info'!$T46,'Prod info'!$AD$8:$AD$11),0)*Opex!I$29+IF(L$17='Prod info'!$AC46,SUMIF('Prod info'!$AC$8:$AC$11,'Prod info'!$T46,'Prod info'!$AD$8:$AD$11),0)*Opex!I$29</f>
        <v>0</v>
      </c>
      <c r="Y22" s="1746">
        <f>IF(M$17='Prod info'!$AD46,SUMIF('Prod info'!$AC$8:$AC$11,'Prod info'!$T46,'Prod info'!$AD$8:$AD$11),0)*Opex!J$29+IF(M$17='Prod info'!$AC46,SUMIF('Prod info'!$AC$8:$AC$11,'Prod info'!$T46,'Prod info'!$AD$8:$AD$11),0)*Opex!J$29</f>
        <v>0</v>
      </c>
    </row>
    <row r="23" spans="2:25">
      <c r="B23" s="1612" t="s">
        <v>268</v>
      </c>
      <c r="C23" s="214">
        <v>80500</v>
      </c>
      <c r="D23" s="2154" t="s">
        <v>254</v>
      </c>
      <c r="E23" s="1287" t="s">
        <v>273</v>
      </c>
      <c r="F23" s="2198">
        <v>2024</v>
      </c>
      <c r="G23" s="2199">
        <f t="shared" si="11"/>
        <v>0</v>
      </c>
      <c r="H23" s="2164">
        <f t="shared" si="11"/>
        <v>80500</v>
      </c>
      <c r="I23" s="2164">
        <f t="shared" si="11"/>
        <v>0</v>
      </c>
      <c r="J23" s="2164">
        <f t="shared" si="11"/>
        <v>0</v>
      </c>
      <c r="K23" s="2164">
        <f t="shared" si="11"/>
        <v>0</v>
      </c>
      <c r="L23" s="2164">
        <f t="shared" si="11"/>
        <v>0</v>
      </c>
      <c r="M23" s="2165">
        <f t="shared" si="11"/>
        <v>0</v>
      </c>
      <c r="O23" s="2190" t="s">
        <v>105</v>
      </c>
      <c r="P23" s="2201"/>
      <c r="Q23" s="2160" t="str">
        <f>IF('Prod info'!O55="New","Expansion","Replacement")</f>
        <v>Replacement</v>
      </c>
      <c r="R23" s="2797">
        <f>'Prod info'!O51</f>
        <v>14</v>
      </c>
      <c r="S23" s="1139">
        <f>IF(G$17='Prod info'!$AD51,SUMIF('Prod info'!$AC$8:$AC$11,'Prod info'!$T51,'Prod info'!$AD$8:$AD$11),0)*Opex!D$29+IF(G$17='Prod info'!$AC51,SUMIF('Prod info'!$AC$8:$AC$11,'Prod info'!$T51,'Prod info'!$AD$8:$AD$11),0)*Opex!D$29</f>
        <v>0</v>
      </c>
      <c r="T23" s="1139">
        <f>IF(H$17='Prod info'!$AD51,SUMIF('Prod info'!$AC$8:$AC$11,'Prod info'!$T51,'Prod info'!$AD$8:$AD$11),0)*Opex!E$29+IF(H$17='Prod info'!$AC51,SUMIF('Prod info'!$AC$8:$AC$11,'Prod info'!$T51,'Prod info'!$AD$8:$AD$11),0)*Opex!E$29</f>
        <v>0</v>
      </c>
      <c r="U23" s="1139">
        <f>IF(I$17='Prod info'!$AD51,SUMIF('Prod info'!$AC$8:$AC$11,'Prod info'!$T51,'Prod info'!$AD$8:$AD$11),0)*Opex!F$29+IF(I$17='Prod info'!$AC51,SUMIF('Prod info'!$AC$8:$AC$11,'Prod info'!$T51,'Prod info'!$AD$8:$AD$11),0)*Opex!F$29</f>
        <v>13842.866249999997</v>
      </c>
      <c r="V23" s="1139">
        <f>IF(J$17='Prod info'!$AD51,SUMIF('Prod info'!$AC$8:$AC$11,'Prod info'!$T51,'Prod info'!$AD$8:$AD$11),0)*Opex!G$29+IF(J$17='Prod info'!$AC51,SUMIF('Prod info'!$AC$8:$AC$11,'Prod info'!$T51,'Prod info'!$AD$8:$AD$11),0)*Opex!G$29</f>
        <v>0</v>
      </c>
      <c r="W23" s="1139">
        <f>IF(K$17='Prod info'!$AD51,SUMIF('Prod info'!$AC$8:$AC$11,'Prod info'!$T51,'Prod info'!$AD$8:$AD$11),0)*Opex!H$29+IF(K$17='Prod info'!$AC51,SUMIF('Prod info'!$AC$8:$AC$11,'Prod info'!$T51,'Prod info'!$AD$8:$AD$11),0)*Opex!H$29</f>
        <v>0</v>
      </c>
      <c r="X23" s="1139">
        <f>IF(L$17='Prod info'!$AD51,SUMIF('Prod info'!$AC$8:$AC$11,'Prod info'!$T51,'Prod info'!$AD$8:$AD$11),0)*Opex!I$29+IF(L$17='Prod info'!$AC51,SUMIF('Prod info'!$AC$8:$AC$11,'Prod info'!$T51,'Prod info'!$AD$8:$AD$11),0)*Opex!I$29</f>
        <v>0</v>
      </c>
      <c r="Y23" s="1746">
        <f>IF(M$17='Prod info'!$AD51,SUMIF('Prod info'!$AC$8:$AC$11,'Prod info'!$T51,'Prod info'!$AD$8:$AD$11),0)*Opex!J$29+IF(M$17='Prod info'!$AC51,SUMIF('Prod info'!$AC$8:$AC$11,'Prod info'!$T51,'Prod info'!$AD$8:$AD$11),0)*Opex!J$29</f>
        <v>0</v>
      </c>
    </row>
    <row r="24" spans="2:25">
      <c r="B24" s="955" t="s">
        <v>1061</v>
      </c>
      <c r="C24" s="214">
        <v>875000</v>
      </c>
      <c r="D24" s="2154" t="s">
        <v>541</v>
      </c>
      <c r="E24" s="1287" t="s">
        <v>96</v>
      </c>
      <c r="F24" s="2198">
        <v>2024</v>
      </c>
      <c r="G24" s="2199">
        <f t="shared" si="11"/>
        <v>0</v>
      </c>
      <c r="H24" s="2164">
        <f t="shared" si="11"/>
        <v>875000</v>
      </c>
      <c r="I24" s="2164">
        <f t="shared" si="11"/>
        <v>0</v>
      </c>
      <c r="J24" s="2164">
        <f t="shared" si="11"/>
        <v>0</v>
      </c>
      <c r="K24" s="2164">
        <f t="shared" si="11"/>
        <v>0</v>
      </c>
      <c r="L24" s="2164">
        <f t="shared" si="11"/>
        <v>0</v>
      </c>
      <c r="M24" s="2165">
        <f t="shared" si="11"/>
        <v>0</v>
      </c>
      <c r="O24" s="2190" t="s">
        <v>105</v>
      </c>
      <c r="P24" s="2201"/>
      <c r="Q24" s="2160" t="str">
        <f>IF('Prod info'!O59="New","Expansion","Replacement")</f>
        <v>Replacement</v>
      </c>
      <c r="R24" s="2797">
        <f>'Prod info'!O47</f>
        <v>17</v>
      </c>
      <c r="S24" s="1139">
        <f>IF(G$17='Prod info'!$AD47,SUMIF('Prod info'!$AC$8:$AC$11,'Prod info'!$T47,'Prod info'!$AD$8:$AD$11),0)*Opex!D$29+IF(G$17='Prod info'!$AC47,SUMIF('Prod info'!$AC$8:$AC$11,'Prod info'!$T47,'Prod info'!$AD$8:$AD$11),0)*Opex!D$29</f>
        <v>0</v>
      </c>
      <c r="T24" s="1139">
        <f>IF(H$17='Prod info'!$AD47,SUMIF('Prod info'!$AC$8:$AC$11,'Prod info'!$T47,'Prod info'!$AD$8:$AD$11),0)*Opex!E$29+IF(H$17='Prod info'!$AC47,SUMIF('Prod info'!$AC$8:$AC$11,'Prod info'!$T47,'Prod info'!$AD$8:$AD$11),0)*Opex!E$29</f>
        <v>0</v>
      </c>
      <c r="U24" s="1139">
        <f>IF(I$17='Prod info'!$AD47,SUMIF('Prod info'!$AC$8:$AC$11,'Prod info'!$T47,'Prod info'!$AD$8:$AD$11),0)*Opex!F$29+IF(I$17='Prod info'!$AC47,SUMIF('Prod info'!$AC$8:$AC$11,'Prod info'!$T47,'Prod info'!$AD$8:$AD$11),0)*Opex!F$29</f>
        <v>0</v>
      </c>
      <c r="V24" s="1139">
        <f>IF(J$17='Prod info'!$AD47,SUMIF('Prod info'!$AC$8:$AC$11,'Prod info'!$T47,'Prod info'!$AD$8:$AD$11),0)*Opex!G$29+IF(J$17='Prod info'!$AC47,SUMIF('Prod info'!$AC$8:$AC$11,'Prod info'!$T47,'Prod info'!$AD$8:$AD$11),0)*Opex!G$29</f>
        <v>0</v>
      </c>
      <c r="W24" s="1139">
        <f>IF(K$17='Prod info'!$AD47,SUMIF('Prod info'!$AC$8:$AC$11,'Prod info'!$T47,'Prod info'!$AD$8:$AD$11),0)*Opex!H$29+IF(K$17='Prod info'!$AC47,SUMIF('Prod info'!$AC$8:$AC$11,'Prod info'!$T47,'Prod info'!$AD$8:$AD$11),0)*Opex!H$29</f>
        <v>0</v>
      </c>
      <c r="X24" s="1139">
        <f>IF(L$17='Prod info'!$AD47,SUMIF('Prod info'!$AC$8:$AC$11,'Prod info'!$T47,'Prod info'!$AD$8:$AD$11),0)*Opex!I$29+IF(L$17='Prod info'!$AC47,SUMIF('Prod info'!$AC$8:$AC$11,'Prod info'!$T47,'Prod info'!$AD$8:$AD$11),0)*Opex!I$29</f>
        <v>6581.191862528638</v>
      </c>
      <c r="Y24" s="1746">
        <f>IF(M$17='Prod info'!$AD47,SUMIF('Prod info'!$AC$8:$AC$11,'Prod info'!$T47,'Prod info'!$AD$8:$AD$11),0)*Opex!J$29+IF(M$17='Prod info'!$AC47,SUMIF('Prod info'!$AC$8:$AC$11,'Prod info'!$T47,'Prod info'!$AD$8:$AD$11),0)*Opex!J$29</f>
        <v>0</v>
      </c>
    </row>
    <row r="25" spans="2:25">
      <c r="B25" s="955" t="s">
        <v>1062</v>
      </c>
      <c r="C25" s="214">
        <v>820000</v>
      </c>
      <c r="D25" s="2154" t="s">
        <v>541</v>
      </c>
      <c r="E25" s="1287" t="s">
        <v>96</v>
      </c>
      <c r="F25" s="2198">
        <v>2024</v>
      </c>
      <c r="G25" s="2199">
        <f t="shared" si="11"/>
        <v>0</v>
      </c>
      <c r="H25" s="2164">
        <f t="shared" si="11"/>
        <v>820000</v>
      </c>
      <c r="I25" s="2164">
        <f t="shared" si="11"/>
        <v>0</v>
      </c>
      <c r="J25" s="2164">
        <f t="shared" si="11"/>
        <v>0</v>
      </c>
      <c r="K25" s="2164">
        <f t="shared" si="11"/>
        <v>0</v>
      </c>
      <c r="L25" s="2164">
        <f t="shared" si="11"/>
        <v>0</v>
      </c>
      <c r="M25" s="2165">
        <f t="shared" si="11"/>
        <v>0</v>
      </c>
      <c r="O25" s="2190" t="s">
        <v>105</v>
      </c>
      <c r="P25" s="2201"/>
      <c r="Q25" s="2160" t="str">
        <f>IF('Prod info'!O51="New","Expansion","Replacement")</f>
        <v>Replacement</v>
      </c>
      <c r="R25" s="2797">
        <f>'Prod info'!O48</f>
        <v>4</v>
      </c>
      <c r="S25" s="1139">
        <f>IF(G$17='Prod info'!$AD48,SUMIF('Prod info'!$AC$8:$AC$11,'Prod info'!$T48,'Prod info'!$AD$8:$AD$11),0)*Opex!D$29+IF(G$17='Prod info'!$AC48,SUMIF('Prod info'!$AC$8:$AC$11,'Prod info'!$T48,'Prod info'!$AD$8:$AD$11),0)*Opex!D$29</f>
        <v>0</v>
      </c>
      <c r="T25" s="1139">
        <f>IF(H$17='Prod info'!$AD48,SUMIF('Prod info'!$AC$8:$AC$11,'Prod info'!$T48,'Prod info'!$AD$8:$AD$11),0)*Opex!E$29+IF(H$17='Prod info'!$AC48,SUMIF('Prod info'!$AC$8:$AC$11,'Prod info'!$T48,'Prod info'!$AD$8:$AD$11),0)*Opex!E$29</f>
        <v>0</v>
      </c>
      <c r="U25" s="1139">
        <f>IF(I$17='Prod info'!$AD48,SUMIF('Prod info'!$AC$8:$AC$11,'Prod info'!$T48,'Prod info'!$AD$8:$AD$11),0)*Opex!F$29+IF(I$17='Prod info'!$AC48,SUMIF('Prod info'!$AC$8:$AC$11,'Prod info'!$T48,'Prod info'!$AD$8:$AD$11),0)*Opex!F$29</f>
        <v>0</v>
      </c>
      <c r="V25" s="1139">
        <f>IF(J$17='Prod info'!$AD48,SUMIF('Prod info'!$AC$8:$AC$11,'Prod info'!$T48,'Prod info'!$AD$8:$AD$11),0)*Opex!G$29+IF(J$17='Prod info'!$AC48,SUMIF('Prod info'!$AC$8:$AC$11,'Prod info'!$T48,'Prod info'!$AD$8:$AD$11),0)*Opex!G$29</f>
        <v>43488.748610999988</v>
      </c>
      <c r="W25" s="1139">
        <f>IF(K$17='Prod info'!$AD48,SUMIF('Prod info'!$AC$8:$AC$11,'Prod info'!$T48,'Prod info'!$AD$8:$AD$11),0)*Opex!H$29+IF(K$17='Prod info'!$AC48,SUMIF('Prod info'!$AC$8:$AC$11,'Prod info'!$T48,'Prod info'!$AD$8:$AD$11),0)*Opex!H$29</f>
        <v>0</v>
      </c>
      <c r="X25" s="1139">
        <f>IF(L$17='Prod info'!$AD48,SUMIF('Prod info'!$AC$8:$AC$11,'Prod info'!$T48,'Prod info'!$AD$8:$AD$11),0)*Opex!I$29+IF(L$17='Prod info'!$AC48,SUMIF('Prod info'!$AC$8:$AC$11,'Prod info'!$T48,'Prod info'!$AD$8:$AD$11),0)*Opex!I$29</f>
        <v>0</v>
      </c>
      <c r="Y25" s="1746">
        <f>IF(M$17='Prod info'!$AD48,SUMIF('Prod info'!$AC$8:$AC$11,'Prod info'!$T48,'Prod info'!$AD$8:$AD$11),0)*Opex!J$29+IF(M$17='Prod info'!$AC48,SUMIF('Prod info'!$AC$8:$AC$11,'Prod info'!$T48,'Prod info'!$AD$8:$AD$11),0)*Opex!J$29</f>
        <v>0</v>
      </c>
    </row>
    <row r="26" spans="2:25">
      <c r="B26" s="1612" t="s">
        <v>578</v>
      </c>
      <c r="C26" s="214">
        <v>22500</v>
      </c>
      <c r="D26" s="2154" t="s">
        <v>541</v>
      </c>
      <c r="E26" s="1287" t="s">
        <v>580</v>
      </c>
      <c r="F26" s="2198">
        <v>2024</v>
      </c>
      <c r="G26" s="2199">
        <f>IF(G$2=$F26,$C26,0)</f>
        <v>0</v>
      </c>
      <c r="H26" s="2164">
        <f t="shared" si="11"/>
        <v>22500</v>
      </c>
      <c r="I26" s="2164">
        <f t="shared" si="11"/>
        <v>0</v>
      </c>
      <c r="J26" s="2164">
        <f t="shared" si="11"/>
        <v>0</v>
      </c>
      <c r="K26" s="2164">
        <f t="shared" si="11"/>
        <v>0</v>
      </c>
      <c r="L26" s="2164">
        <f t="shared" si="11"/>
        <v>0</v>
      </c>
      <c r="M26" s="2165">
        <f t="shared" si="11"/>
        <v>0</v>
      </c>
      <c r="O26" s="2190" t="s">
        <v>105</v>
      </c>
      <c r="P26" s="2201"/>
      <c r="Q26" s="2160" t="str">
        <f>IF('Prod info'!O60="New","Expansion","Replacement")</f>
        <v>Replacement</v>
      </c>
      <c r="R26" s="2797">
        <f>'Prod info'!O49</f>
        <v>5</v>
      </c>
      <c r="S26" s="1139">
        <f>IF(G$17='Prod info'!$AD49,SUMIF('Prod info'!$AC$8:$AC$11,'Prod info'!$T49,'Prod info'!$AD$8:$AD$11),0)*Opex!D$29+IF(G$17='Prod info'!$AC49,SUMIF('Prod info'!$AC$8:$AC$11,'Prod info'!$T49,'Prod info'!$AD$8:$AD$11),0)*Opex!D$29</f>
        <v>0</v>
      </c>
      <c r="T26" s="1139">
        <f>IF(H$17='Prod info'!$AD49,SUMIF('Prod info'!$AC$8:$AC$11,'Prod info'!$T49,'Prod info'!$AD$8:$AD$11),0)*Opex!E$29+IF(H$17='Prod info'!$AC49,SUMIF('Prod info'!$AC$8:$AC$11,'Prod info'!$T49,'Prod info'!$AD$8:$AD$11),0)*Opex!E$29</f>
        <v>0</v>
      </c>
      <c r="U26" s="1139">
        <f>IF(I$17='Prod info'!$AD49,SUMIF('Prod info'!$AC$8:$AC$11,'Prod info'!$T49,'Prod info'!$AD$8:$AD$11),0)*Opex!F$29+IF(I$17='Prod info'!$AC49,SUMIF('Prod info'!$AC$8:$AC$11,'Prod info'!$T49,'Prod info'!$AD$8:$AD$11),0)*Opex!F$29</f>
        <v>0</v>
      </c>
      <c r="V26" s="1139">
        <f>IF(J$17='Prod info'!$AD49,SUMIF('Prod info'!$AC$8:$AC$11,'Prod info'!$T49,'Prod info'!$AD$8:$AD$11),0)*Opex!G$29+IF(J$17='Prod info'!$AC49,SUMIF('Prod info'!$AC$8:$AC$11,'Prod info'!$T49,'Prod info'!$AD$8:$AD$11),0)*Opex!G$29</f>
        <v>43488.748610999988</v>
      </c>
      <c r="W26" s="1139">
        <f>IF(K$17='Prod info'!$AD49,SUMIF('Prod info'!$AC$8:$AC$11,'Prod info'!$T49,'Prod info'!$AD$8:$AD$11),0)*Opex!H$29+IF(K$17='Prod info'!$AC49,SUMIF('Prod info'!$AC$8:$AC$11,'Prod info'!$T49,'Prod info'!$AD$8:$AD$11),0)*Opex!H$29</f>
        <v>0</v>
      </c>
      <c r="X26" s="1139">
        <f>IF(L$17='Prod info'!$AD49,SUMIF('Prod info'!$AC$8:$AC$11,'Prod info'!$T49,'Prod info'!$AD$8:$AD$11),0)*Opex!I$29+IF(L$17='Prod info'!$AC49,SUMIF('Prod info'!$AC$8:$AC$11,'Prod info'!$T49,'Prod info'!$AD$8:$AD$11),0)*Opex!I$29</f>
        <v>0</v>
      </c>
      <c r="Y26" s="1746">
        <f>IF(M$17='Prod info'!$AD49,SUMIF('Prod info'!$AC$8:$AC$11,'Prod info'!$T49,'Prod info'!$AD$8:$AD$11),0)*Opex!J$29+IF(M$17='Prod info'!$AC49,SUMIF('Prod info'!$AC$8:$AC$11,'Prod info'!$T49,'Prod info'!$AD$8:$AD$11),0)*Opex!J$29</f>
        <v>0</v>
      </c>
    </row>
    <row r="27" spans="2:25">
      <c r="B27" s="1612" t="s">
        <v>579</v>
      </c>
      <c r="C27" s="214">
        <v>12500</v>
      </c>
      <c r="D27" s="2154" t="s">
        <v>541</v>
      </c>
      <c r="E27" s="1287" t="s">
        <v>108</v>
      </c>
      <c r="F27" s="2198">
        <v>2024</v>
      </c>
      <c r="G27" s="2199">
        <f t="shared" si="11"/>
        <v>0</v>
      </c>
      <c r="H27" s="2164">
        <f t="shared" si="11"/>
        <v>12500</v>
      </c>
      <c r="I27" s="2164">
        <f t="shared" si="11"/>
        <v>0</v>
      </c>
      <c r="J27" s="2164">
        <f t="shared" si="11"/>
        <v>0</v>
      </c>
      <c r="K27" s="2164">
        <f t="shared" si="11"/>
        <v>0</v>
      </c>
      <c r="L27" s="2164">
        <f t="shared" si="11"/>
        <v>0</v>
      </c>
      <c r="M27" s="2165">
        <f t="shared" si="11"/>
        <v>0</v>
      </c>
      <c r="O27" s="2190" t="s">
        <v>105</v>
      </c>
      <c r="P27" s="2201"/>
      <c r="Q27" s="2160" t="str">
        <f>IF('Prod info'!O50="New","Expansion","Replacement")</f>
        <v>Replacement</v>
      </c>
      <c r="R27" s="2797">
        <f>'Prod info'!O50</f>
        <v>15</v>
      </c>
      <c r="S27" s="1139">
        <f>IF(G$17='Prod info'!$AD50,SUMIF('Prod info'!$AC$8:$AC$11,'Prod info'!$T50,'Prod info'!$AD$8:$AD$11),0)*Opex!D$29+IF(G$17='Prod info'!$AC50,SUMIF('Prod info'!$AC$8:$AC$11,'Prod info'!$T50,'Prod info'!$AD$8:$AD$11),0)*Opex!D$29</f>
        <v>0</v>
      </c>
      <c r="T27" s="1139">
        <f>IF(H$17='Prod info'!$AD50,SUMIF('Prod info'!$AC$8:$AC$11,'Prod info'!$T50,'Prod info'!$AD$8:$AD$11),0)*Opex!E$29+IF(H$17='Prod info'!$AC50,SUMIF('Prod info'!$AC$8:$AC$11,'Prod info'!$T50,'Prod info'!$AD$8:$AD$11),0)*Opex!E$29</f>
        <v>0</v>
      </c>
      <c r="U27" s="1139">
        <f>IF(I$17='Prod info'!$AD50,SUMIF('Prod info'!$AC$8:$AC$11,'Prod info'!$T50,'Prod info'!$AD$8:$AD$11),0)*Opex!F$29+IF(I$17='Prod info'!$AC50,SUMIF('Prod info'!$AC$8:$AC$11,'Prod info'!$T50,'Prod info'!$AD$8:$AD$11),0)*Opex!F$29</f>
        <v>0</v>
      </c>
      <c r="V27" s="1139">
        <f>IF(J$17='Prod info'!$AD50,SUMIF('Prod info'!$AC$8:$AC$11,'Prod info'!$T50,'Prod info'!$AD$8:$AD$11),0)*Opex!G$29+IF(J$17='Prod info'!$AC50,SUMIF('Prod info'!$AC$8:$AC$11,'Prod info'!$T50,'Prod info'!$AD$8:$AD$11),0)*Opex!G$29</f>
        <v>0</v>
      </c>
      <c r="W27" s="1139">
        <f>IF(K$17='Prod info'!$AD50,SUMIF('Prod info'!$AC$8:$AC$11,'Prod info'!$T50,'Prod info'!$AD$8:$AD$11),0)*Opex!H$29+IF(K$17='Prod info'!$AC50,SUMIF('Prod info'!$AC$8:$AC$11,'Prod info'!$T50,'Prod info'!$AD$8:$AD$11),0)*Opex!H$29</f>
        <v>0</v>
      </c>
      <c r="X27" s="1139">
        <f>IF(L$17='Prod info'!$AD50,SUMIF('Prod info'!$AC$8:$AC$11,'Prod info'!$T50,'Prod info'!$AD$8:$AD$11),0)*Opex!I$29+IF(L$17='Prod info'!$AC50,SUMIF('Prod info'!$AC$8:$AC$11,'Prod info'!$T50,'Prod info'!$AD$8:$AD$11),0)*Opex!I$29</f>
        <v>14690.160407429994</v>
      </c>
      <c r="Y27" s="1746">
        <f>IF(M$17='Prod info'!$AD50,SUMIF('Prod info'!$AC$8:$AC$11,'Prod info'!$T50,'Prod info'!$AD$8:$AD$11),0)*Opex!J$29+IF(M$17='Prod info'!$AC50,SUMIF('Prod info'!$AC$8:$AC$11,'Prod info'!$T50,'Prod info'!$AD$8:$AD$11),0)*Opex!J$29</f>
        <v>0</v>
      </c>
    </row>
    <row r="28" spans="2:25">
      <c r="B28" s="1612" t="s">
        <v>1201</v>
      </c>
      <c r="C28" s="214">
        <v>125000</v>
      </c>
      <c r="D28" s="2154" t="s">
        <v>541</v>
      </c>
      <c r="E28" s="1287" t="s">
        <v>108</v>
      </c>
      <c r="F28" s="2198">
        <v>2024</v>
      </c>
      <c r="G28" s="2199">
        <f t="shared" si="11"/>
        <v>0</v>
      </c>
      <c r="H28" s="2164">
        <f t="shared" si="11"/>
        <v>125000</v>
      </c>
      <c r="I28" s="2164">
        <f t="shared" si="11"/>
        <v>0</v>
      </c>
      <c r="J28" s="2164">
        <f t="shared" si="11"/>
        <v>0</v>
      </c>
      <c r="K28" s="2164">
        <f t="shared" si="11"/>
        <v>0</v>
      </c>
      <c r="L28" s="2164">
        <f t="shared" si="11"/>
        <v>0</v>
      </c>
      <c r="M28" s="2165">
        <f t="shared" si="11"/>
        <v>0</v>
      </c>
      <c r="O28" s="2190" t="s">
        <v>105</v>
      </c>
      <c r="P28" s="2201"/>
      <c r="Q28" s="2160" t="str">
        <f>IF('Prod info'!O52="New","Expansion","Replacement")</f>
        <v>Replacement</v>
      </c>
      <c r="R28" s="2797">
        <f>'Prod info'!O52</f>
        <v>6</v>
      </c>
      <c r="S28" s="1139">
        <f ca="1">IF(G$17='Prod info'!$AD52,SUMIF('Prod info'!$AC$8:$AC$11,'Prod info'!$T52,'Prod info'!$AD$8:$AD$11),0)*Opex!D$29+IF(G$17='Prod info'!$AC52,SUMIF('Prod info'!$AC$8:$AC$11,'Prod info'!$T52,'Prod info'!$AD$8:$AD$11),0)*Opex!D$29</f>
        <v>0</v>
      </c>
      <c r="T28" s="1139">
        <f ca="1">IF(H$17='Prod info'!$AD52,SUMIF('Prod info'!$AC$8:$AC$11,'Prod info'!$T52,'Prod info'!$AD$8:$AD$11),0)*Opex!E$29+IF(H$17='Prod info'!$AC52,SUMIF('Prod info'!$AC$8:$AC$11,'Prod info'!$T52,'Prod info'!$AD$8:$AD$11),0)*Opex!E$29</f>
        <v>0</v>
      </c>
      <c r="U28" s="1139">
        <f ca="1">IF(I$17='Prod info'!$AD52,SUMIF('Prod info'!$AC$8:$AC$11,'Prod info'!$T52,'Prod info'!$AD$8:$AD$11),0)*Opex!F$29+IF(I$17='Prod info'!$AC52,SUMIF('Prod info'!$AC$8:$AC$11,'Prod info'!$T52,'Prod info'!$AD$8:$AD$11),0)*Opex!F$29</f>
        <v>0</v>
      </c>
      <c r="V28" s="1139">
        <f ca="1">IF(J$17='Prod info'!$AD52,SUMIF('Prod info'!$AC$8:$AC$11,'Prod info'!$T52,'Prod info'!$AD$8:$AD$11),0)*Opex!G$29+IF(J$17='Prod info'!$AC52,SUMIF('Prod info'!$AC$8:$AC$11,'Prod info'!$T52,'Prod info'!$AD$8:$AD$11),0)*Opex!G$29</f>
        <v>0</v>
      </c>
      <c r="W28" s="1139">
        <f ca="1">IF(K$17='Prod info'!$AD52,SUMIF('Prod info'!$AC$8:$AC$11,'Prod info'!$T52,'Prod info'!$AD$8:$AD$11),0)*Opex!H$29+IF(K$17='Prod info'!$AC52,SUMIF('Prod info'!$AC$8:$AC$11,'Prod info'!$T52,'Prod info'!$AD$8:$AD$11),0)*Opex!H$29</f>
        <v>0</v>
      </c>
      <c r="X28" s="1139">
        <f ca="1">IF(L$17='Prod info'!$AD52,SUMIF('Prod info'!$AC$8:$AC$11,'Prod info'!$T52,'Prod info'!$AD$8:$AD$11),0)*Opex!I$29+IF(L$17='Prod info'!$AC52,SUMIF('Prod info'!$AC$8:$AC$11,'Prod info'!$T52,'Prod info'!$AD$8:$AD$11),0)*Opex!I$29</f>
        <v>0</v>
      </c>
      <c r="Y28" s="1746">
        <f ca="1">IF(M$17='Prod info'!$AD52,SUMIF('Prod info'!$AC$8:$AC$11,'Prod info'!$T52,'Prod info'!$AD$8:$AD$11),0)*Opex!J$29+IF(M$17='Prod info'!$AC52,SUMIF('Prod info'!$AC$8:$AC$11,'Prod info'!$T52,'Prod info'!$AD$8:$AD$11),0)*Opex!J$29</f>
        <v>0</v>
      </c>
    </row>
    <row r="29" spans="2:25">
      <c r="B29" s="1612" t="s">
        <v>650</v>
      </c>
      <c r="C29" s="214"/>
      <c r="D29" s="2154" t="s">
        <v>541</v>
      </c>
      <c r="E29" s="1287" t="s">
        <v>114</v>
      </c>
      <c r="F29" s="2198"/>
      <c r="G29" s="2199">
        <f t="shared" ref="G29:M29" si="13">S18</f>
        <v>0</v>
      </c>
      <c r="H29" s="2164">
        <f t="shared" si="13"/>
        <v>0</v>
      </c>
      <c r="I29" s="2164">
        <f t="shared" si="13"/>
        <v>5974.5810734999986</v>
      </c>
      <c r="J29" s="2164">
        <f t="shared" si="13"/>
        <v>0</v>
      </c>
      <c r="K29" s="2164">
        <f t="shared" si="13"/>
        <v>0</v>
      </c>
      <c r="L29" s="2164">
        <f t="shared" si="13"/>
        <v>29380.320814859988</v>
      </c>
      <c r="M29" s="2165">
        <f t="shared" si="13"/>
        <v>32838.854659902048</v>
      </c>
      <c r="O29" s="2190" t="s">
        <v>105</v>
      </c>
      <c r="P29" s="2201"/>
      <c r="Q29" s="2160" t="str">
        <f>IF('Prod info'!O53="New","Expansion","Replacement")</f>
        <v>Replacement</v>
      </c>
      <c r="R29" s="2797">
        <f>'Prod info'!O53</f>
        <v>16</v>
      </c>
      <c r="S29" s="1139">
        <f ca="1">IF(G$17='Prod info'!$AD53,SUMIF('Prod info'!$AC$8:$AC$11,'Prod info'!$T53,'Prod info'!$AD$8:$AD$11),0)*Opex!D$29+IF(G$17='Prod info'!$AC53,SUMIF('Prod info'!$AC$8:$AC$11,'Prod info'!$T53,'Prod info'!$AD$8:$AD$11),0)*Opex!D$29</f>
        <v>0</v>
      </c>
      <c r="T29" s="1139">
        <f ca="1">IF(H$17='Prod info'!$AD53,SUMIF('Prod info'!$AC$8:$AC$11,'Prod info'!$T53,'Prod info'!$AD$8:$AD$11),0)*Opex!E$29+IF(H$17='Prod info'!$AC53,SUMIF('Prod info'!$AC$8:$AC$11,'Prod info'!$T53,'Prod info'!$AD$8:$AD$11),0)*Opex!E$29</f>
        <v>0</v>
      </c>
      <c r="U29" s="1139">
        <f ca="1">IF(I$17='Prod info'!$AD53,SUMIF('Prod info'!$AC$8:$AC$11,'Prod info'!$T53,'Prod info'!$AD$8:$AD$11),0)*Opex!F$29+IF(I$17='Prod info'!$AC53,SUMIF('Prod info'!$AC$8:$AC$11,'Prod info'!$T53,'Prod info'!$AD$8:$AD$11),0)*Opex!F$29</f>
        <v>0</v>
      </c>
      <c r="V29" s="1139">
        <f ca="1">IF(J$17='Prod info'!$AD53,SUMIF('Prod info'!$AC$8:$AC$11,'Prod info'!$T53,'Prod info'!$AD$8:$AD$11),0)*Opex!G$29+IF(J$17='Prod info'!$AC53,SUMIF('Prod info'!$AC$8:$AC$11,'Prod info'!$T53,'Prod info'!$AD$8:$AD$11),0)*Opex!G$29</f>
        <v>0</v>
      </c>
      <c r="W29" s="1139">
        <f ca="1">IF(K$17='Prod info'!$AD53,SUMIF('Prod info'!$AC$8:$AC$11,'Prod info'!$T53,'Prod info'!$AD$8:$AD$11),0)*Opex!H$29+IF(K$17='Prod info'!$AC53,SUMIF('Prod info'!$AC$8:$AC$11,'Prod info'!$T53,'Prod info'!$AD$8:$AD$11),0)*Opex!H$29</f>
        <v>0</v>
      </c>
      <c r="X29" s="1139">
        <f ca="1">IF(L$17='Prod info'!$AD53,SUMIF('Prod info'!$AC$8:$AC$11,'Prod info'!$T53,'Prod info'!$AD$8:$AD$11),0)*Opex!I$29+IF(L$17='Prod info'!$AC53,SUMIF('Prod info'!$AC$8:$AC$11,'Prod info'!$T53,'Prod info'!$AD$8:$AD$11),0)*Opex!I$29</f>
        <v>14690.160407429994</v>
      </c>
      <c r="Y29" s="1746">
        <f ca="1">IF(M$17='Prod info'!$AD53,SUMIF('Prod info'!$AC$8:$AC$11,'Prod info'!$T53,'Prod info'!$AD$8:$AD$11),0)*Opex!J$29+IF(M$17='Prod info'!$AC53,SUMIF('Prod info'!$AC$8:$AC$11,'Prod info'!$T53,'Prod info'!$AD$8:$AD$11),0)*Opex!J$29</f>
        <v>0</v>
      </c>
    </row>
    <row r="30" spans="2:25">
      <c r="B30" s="1612" t="s">
        <v>651</v>
      </c>
      <c r="C30" s="214"/>
      <c r="D30" s="2154" t="s">
        <v>541</v>
      </c>
      <c r="E30" s="1287" t="s">
        <v>114</v>
      </c>
      <c r="F30" s="2198"/>
      <c r="G30" s="2199">
        <f t="shared" ref="G30:M30" ca="1" si="14">S40</f>
        <v>0</v>
      </c>
      <c r="H30" s="2164">
        <f t="shared" ca="1" si="14"/>
        <v>0</v>
      </c>
      <c r="I30" s="2164">
        <f t="shared" ca="1" si="14"/>
        <v>13842.866249999997</v>
      </c>
      <c r="J30" s="2164">
        <f t="shared" ca="1" si="14"/>
        <v>86977.497221999976</v>
      </c>
      <c r="K30" s="2164">
        <f t="shared" ca="1" si="14"/>
        <v>14402.118046499996</v>
      </c>
      <c r="L30" s="2164">
        <f t="shared" ca="1" si="14"/>
        <v>50651.673084818627</v>
      </c>
      <c r="M30" s="2165">
        <f t="shared" ca="1" si="14"/>
        <v>36680.742930936394</v>
      </c>
      <c r="O30" s="2190" t="s">
        <v>105</v>
      </c>
      <c r="P30" s="2201"/>
      <c r="Q30" s="2160" t="str">
        <f>IF('Prod info'!O47="New","Expansion","Replacement")</f>
        <v>Replacement</v>
      </c>
      <c r="R30" s="2797">
        <f>'Prod info'!O54</f>
        <v>11</v>
      </c>
      <c r="S30" s="1139">
        <f ca="1">IF(G$17='Prod info'!$AD54,SUMIF('Prod info'!$AC$8:$AC$11,'Prod info'!$T54,'Prod info'!$AD$8:$AD$11),0)*Opex!D$29+IF(G$17='Prod info'!$AC54,SUMIF('Prod info'!$AC$8:$AC$11,'Prod info'!$T54,'Prod info'!$AD$8:$AD$11),0)*Opex!D$29</f>
        <v>0</v>
      </c>
      <c r="T30" s="1139">
        <f ca="1">IF(H$17='Prod info'!$AD54,SUMIF('Prod info'!$AC$8:$AC$11,'Prod info'!$T54,'Prod info'!$AD$8:$AD$11),0)*Opex!E$29+IF(H$17='Prod info'!$AC54,SUMIF('Prod info'!$AC$8:$AC$11,'Prod info'!$T54,'Prod info'!$AD$8:$AD$11),0)*Opex!E$29</f>
        <v>0</v>
      </c>
      <c r="U30" s="1139">
        <f ca="1">IF(I$17='Prod info'!$AD54,SUMIF('Prod info'!$AC$8:$AC$11,'Prod info'!$T54,'Prod info'!$AD$8:$AD$11),0)*Opex!F$29+IF(I$17='Prod info'!$AC54,SUMIF('Prod info'!$AC$8:$AC$11,'Prod info'!$T54,'Prod info'!$AD$8:$AD$11),0)*Opex!F$29</f>
        <v>0</v>
      </c>
      <c r="V30" s="1139">
        <f ca="1">IF(J$17='Prod info'!$AD54,SUMIF('Prod info'!$AC$8:$AC$11,'Prod info'!$T54,'Prod info'!$AD$8:$AD$11),0)*Opex!G$29+IF(J$17='Prod info'!$AC54,SUMIF('Prod info'!$AC$8:$AC$11,'Prod info'!$T54,'Prod info'!$AD$8:$AD$11),0)*Opex!G$29</f>
        <v>0</v>
      </c>
      <c r="W30" s="1139">
        <f ca="1">IF(K$17='Prod info'!$AD54,SUMIF('Prod info'!$AC$8:$AC$11,'Prod info'!$T54,'Prod info'!$AD$8:$AD$11),0)*Opex!H$29+IF(K$17='Prod info'!$AC54,SUMIF('Prod info'!$AC$8:$AC$11,'Prod info'!$T54,'Prod info'!$AD$8:$AD$11),0)*Opex!H$29</f>
        <v>0</v>
      </c>
      <c r="X30" s="1139">
        <f ca="1">IF(L$17='Prod info'!$AD54,SUMIF('Prod info'!$AC$8:$AC$11,'Prod info'!$T54,'Prod info'!$AD$8:$AD$11),0)*Opex!I$29+IF(L$17='Prod info'!$AC54,SUMIF('Prod info'!$AC$8:$AC$11,'Prod info'!$T54,'Prod info'!$AD$8:$AD$11),0)*Opex!I$29</f>
        <v>14690.160407429994</v>
      </c>
      <c r="Y30" s="1746">
        <f ca="1">IF(M$17='Prod info'!$AD54,SUMIF('Prod info'!$AC$8:$AC$11,'Prod info'!$T54,'Prod info'!$AD$8:$AD$11),0)*Opex!J$29+IF(M$17='Prod info'!$AC54,SUMIF('Prod info'!$AC$8:$AC$11,'Prod info'!$T54,'Prod info'!$AD$8:$AD$11),0)*Opex!J$29</f>
        <v>0</v>
      </c>
    </row>
    <row r="31" spans="2:25">
      <c r="B31" s="1612" t="s">
        <v>264</v>
      </c>
      <c r="C31" s="214"/>
      <c r="D31" s="2154" t="s">
        <v>541</v>
      </c>
      <c r="E31" s="1287" t="s">
        <v>264</v>
      </c>
      <c r="F31" s="2198"/>
      <c r="G31" s="2199">
        <f>S47</f>
        <v>123165</v>
      </c>
      <c r="H31" s="2164">
        <f t="shared" ref="H31:M31" ca="1" si="15">T47</f>
        <v>131400.17787599997</v>
      </c>
      <c r="I31" s="2164">
        <f t="shared" ca="1" si="15"/>
        <v>192001.88380265996</v>
      </c>
      <c r="J31" s="2164">
        <f t="shared" ca="1" si="15"/>
        <v>227634.11699576033</v>
      </c>
      <c r="K31" s="2164">
        <f t="shared" ca="1" si="15"/>
        <v>232382.66814110795</v>
      </c>
      <c r="L31" s="2164">
        <f t="shared" ca="1" si="15"/>
        <v>237030.32150393011</v>
      </c>
      <c r="M31" s="2165">
        <f t="shared" ca="1" si="15"/>
        <v>241770.92793400868</v>
      </c>
      <c r="O31" s="2190" t="s">
        <v>258</v>
      </c>
      <c r="P31" s="2201"/>
      <c r="Q31" s="2160" t="str">
        <f>IF('Prod info'!O48="New","Expansion","Replacement")</f>
        <v>Replacement</v>
      </c>
      <c r="R31" s="2797">
        <f>'Prod info'!O56</f>
        <v>13</v>
      </c>
      <c r="S31" s="1139">
        <f>IF(G$17='Prod info'!$AD56,SUMIF('Prod info'!$AC$8:$AC$11,'Prod info'!$T56,'Prod info'!$AD$8:$AD$11),0)*Opex!D$29+IF(G$17='Prod info'!$AC56,SUMIF('Prod info'!$AC$8:$AC$11,'Prod info'!$T56,'Prod info'!$AD$8:$AD$11),0)*Opex!D$29</f>
        <v>0</v>
      </c>
      <c r="T31" s="1139">
        <f>IF(H$17='Prod info'!$AD56,SUMIF('Prod info'!$AC$8:$AC$11,'Prod info'!$T56,'Prod info'!$AD$8:$AD$11),0)*Opex!E$29+IF(H$17='Prod info'!$AC56,SUMIF('Prod info'!$AC$8:$AC$11,'Prod info'!$T56,'Prod info'!$AD$8:$AD$11),0)*Opex!E$29</f>
        <v>0</v>
      </c>
      <c r="U31" s="1139">
        <f>IF(I$17='Prod info'!$AD56,SUMIF('Prod info'!$AC$8:$AC$11,'Prod info'!$T56,'Prod info'!$AD$8:$AD$11),0)*Opex!F$29+IF(I$17='Prod info'!$AC56,SUMIF('Prod info'!$AC$8:$AC$11,'Prod info'!$T56,'Prod info'!$AD$8:$AD$11),0)*Opex!F$29</f>
        <v>0</v>
      </c>
      <c r="V31" s="1139">
        <f>IF(J$17='Prod info'!$AD56,SUMIF('Prod info'!$AC$8:$AC$11,'Prod info'!$T56,'Prod info'!$AD$8:$AD$11),0)*Opex!G$29+IF(J$17='Prod info'!$AC56,SUMIF('Prod info'!$AC$8:$AC$11,'Prod info'!$T56,'Prod info'!$AD$8:$AD$11),0)*Opex!G$29</f>
        <v>0</v>
      </c>
      <c r="W31" s="1139">
        <f>IF(K$17='Prod info'!$AD56,SUMIF('Prod info'!$AC$8:$AC$11,'Prod info'!$T56,'Prod info'!$AD$8:$AD$11),0)*Opex!H$29+IF(K$17='Prod info'!$AC56,SUMIF('Prod info'!$AC$8:$AC$11,'Prod info'!$T56,'Prod info'!$AD$8:$AD$11),0)*Opex!H$29</f>
        <v>0</v>
      </c>
      <c r="X31" s="1139">
        <f>IF(L$17='Prod info'!$AD56,SUMIF('Prod info'!$AC$8:$AC$11,'Prod info'!$T56,'Prod info'!$AD$8:$AD$11),0)*Opex!I$29+IF(L$17='Prod info'!$AC56,SUMIF('Prod info'!$AC$8:$AC$11,'Prod info'!$T56,'Prod info'!$AD$8:$AD$11),0)*Opex!I$29</f>
        <v>0</v>
      </c>
      <c r="Y31" s="1746">
        <f>IF(M$17='Prod info'!$AD56,SUMIF('Prod info'!$AC$8:$AC$11,'Prod info'!$T56,'Prod info'!$AD$8:$AD$11),0)*Opex!J$29+IF(M$17='Prod info'!$AC56,SUMIF('Prod info'!$AC$8:$AC$11,'Prod info'!$T56,'Prod info'!$AD$8:$AD$11),0)*Opex!J$29</f>
        <v>14983.963615578594</v>
      </c>
    </row>
    <row r="32" spans="2:25" ht="13.5" thickBot="1">
      <c r="B32" s="2202" t="s">
        <v>105</v>
      </c>
      <c r="C32" s="2154"/>
      <c r="D32" s="2154"/>
      <c r="E32" s="2154"/>
      <c r="F32" s="2203"/>
      <c r="G32" s="2204">
        <f t="shared" ref="G32:M32" ca="1" si="16">IF(G19&gt;0,IF($O19="VAT",$O$33*G19,0))+IF(G20&gt;0,IF($O20="VAT",$O$33*G20,0))+IF(G21&gt;0,IF($O21="VAT",$O$33*G21,0))+IF(G22&gt;0,IF($O22="VAT",$O$33*G22,0))+IF(G23&gt;0,IF($O23="VAT",$O$33*G23,0))+IF(G24&gt;0,IF($O24="VAT",$O$33*G24,0))+IF(G25&gt;0,IF($O25="VAT",$O$33*G25,0))+IF(G26&gt;0,IF($O26="VAT",$O$33*G26,0))+IF(G27&gt;0,IF($O27="VAT",$O$33*G27,0))+IF(G28&gt;0,IF($O28="VAT",$O$33*G28,0))+IF(G29&gt;0,IF($O29="VAT",$O$33*G29,0))+IF(G30&gt;0,IF($O30="VAT",$O$33*G30,0))+IF(G31&gt;0,IF($O31="VAT",$O$33*G31,0))++IF(G18&gt;0,IF($O18="VAT",$O$33*G18,0))</f>
        <v>0</v>
      </c>
      <c r="H32" s="2205">
        <f t="shared" ca="1" si="16"/>
        <v>406100</v>
      </c>
      <c r="I32" s="2205">
        <f t="shared" ca="1" si="16"/>
        <v>3963.4894646999992</v>
      </c>
      <c r="J32" s="2205">
        <f t="shared" ca="1" si="16"/>
        <v>17395.499444399997</v>
      </c>
      <c r="K32" s="2205">
        <f t="shared" ca="1" si="16"/>
        <v>2880.4236092999995</v>
      </c>
      <c r="L32" s="2205">
        <f t="shared" ca="1" si="16"/>
        <v>16006.398779935724</v>
      </c>
      <c r="M32" s="2206">
        <f t="shared" ca="1" si="16"/>
        <v>13903.919518167688</v>
      </c>
      <c r="O32" s="2207"/>
      <c r="P32" s="2201"/>
      <c r="Q32" s="2160" t="str">
        <f>IF('Prod info'!O49="New","Expansion","Replacement")</f>
        <v>Replacement</v>
      </c>
      <c r="R32" s="2797">
        <f>'Prod info'!O57</f>
        <v>19</v>
      </c>
      <c r="S32" s="1139">
        <f>IF(G$17='Prod info'!$AD57,SUMIF('Prod info'!$AC$8:$AC$11,'Prod info'!$T57,'Prod info'!$AD$8:$AD$11),0)*Opex!D$29+IF(G$17='Prod info'!$AC57,SUMIF('Prod info'!$AC$8:$AC$11,'Prod info'!$T57,'Prod info'!$AD$8:$AD$11),0)*Opex!D$29</f>
        <v>0</v>
      </c>
      <c r="T32" s="1139">
        <f>IF(H$17='Prod info'!$AD57,SUMIF('Prod info'!$AC$8:$AC$11,'Prod info'!$T57,'Prod info'!$AD$8:$AD$11),0)*Opex!E$29+IF(H$17='Prod info'!$AC57,SUMIF('Prod info'!$AC$8:$AC$11,'Prod info'!$T57,'Prod info'!$AD$8:$AD$11),0)*Opex!E$29</f>
        <v>0</v>
      </c>
      <c r="U32" s="1139">
        <f>IF(I$17='Prod info'!$AD57,SUMIF('Prod info'!$AC$8:$AC$11,'Prod info'!$T57,'Prod info'!$AD$8:$AD$11),0)*Opex!F$29+IF(I$17='Prod info'!$AC57,SUMIF('Prod info'!$AC$8:$AC$11,'Prod info'!$T57,'Prod info'!$AD$8:$AD$11),0)*Opex!F$29</f>
        <v>0</v>
      </c>
      <c r="V32" s="1139">
        <f>IF(J$17='Prod info'!$AD57,SUMIF('Prod info'!$AC$8:$AC$11,'Prod info'!$T57,'Prod info'!$AD$8:$AD$11),0)*Opex!G$29+IF(J$17='Prod info'!$AC57,SUMIF('Prod info'!$AC$8:$AC$11,'Prod info'!$T57,'Prod info'!$AD$8:$AD$11),0)*Opex!G$29</f>
        <v>0</v>
      </c>
      <c r="W32" s="1139">
        <f>IF(K$17='Prod info'!$AD57,SUMIF('Prod info'!$AC$8:$AC$11,'Prod info'!$T57,'Prod info'!$AD$8:$AD$11),0)*Opex!H$29+IF(K$17='Prod info'!$AC57,SUMIF('Prod info'!$AC$8:$AC$11,'Prod info'!$T57,'Prod info'!$AD$8:$AD$11),0)*Opex!H$29</f>
        <v>0</v>
      </c>
      <c r="X32" s="1139">
        <f>IF(L$17='Prod info'!$AD57,SUMIF('Prod info'!$AC$8:$AC$11,'Prod info'!$T57,'Prod info'!$AD$8:$AD$11),0)*Opex!I$29+IF(L$17='Prod info'!$AC57,SUMIF('Prod info'!$AC$8:$AC$11,'Prod info'!$T57,'Prod info'!$AD$8:$AD$11),0)*Opex!I$29</f>
        <v>0</v>
      </c>
      <c r="Y32" s="1746">
        <f>IF(M$17='Prod info'!$AD57,SUMIF('Prod info'!$AC$8:$AC$11,'Prod info'!$T57,'Prod info'!$AD$8:$AD$11),0)*Opex!J$29+IF(M$17='Prod info'!$AC57,SUMIF('Prod info'!$AC$8:$AC$11,'Prod info'!$T57,'Prod info'!$AD$8:$AD$11),0)*Opex!J$29</f>
        <v>0</v>
      </c>
    </row>
    <row r="33" spans="2:25" ht="13.5" thickBot="1">
      <c r="B33" s="2192" t="s">
        <v>135</v>
      </c>
      <c r="C33" s="2179"/>
      <c r="D33" s="2179"/>
      <c r="E33" s="2179"/>
      <c r="F33" s="2179"/>
      <c r="G33" s="2208">
        <f t="shared" ref="G33:M33" ca="1" si="17">SUM(G18:G32)</f>
        <v>123165</v>
      </c>
      <c r="H33" s="2178">
        <f t="shared" ca="1" si="17"/>
        <v>2994500.1778759998</v>
      </c>
      <c r="I33" s="2178">
        <f t="shared" ca="1" si="17"/>
        <v>268282.82059085992</v>
      </c>
      <c r="J33" s="2178">
        <f t="shared" ca="1" si="17"/>
        <v>377007.11366216029</v>
      </c>
      <c r="K33" s="2178">
        <f t="shared" ca="1" si="17"/>
        <v>294665.2097969079</v>
      </c>
      <c r="L33" s="2178">
        <f t="shared" ca="1" si="17"/>
        <v>370568.71418354445</v>
      </c>
      <c r="M33" s="2209">
        <f t="shared" ca="1" si="17"/>
        <v>362694.44504301477</v>
      </c>
      <c r="O33" s="2193">
        <v>0.2</v>
      </c>
      <c r="P33" s="2201"/>
      <c r="Q33" s="2160" t="str">
        <f>IF('Prod info'!O54="New","Expansion","Replacement")</f>
        <v>Replacement</v>
      </c>
      <c r="R33" s="2797">
        <f>'Prod info'!O58</f>
        <v>18</v>
      </c>
      <c r="S33" s="1139">
        <f>IF(G$17='Prod info'!$AD58,SUMIF('Prod info'!$AC$8:$AC$11,'Prod info'!$T58,'Prod info'!$AD$8:$AD$11),0)*Opex!D$29+IF(G$17='Prod info'!$AC58,SUMIF('Prod info'!$AC$8:$AC$11,'Prod info'!$T58,'Prod info'!$AD$8:$AD$11),0)*Opex!D$29</f>
        <v>0</v>
      </c>
      <c r="T33" s="1139">
        <f>IF(H$17='Prod info'!$AD58,SUMIF('Prod info'!$AC$8:$AC$11,'Prod info'!$T58,'Prod info'!$AD$8:$AD$11),0)*Opex!E$29+IF(H$17='Prod info'!$AC58,SUMIF('Prod info'!$AC$8:$AC$11,'Prod info'!$T58,'Prod info'!$AD$8:$AD$11),0)*Opex!E$29</f>
        <v>0</v>
      </c>
      <c r="U33" s="1139">
        <f>IF(I$17='Prod info'!$AD58,SUMIF('Prod info'!$AC$8:$AC$11,'Prod info'!$T58,'Prod info'!$AD$8:$AD$11),0)*Opex!F$29+IF(I$17='Prod info'!$AC58,SUMIF('Prod info'!$AC$8:$AC$11,'Prod info'!$T58,'Prod info'!$AD$8:$AD$11),0)*Opex!F$29</f>
        <v>0</v>
      </c>
      <c r="V33" s="1139">
        <f>IF(J$17='Prod info'!$AD58,SUMIF('Prod info'!$AC$8:$AC$11,'Prod info'!$T58,'Prod info'!$AD$8:$AD$11),0)*Opex!G$29+IF(J$17='Prod info'!$AC58,SUMIF('Prod info'!$AC$8:$AC$11,'Prod info'!$T58,'Prod info'!$AD$8:$AD$11),0)*Opex!G$29</f>
        <v>0</v>
      </c>
      <c r="W33" s="1139">
        <f>IF(K$17='Prod info'!$AD58,SUMIF('Prod info'!$AC$8:$AC$11,'Prod info'!$T58,'Prod info'!$AD$8:$AD$11),0)*Opex!H$29+IF(K$17='Prod info'!$AC58,SUMIF('Prod info'!$AC$8:$AC$11,'Prod info'!$T58,'Prod info'!$AD$8:$AD$11),0)*Opex!H$29</f>
        <v>0</v>
      </c>
      <c r="X33" s="1139">
        <f>IF(L$17='Prod info'!$AD58,SUMIF('Prod info'!$AC$8:$AC$11,'Prod info'!$T58,'Prod info'!$AD$8:$AD$11),0)*Opex!I$29+IF(L$17='Prod info'!$AC58,SUMIF('Prod info'!$AC$8:$AC$11,'Prod info'!$T58,'Prod info'!$AD$8:$AD$11),0)*Opex!I$29</f>
        <v>0</v>
      </c>
      <c r="Y33" s="1746">
        <f>IF(M$17='Prod info'!$AD58,SUMIF('Prod info'!$AC$8:$AC$11,'Prod info'!$T58,'Prod info'!$AD$8:$AD$11),0)*Opex!J$29+IF(M$17='Prod info'!$AC58,SUMIF('Prod info'!$AC$8:$AC$11,'Prod info'!$T58,'Prod info'!$AD$8:$AD$11),0)*Opex!J$29</f>
        <v>6712.8156997792103</v>
      </c>
    </row>
    <row r="34" spans="2:25" ht="13.5" thickBot="1">
      <c r="P34" s="2201"/>
      <c r="Q34" s="2160" t="str">
        <f>IF('Prod info'!O56="New","Expansion","Replacement")</f>
        <v>Replacement</v>
      </c>
      <c r="R34" s="2797">
        <f>'Prod info'!O55</f>
        <v>12</v>
      </c>
      <c r="S34" s="1139">
        <f ca="1">IF(G$17='Prod info'!$AD55,SUMIF('Prod info'!$AC$8:$AC$11,'Prod info'!$T55,'Prod info'!$AD$8:$AD$11),0)*Opex!D$29+IF(G$17='Prod info'!$AC55,SUMIF('Prod info'!$AC$8:$AC$11,'Prod info'!$T55,'Prod info'!$AD$8:$AD$11),0)*Opex!D$29</f>
        <v>0</v>
      </c>
      <c r="T34" s="1139">
        <f ca="1">IF(H$17='Prod info'!$AD55,SUMIF('Prod info'!$AC$8:$AC$11,'Prod info'!$T55,'Prod info'!$AD$8:$AD$11),0)*Opex!E$29+IF(H$17='Prod info'!$AC55,SUMIF('Prod info'!$AC$8:$AC$11,'Prod info'!$T55,'Prod info'!$AD$8:$AD$11),0)*Opex!E$29</f>
        <v>0</v>
      </c>
      <c r="U34" s="1139">
        <f ca="1">IF(I$17='Prod info'!$AD55,SUMIF('Prod info'!$AC$8:$AC$11,'Prod info'!$T55,'Prod info'!$AD$8:$AD$11),0)*Opex!F$29+IF(I$17='Prod info'!$AC55,SUMIF('Prod info'!$AC$8:$AC$11,'Prod info'!$T55,'Prod info'!$AD$8:$AD$11),0)*Opex!F$29</f>
        <v>0</v>
      </c>
      <c r="V34" s="1139">
        <f ca="1">IF(J$17='Prod info'!$AD55,SUMIF('Prod info'!$AC$8:$AC$11,'Prod info'!$T55,'Prod info'!$AD$8:$AD$11),0)*Opex!G$29+IF(J$17='Prod info'!$AC55,SUMIF('Prod info'!$AC$8:$AC$11,'Prod info'!$T55,'Prod info'!$AD$8:$AD$11),0)*Opex!G$29</f>
        <v>0</v>
      </c>
      <c r="W34" s="1139">
        <f ca="1">IF(K$17='Prod info'!$AD55,SUMIF('Prod info'!$AC$8:$AC$11,'Prod info'!$T55,'Prod info'!$AD$8:$AD$11),0)*Opex!H$29+IF(K$17='Prod info'!$AC55,SUMIF('Prod info'!$AC$8:$AC$11,'Prod info'!$T55,'Prod info'!$AD$8:$AD$11),0)*Opex!H$29</f>
        <v>0</v>
      </c>
      <c r="X34" s="1139">
        <f ca="1">IF(L$17='Prod info'!$AD55,SUMIF('Prod info'!$AC$8:$AC$11,'Prod info'!$T55,'Prod info'!$AD$8:$AD$11),0)*Opex!I$29+IF(L$17='Prod info'!$AC55,SUMIF('Prod info'!$AC$8:$AC$11,'Prod info'!$T55,'Prod info'!$AD$8:$AD$11),0)*Opex!I$29</f>
        <v>0</v>
      </c>
      <c r="Y34" s="1746">
        <f ca="1">IF(M$17='Prod info'!$AD55,SUMIF('Prod info'!$AC$8:$AC$11,'Prod info'!$T55,'Prod info'!$AD$8:$AD$11),0)*Opex!J$29+IF(M$17='Prod info'!$AC55,SUMIF('Prod info'!$AC$8:$AC$11,'Prod info'!$T55,'Prod info'!$AD$8:$AD$11),0)*Opex!J$29</f>
        <v>14983.963615578594</v>
      </c>
    </row>
    <row r="35" spans="2:25" ht="13.5" thickBot="1">
      <c r="B35" s="2166" t="s">
        <v>103</v>
      </c>
      <c r="C35" s="2210"/>
      <c r="D35" s="2210"/>
      <c r="E35" s="2210"/>
      <c r="F35" s="2210"/>
      <c r="G35" s="2211">
        <f t="shared" ref="G35:M35" ca="1" si="18">G7+G15+G33</f>
        <v>2812308.71</v>
      </c>
      <c r="H35" s="2211">
        <f t="shared" ca="1" si="18"/>
        <v>2994500.1778759998</v>
      </c>
      <c r="I35" s="2211">
        <f t="shared" ca="1" si="18"/>
        <v>268282.82059085992</v>
      </c>
      <c r="J35" s="2211">
        <f t="shared" ca="1" si="18"/>
        <v>377007.11366216029</v>
      </c>
      <c r="K35" s="2211">
        <f t="shared" ca="1" si="18"/>
        <v>294665.2097969079</v>
      </c>
      <c r="L35" s="2211">
        <f t="shared" ca="1" si="18"/>
        <v>370568.71418354445</v>
      </c>
      <c r="M35" s="2212">
        <f t="shared" ca="1" si="18"/>
        <v>362694.44504301477</v>
      </c>
      <c r="P35" s="2201"/>
      <c r="Q35" s="2160" t="str">
        <f>IF('Prod info'!O57="New","Expansion","Replacement")</f>
        <v>Replacement</v>
      </c>
      <c r="R35" s="2797" t="str">
        <f>'Prod info'!O59</f>
        <v>А6</v>
      </c>
      <c r="S35" s="1139">
        <f>IF(G$17='Prod info'!$AD59,SUMIF('Prod info'!$AC$8:$AC$11,'Prod info'!$T59,'Prod info'!$AD$8:$AD$11),0)*Opex!D$29+IF(G$17='Prod info'!$AC59,SUMIF('Prod info'!$AC$8:$AC$11,'Prod info'!$T59,'Prod info'!$AD$8:$AD$11),0)*Opex!D$29</f>
        <v>0</v>
      </c>
      <c r="T35" s="1139">
        <f>IF(H$17='Prod info'!$AD59,SUMIF('Prod info'!$AC$8:$AC$11,'Prod info'!$T59,'Prod info'!$AD$8:$AD$11),0)*Opex!E$29+IF(H$17='Prod info'!$AC59,SUMIF('Prod info'!$AC$8:$AC$11,'Prod info'!$T59,'Prod info'!$AD$8:$AD$11),0)*Opex!E$29</f>
        <v>0</v>
      </c>
      <c r="U35" s="1139">
        <f>IF(I$17='Prod info'!$AD59,SUMIF('Prod info'!$AC$8:$AC$11,'Prod info'!$T59,'Prod info'!$AD$8:$AD$11),0)*Opex!F$29+IF(I$17='Prod info'!$AC59,SUMIF('Prod info'!$AC$8:$AC$11,'Prod info'!$T59,'Prod info'!$AD$8:$AD$11),0)*Opex!F$29</f>
        <v>0</v>
      </c>
      <c r="V35" s="1139">
        <f>IF(J$17='Prod info'!$AD59,SUMIF('Prod info'!$AC$8:$AC$11,'Prod info'!$T59,'Prod info'!$AD$8:$AD$11),0)*Opex!G$29+IF(J$17='Prod info'!$AC59,SUMIF('Prod info'!$AC$8:$AC$11,'Prod info'!$T59,'Prod info'!$AD$8:$AD$11),0)*Opex!G$29</f>
        <v>0</v>
      </c>
      <c r="W35" s="1139">
        <f>IF(K$17='Prod info'!$AD59,SUMIF('Prod info'!$AC$8:$AC$11,'Prod info'!$T59,'Prod info'!$AD$8:$AD$11),0)*Opex!H$29+IF(K$17='Prod info'!$AC59,SUMIF('Prod info'!$AC$8:$AC$11,'Prod info'!$T59,'Prod info'!$AD$8:$AD$11),0)*Opex!H$29</f>
        <v>0</v>
      </c>
      <c r="X35" s="1139">
        <f>IF(L$17='Prod info'!$AD59,SUMIF('Prod info'!$AC$8:$AC$11,'Prod info'!$T59,'Prod info'!$AD$8:$AD$11),0)*Opex!I$29+IF(L$17='Prod info'!$AC59,SUMIF('Prod info'!$AC$8:$AC$11,'Prod info'!$T59,'Prod info'!$AD$8:$AD$11),0)*Opex!I$29</f>
        <v>0</v>
      </c>
      <c r="Y35" s="1746">
        <f>IF(M$17='Prod info'!$AD59,SUMIF('Prod info'!$AC$8:$AC$11,'Prod info'!$T59,'Prod info'!$AD$8:$AD$11),0)*Opex!J$29+IF(M$17='Prod info'!$AC59,SUMIF('Prod info'!$AC$8:$AC$11,'Prod info'!$T59,'Prod info'!$AD$8:$AD$11),0)*Opex!J$29</f>
        <v>0</v>
      </c>
    </row>
    <row r="36" spans="2:25" ht="13.5" thickBot="1">
      <c r="P36" s="2201"/>
      <c r="Q36" s="2160" t="str">
        <f>IF('Prod info'!O58="New","Expansion","Replacement")</f>
        <v>Replacement</v>
      </c>
      <c r="R36" s="2797">
        <f>'Prod info'!O60</f>
        <v>20</v>
      </c>
      <c r="S36" s="1139">
        <f>IF(G$17='Prod info'!$AD60,SUMIF('Prod info'!$AC$8:$AC$11,'Prod info'!$T60,'Prod info'!$AD$8:$AD$11),0)*Opex!D$29+IF(G$17='Prod info'!$AC60,SUMIF('Prod info'!$AC$8:$AC$11,'Prod info'!$T60,'Prod info'!$AD$8:$AD$11),0)*Opex!D$29</f>
        <v>0</v>
      </c>
      <c r="T36" s="1139">
        <f>IF(H$17='Prod info'!$AD60,SUMIF('Prod info'!$AC$8:$AC$11,'Prod info'!$T60,'Prod info'!$AD$8:$AD$11),0)*Opex!E$29+IF(H$17='Prod info'!$AC60,SUMIF('Prod info'!$AC$8:$AC$11,'Prod info'!$T60,'Prod info'!$AD$8:$AD$11),0)*Opex!E$29</f>
        <v>0</v>
      </c>
      <c r="U36" s="1139">
        <f>IF(I$17='Prod info'!$AD60,SUMIF('Prod info'!$AC$8:$AC$11,'Prod info'!$T60,'Prod info'!$AD$8:$AD$11),0)*Opex!F$29+IF(I$17='Prod info'!$AC60,SUMIF('Prod info'!$AC$8:$AC$11,'Prod info'!$T60,'Prod info'!$AD$8:$AD$11),0)*Opex!F$29</f>
        <v>0</v>
      </c>
      <c r="V36" s="1139">
        <f>IF(J$17='Prod info'!$AD60,SUMIF('Prod info'!$AC$8:$AC$11,'Prod info'!$T60,'Prod info'!$AD$8:$AD$11),0)*Opex!G$29+IF(J$17='Prod info'!$AC60,SUMIF('Prod info'!$AC$8:$AC$11,'Prod info'!$T60,'Prod info'!$AD$8:$AD$11),0)*Opex!G$29</f>
        <v>0</v>
      </c>
      <c r="W36" s="1139">
        <f>IF(K$17='Prod info'!$AD60,SUMIF('Prod info'!$AC$8:$AC$11,'Prod info'!$T60,'Prod info'!$AD$8:$AD$11),0)*Opex!H$29+IF(K$17='Prod info'!$AC60,SUMIF('Prod info'!$AC$8:$AC$11,'Prod info'!$T60,'Prod info'!$AD$8:$AD$11),0)*Opex!H$29</f>
        <v>0</v>
      </c>
      <c r="X36" s="1139">
        <f>IF(L$17='Prod info'!$AD60,SUMIF('Prod info'!$AC$8:$AC$11,'Prod info'!$T60,'Prod info'!$AD$8:$AD$11),0)*Opex!I$29+IF(L$17='Prod info'!$AC60,SUMIF('Prod info'!$AC$8:$AC$11,'Prod info'!$T60,'Prod info'!$AD$8:$AD$11),0)*Opex!I$29</f>
        <v>0</v>
      </c>
      <c r="Y36" s="1746">
        <f>IF(M$17='Prod info'!$AD60,SUMIF('Prod info'!$AC$8:$AC$11,'Prod info'!$T60,'Prod info'!$AD$8:$AD$11),0)*Opex!J$29+IF(M$17='Prod info'!$AC60,SUMIF('Prod info'!$AC$8:$AC$11,'Prod info'!$T60,'Prod info'!$AD$8:$AD$11),0)*Opex!J$29</f>
        <v>0</v>
      </c>
    </row>
    <row r="37" spans="2:25" ht="13.5" thickBot="1">
      <c r="B37" s="2213" t="s">
        <v>146</v>
      </c>
      <c r="C37" s="2146" t="s">
        <v>185</v>
      </c>
      <c r="D37" s="2214" t="s">
        <v>249</v>
      </c>
      <c r="E37" s="2215" t="s">
        <v>250</v>
      </c>
      <c r="F37" s="2216"/>
      <c r="G37" s="2147">
        <f t="shared" ref="G37:M37" si="19">G17</f>
        <v>2023</v>
      </c>
      <c r="H37" s="2147">
        <f t="shared" si="19"/>
        <v>2024</v>
      </c>
      <c r="I37" s="2147">
        <f t="shared" si="19"/>
        <v>2025</v>
      </c>
      <c r="J37" s="2147">
        <f t="shared" si="19"/>
        <v>2026</v>
      </c>
      <c r="K37" s="2147">
        <f t="shared" si="19"/>
        <v>2027</v>
      </c>
      <c r="L37" s="2147">
        <f t="shared" si="19"/>
        <v>2028</v>
      </c>
      <c r="M37" s="2148">
        <f t="shared" si="19"/>
        <v>2029</v>
      </c>
      <c r="Q37" s="2160" t="str">
        <f>IF('Prod info'!O61="New","Expansion","Replacement")</f>
        <v>Replacement</v>
      </c>
      <c r="R37" s="2797" t="str">
        <f>'Prod info'!O61</f>
        <v>A1</v>
      </c>
      <c r="S37" s="1139">
        <f>IF(G$17='Prod info'!$AD61,SUMIF('Prod info'!$AC$8:$AC$11,'Prod info'!$T61,'Prod info'!$AD$8:$AD$11),0)*Opex!D$29+IF(G$17='Prod info'!$AC61,SUMIF('Prod info'!$AC$8:$AC$11,'Prod info'!$T61,'Prod info'!$AD$8:$AD$11),0)*Opex!D$29</f>
        <v>0</v>
      </c>
      <c r="T37" s="1139">
        <f>IF(H$17='Prod info'!$AD61,SUMIF('Prod info'!$AC$8:$AC$11,'Prod info'!$T61,'Prod info'!$AD$8:$AD$11),0)*Opex!E$29+IF(H$17='Prod info'!$AC61,SUMIF('Prod info'!$AC$8:$AC$11,'Prod info'!$T61,'Prod info'!$AD$8:$AD$11),0)*Opex!E$29</f>
        <v>0</v>
      </c>
      <c r="U37" s="1139">
        <f>IF(I$17='Prod info'!$AD61,SUMIF('Prod info'!$AC$8:$AC$11,'Prod info'!$T61,'Prod info'!$AD$8:$AD$11),0)*Opex!F$29+IF(I$17='Prod info'!$AC61,SUMIF('Prod info'!$AC$8:$AC$11,'Prod info'!$T61,'Prod info'!$AD$8:$AD$11),0)*Opex!F$29</f>
        <v>0</v>
      </c>
      <c r="V37" s="1139">
        <f>IF(J$17='Prod info'!$AD61,SUMIF('Prod info'!$AC$8:$AC$11,'Prod info'!$T61,'Prod info'!$AD$8:$AD$11),0)*Opex!G$29+IF(J$17='Prod info'!$AC61,SUMIF('Prod info'!$AC$8:$AC$11,'Prod info'!$T61,'Prod info'!$AD$8:$AD$11),0)*Opex!G$29</f>
        <v>0</v>
      </c>
      <c r="W37" s="1139">
        <f>IF(K$17='Prod info'!$AD61,SUMIF('Prod info'!$AC$8:$AC$11,'Prod info'!$T61,'Prod info'!$AD$8:$AD$11),0)*Opex!H$29+IF(K$17='Prod info'!$AC61,SUMIF('Prod info'!$AC$8:$AC$11,'Prod info'!$T61,'Prod info'!$AD$8:$AD$11),0)*Opex!H$29</f>
        <v>0</v>
      </c>
      <c r="X37" s="1139">
        <f>IF(L$17='Prod info'!$AD61,SUMIF('Prod info'!$AC$8:$AC$11,'Prod info'!$T61,'Prod info'!$AD$8:$AD$11),0)*Opex!I$29+IF(L$17='Prod info'!$AC61,SUMIF('Prod info'!$AC$8:$AC$11,'Prod info'!$T61,'Prod info'!$AD$8:$AD$11),0)*Opex!I$29</f>
        <v>0</v>
      </c>
      <c r="Y37" s="1746">
        <f>IF(M$17='Prod info'!$AD61,SUMIF('Prod info'!$AC$8:$AC$11,'Prod info'!$T61,'Prod info'!$AD$8:$AD$11),0)*Opex!J$29+IF(M$17='Prod info'!$AC61,SUMIF('Prod info'!$AC$8:$AC$11,'Prod info'!$T61,'Prod info'!$AD$8:$AD$11),0)*Opex!J$29</f>
        <v>0</v>
      </c>
    </row>
    <row r="38" spans="2:25">
      <c r="B38" s="2191" t="s">
        <v>263</v>
      </c>
      <c r="C38" s="215">
        <f>SUM(G38:M38)</f>
        <v>-119093.65416537601</v>
      </c>
      <c r="D38" s="2154" t="s">
        <v>541</v>
      </c>
      <c r="E38" s="2159" t="s">
        <v>114</v>
      </c>
      <c r="G38" s="2218">
        <f t="shared" ref="G38:M38" si="20">-(IF($J$48="No",0,IF($H48=$E38,IF($I48=G37,$E48,0),0))+IF($J$51="No",0,IF($H51=$E38,IF($I51=G37,$E51,0),0))+IF($J$50="No",0,IF($H50=$E38,IF($I50=G37,$E50,0),0))+IF($J$49="No",0,IF($H49=$E38,IF($I49=G37,$E49,0),0)))</f>
        <v>0</v>
      </c>
      <c r="H38" s="2218">
        <f t="shared" si="20"/>
        <v>-119093.65416537601</v>
      </c>
      <c r="I38" s="2218">
        <f t="shared" si="20"/>
        <v>0</v>
      </c>
      <c r="J38" s="2218">
        <f t="shared" si="20"/>
        <v>0</v>
      </c>
      <c r="K38" s="2218">
        <f t="shared" si="20"/>
        <v>0</v>
      </c>
      <c r="L38" s="2218">
        <f t="shared" si="20"/>
        <v>0</v>
      </c>
      <c r="M38" s="2219">
        <f t="shared" si="20"/>
        <v>0</v>
      </c>
      <c r="P38" s="2201"/>
      <c r="Q38" s="2160" t="str">
        <f>IF('Prod info'!O62="New","Expansion","Replacement")</f>
        <v>Replacement</v>
      </c>
      <c r="R38" s="2797" t="str">
        <f>'Prod info'!O62</f>
        <v>A2</v>
      </c>
      <c r="S38" s="1139">
        <f>IF(G$17='Prod info'!$AD62,SUMIF('Prod info'!$AC$8:$AC$11,'Prod info'!$T62,'Prod info'!$AD$8:$AD$11),0)*Opex!D$29+IF(G$17='Prod info'!$AC62,SUMIF('Prod info'!$AC$8:$AC$11,'Prod info'!$T62,'Prod info'!$AD$8:$AD$11),0)*Opex!D$29</f>
        <v>0</v>
      </c>
      <c r="T38" s="1139">
        <f>IF(H$17='Prod info'!$AD62,SUMIF('Prod info'!$AC$8:$AC$11,'Prod info'!$T62,'Prod info'!$AD$8:$AD$11),0)*Opex!E$29+IF(H$17='Prod info'!$AC62,SUMIF('Prod info'!$AC$8:$AC$11,'Prod info'!$T62,'Prod info'!$AD$8:$AD$11),0)*Opex!E$29</f>
        <v>0</v>
      </c>
      <c r="U38" s="1139">
        <f>IF(I$17='Prod info'!$AD62,SUMIF('Prod info'!$AC$8:$AC$11,'Prod info'!$T62,'Prod info'!$AD$8:$AD$11),0)*Opex!F$29+IF(I$17='Prod info'!$AC62,SUMIF('Prod info'!$AC$8:$AC$11,'Prod info'!$T62,'Prod info'!$AD$8:$AD$11),0)*Opex!F$29</f>
        <v>0</v>
      </c>
      <c r="V38" s="1139">
        <f>IF(J$17='Prod info'!$AD62,SUMIF('Prod info'!$AC$8:$AC$11,'Prod info'!$T62,'Prod info'!$AD$8:$AD$11),0)*Opex!G$29+IF(J$17='Prod info'!$AC62,SUMIF('Prod info'!$AC$8:$AC$11,'Prod info'!$T62,'Prod info'!$AD$8:$AD$11),0)*Opex!G$29</f>
        <v>0</v>
      </c>
      <c r="W38" s="1139">
        <f>IF(K$17='Prod info'!$AD62,SUMIF('Prod info'!$AC$8:$AC$11,'Prod info'!$T62,'Prod info'!$AD$8:$AD$11),0)*Opex!H$29+IF(K$17='Prod info'!$AC62,SUMIF('Prod info'!$AC$8:$AC$11,'Prod info'!$T62,'Prod info'!$AD$8:$AD$11),0)*Opex!H$29</f>
        <v>0</v>
      </c>
      <c r="X38" s="1139">
        <f>IF(L$17='Prod info'!$AD62,SUMIF('Prod info'!$AC$8:$AC$11,'Prod info'!$T62,'Prod info'!$AD$8:$AD$11),0)*Opex!I$29+IF(L$17='Prod info'!$AC62,SUMIF('Prod info'!$AC$8:$AC$11,'Prod info'!$T62,'Prod info'!$AD$8:$AD$11),0)*Opex!I$29</f>
        <v>0</v>
      </c>
      <c r="Y38" s="1746">
        <f>IF(M$17='Prod info'!$AD62,SUMIF('Prod info'!$AC$8:$AC$11,'Prod info'!$T62,'Prod info'!$AD$8:$AD$11),0)*Opex!J$29+IF(M$17='Prod info'!$AC62,SUMIF('Prod info'!$AC$8:$AC$11,'Prod info'!$T62,'Prod info'!$AD$8:$AD$11),0)*Opex!J$29</f>
        <v>0</v>
      </c>
    </row>
    <row r="39" spans="2:25">
      <c r="B39" s="2191" t="str">
        <f>B38</f>
        <v>Subsidy investments</v>
      </c>
      <c r="C39" s="215">
        <f>SUM(G39:M39)</f>
        <v>-1405000</v>
      </c>
      <c r="D39" s="2154" t="s">
        <v>541</v>
      </c>
      <c r="E39" s="2159" t="str">
        <f>E25</f>
        <v>Buildings</v>
      </c>
      <c r="G39" s="2218">
        <f t="shared" ref="G39:M39" si="21">-(IF($J$48="No",0,IF($H48=$E39,IF($I48=G37,$E48,0),0))+IF($J$51="No",0,IF($H51=$E39,IF($I51=G37,$E51,0),0))+IF($J$50="No",0,IF($H50=$E39,IF($I50=G37,$E50,0),0))+IF($J$49="No",0,IF($H49=$E39,IF($I49=G37,$E49,0),0)))</f>
        <v>0</v>
      </c>
      <c r="H39" s="2218">
        <f t="shared" si="21"/>
        <v>-1405000</v>
      </c>
      <c r="I39" s="2218">
        <f t="shared" si="21"/>
        <v>0</v>
      </c>
      <c r="J39" s="2218">
        <f t="shared" si="21"/>
        <v>0</v>
      </c>
      <c r="K39" s="2218">
        <f t="shared" si="21"/>
        <v>0</v>
      </c>
      <c r="L39" s="2218">
        <f t="shared" si="21"/>
        <v>0</v>
      </c>
      <c r="M39" s="2219">
        <f t="shared" si="21"/>
        <v>0</v>
      </c>
      <c r="P39" s="2217"/>
      <c r="Q39" s="2160" t="str">
        <f>IF('Prod info'!O63="New","Expansion","Replacement")</f>
        <v>Replacement</v>
      </c>
      <c r="R39" s="2797" t="str">
        <f>'Prod info'!O63</f>
        <v>А3</v>
      </c>
      <c r="S39" s="2000">
        <f>IF(G$17='Prod info'!$AD63,SUMIF('Prod info'!$AC$8:$AC$11,'Prod info'!$T63,'Prod info'!$AD$8:$AD$11),0)*Opex!D$29+IF(G$17='Prod info'!$AC63,SUMIF('Prod info'!$AC$8:$AC$11,'Prod info'!$T63,'Prod info'!$AD$8:$AD$11),0)*Opex!D$29</f>
        <v>0</v>
      </c>
      <c r="T39" s="2000">
        <f>IF(H$17='Prod info'!$AD63,SUMIF('Prod info'!$AC$8:$AC$11,'Prod info'!$T63,'Prod info'!$AD$8:$AD$11),0)*Opex!E$29+IF(H$17='Prod info'!$AC63,SUMIF('Prod info'!$AC$8:$AC$11,'Prod info'!$T63,'Prod info'!$AD$8:$AD$11),0)*Opex!E$29</f>
        <v>0</v>
      </c>
      <c r="U39" s="2000">
        <f>IF(I$17='Prod info'!$AD63,SUMIF('Prod info'!$AC$8:$AC$11,'Prod info'!$T63,'Prod info'!$AD$8:$AD$11),0)*Opex!F$29+IF(I$17='Prod info'!$AC63,SUMIF('Prod info'!$AC$8:$AC$11,'Prod info'!$T63,'Prod info'!$AD$8:$AD$11),0)*Opex!F$29</f>
        <v>0</v>
      </c>
      <c r="V39" s="2000">
        <f>IF(J$17='Prod info'!$AD63,SUMIF('Prod info'!$AC$8:$AC$11,'Prod info'!$T63,'Prod info'!$AD$8:$AD$11),0)*Opex!G$29+IF(J$17='Prod info'!$AC63,SUMIF('Prod info'!$AC$8:$AC$11,'Prod info'!$T63,'Prod info'!$AD$8:$AD$11),0)*Opex!G$29</f>
        <v>0</v>
      </c>
      <c r="W39" s="2000">
        <f>IF(K$17='Prod info'!$AD63,SUMIF('Prod info'!$AC$8:$AC$11,'Prod info'!$T63,'Prod info'!$AD$8:$AD$11),0)*Opex!H$29+IF(K$17='Prod info'!$AC63,SUMIF('Prod info'!$AC$8:$AC$11,'Prod info'!$T63,'Prod info'!$AD$8:$AD$11),0)*Opex!H$29</f>
        <v>0</v>
      </c>
      <c r="X39" s="2000">
        <f>IF(L$17='Prod info'!$AD63,SUMIF('Prod info'!$AC$8:$AC$11,'Prod info'!$T63,'Prod info'!$AD$8:$AD$11),0)*Opex!I$29+IF(L$17='Prod info'!$AC63,SUMIF('Prod info'!$AC$8:$AC$11,'Prod info'!$T63,'Prod info'!$AD$8:$AD$11),0)*Opex!I$29</f>
        <v>0</v>
      </c>
      <c r="Y39" s="2194">
        <f>IF(M$17='Prod info'!$AD63,SUMIF('Prod info'!$AC$8:$AC$11,'Prod info'!$T63,'Prod info'!$AD$8:$AD$11),0)*Opex!J$29+IF(M$17='Prod info'!$AC63,SUMIF('Prod info'!$AC$8:$AC$11,'Prod info'!$T63,'Prod info'!$AD$8:$AD$11),0)*Opex!J$29</f>
        <v>0</v>
      </c>
    </row>
    <row r="40" spans="2:25" ht="13.5" thickBot="1">
      <c r="B40" s="2191" t="str">
        <f>B39</f>
        <v>Subsidy investments</v>
      </c>
      <c r="C40" s="215"/>
      <c r="D40" s="2154" t="s">
        <v>541</v>
      </c>
      <c r="E40" s="2159" t="s">
        <v>264</v>
      </c>
      <c r="G40" s="2220">
        <f t="shared" ref="G40:M40" si="22">-S49</f>
        <v>0</v>
      </c>
      <c r="H40" s="2220">
        <f ca="1">-T49</f>
        <v>-65700.088937999986</v>
      </c>
      <c r="I40" s="2220">
        <f t="shared" ca="1" si="22"/>
        <v>-96000.941901329978</v>
      </c>
      <c r="J40" s="2220">
        <f t="shared" ca="1" si="22"/>
        <v>-113817.05849788016</v>
      </c>
      <c r="K40" s="2220">
        <f t="shared" ca="1" si="22"/>
        <v>-116191.33407055397</v>
      </c>
      <c r="L40" s="2220">
        <f t="shared" ca="1" si="22"/>
        <v>-118515.16075196506</v>
      </c>
      <c r="M40" s="2221">
        <f t="shared" ca="1" si="22"/>
        <v>-120885.46396700434</v>
      </c>
      <c r="Q40" s="2195"/>
      <c r="R40" s="2180"/>
      <c r="S40" s="2227">
        <f t="shared" ref="S40:Y40" ca="1" si="23">SUM(S21:S39)</f>
        <v>0</v>
      </c>
      <c r="T40" s="2227">
        <f t="shared" ca="1" si="23"/>
        <v>0</v>
      </c>
      <c r="U40" s="2227">
        <f t="shared" ca="1" si="23"/>
        <v>13842.866249999997</v>
      </c>
      <c r="V40" s="2227">
        <f t="shared" ca="1" si="23"/>
        <v>86977.497221999976</v>
      </c>
      <c r="W40" s="2227">
        <f t="shared" ca="1" si="23"/>
        <v>14402.118046499996</v>
      </c>
      <c r="X40" s="2227">
        <f t="shared" ca="1" si="23"/>
        <v>50651.673084818627</v>
      </c>
      <c r="Y40" s="2228">
        <f t="shared" ca="1" si="23"/>
        <v>36680.742930936394</v>
      </c>
    </row>
    <row r="41" spans="2:25" ht="13.5" thickBot="1">
      <c r="B41" s="2222" t="s">
        <v>190</v>
      </c>
      <c r="C41" s="2223"/>
      <c r="D41" s="2223"/>
      <c r="E41" s="2223"/>
      <c r="F41" s="2224"/>
      <c r="G41" s="2224">
        <f t="shared" ref="G41:M41" si="24">SUM(G38:G40)</f>
        <v>0</v>
      </c>
      <c r="H41" s="2224">
        <f t="shared" ca="1" si="24"/>
        <v>-1589793.7431033759</v>
      </c>
      <c r="I41" s="2224">
        <f t="shared" ca="1" si="24"/>
        <v>-96000.941901329978</v>
      </c>
      <c r="J41" s="2224">
        <f t="shared" ca="1" si="24"/>
        <v>-113817.05849788016</v>
      </c>
      <c r="K41" s="2224">
        <f t="shared" ca="1" si="24"/>
        <v>-116191.33407055397</v>
      </c>
      <c r="L41" s="2224">
        <f t="shared" ca="1" si="24"/>
        <v>-118515.16075196506</v>
      </c>
      <c r="M41" s="2225">
        <f t="shared" ca="1" si="24"/>
        <v>-120885.46396700434</v>
      </c>
      <c r="Q41" s="2160"/>
      <c r="Y41" s="2161"/>
    </row>
    <row r="42" spans="2:25" ht="13.5" thickBot="1">
      <c r="N42" s="2226"/>
      <c r="Q42" s="2187"/>
      <c r="R42" s="2152"/>
      <c r="S42" s="2152"/>
      <c r="T42" s="2152"/>
      <c r="U42" s="2152"/>
      <c r="V42" s="2152"/>
      <c r="W42" s="2152"/>
      <c r="X42" s="2152"/>
      <c r="Y42" s="2153"/>
    </row>
    <row r="43" spans="2:25" ht="13.5" thickBot="1">
      <c r="B43" s="2166" t="s">
        <v>265</v>
      </c>
      <c r="C43" s="2210"/>
      <c r="D43" s="2210"/>
      <c r="E43" s="2210"/>
      <c r="F43" s="2210"/>
      <c r="G43" s="2211">
        <f t="shared" ref="G43:M43" ca="1" si="25">-G32-G6</f>
        <v>-20</v>
      </c>
      <c r="H43" s="2211">
        <f t="shared" ca="1" si="25"/>
        <v>-406100</v>
      </c>
      <c r="I43" s="2211">
        <f t="shared" ca="1" si="25"/>
        <v>-3963.4894646999992</v>
      </c>
      <c r="J43" s="2211">
        <f t="shared" ca="1" si="25"/>
        <v>-17395.499444399997</v>
      </c>
      <c r="K43" s="2211">
        <f t="shared" ca="1" si="25"/>
        <v>-2880.4236092999995</v>
      </c>
      <c r="L43" s="2211">
        <f t="shared" ca="1" si="25"/>
        <v>-16006.398779935724</v>
      </c>
      <c r="M43" s="2212">
        <f t="shared" ca="1" si="25"/>
        <v>-13903.919518167688</v>
      </c>
      <c r="Q43" s="2166" t="s">
        <v>264</v>
      </c>
      <c r="R43" s="2231"/>
      <c r="S43" s="2168">
        <f t="shared" ref="S43:Y43" si="26">S20</f>
        <v>2023</v>
      </c>
      <c r="T43" s="2169">
        <f t="shared" si="26"/>
        <v>2024</v>
      </c>
      <c r="U43" s="2169">
        <f t="shared" si="26"/>
        <v>2025</v>
      </c>
      <c r="V43" s="2169">
        <f t="shared" si="26"/>
        <v>2026</v>
      </c>
      <c r="W43" s="2169">
        <f t="shared" si="26"/>
        <v>2027</v>
      </c>
      <c r="X43" s="2169">
        <f t="shared" si="26"/>
        <v>2028</v>
      </c>
      <c r="Y43" s="2167">
        <f t="shared" si="26"/>
        <v>2029</v>
      </c>
    </row>
    <row r="44" spans="2:25" ht="13.5" thickBot="1">
      <c r="Q44" s="2160"/>
      <c r="Y44" s="2161"/>
    </row>
    <row r="45" spans="2:25" ht="13.5" thickBot="1">
      <c r="B45" s="2166" t="s">
        <v>276</v>
      </c>
      <c r="C45" s="2210"/>
      <c r="D45" s="2210"/>
      <c r="E45" s="2210"/>
      <c r="F45" s="2210"/>
      <c r="G45" s="2229">
        <f ca="1">G35+G41+G43</f>
        <v>2812288.71</v>
      </c>
      <c r="H45" s="2229">
        <f t="shared" ref="H45:M45" ca="1" si="27">H35+H41+H43</f>
        <v>998606.43477262394</v>
      </c>
      <c r="I45" s="2229">
        <f t="shared" ca="1" si="27"/>
        <v>168318.38922482997</v>
      </c>
      <c r="J45" s="2229">
        <f t="shared" ca="1" si="27"/>
        <v>245794.55571988013</v>
      </c>
      <c r="K45" s="2229">
        <f t="shared" ca="1" si="27"/>
        <v>175593.45211705394</v>
      </c>
      <c r="L45" s="2229">
        <f t="shared" ca="1" si="27"/>
        <v>236047.15465164365</v>
      </c>
      <c r="M45" s="2230">
        <f t="shared" ca="1" si="27"/>
        <v>227905.06155784277</v>
      </c>
      <c r="N45" s="2159"/>
      <c r="O45" s="2159"/>
      <c r="Q45" s="2160" t="s">
        <v>656</v>
      </c>
      <c r="S45" s="1139">
        <f>'Inv. start wine'!L216</f>
        <v>161</v>
      </c>
      <c r="T45" s="1139">
        <f ca="1">'Prod info'!Q119+'Prod info'!Q172+'Prod info'!Q227</f>
        <v>158.20444444444445</v>
      </c>
      <c r="U45" s="1139">
        <f ca="1">'Prod info'!R119+'Prod info'!R172+'Prod info'!R227</f>
        <v>226.63555555555556</v>
      </c>
      <c r="V45" s="1139">
        <f ca="1">'Prod info'!S119+'Prod info'!S172+'Prod info'!S227</f>
        <v>263.42666666666668</v>
      </c>
      <c r="W45" s="1139">
        <f ca="1">'Prod info'!T119+'Prod info'!T172+'Prod info'!T227</f>
        <v>263.64888888888891</v>
      </c>
      <c r="X45" s="1139">
        <f ca="1">'Prod info'!U119+'Prod info'!U172+'Prod info'!U227</f>
        <v>263.64888888888891</v>
      </c>
      <c r="Y45" s="1746">
        <f ca="1">'Prod info'!V119+'Prod info'!V172+'Prod info'!V227</f>
        <v>263.64888888888891</v>
      </c>
    </row>
    <row r="46" spans="2:25" ht="13.5" thickBot="1">
      <c r="G46" s="2226"/>
      <c r="N46" s="2159"/>
      <c r="O46" s="2159"/>
      <c r="Q46" s="2160" t="s">
        <v>657</v>
      </c>
      <c r="R46" s="696">
        <v>765</v>
      </c>
      <c r="S46" s="2000">
        <f>R46</f>
        <v>765</v>
      </c>
      <c r="T46" s="2000">
        <f>$R$46*Opex!E$29</f>
        <v>830.57197499999984</v>
      </c>
      <c r="U46" s="2000">
        <f>$R$46*Opex!F$29</f>
        <v>847.1834144999998</v>
      </c>
      <c r="V46" s="2000">
        <f>$R$46*Opex!G$29</f>
        <v>864.12708278999969</v>
      </c>
      <c r="W46" s="2000">
        <f>$R$46*Opex!H$29</f>
        <v>881.40962444579975</v>
      </c>
      <c r="X46" s="2000">
        <f>$R$46*Opex!I$29</f>
        <v>899.03781693471569</v>
      </c>
      <c r="Y46" s="2194">
        <f>$R$46*Opex!J$29</f>
        <v>917.01857327340997</v>
      </c>
    </row>
    <row r="47" spans="2:25" ht="13.5" thickBot="1">
      <c r="B47" s="2144" t="s">
        <v>117</v>
      </c>
      <c r="C47" s="2232" t="s">
        <v>185</v>
      </c>
      <c r="D47" s="2184" t="s">
        <v>117</v>
      </c>
      <c r="E47" s="2184" t="s">
        <v>117</v>
      </c>
      <c r="F47" s="2145" t="s">
        <v>274</v>
      </c>
      <c r="G47" s="2184" t="s">
        <v>249</v>
      </c>
      <c r="H47" s="2184" t="s">
        <v>250</v>
      </c>
      <c r="I47" s="2184" t="s">
        <v>251</v>
      </c>
      <c r="J47" s="2185" t="s">
        <v>266</v>
      </c>
      <c r="N47" s="2159"/>
      <c r="O47" s="2159"/>
      <c r="Q47" s="2242" t="s">
        <v>658</v>
      </c>
      <c r="R47" s="2159"/>
      <c r="S47" s="2026">
        <f>S46*S45</f>
        <v>123165</v>
      </c>
      <c r="T47" s="2026">
        <f t="shared" ref="T47:Y47" ca="1" si="28">T46*T45</f>
        <v>131400.17787599997</v>
      </c>
      <c r="U47" s="2026">
        <f t="shared" ca="1" si="28"/>
        <v>192001.88380265996</v>
      </c>
      <c r="V47" s="2026">
        <f t="shared" ca="1" si="28"/>
        <v>227634.11699576033</v>
      </c>
      <c r="W47" s="2026">
        <f t="shared" ca="1" si="28"/>
        <v>232382.66814110795</v>
      </c>
      <c r="X47" s="2026">
        <f t="shared" ca="1" si="28"/>
        <v>237030.32150393011</v>
      </c>
      <c r="Y47" s="2027">
        <f t="shared" ca="1" si="28"/>
        <v>241770.92793400868</v>
      </c>
    </row>
    <row r="48" spans="2:25">
      <c r="B48" s="2131" t="s">
        <v>267</v>
      </c>
      <c r="C48" s="906">
        <f>171051.48*O3</f>
        <v>87572.884112640008</v>
      </c>
      <c r="D48" s="2233">
        <v>0.9</v>
      </c>
      <c r="E48" s="2234">
        <f>C48*D48</f>
        <v>78815.595701376005</v>
      </c>
      <c r="F48" s="2235">
        <f>C48-E48</f>
        <v>8757.2884112640022</v>
      </c>
      <c r="G48" s="2188" t="s">
        <v>541</v>
      </c>
      <c r="H48" s="1726" t="s">
        <v>114</v>
      </c>
      <c r="I48" s="2236">
        <f>F22</f>
        <v>2024</v>
      </c>
      <c r="J48" s="2237" t="s">
        <v>104</v>
      </c>
      <c r="N48" s="2159"/>
      <c r="O48" s="2159"/>
      <c r="Q48" s="2191"/>
      <c r="R48" s="2159"/>
      <c r="Y48" s="2161"/>
    </row>
    <row r="49" spans="1:25">
      <c r="B49" s="1612" t="s">
        <v>268</v>
      </c>
      <c r="C49" s="214">
        <f>157346*O3</f>
        <v>80556.116928000003</v>
      </c>
      <c r="D49" s="2238">
        <v>0.5</v>
      </c>
      <c r="E49" s="2239">
        <f>C49*D49</f>
        <v>40278.058464000002</v>
      </c>
      <c r="F49" s="2218">
        <f>C49-E49</f>
        <v>40278.058464000002</v>
      </c>
      <c r="G49" s="2154" t="s">
        <v>541</v>
      </c>
      <c r="H49" s="1287" t="s">
        <v>114</v>
      </c>
      <c r="I49" s="2198">
        <f>F23</f>
        <v>2024</v>
      </c>
      <c r="J49" s="2240" t="s">
        <v>104</v>
      </c>
      <c r="Q49" s="2191" t="s">
        <v>117</v>
      </c>
      <c r="R49" s="2251">
        <v>0.5</v>
      </c>
      <c r="S49" s="2226"/>
      <c r="T49" s="2226">
        <f t="shared" ref="T49:Y49" ca="1" si="29">T47*$R$49</f>
        <v>65700.088937999986</v>
      </c>
      <c r="U49" s="2226">
        <f t="shared" ca="1" si="29"/>
        <v>96000.941901329978</v>
      </c>
      <c r="V49" s="2226">
        <f t="shared" ca="1" si="29"/>
        <v>113817.05849788016</v>
      </c>
      <c r="W49" s="2226">
        <f t="shared" ca="1" si="29"/>
        <v>116191.33407055397</v>
      </c>
      <c r="X49" s="2226">
        <f t="shared" ca="1" si="29"/>
        <v>118515.16075196506</v>
      </c>
      <c r="Y49" s="2252">
        <f t="shared" ca="1" si="29"/>
        <v>120885.46396700434</v>
      </c>
    </row>
    <row r="50" spans="1:25">
      <c r="B50" s="2241" t="s">
        <v>269</v>
      </c>
      <c r="C50" s="214">
        <v>900000</v>
      </c>
      <c r="D50" s="2238">
        <v>0.9</v>
      </c>
      <c r="E50" s="2239">
        <f>C50*D50</f>
        <v>810000</v>
      </c>
      <c r="F50" s="2218">
        <f>C50-E50</f>
        <v>90000</v>
      </c>
      <c r="G50" s="2154" t="s">
        <v>541</v>
      </c>
      <c r="H50" s="1287" t="s">
        <v>96</v>
      </c>
      <c r="I50" s="2198">
        <f>F24</f>
        <v>2024</v>
      </c>
      <c r="J50" s="2240" t="s">
        <v>104</v>
      </c>
      <c r="P50" s="2159"/>
      <c r="Q50" s="2191"/>
      <c r="R50" s="2159"/>
      <c r="Y50" s="2161"/>
    </row>
    <row r="51" spans="1:25" ht="13.5" thickBot="1">
      <c r="B51" s="1612" t="s">
        <v>270</v>
      </c>
      <c r="C51" s="214">
        <v>850000</v>
      </c>
      <c r="D51" s="2238">
        <v>0.7</v>
      </c>
      <c r="E51" s="2239">
        <f>C51*D51</f>
        <v>595000</v>
      </c>
      <c r="F51" s="2218">
        <f>C51-E51</f>
        <v>255000</v>
      </c>
      <c r="G51" s="2154" t="s">
        <v>541</v>
      </c>
      <c r="H51" s="1287" t="s">
        <v>96</v>
      </c>
      <c r="I51" s="2198">
        <f>F25</f>
        <v>2024</v>
      </c>
      <c r="J51" s="2240" t="s">
        <v>104</v>
      </c>
      <c r="P51" s="2159"/>
      <c r="Q51" s="2254" t="s">
        <v>659</v>
      </c>
      <c r="R51" s="2180"/>
      <c r="S51" s="2227">
        <f>S47-S49</f>
        <v>123165</v>
      </c>
      <c r="T51" s="2227">
        <f t="shared" ref="T51:Y51" ca="1" si="30">T47-T49</f>
        <v>65700.088937999986</v>
      </c>
      <c r="U51" s="2227">
        <f t="shared" ca="1" si="30"/>
        <v>96000.941901329978</v>
      </c>
      <c r="V51" s="2227">
        <f t="shared" ca="1" si="30"/>
        <v>113817.05849788016</v>
      </c>
      <c r="W51" s="2227">
        <f t="shared" ca="1" si="30"/>
        <v>116191.33407055397</v>
      </c>
      <c r="X51" s="2227">
        <f t="shared" ca="1" si="30"/>
        <v>118515.16075196506</v>
      </c>
      <c r="Y51" s="2228">
        <f t="shared" ca="1" si="30"/>
        <v>120885.46396700434</v>
      </c>
    </row>
    <row r="52" spans="1:25" ht="13.5" thickBot="1">
      <c r="B52" s="2243" t="s">
        <v>264</v>
      </c>
      <c r="C52" s="2244">
        <f>S47</f>
        <v>123165</v>
      </c>
      <c r="D52" s="2245"/>
      <c r="E52" s="2246">
        <f>C52*D52</f>
        <v>0</v>
      </c>
      <c r="F52" s="2247">
        <f>C52-E52</f>
        <v>123165</v>
      </c>
      <c r="G52" s="2248" t="s">
        <v>252</v>
      </c>
      <c r="H52" s="2248" t="s">
        <v>108</v>
      </c>
      <c r="I52" s="2249"/>
      <c r="J52" s="2250" t="s">
        <v>104</v>
      </c>
      <c r="P52" s="2159"/>
    </row>
    <row r="53" spans="1:25" ht="13.5" thickBot="1">
      <c r="B53" s="2253" t="s">
        <v>118</v>
      </c>
      <c r="C53" s="2178">
        <f>SUM(C48:C52)</f>
        <v>2041294.0010406401</v>
      </c>
      <c r="D53" s="2181"/>
      <c r="E53" s="2181">
        <f>SUM(E48:E52)</f>
        <v>1524093.654165376</v>
      </c>
      <c r="F53" s="2181">
        <f>SUM(F48:F52)</f>
        <v>517200.34687526402</v>
      </c>
      <c r="G53" s="2181"/>
      <c r="H53" s="2181"/>
      <c r="I53" s="2181"/>
      <c r="J53" s="2182"/>
      <c r="P53" s="2159"/>
    </row>
    <row r="55" spans="1:25" ht="13.5" thickBot="1"/>
    <row r="56" spans="1:25" ht="13.5" thickBot="1">
      <c r="A56" s="2239"/>
      <c r="B56" s="2255" t="s">
        <v>271</v>
      </c>
      <c r="C56" s="2256" t="s">
        <v>275</v>
      </c>
      <c r="D56" s="2257"/>
      <c r="E56" s="2257"/>
      <c r="F56" s="2257"/>
      <c r="G56" s="2258">
        <f t="shared" ref="G56:M56" si="31">G2</f>
        <v>2023</v>
      </c>
      <c r="H56" s="2258">
        <f t="shared" si="31"/>
        <v>2024</v>
      </c>
      <c r="I56" s="2258">
        <f t="shared" si="31"/>
        <v>2025</v>
      </c>
      <c r="J56" s="2258">
        <f t="shared" si="31"/>
        <v>2026</v>
      </c>
      <c r="K56" s="2258">
        <f t="shared" si="31"/>
        <v>2027</v>
      </c>
      <c r="L56" s="2258">
        <f t="shared" si="31"/>
        <v>2028</v>
      </c>
      <c r="M56" s="2259">
        <f t="shared" si="31"/>
        <v>2029</v>
      </c>
    </row>
    <row r="57" spans="1:25" ht="13.5" thickBot="1">
      <c r="B57" s="2260" t="s">
        <v>262</v>
      </c>
      <c r="C57" s="905"/>
      <c r="D57" s="2261"/>
      <c r="E57" s="2261"/>
      <c r="F57" s="2261"/>
      <c r="G57" s="2262">
        <v>0</v>
      </c>
      <c r="H57" s="2262">
        <v>0.27500000000000002</v>
      </c>
      <c r="I57" s="2262">
        <v>0.17499999999999999</v>
      </c>
      <c r="J57" s="2262">
        <v>0.15</v>
      </c>
      <c r="K57" s="2262">
        <v>0.15</v>
      </c>
      <c r="L57" s="2262">
        <v>0.125</v>
      </c>
      <c r="M57" s="2263">
        <v>0.125</v>
      </c>
      <c r="Q57" s="2270"/>
      <c r="S57" s="2270"/>
    </row>
    <row r="58" spans="1:25" ht="13.5" thickBot="1">
      <c r="B58" s="2264" t="s">
        <v>26</v>
      </c>
      <c r="C58" s="2265"/>
      <c r="D58" s="2266"/>
      <c r="E58" s="2266"/>
      <c r="F58" s="2266"/>
      <c r="G58" s="2267">
        <f>G57</f>
        <v>0</v>
      </c>
      <c r="H58" s="2267">
        <f t="shared" ref="H58:M58" si="32">H57+G58</f>
        <v>0.27500000000000002</v>
      </c>
      <c r="I58" s="2267">
        <f t="shared" si="32"/>
        <v>0.45</v>
      </c>
      <c r="J58" s="2267">
        <f t="shared" si="32"/>
        <v>0.6</v>
      </c>
      <c r="K58" s="2267">
        <f t="shared" si="32"/>
        <v>0.75</v>
      </c>
      <c r="L58" s="2267">
        <f t="shared" si="32"/>
        <v>0.875</v>
      </c>
      <c r="M58" s="2268">
        <f t="shared" si="32"/>
        <v>1</v>
      </c>
    </row>
    <row r="59" spans="1:25" ht="13.5" thickBot="1">
      <c r="Q59" s="2226"/>
      <c r="S59" s="2226"/>
    </row>
    <row r="60" spans="1:25" ht="13.5" thickBot="1">
      <c r="B60" s="2269" t="s">
        <v>115</v>
      </c>
      <c r="C60" s="2214"/>
      <c r="D60" s="2214"/>
      <c r="E60" s="2214"/>
      <c r="F60" s="2214"/>
      <c r="G60" s="2147">
        <f t="shared" ref="G60:M60" si="33">G56</f>
        <v>2023</v>
      </c>
      <c r="H60" s="2147">
        <f t="shared" si="33"/>
        <v>2024</v>
      </c>
      <c r="I60" s="2147">
        <f t="shared" si="33"/>
        <v>2025</v>
      </c>
      <c r="J60" s="2147">
        <f t="shared" si="33"/>
        <v>2026</v>
      </c>
      <c r="K60" s="2147">
        <f t="shared" si="33"/>
        <v>2027</v>
      </c>
      <c r="L60" s="2147">
        <f t="shared" si="33"/>
        <v>2028</v>
      </c>
      <c r="M60" s="2148">
        <f t="shared" si="33"/>
        <v>2029</v>
      </c>
    </row>
    <row r="61" spans="1:25">
      <c r="B61" s="2191"/>
      <c r="C61" s="2159"/>
      <c r="D61" s="2159"/>
      <c r="E61" s="2159"/>
      <c r="F61" s="2159"/>
      <c r="G61" s="214"/>
      <c r="H61" s="214"/>
      <c r="I61" s="214"/>
      <c r="J61" s="214"/>
      <c r="K61" s="214"/>
      <c r="L61" s="214"/>
      <c r="M61" s="2271"/>
      <c r="Q61" s="2226"/>
    </row>
    <row r="62" spans="1:25">
      <c r="B62" s="2191"/>
      <c r="C62" s="2159"/>
      <c r="D62" s="2159"/>
      <c r="E62" s="2159"/>
      <c r="F62" s="2159"/>
      <c r="G62" s="214"/>
      <c r="H62" s="214"/>
      <c r="I62" s="214"/>
      <c r="J62" s="214"/>
      <c r="K62" s="214"/>
      <c r="L62" s="214"/>
      <c r="M62" s="2271"/>
      <c r="R62" s="2274"/>
    </row>
    <row r="63" spans="1:25" ht="13.5" thickBot="1">
      <c r="B63" s="2272" t="s">
        <v>116</v>
      </c>
      <c r="C63" s="2223"/>
      <c r="D63" s="2223"/>
      <c r="E63" s="2223"/>
      <c r="F63" s="2223"/>
      <c r="G63" s="2223"/>
      <c r="H63" s="208">
        <f t="shared" ref="H63:M63" si="34">SUM(H61:H62)</f>
        <v>0</v>
      </c>
      <c r="I63" s="208">
        <f t="shared" si="34"/>
        <v>0</v>
      </c>
      <c r="J63" s="208">
        <f t="shared" si="34"/>
        <v>0</v>
      </c>
      <c r="K63" s="208">
        <f t="shared" si="34"/>
        <v>0</v>
      </c>
      <c r="L63" s="208">
        <f t="shared" si="34"/>
        <v>0</v>
      </c>
      <c r="M63" s="209">
        <f t="shared" si="34"/>
        <v>0</v>
      </c>
    </row>
    <row r="64" spans="1:25" ht="13.5" thickBot="1">
      <c r="C64" s="2152"/>
      <c r="D64" s="2152"/>
      <c r="E64" s="2152"/>
      <c r="F64" s="2152"/>
    </row>
    <row r="65" spans="2:19" ht="13.5" thickBot="1">
      <c r="B65" s="2144" t="s">
        <v>103</v>
      </c>
      <c r="C65" s="2273" t="s">
        <v>26</v>
      </c>
      <c r="D65" s="2147">
        <f>G56</f>
        <v>2023</v>
      </c>
      <c r="E65" s="2147">
        <f t="shared" ref="E65:J65" si="35">D65+1</f>
        <v>2024</v>
      </c>
      <c r="F65" s="2147">
        <f t="shared" si="35"/>
        <v>2025</v>
      </c>
      <c r="G65" s="2147">
        <f t="shared" si="35"/>
        <v>2026</v>
      </c>
      <c r="H65" s="2147">
        <f t="shared" si="35"/>
        <v>2027</v>
      </c>
      <c r="I65" s="2147">
        <f t="shared" si="35"/>
        <v>2028</v>
      </c>
      <c r="J65" s="2148">
        <f t="shared" si="35"/>
        <v>2029</v>
      </c>
    </row>
    <row r="66" spans="2:19">
      <c r="B66" s="2275" t="str">
        <f>B7</f>
        <v>Total Startup Investments</v>
      </c>
      <c r="C66" s="2276">
        <f t="shared" ref="C66:C75" si="36">SUM(D66:J66)</f>
        <v>1818793.71</v>
      </c>
      <c r="D66" s="2156">
        <f t="shared" ref="D66:J66" si="37">G7</f>
        <v>1818793.71</v>
      </c>
      <c r="E66" s="2277">
        <f t="shared" si="37"/>
        <v>0</v>
      </c>
      <c r="F66" s="2277">
        <f t="shared" si="37"/>
        <v>0</v>
      </c>
      <c r="G66" s="2277">
        <f t="shared" si="37"/>
        <v>0</v>
      </c>
      <c r="H66" s="2277">
        <f t="shared" si="37"/>
        <v>0</v>
      </c>
      <c r="I66" s="2277">
        <f t="shared" si="37"/>
        <v>0</v>
      </c>
      <c r="J66" s="2252">
        <f t="shared" si="37"/>
        <v>0</v>
      </c>
      <c r="R66" s="2159"/>
      <c r="S66" s="2159"/>
    </row>
    <row r="67" spans="2:19">
      <c r="B67" s="2162" t="str">
        <f>B9</f>
        <v>Startup costs</v>
      </c>
      <c r="C67" s="2278">
        <f t="shared" si="36"/>
        <v>870350</v>
      </c>
      <c r="D67" s="2279">
        <f t="shared" ref="D67:J67" si="38">G15</f>
        <v>870350</v>
      </c>
      <c r="E67" s="2277">
        <f t="shared" si="38"/>
        <v>0</v>
      </c>
      <c r="F67" s="2277">
        <f t="shared" si="38"/>
        <v>0</v>
      </c>
      <c r="G67" s="2277">
        <f t="shared" si="38"/>
        <v>0</v>
      </c>
      <c r="H67" s="2277">
        <f t="shared" si="38"/>
        <v>0</v>
      </c>
      <c r="I67" s="2277">
        <f t="shared" si="38"/>
        <v>0</v>
      </c>
      <c r="J67" s="2252">
        <f t="shared" si="38"/>
        <v>0</v>
      </c>
      <c r="Q67" s="2218"/>
      <c r="R67" s="2159"/>
      <c r="S67" s="2159"/>
    </row>
    <row r="68" spans="2:19">
      <c r="B68" s="2162" t="str">
        <f>B17</f>
        <v>Investments</v>
      </c>
      <c r="C68" s="2280">
        <f ca="1">SUM(D68:J68)</f>
        <v>4790883.481152487</v>
      </c>
      <c r="D68" s="2205">
        <f t="shared" ref="D68:J68" ca="1" si="39">G33</f>
        <v>123165</v>
      </c>
      <c r="E68" s="2205">
        <f t="shared" ca="1" si="39"/>
        <v>2994500.1778759998</v>
      </c>
      <c r="F68" s="2205">
        <f t="shared" ca="1" si="39"/>
        <v>268282.82059085992</v>
      </c>
      <c r="G68" s="2205">
        <f t="shared" ca="1" si="39"/>
        <v>377007.11366216029</v>
      </c>
      <c r="H68" s="2205">
        <f t="shared" ca="1" si="39"/>
        <v>294665.2097969079</v>
      </c>
      <c r="I68" s="2205">
        <f t="shared" ca="1" si="39"/>
        <v>370568.71418354445</v>
      </c>
      <c r="J68" s="2206">
        <f t="shared" ca="1" si="39"/>
        <v>362694.44504301477</v>
      </c>
      <c r="Q68" s="2218"/>
      <c r="R68" s="2159"/>
      <c r="S68" s="2159"/>
    </row>
    <row r="69" spans="2:19">
      <c r="B69" s="2242" t="s">
        <v>553</v>
      </c>
      <c r="C69" s="907">
        <f t="shared" ca="1" si="36"/>
        <v>7480027.1911524879</v>
      </c>
      <c r="D69" s="2829">
        <f ca="1">SUM(D66:D68)</f>
        <v>2812308.71</v>
      </c>
      <c r="E69" s="2829">
        <f t="shared" ref="E69:J69" ca="1" si="40">SUM(E66:E68)</f>
        <v>2994500.1778759998</v>
      </c>
      <c r="F69" s="2829">
        <f t="shared" ca="1" si="40"/>
        <v>268282.82059085992</v>
      </c>
      <c r="G69" s="2829">
        <f t="shared" ca="1" si="40"/>
        <v>377007.11366216029</v>
      </c>
      <c r="H69" s="2829">
        <f t="shared" ca="1" si="40"/>
        <v>294665.2097969079</v>
      </c>
      <c r="I69" s="2829">
        <f t="shared" ca="1" si="40"/>
        <v>370568.71418354445</v>
      </c>
      <c r="J69" s="2281">
        <f t="shared" ca="1" si="40"/>
        <v>362694.44504301477</v>
      </c>
      <c r="P69" s="2218"/>
      <c r="Q69" s="2218"/>
    </row>
    <row r="70" spans="2:19">
      <c r="B70" s="2160" t="s">
        <v>265</v>
      </c>
      <c r="C70" s="2282">
        <f t="shared" ca="1" si="36"/>
        <v>-460269.7308165034</v>
      </c>
      <c r="D70" s="2277">
        <f ca="1">G43</f>
        <v>-20</v>
      </c>
      <c r="E70" s="2277">
        <f t="shared" ref="E70:J70" ca="1" si="41">H43</f>
        <v>-406100</v>
      </c>
      <c r="F70" s="2277">
        <f ca="1">I43</f>
        <v>-3963.4894646999992</v>
      </c>
      <c r="G70" s="2277">
        <f t="shared" ca="1" si="41"/>
        <v>-17395.499444399997</v>
      </c>
      <c r="H70" s="2277">
        <f t="shared" ca="1" si="41"/>
        <v>-2880.4236092999995</v>
      </c>
      <c r="I70" s="2277">
        <f t="shared" ca="1" si="41"/>
        <v>-16006.398779935724</v>
      </c>
      <c r="J70" s="2252">
        <f t="shared" ca="1" si="41"/>
        <v>-13903.919518167688</v>
      </c>
      <c r="P70" s="2218"/>
    </row>
    <row r="71" spans="2:19">
      <c r="B71" s="2160" t="s">
        <v>1023</v>
      </c>
      <c r="C71" s="2282">
        <f ca="1">SUM(D71:J71)</f>
        <v>-631110.04812673351</v>
      </c>
      <c r="D71" s="2277">
        <f t="shared" ref="D71:J71" si="42">G40</f>
        <v>0</v>
      </c>
      <c r="E71" s="2277">
        <f t="shared" ca="1" si="42"/>
        <v>-65700.088937999986</v>
      </c>
      <c r="F71" s="2277">
        <f t="shared" ca="1" si="42"/>
        <v>-96000.941901329978</v>
      </c>
      <c r="G71" s="2277">
        <f t="shared" ca="1" si="42"/>
        <v>-113817.05849788016</v>
      </c>
      <c r="H71" s="2277">
        <f t="shared" ca="1" si="42"/>
        <v>-116191.33407055397</v>
      </c>
      <c r="I71" s="2277">
        <f t="shared" ca="1" si="42"/>
        <v>-118515.16075196506</v>
      </c>
      <c r="J71" s="2252">
        <f t="shared" ca="1" si="42"/>
        <v>-120885.46396700434</v>
      </c>
      <c r="O71" s="2283"/>
      <c r="P71" s="2218"/>
    </row>
    <row r="72" spans="2:19">
      <c r="B72" s="2160" t="s">
        <v>1022</v>
      </c>
      <c r="C72" s="2282">
        <f>SUM(D72:J72)</f>
        <v>-119093.65416537601</v>
      </c>
      <c r="D72" s="2277">
        <f t="shared" ref="D72:J72" si="43">G38</f>
        <v>0</v>
      </c>
      <c r="E72" s="2277">
        <f t="shared" si="43"/>
        <v>-119093.65416537601</v>
      </c>
      <c r="F72" s="2277">
        <f t="shared" si="43"/>
        <v>0</v>
      </c>
      <c r="G72" s="2277">
        <f t="shared" si="43"/>
        <v>0</v>
      </c>
      <c r="H72" s="2277">
        <f t="shared" si="43"/>
        <v>0</v>
      </c>
      <c r="I72" s="2277">
        <f t="shared" si="43"/>
        <v>0</v>
      </c>
      <c r="J72" s="2252">
        <f t="shared" si="43"/>
        <v>0</v>
      </c>
    </row>
    <row r="73" spans="2:19">
      <c r="B73" s="2242" t="s">
        <v>554</v>
      </c>
      <c r="C73" s="2285">
        <f t="shared" ca="1" si="36"/>
        <v>6269553.7580438741</v>
      </c>
      <c r="D73" s="2830">
        <f t="shared" ref="D73:J73" ca="1" si="44">SUM(D69:D72)</f>
        <v>2812288.71</v>
      </c>
      <c r="E73" s="2830">
        <f t="shared" ca="1" si="44"/>
        <v>2403606.4347726237</v>
      </c>
      <c r="F73" s="2830">
        <f t="shared" ca="1" si="44"/>
        <v>168318.38922482997</v>
      </c>
      <c r="G73" s="2830">
        <f t="shared" ca="1" si="44"/>
        <v>245794.5557198801</v>
      </c>
      <c r="H73" s="2830">
        <f t="shared" ca="1" si="44"/>
        <v>175593.45211705394</v>
      </c>
      <c r="I73" s="2830">
        <f t="shared" ca="1" si="44"/>
        <v>236047.15465164365</v>
      </c>
      <c r="J73" s="2286">
        <f t="shared" ca="1" si="44"/>
        <v>227905.06155784277</v>
      </c>
    </row>
    <row r="74" spans="2:19">
      <c r="B74" s="2160" t="str">
        <f>B87</f>
        <v>Currently made deposits/investments</v>
      </c>
      <c r="C74" s="2282">
        <f t="shared" si="36"/>
        <v>-267339.81</v>
      </c>
      <c r="D74" s="2277">
        <f>D87</f>
        <v>-267339.81</v>
      </c>
      <c r="E74" s="2864"/>
      <c r="F74" s="2864"/>
      <c r="G74" s="2864"/>
      <c r="H74" s="2864"/>
      <c r="I74" s="2864"/>
      <c r="J74" s="2865"/>
    </row>
    <row r="75" spans="2:19">
      <c r="B75" s="2160" t="s">
        <v>588</v>
      </c>
      <c r="C75" s="2284">
        <f t="shared" ca="1" si="36"/>
        <v>-1136158.6132712504</v>
      </c>
      <c r="D75" s="2287"/>
      <c r="E75" s="2287">
        <f ca="1">-H18-H29-H30-(H29+H30)*O33</f>
        <v>-82500</v>
      </c>
      <c r="F75" s="2287">
        <f ca="1">-I31-I40-I18-I29-I30</f>
        <v>-168318.38922482997</v>
      </c>
      <c r="G75" s="2287">
        <f ca="1">-J31-J40-J18-J29-J30</f>
        <v>-245794.55571988015</v>
      </c>
      <c r="H75" s="2287">
        <f ca="1">-K31-K40-K18-K29-K30</f>
        <v>-175593.45211705397</v>
      </c>
      <c r="I75" s="2287">
        <f ca="1">-L31-L40-L18-L29-L30</f>
        <v>-236047.15465164371</v>
      </c>
      <c r="J75" s="2288">
        <f ca="1">-M31-M40-M18-M29-M30</f>
        <v>-227905.06155784277</v>
      </c>
    </row>
    <row r="76" spans="2:19" ht="13.5" thickBot="1">
      <c r="B76" s="2177" t="s">
        <v>589</v>
      </c>
      <c r="C76" s="2289">
        <f ca="1">C73+C75+C74</f>
        <v>4866055.3347726241</v>
      </c>
      <c r="D76" s="2227">
        <f ca="1">D73+D75+D74</f>
        <v>2544948.9</v>
      </c>
      <c r="E76" s="2227">
        <f t="shared" ref="E76:J76" ca="1" si="45">E73+E75</f>
        <v>2321106.4347726237</v>
      </c>
      <c r="F76" s="2227">
        <f t="shared" ca="1" si="45"/>
        <v>0</v>
      </c>
      <c r="G76" s="2227">
        <f t="shared" ca="1" si="45"/>
        <v>0</v>
      </c>
      <c r="H76" s="2227">
        <f t="shared" ca="1" si="45"/>
        <v>0</v>
      </c>
      <c r="I76" s="2227">
        <f t="shared" ca="1" si="45"/>
        <v>0</v>
      </c>
      <c r="J76" s="2228">
        <f t="shared" ca="1" si="45"/>
        <v>0</v>
      </c>
    </row>
    <row r="77" spans="2:19" ht="13.5" thickBot="1">
      <c r="K77" s="2290"/>
    </row>
    <row r="78" spans="2:19" ht="13.5" thickBot="1">
      <c r="B78" s="2144" t="s">
        <v>103</v>
      </c>
      <c r="C78" s="2273" t="s">
        <v>26</v>
      </c>
      <c r="D78" s="2147">
        <f>D65</f>
        <v>2023</v>
      </c>
      <c r="E78" s="2148">
        <f>D78+1</f>
        <v>2024</v>
      </c>
      <c r="F78" s="2290"/>
      <c r="G78" s="2290"/>
      <c r="H78" s="2291"/>
      <c r="I78" s="2291"/>
      <c r="J78" s="2291"/>
      <c r="K78" s="2290"/>
    </row>
    <row r="79" spans="2:19">
      <c r="B79" s="2191" t="s">
        <v>110</v>
      </c>
      <c r="C79" s="2278">
        <f>C66</f>
        <v>1818793.71</v>
      </c>
      <c r="D79" s="969">
        <f>D66</f>
        <v>1818793.71</v>
      </c>
      <c r="E79" s="970"/>
      <c r="F79" s="2290"/>
      <c r="G79" s="2290"/>
      <c r="H79" s="2292"/>
      <c r="I79" s="2292"/>
      <c r="J79" s="2292"/>
      <c r="K79" s="2290"/>
    </row>
    <row r="80" spans="2:19">
      <c r="B80" s="2202" t="s">
        <v>111</v>
      </c>
      <c r="C80" s="2278">
        <f>C67</f>
        <v>870350</v>
      </c>
      <c r="D80" s="969">
        <f>D67</f>
        <v>870350</v>
      </c>
      <c r="E80" s="970"/>
      <c r="F80" s="2290"/>
      <c r="G80" s="2290"/>
      <c r="H80" s="2292"/>
      <c r="I80" s="2292"/>
      <c r="J80" s="2292"/>
      <c r="K80" s="2290"/>
    </row>
    <row r="81" spans="2:11">
      <c r="B81" s="2202" t="s">
        <v>134</v>
      </c>
      <c r="C81" s="2280">
        <f ca="1">D81+E81</f>
        <v>841165.17787599994</v>
      </c>
      <c r="D81" s="974">
        <f ca="1">D68</f>
        <v>123165</v>
      </c>
      <c r="E81" s="975">
        <f ca="1">H21+H22+H23+H29+H30+H31+H20+H19+(+H22+H23+H30+H29+H26+H27+H28)*0.2</f>
        <v>718000.17787599994</v>
      </c>
      <c r="F81" s="2292"/>
      <c r="G81" s="2293"/>
      <c r="H81" s="2290"/>
      <c r="I81" s="2290"/>
      <c r="J81" s="2290"/>
      <c r="K81" s="2290"/>
    </row>
    <row r="82" spans="2:11">
      <c r="B82" s="2242" t="s">
        <v>553</v>
      </c>
      <c r="C82" s="908">
        <f ca="1">SUM(C79:C81)</f>
        <v>3530308.8878759998</v>
      </c>
      <c r="D82" s="1842">
        <f ca="1">SUM(D79:D81)</f>
        <v>2812308.71</v>
      </c>
      <c r="E82" s="1843">
        <f ca="1">SUM(E79:E81)</f>
        <v>718000.17787599994</v>
      </c>
      <c r="F82" s="2290"/>
      <c r="G82" s="2290"/>
      <c r="H82" s="2290"/>
      <c r="I82" s="2290"/>
      <c r="J82" s="2290"/>
      <c r="K82" s="2290"/>
    </row>
    <row r="83" spans="2:11">
      <c r="B83" s="2160" t="s">
        <v>1021</v>
      </c>
      <c r="C83" s="2278"/>
      <c r="D83" s="969">
        <f>D71</f>
        <v>0</v>
      </c>
      <c r="E83" s="970"/>
      <c r="F83" s="2290"/>
      <c r="G83" s="2290"/>
      <c r="H83" s="2290"/>
      <c r="I83" s="2290"/>
      <c r="J83" s="2290"/>
      <c r="K83" s="2290"/>
    </row>
    <row r="84" spans="2:11">
      <c r="B84" s="2160" t="s">
        <v>1022</v>
      </c>
      <c r="C84" s="2278"/>
      <c r="D84" s="969">
        <f>D72</f>
        <v>0</v>
      </c>
      <c r="E84" s="970"/>
      <c r="F84" s="2290"/>
      <c r="G84" s="2290"/>
      <c r="H84" s="2290"/>
      <c r="I84" s="2290"/>
      <c r="J84" s="2290"/>
      <c r="K84" s="2292"/>
    </row>
    <row r="85" spans="2:11">
      <c r="B85" s="2160" t="s">
        <v>265</v>
      </c>
      <c r="C85" s="2280"/>
      <c r="D85" s="974"/>
      <c r="E85" s="975"/>
      <c r="F85" s="2290"/>
      <c r="G85" s="2290"/>
      <c r="H85" s="2290"/>
      <c r="I85" s="2290"/>
      <c r="J85" s="2290"/>
      <c r="K85" s="2292"/>
    </row>
    <row r="86" spans="2:11">
      <c r="B86" s="2242" t="s">
        <v>554</v>
      </c>
      <c r="C86" s="2285">
        <f ca="1">SUM(C82:C85)</f>
        <v>3530308.8878759998</v>
      </c>
      <c r="D86" s="2294">
        <f ca="1">SUM(D82:D85)</f>
        <v>2812308.71</v>
      </c>
      <c r="E86" s="2295">
        <f ca="1">SUM(E82:E85)</f>
        <v>718000.17787599994</v>
      </c>
      <c r="F86" s="2290"/>
      <c r="G86" s="2290"/>
      <c r="H86" s="2290"/>
      <c r="I86" s="2290"/>
      <c r="J86" s="2290"/>
      <c r="K86" s="2290"/>
    </row>
    <row r="87" spans="2:11">
      <c r="B87" s="2160" t="s">
        <v>1203</v>
      </c>
      <c r="C87" s="2296">
        <f>-EN!C19</f>
        <v>-267339.81</v>
      </c>
      <c r="D87" s="974">
        <f>C87</f>
        <v>-267339.81</v>
      </c>
      <c r="E87" s="975">
        <v>0</v>
      </c>
      <c r="F87" s="2290"/>
      <c r="G87" s="2290"/>
      <c r="H87" s="2290"/>
      <c r="I87" s="2290"/>
      <c r="J87" s="2290"/>
      <c r="K87" s="2290"/>
    </row>
    <row r="88" spans="2:11" ht="13.5" thickBot="1">
      <c r="B88" s="2177" t="s">
        <v>914</v>
      </c>
      <c r="C88" s="2866">
        <f ca="1">SUM(C86:C87)</f>
        <v>3262969.0778759997</v>
      </c>
      <c r="D88" s="2227">
        <f ca="1">SUM(D86:D87)</f>
        <v>2544968.9</v>
      </c>
      <c r="E88" s="2228">
        <f ca="1">SUM(E86:E87)</f>
        <v>718000.17787599994</v>
      </c>
      <c r="F88" s="2290"/>
      <c r="G88" s="2290"/>
      <c r="H88" s="2290"/>
      <c r="I88" s="2290"/>
      <c r="J88" s="2290"/>
    </row>
    <row r="89" spans="2:11">
      <c r="B89" s="2290"/>
      <c r="C89" s="2290"/>
      <c r="D89" s="2290"/>
      <c r="E89" s="2290"/>
    </row>
    <row r="91" spans="2:11">
      <c r="C91" s="2226"/>
    </row>
    <row r="92" spans="2:11">
      <c r="C92" s="2226"/>
    </row>
    <row r="94" spans="2:11">
      <c r="C94" s="2226"/>
    </row>
  </sheetData>
  <sheetProtection password="CD53" sheet="1" objects="1" scenarios="1" selectLockedCells="1"/>
  <conditionalFormatting sqref="G58:M58">
    <cfRule type="cellIs" dxfId="38" priority="1" stopIfTrue="1" operator="greaterThan">
      <formula>1</formula>
    </cfRule>
  </conditionalFormatting>
  <dataValidations count="13">
    <dataValidation type="list" allowBlank="1" showInputMessage="1" showErrorMessage="1" sqref="D10:D14 D5:D6 D18 G52">
      <formula1>"Red Church Stock,Red Church Vineyard,Red Church Assets,Red Church Finance, Red Church Holding"</formula1>
    </dataValidation>
    <dataValidation type="list" allowBlank="1" showInputMessage="1" showErrorMessage="1" sqref="E19 H48:H52">
      <formula1>"Plot,Buildings,Machinery,Computers/IT,Vehicles,Others"</formula1>
    </dataValidation>
    <dataValidation type="list" allowBlank="1" showInputMessage="1" showErrorMessage="1" sqref="F19 F10:F14 F3:F6">
      <formula1>"2022,2023,2024,2025,2026,2027"</formula1>
    </dataValidation>
    <dataValidation type="list" allowBlank="1" showInputMessage="1" showErrorMessage="1" sqref="J48:J52">
      <formula1>"Yes,No"</formula1>
    </dataValidation>
    <dataValidation type="list" allowBlank="1" showInputMessage="1" showErrorMessage="1" sqref="I48:I52">
      <formula1>"2022,2023,2024,2025,2026"</formula1>
    </dataValidation>
    <dataValidation type="list" allowBlank="1" showInputMessage="1" showErrorMessage="1" sqref="D3:D4 D38:D40 G48:G51 D19:D31">
      <formula1>"Red Church Estate,Red Church Vineyard,Red Church Assets,Red Church Finance, Red Church Holding"</formula1>
    </dataValidation>
    <dataValidation type="list" allowBlank="1" showInputMessage="1" showErrorMessage="1" sqref="P38 P23:P36 O10:O14 O18:O31">
      <formula1>"Exempt,Reversed,VAT"</formula1>
    </dataValidation>
    <dataValidation type="list" allowBlank="1" showInputMessage="1" showErrorMessage="1" sqref="E20:E21 E27:E30 E23:E25">
      <formula1>"Land,Buildings,Machinery,Computers/IT,Vehicles,Others"</formula1>
    </dataValidation>
    <dataValidation type="list" allowBlank="1" showInputMessage="1" showErrorMessage="1" sqref="E22">
      <formula1>"Land,Buildings,Machinery,Infrastructure,Computers/IT,Vehicles,Others"</formula1>
    </dataValidation>
    <dataValidation type="list" allowBlank="1" showInputMessage="1" showErrorMessage="1" sqref="E26">
      <formula1>"Land,Buildings,Machinery,Computer / IT,Vehicles,Others"</formula1>
    </dataValidation>
    <dataValidation type="list" allowBlank="1" showInputMessage="1" showErrorMessage="1" sqref="E31">
      <formula1>"Land,Buildings,Machinery,Barrels,Computers/IT,Vehicles,Others"</formula1>
    </dataValidation>
    <dataValidation type="list" allowBlank="1" showInputMessage="1" showErrorMessage="1" sqref="E3:E6">
      <formula1>"Stock,PM&amp;E,Shares,IP,Plot,Buildings,Computers/IT,Vehicles,Others"</formula1>
    </dataValidation>
    <dataValidation type="list" allowBlank="1" showInputMessage="1" showErrorMessage="1" sqref="F20:F31">
      <formula1>"2021,2022,2023,2024,2025,2026"</formula1>
    </dataValidation>
  </dataValidations>
  <pageMargins left="0.7" right="0.7" top="0.75" bottom="0.75" header="0.3" footer="0.3"/>
  <pageSetup paperSize="9" scale="42" orientation="portrait" r:id="rId1"/>
  <ignoredErrors>
    <ignoredError sqref="C7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9" tint="0.59999389629810485"/>
  </sheetPr>
  <dimension ref="B1:AC302"/>
  <sheetViews>
    <sheetView topLeftCell="A172" zoomScale="60" zoomScaleNormal="60" workbookViewId="0">
      <selection activeCell="I214" sqref="I214"/>
    </sheetView>
  </sheetViews>
  <sheetFormatPr defaultRowHeight="12.75"/>
  <cols>
    <col min="1" max="1" width="3.140625" style="78" customWidth="1"/>
    <col min="2" max="2" width="34.85546875" style="78" customWidth="1"/>
    <col min="3" max="3" width="18.140625" style="78" customWidth="1"/>
    <col min="4" max="4" width="19.5703125" style="78" customWidth="1"/>
    <col min="5" max="5" width="16.28515625" style="78" customWidth="1"/>
    <col min="6" max="6" width="19.5703125" style="78" customWidth="1"/>
    <col min="7" max="11" width="17.85546875" style="78" customWidth="1"/>
    <col min="12" max="12" width="4.140625" style="78" customWidth="1"/>
    <col min="13" max="13" width="29.42578125" style="78" customWidth="1"/>
    <col min="14" max="14" width="12.28515625" style="78" bestFit="1" customWidth="1"/>
    <col min="15" max="15" width="14.42578125" style="78" bestFit="1" customWidth="1"/>
    <col min="16" max="16" width="13.7109375" style="78" bestFit="1" customWidth="1"/>
    <col min="17" max="18" width="14.140625" style="78" bestFit="1" customWidth="1"/>
    <col min="19" max="19" width="13.42578125" style="78" bestFit="1" customWidth="1"/>
    <col min="20" max="20" width="11.85546875" style="78" customWidth="1"/>
    <col min="21" max="21" width="3.85546875" style="78" customWidth="1"/>
    <col min="22" max="22" width="28.140625" style="78" customWidth="1"/>
    <col min="23" max="23" width="42" style="78" bestFit="1" customWidth="1"/>
    <col min="24" max="24" width="14.7109375" style="78" bestFit="1" customWidth="1"/>
    <col min="25" max="25" width="10.5703125" style="78" bestFit="1" customWidth="1"/>
    <col min="26" max="26" width="24.7109375" style="78" bestFit="1" customWidth="1"/>
    <col min="27" max="27" width="11.85546875" style="78" bestFit="1" customWidth="1"/>
    <col min="28" max="234" width="9.140625" style="78"/>
    <col min="235" max="235" width="3.140625" style="78" customWidth="1"/>
    <col min="236" max="236" width="53.85546875" style="78" customWidth="1"/>
    <col min="237" max="238" width="16.28515625" style="78" customWidth="1"/>
    <col min="239" max="239" width="19.5703125" style="78" customWidth="1"/>
    <col min="240" max="245" width="17.85546875" style="78" customWidth="1"/>
    <col min="246" max="247" width="9.140625" style="78"/>
    <col min="248" max="248" width="17.7109375" style="78" customWidth="1"/>
    <col min="249" max="249" width="23.28515625" style="78" customWidth="1"/>
    <col min="250" max="250" width="17" style="78" customWidth="1"/>
    <col min="251" max="253" width="9.140625" style="78"/>
    <col min="254" max="254" width="10.140625" style="78" bestFit="1" customWidth="1"/>
    <col min="255" max="490" width="9.140625" style="78"/>
    <col min="491" max="491" width="3.140625" style="78" customWidth="1"/>
    <col min="492" max="492" width="53.85546875" style="78" customWidth="1"/>
    <col min="493" max="494" width="16.28515625" style="78" customWidth="1"/>
    <col min="495" max="495" width="19.5703125" style="78" customWidth="1"/>
    <col min="496" max="501" width="17.85546875" style="78" customWidth="1"/>
    <col min="502" max="503" width="9.140625" style="78"/>
    <col min="504" max="504" width="17.7109375" style="78" customWidth="1"/>
    <col min="505" max="505" width="23.28515625" style="78" customWidth="1"/>
    <col min="506" max="506" width="17" style="78" customWidth="1"/>
    <col min="507" max="509" width="9.140625" style="78"/>
    <col min="510" max="510" width="10.140625" style="78" bestFit="1" customWidth="1"/>
    <col min="511" max="746" width="9.140625" style="78"/>
    <col min="747" max="747" width="3.140625" style="78" customWidth="1"/>
    <col min="748" max="748" width="53.85546875" style="78" customWidth="1"/>
    <col min="749" max="750" width="16.28515625" style="78" customWidth="1"/>
    <col min="751" max="751" width="19.5703125" style="78" customWidth="1"/>
    <col min="752" max="757" width="17.85546875" style="78" customWidth="1"/>
    <col min="758" max="759" width="9.140625" style="78"/>
    <col min="760" max="760" width="17.7109375" style="78" customWidth="1"/>
    <col min="761" max="761" width="23.28515625" style="78" customWidth="1"/>
    <col min="762" max="762" width="17" style="78" customWidth="1"/>
    <col min="763" max="765" width="9.140625" style="78"/>
    <col min="766" max="766" width="10.140625" style="78" bestFit="1" customWidth="1"/>
    <col min="767" max="1002" width="9.140625" style="78"/>
    <col min="1003" max="1003" width="3.140625" style="78" customWidth="1"/>
    <col min="1004" max="1004" width="53.85546875" style="78" customWidth="1"/>
    <col min="1005" max="1006" width="16.28515625" style="78" customWidth="1"/>
    <col min="1007" max="1007" width="19.5703125" style="78" customWidth="1"/>
    <col min="1008" max="1013" width="17.85546875" style="78" customWidth="1"/>
    <col min="1014" max="1015" width="9.140625" style="78"/>
    <col min="1016" max="1016" width="17.7109375" style="78" customWidth="1"/>
    <col min="1017" max="1017" width="23.28515625" style="78" customWidth="1"/>
    <col min="1018" max="1018" width="17" style="78" customWidth="1"/>
    <col min="1019" max="1021" width="9.140625" style="78"/>
    <col min="1022" max="1022" width="10.140625" style="78" bestFit="1" customWidth="1"/>
    <col min="1023" max="1258" width="9.140625" style="78"/>
    <col min="1259" max="1259" width="3.140625" style="78" customWidth="1"/>
    <col min="1260" max="1260" width="53.85546875" style="78" customWidth="1"/>
    <col min="1261" max="1262" width="16.28515625" style="78" customWidth="1"/>
    <col min="1263" max="1263" width="19.5703125" style="78" customWidth="1"/>
    <col min="1264" max="1269" width="17.85546875" style="78" customWidth="1"/>
    <col min="1270" max="1271" width="9.140625" style="78"/>
    <col min="1272" max="1272" width="17.7109375" style="78" customWidth="1"/>
    <col min="1273" max="1273" width="23.28515625" style="78" customWidth="1"/>
    <col min="1274" max="1274" width="17" style="78" customWidth="1"/>
    <col min="1275" max="1277" width="9.140625" style="78"/>
    <col min="1278" max="1278" width="10.140625" style="78" bestFit="1" customWidth="1"/>
    <col min="1279" max="1514" width="9.140625" style="78"/>
    <col min="1515" max="1515" width="3.140625" style="78" customWidth="1"/>
    <col min="1516" max="1516" width="53.85546875" style="78" customWidth="1"/>
    <col min="1517" max="1518" width="16.28515625" style="78" customWidth="1"/>
    <col min="1519" max="1519" width="19.5703125" style="78" customWidth="1"/>
    <col min="1520" max="1525" width="17.85546875" style="78" customWidth="1"/>
    <col min="1526" max="1527" width="9.140625" style="78"/>
    <col min="1528" max="1528" width="17.7109375" style="78" customWidth="1"/>
    <col min="1529" max="1529" width="23.28515625" style="78" customWidth="1"/>
    <col min="1530" max="1530" width="17" style="78" customWidth="1"/>
    <col min="1531" max="1533" width="9.140625" style="78"/>
    <col min="1534" max="1534" width="10.140625" style="78" bestFit="1" customWidth="1"/>
    <col min="1535" max="1770" width="9.140625" style="78"/>
    <col min="1771" max="1771" width="3.140625" style="78" customWidth="1"/>
    <col min="1772" max="1772" width="53.85546875" style="78" customWidth="1"/>
    <col min="1773" max="1774" width="16.28515625" style="78" customWidth="1"/>
    <col min="1775" max="1775" width="19.5703125" style="78" customWidth="1"/>
    <col min="1776" max="1781" width="17.85546875" style="78" customWidth="1"/>
    <col min="1782" max="1783" width="9.140625" style="78"/>
    <col min="1784" max="1784" width="17.7109375" style="78" customWidth="1"/>
    <col min="1785" max="1785" width="23.28515625" style="78" customWidth="1"/>
    <col min="1786" max="1786" width="17" style="78" customWidth="1"/>
    <col min="1787" max="1789" width="9.140625" style="78"/>
    <col min="1790" max="1790" width="10.140625" style="78" bestFit="1" customWidth="1"/>
    <col min="1791" max="2026" width="9.140625" style="78"/>
    <col min="2027" max="2027" width="3.140625" style="78" customWidth="1"/>
    <col min="2028" max="2028" width="53.85546875" style="78" customWidth="1"/>
    <col min="2029" max="2030" width="16.28515625" style="78" customWidth="1"/>
    <col min="2031" max="2031" width="19.5703125" style="78" customWidth="1"/>
    <col min="2032" max="2037" width="17.85546875" style="78" customWidth="1"/>
    <col min="2038" max="2039" width="9.140625" style="78"/>
    <col min="2040" max="2040" width="17.7109375" style="78" customWidth="1"/>
    <col min="2041" max="2041" width="23.28515625" style="78" customWidth="1"/>
    <col min="2042" max="2042" width="17" style="78" customWidth="1"/>
    <col min="2043" max="2045" width="9.140625" style="78"/>
    <col min="2046" max="2046" width="10.140625" style="78" bestFit="1" customWidth="1"/>
    <col min="2047" max="2282" width="9.140625" style="78"/>
    <col min="2283" max="2283" width="3.140625" style="78" customWidth="1"/>
    <col min="2284" max="2284" width="53.85546875" style="78" customWidth="1"/>
    <col min="2285" max="2286" width="16.28515625" style="78" customWidth="1"/>
    <col min="2287" max="2287" width="19.5703125" style="78" customWidth="1"/>
    <col min="2288" max="2293" width="17.85546875" style="78" customWidth="1"/>
    <col min="2294" max="2295" width="9.140625" style="78"/>
    <col min="2296" max="2296" width="17.7109375" style="78" customWidth="1"/>
    <col min="2297" max="2297" width="23.28515625" style="78" customWidth="1"/>
    <col min="2298" max="2298" width="17" style="78" customWidth="1"/>
    <col min="2299" max="2301" width="9.140625" style="78"/>
    <col min="2302" max="2302" width="10.140625" style="78" bestFit="1" customWidth="1"/>
    <col min="2303" max="2538" width="9.140625" style="78"/>
    <col min="2539" max="2539" width="3.140625" style="78" customWidth="1"/>
    <col min="2540" max="2540" width="53.85546875" style="78" customWidth="1"/>
    <col min="2541" max="2542" width="16.28515625" style="78" customWidth="1"/>
    <col min="2543" max="2543" width="19.5703125" style="78" customWidth="1"/>
    <col min="2544" max="2549" width="17.85546875" style="78" customWidth="1"/>
    <col min="2550" max="2551" width="9.140625" style="78"/>
    <col min="2552" max="2552" width="17.7109375" style="78" customWidth="1"/>
    <col min="2553" max="2553" width="23.28515625" style="78" customWidth="1"/>
    <col min="2554" max="2554" width="17" style="78" customWidth="1"/>
    <col min="2555" max="2557" width="9.140625" style="78"/>
    <col min="2558" max="2558" width="10.140625" style="78" bestFit="1" customWidth="1"/>
    <col min="2559" max="2794" width="9.140625" style="78"/>
    <col min="2795" max="2795" width="3.140625" style="78" customWidth="1"/>
    <col min="2796" max="2796" width="53.85546875" style="78" customWidth="1"/>
    <col min="2797" max="2798" width="16.28515625" style="78" customWidth="1"/>
    <col min="2799" max="2799" width="19.5703125" style="78" customWidth="1"/>
    <col min="2800" max="2805" width="17.85546875" style="78" customWidth="1"/>
    <col min="2806" max="2807" width="9.140625" style="78"/>
    <col min="2808" max="2808" width="17.7109375" style="78" customWidth="1"/>
    <col min="2809" max="2809" width="23.28515625" style="78" customWidth="1"/>
    <col min="2810" max="2810" width="17" style="78" customWidth="1"/>
    <col min="2811" max="2813" width="9.140625" style="78"/>
    <col min="2814" max="2814" width="10.140625" style="78" bestFit="1" customWidth="1"/>
    <col min="2815" max="3050" width="9.140625" style="78"/>
    <col min="3051" max="3051" width="3.140625" style="78" customWidth="1"/>
    <col min="3052" max="3052" width="53.85546875" style="78" customWidth="1"/>
    <col min="3053" max="3054" width="16.28515625" style="78" customWidth="1"/>
    <col min="3055" max="3055" width="19.5703125" style="78" customWidth="1"/>
    <col min="3056" max="3061" width="17.85546875" style="78" customWidth="1"/>
    <col min="3062" max="3063" width="9.140625" style="78"/>
    <col min="3064" max="3064" width="17.7109375" style="78" customWidth="1"/>
    <col min="3065" max="3065" width="23.28515625" style="78" customWidth="1"/>
    <col min="3066" max="3066" width="17" style="78" customWidth="1"/>
    <col min="3067" max="3069" width="9.140625" style="78"/>
    <col min="3070" max="3070" width="10.140625" style="78" bestFit="1" customWidth="1"/>
    <col min="3071" max="3306" width="9.140625" style="78"/>
    <col min="3307" max="3307" width="3.140625" style="78" customWidth="1"/>
    <col min="3308" max="3308" width="53.85546875" style="78" customWidth="1"/>
    <col min="3309" max="3310" width="16.28515625" style="78" customWidth="1"/>
    <col min="3311" max="3311" width="19.5703125" style="78" customWidth="1"/>
    <col min="3312" max="3317" width="17.85546875" style="78" customWidth="1"/>
    <col min="3318" max="3319" width="9.140625" style="78"/>
    <col min="3320" max="3320" width="17.7109375" style="78" customWidth="1"/>
    <col min="3321" max="3321" width="23.28515625" style="78" customWidth="1"/>
    <col min="3322" max="3322" width="17" style="78" customWidth="1"/>
    <col min="3323" max="3325" width="9.140625" style="78"/>
    <col min="3326" max="3326" width="10.140625" style="78" bestFit="1" customWidth="1"/>
    <col min="3327" max="3562" width="9.140625" style="78"/>
    <col min="3563" max="3563" width="3.140625" style="78" customWidth="1"/>
    <col min="3564" max="3564" width="53.85546875" style="78" customWidth="1"/>
    <col min="3565" max="3566" width="16.28515625" style="78" customWidth="1"/>
    <col min="3567" max="3567" width="19.5703125" style="78" customWidth="1"/>
    <col min="3568" max="3573" width="17.85546875" style="78" customWidth="1"/>
    <col min="3574" max="3575" width="9.140625" style="78"/>
    <col min="3576" max="3576" width="17.7109375" style="78" customWidth="1"/>
    <col min="3577" max="3577" width="23.28515625" style="78" customWidth="1"/>
    <col min="3578" max="3578" width="17" style="78" customWidth="1"/>
    <col min="3579" max="3581" width="9.140625" style="78"/>
    <col min="3582" max="3582" width="10.140625" style="78" bestFit="1" customWidth="1"/>
    <col min="3583" max="3818" width="9.140625" style="78"/>
    <col min="3819" max="3819" width="3.140625" style="78" customWidth="1"/>
    <col min="3820" max="3820" width="53.85546875" style="78" customWidth="1"/>
    <col min="3821" max="3822" width="16.28515625" style="78" customWidth="1"/>
    <col min="3823" max="3823" width="19.5703125" style="78" customWidth="1"/>
    <col min="3824" max="3829" width="17.85546875" style="78" customWidth="1"/>
    <col min="3830" max="3831" width="9.140625" style="78"/>
    <col min="3832" max="3832" width="17.7109375" style="78" customWidth="1"/>
    <col min="3833" max="3833" width="23.28515625" style="78" customWidth="1"/>
    <col min="3834" max="3834" width="17" style="78" customWidth="1"/>
    <col min="3835" max="3837" width="9.140625" style="78"/>
    <col min="3838" max="3838" width="10.140625" style="78" bestFit="1" customWidth="1"/>
    <col min="3839" max="4074" width="9.140625" style="78"/>
    <col min="4075" max="4075" width="3.140625" style="78" customWidth="1"/>
    <col min="4076" max="4076" width="53.85546875" style="78" customWidth="1"/>
    <col min="4077" max="4078" width="16.28515625" style="78" customWidth="1"/>
    <col min="4079" max="4079" width="19.5703125" style="78" customWidth="1"/>
    <col min="4080" max="4085" width="17.85546875" style="78" customWidth="1"/>
    <col min="4086" max="4087" width="9.140625" style="78"/>
    <col min="4088" max="4088" width="17.7109375" style="78" customWidth="1"/>
    <col min="4089" max="4089" width="23.28515625" style="78" customWidth="1"/>
    <col min="4090" max="4090" width="17" style="78" customWidth="1"/>
    <col min="4091" max="4093" width="9.140625" style="78"/>
    <col min="4094" max="4094" width="10.140625" style="78" bestFit="1" customWidth="1"/>
    <col min="4095" max="4330" width="9.140625" style="78"/>
    <col min="4331" max="4331" width="3.140625" style="78" customWidth="1"/>
    <col min="4332" max="4332" width="53.85546875" style="78" customWidth="1"/>
    <col min="4333" max="4334" width="16.28515625" style="78" customWidth="1"/>
    <col min="4335" max="4335" width="19.5703125" style="78" customWidth="1"/>
    <col min="4336" max="4341" width="17.85546875" style="78" customWidth="1"/>
    <col min="4342" max="4343" width="9.140625" style="78"/>
    <col min="4344" max="4344" width="17.7109375" style="78" customWidth="1"/>
    <col min="4345" max="4345" width="23.28515625" style="78" customWidth="1"/>
    <col min="4346" max="4346" width="17" style="78" customWidth="1"/>
    <col min="4347" max="4349" width="9.140625" style="78"/>
    <col min="4350" max="4350" width="10.140625" style="78" bestFit="1" customWidth="1"/>
    <col min="4351" max="4586" width="9.140625" style="78"/>
    <col min="4587" max="4587" width="3.140625" style="78" customWidth="1"/>
    <col min="4588" max="4588" width="53.85546875" style="78" customWidth="1"/>
    <col min="4589" max="4590" width="16.28515625" style="78" customWidth="1"/>
    <col min="4591" max="4591" width="19.5703125" style="78" customWidth="1"/>
    <col min="4592" max="4597" width="17.85546875" style="78" customWidth="1"/>
    <col min="4598" max="4599" width="9.140625" style="78"/>
    <col min="4600" max="4600" width="17.7109375" style="78" customWidth="1"/>
    <col min="4601" max="4601" width="23.28515625" style="78" customWidth="1"/>
    <col min="4602" max="4602" width="17" style="78" customWidth="1"/>
    <col min="4603" max="4605" width="9.140625" style="78"/>
    <col min="4606" max="4606" width="10.140625" style="78" bestFit="1" customWidth="1"/>
    <col min="4607" max="4842" width="9.140625" style="78"/>
    <col min="4843" max="4843" width="3.140625" style="78" customWidth="1"/>
    <col min="4844" max="4844" width="53.85546875" style="78" customWidth="1"/>
    <col min="4845" max="4846" width="16.28515625" style="78" customWidth="1"/>
    <col min="4847" max="4847" width="19.5703125" style="78" customWidth="1"/>
    <col min="4848" max="4853" width="17.85546875" style="78" customWidth="1"/>
    <col min="4854" max="4855" width="9.140625" style="78"/>
    <col min="4856" max="4856" width="17.7109375" style="78" customWidth="1"/>
    <col min="4857" max="4857" width="23.28515625" style="78" customWidth="1"/>
    <col min="4858" max="4858" width="17" style="78" customWidth="1"/>
    <col min="4859" max="4861" width="9.140625" style="78"/>
    <col min="4862" max="4862" width="10.140625" style="78" bestFit="1" customWidth="1"/>
    <col min="4863" max="5098" width="9.140625" style="78"/>
    <col min="5099" max="5099" width="3.140625" style="78" customWidth="1"/>
    <col min="5100" max="5100" width="53.85546875" style="78" customWidth="1"/>
    <col min="5101" max="5102" width="16.28515625" style="78" customWidth="1"/>
    <col min="5103" max="5103" width="19.5703125" style="78" customWidth="1"/>
    <col min="5104" max="5109" width="17.85546875" style="78" customWidth="1"/>
    <col min="5110" max="5111" width="9.140625" style="78"/>
    <col min="5112" max="5112" width="17.7109375" style="78" customWidth="1"/>
    <col min="5113" max="5113" width="23.28515625" style="78" customWidth="1"/>
    <col min="5114" max="5114" width="17" style="78" customWidth="1"/>
    <col min="5115" max="5117" width="9.140625" style="78"/>
    <col min="5118" max="5118" width="10.140625" style="78" bestFit="1" customWidth="1"/>
    <col min="5119" max="5354" width="9.140625" style="78"/>
    <col min="5355" max="5355" width="3.140625" style="78" customWidth="1"/>
    <col min="5356" max="5356" width="53.85546875" style="78" customWidth="1"/>
    <col min="5357" max="5358" width="16.28515625" style="78" customWidth="1"/>
    <col min="5359" max="5359" width="19.5703125" style="78" customWidth="1"/>
    <col min="5360" max="5365" width="17.85546875" style="78" customWidth="1"/>
    <col min="5366" max="5367" width="9.140625" style="78"/>
    <col min="5368" max="5368" width="17.7109375" style="78" customWidth="1"/>
    <col min="5369" max="5369" width="23.28515625" style="78" customWidth="1"/>
    <col min="5370" max="5370" width="17" style="78" customWidth="1"/>
    <col min="5371" max="5373" width="9.140625" style="78"/>
    <col min="5374" max="5374" width="10.140625" style="78" bestFit="1" customWidth="1"/>
    <col min="5375" max="5610" width="9.140625" style="78"/>
    <col min="5611" max="5611" width="3.140625" style="78" customWidth="1"/>
    <col min="5612" max="5612" width="53.85546875" style="78" customWidth="1"/>
    <col min="5613" max="5614" width="16.28515625" style="78" customWidth="1"/>
    <col min="5615" max="5615" width="19.5703125" style="78" customWidth="1"/>
    <col min="5616" max="5621" width="17.85546875" style="78" customWidth="1"/>
    <col min="5622" max="5623" width="9.140625" style="78"/>
    <col min="5624" max="5624" width="17.7109375" style="78" customWidth="1"/>
    <col min="5625" max="5625" width="23.28515625" style="78" customWidth="1"/>
    <col min="5626" max="5626" width="17" style="78" customWidth="1"/>
    <col min="5627" max="5629" width="9.140625" style="78"/>
    <col min="5630" max="5630" width="10.140625" style="78" bestFit="1" customWidth="1"/>
    <col min="5631" max="5866" width="9.140625" style="78"/>
    <col min="5867" max="5867" width="3.140625" style="78" customWidth="1"/>
    <col min="5868" max="5868" width="53.85546875" style="78" customWidth="1"/>
    <col min="5869" max="5870" width="16.28515625" style="78" customWidth="1"/>
    <col min="5871" max="5871" width="19.5703125" style="78" customWidth="1"/>
    <col min="5872" max="5877" width="17.85546875" style="78" customWidth="1"/>
    <col min="5878" max="5879" width="9.140625" style="78"/>
    <col min="5880" max="5880" width="17.7109375" style="78" customWidth="1"/>
    <col min="5881" max="5881" width="23.28515625" style="78" customWidth="1"/>
    <col min="5882" max="5882" width="17" style="78" customWidth="1"/>
    <col min="5883" max="5885" width="9.140625" style="78"/>
    <col min="5886" max="5886" width="10.140625" style="78" bestFit="1" customWidth="1"/>
    <col min="5887" max="6122" width="9.140625" style="78"/>
    <col min="6123" max="6123" width="3.140625" style="78" customWidth="1"/>
    <col min="6124" max="6124" width="53.85546875" style="78" customWidth="1"/>
    <col min="6125" max="6126" width="16.28515625" style="78" customWidth="1"/>
    <col min="6127" max="6127" width="19.5703125" style="78" customWidth="1"/>
    <col min="6128" max="6133" width="17.85546875" style="78" customWidth="1"/>
    <col min="6134" max="6135" width="9.140625" style="78"/>
    <col min="6136" max="6136" width="17.7109375" style="78" customWidth="1"/>
    <col min="6137" max="6137" width="23.28515625" style="78" customWidth="1"/>
    <col min="6138" max="6138" width="17" style="78" customWidth="1"/>
    <col min="6139" max="6141" width="9.140625" style="78"/>
    <col min="6142" max="6142" width="10.140625" style="78" bestFit="1" customWidth="1"/>
    <col min="6143" max="6378" width="9.140625" style="78"/>
    <col min="6379" max="6379" width="3.140625" style="78" customWidth="1"/>
    <col min="6380" max="6380" width="53.85546875" style="78" customWidth="1"/>
    <col min="6381" max="6382" width="16.28515625" style="78" customWidth="1"/>
    <col min="6383" max="6383" width="19.5703125" style="78" customWidth="1"/>
    <col min="6384" max="6389" width="17.85546875" style="78" customWidth="1"/>
    <col min="6390" max="6391" width="9.140625" style="78"/>
    <col min="6392" max="6392" width="17.7109375" style="78" customWidth="1"/>
    <col min="6393" max="6393" width="23.28515625" style="78" customWidth="1"/>
    <col min="6394" max="6394" width="17" style="78" customWidth="1"/>
    <col min="6395" max="6397" width="9.140625" style="78"/>
    <col min="6398" max="6398" width="10.140625" style="78" bestFit="1" customWidth="1"/>
    <col min="6399" max="6634" width="9.140625" style="78"/>
    <col min="6635" max="6635" width="3.140625" style="78" customWidth="1"/>
    <col min="6636" max="6636" width="53.85546875" style="78" customWidth="1"/>
    <col min="6637" max="6638" width="16.28515625" style="78" customWidth="1"/>
    <col min="6639" max="6639" width="19.5703125" style="78" customWidth="1"/>
    <col min="6640" max="6645" width="17.85546875" style="78" customWidth="1"/>
    <col min="6646" max="6647" width="9.140625" style="78"/>
    <col min="6648" max="6648" width="17.7109375" style="78" customWidth="1"/>
    <col min="6649" max="6649" width="23.28515625" style="78" customWidth="1"/>
    <col min="6650" max="6650" width="17" style="78" customWidth="1"/>
    <col min="6651" max="6653" width="9.140625" style="78"/>
    <col min="6654" max="6654" width="10.140625" style="78" bestFit="1" customWidth="1"/>
    <col min="6655" max="6890" width="9.140625" style="78"/>
    <col min="6891" max="6891" width="3.140625" style="78" customWidth="1"/>
    <col min="6892" max="6892" width="53.85546875" style="78" customWidth="1"/>
    <col min="6893" max="6894" width="16.28515625" style="78" customWidth="1"/>
    <col min="6895" max="6895" width="19.5703125" style="78" customWidth="1"/>
    <col min="6896" max="6901" width="17.85546875" style="78" customWidth="1"/>
    <col min="6902" max="6903" width="9.140625" style="78"/>
    <col min="6904" max="6904" width="17.7109375" style="78" customWidth="1"/>
    <col min="6905" max="6905" width="23.28515625" style="78" customWidth="1"/>
    <col min="6906" max="6906" width="17" style="78" customWidth="1"/>
    <col min="6907" max="6909" width="9.140625" style="78"/>
    <col min="6910" max="6910" width="10.140625" style="78" bestFit="1" customWidth="1"/>
    <col min="6911" max="7146" width="9.140625" style="78"/>
    <col min="7147" max="7147" width="3.140625" style="78" customWidth="1"/>
    <col min="7148" max="7148" width="53.85546875" style="78" customWidth="1"/>
    <col min="7149" max="7150" width="16.28515625" style="78" customWidth="1"/>
    <col min="7151" max="7151" width="19.5703125" style="78" customWidth="1"/>
    <col min="7152" max="7157" width="17.85546875" style="78" customWidth="1"/>
    <col min="7158" max="7159" width="9.140625" style="78"/>
    <col min="7160" max="7160" width="17.7109375" style="78" customWidth="1"/>
    <col min="7161" max="7161" width="23.28515625" style="78" customWidth="1"/>
    <col min="7162" max="7162" width="17" style="78" customWidth="1"/>
    <col min="7163" max="7165" width="9.140625" style="78"/>
    <col min="7166" max="7166" width="10.140625" style="78" bestFit="1" customWidth="1"/>
    <col min="7167" max="7402" width="9.140625" style="78"/>
    <col min="7403" max="7403" width="3.140625" style="78" customWidth="1"/>
    <col min="7404" max="7404" width="53.85546875" style="78" customWidth="1"/>
    <col min="7405" max="7406" width="16.28515625" style="78" customWidth="1"/>
    <col min="7407" max="7407" width="19.5703125" style="78" customWidth="1"/>
    <col min="7408" max="7413" width="17.85546875" style="78" customWidth="1"/>
    <col min="7414" max="7415" width="9.140625" style="78"/>
    <col min="7416" max="7416" width="17.7109375" style="78" customWidth="1"/>
    <col min="7417" max="7417" width="23.28515625" style="78" customWidth="1"/>
    <col min="7418" max="7418" width="17" style="78" customWidth="1"/>
    <col min="7419" max="7421" width="9.140625" style="78"/>
    <col min="7422" max="7422" width="10.140625" style="78" bestFit="1" customWidth="1"/>
    <col min="7423" max="7658" width="9.140625" style="78"/>
    <col min="7659" max="7659" width="3.140625" style="78" customWidth="1"/>
    <col min="7660" max="7660" width="53.85546875" style="78" customWidth="1"/>
    <col min="7661" max="7662" width="16.28515625" style="78" customWidth="1"/>
    <col min="7663" max="7663" width="19.5703125" style="78" customWidth="1"/>
    <col min="7664" max="7669" width="17.85546875" style="78" customWidth="1"/>
    <col min="7670" max="7671" width="9.140625" style="78"/>
    <col min="7672" max="7672" width="17.7109375" style="78" customWidth="1"/>
    <col min="7673" max="7673" width="23.28515625" style="78" customWidth="1"/>
    <col min="7674" max="7674" width="17" style="78" customWidth="1"/>
    <col min="7675" max="7677" width="9.140625" style="78"/>
    <col min="7678" max="7678" width="10.140625" style="78" bestFit="1" customWidth="1"/>
    <col min="7679" max="7914" width="9.140625" style="78"/>
    <col min="7915" max="7915" width="3.140625" style="78" customWidth="1"/>
    <col min="7916" max="7916" width="53.85546875" style="78" customWidth="1"/>
    <col min="7917" max="7918" width="16.28515625" style="78" customWidth="1"/>
    <col min="7919" max="7919" width="19.5703125" style="78" customWidth="1"/>
    <col min="7920" max="7925" width="17.85546875" style="78" customWidth="1"/>
    <col min="7926" max="7927" width="9.140625" style="78"/>
    <col min="7928" max="7928" width="17.7109375" style="78" customWidth="1"/>
    <col min="7929" max="7929" width="23.28515625" style="78" customWidth="1"/>
    <col min="7930" max="7930" width="17" style="78" customWidth="1"/>
    <col min="7931" max="7933" width="9.140625" style="78"/>
    <col min="7934" max="7934" width="10.140625" style="78" bestFit="1" customWidth="1"/>
    <col min="7935" max="8170" width="9.140625" style="78"/>
    <col min="8171" max="8171" width="3.140625" style="78" customWidth="1"/>
    <col min="8172" max="8172" width="53.85546875" style="78" customWidth="1"/>
    <col min="8173" max="8174" width="16.28515625" style="78" customWidth="1"/>
    <col min="8175" max="8175" width="19.5703125" style="78" customWidth="1"/>
    <col min="8176" max="8181" width="17.85546875" style="78" customWidth="1"/>
    <col min="8182" max="8183" width="9.140625" style="78"/>
    <col min="8184" max="8184" width="17.7109375" style="78" customWidth="1"/>
    <col min="8185" max="8185" width="23.28515625" style="78" customWidth="1"/>
    <col min="8186" max="8186" width="17" style="78" customWidth="1"/>
    <col min="8187" max="8189" width="9.140625" style="78"/>
    <col min="8190" max="8190" width="10.140625" style="78" bestFit="1" customWidth="1"/>
    <col min="8191" max="8426" width="9.140625" style="78"/>
    <col min="8427" max="8427" width="3.140625" style="78" customWidth="1"/>
    <col min="8428" max="8428" width="53.85546875" style="78" customWidth="1"/>
    <col min="8429" max="8430" width="16.28515625" style="78" customWidth="1"/>
    <col min="8431" max="8431" width="19.5703125" style="78" customWidth="1"/>
    <col min="8432" max="8437" width="17.85546875" style="78" customWidth="1"/>
    <col min="8438" max="8439" width="9.140625" style="78"/>
    <col min="8440" max="8440" width="17.7109375" style="78" customWidth="1"/>
    <col min="8441" max="8441" width="23.28515625" style="78" customWidth="1"/>
    <col min="8442" max="8442" width="17" style="78" customWidth="1"/>
    <col min="8443" max="8445" width="9.140625" style="78"/>
    <col min="8446" max="8446" width="10.140625" style="78" bestFit="1" customWidth="1"/>
    <col min="8447" max="8682" width="9.140625" style="78"/>
    <col min="8683" max="8683" width="3.140625" style="78" customWidth="1"/>
    <col min="8684" max="8684" width="53.85546875" style="78" customWidth="1"/>
    <col min="8685" max="8686" width="16.28515625" style="78" customWidth="1"/>
    <col min="8687" max="8687" width="19.5703125" style="78" customWidth="1"/>
    <col min="8688" max="8693" width="17.85546875" style="78" customWidth="1"/>
    <col min="8694" max="8695" width="9.140625" style="78"/>
    <col min="8696" max="8696" width="17.7109375" style="78" customWidth="1"/>
    <col min="8697" max="8697" width="23.28515625" style="78" customWidth="1"/>
    <col min="8698" max="8698" width="17" style="78" customWidth="1"/>
    <col min="8699" max="8701" width="9.140625" style="78"/>
    <col min="8702" max="8702" width="10.140625" style="78" bestFit="1" customWidth="1"/>
    <col min="8703" max="8938" width="9.140625" style="78"/>
    <col min="8939" max="8939" width="3.140625" style="78" customWidth="1"/>
    <col min="8940" max="8940" width="53.85546875" style="78" customWidth="1"/>
    <col min="8941" max="8942" width="16.28515625" style="78" customWidth="1"/>
    <col min="8943" max="8943" width="19.5703125" style="78" customWidth="1"/>
    <col min="8944" max="8949" width="17.85546875" style="78" customWidth="1"/>
    <col min="8950" max="8951" width="9.140625" style="78"/>
    <col min="8952" max="8952" width="17.7109375" style="78" customWidth="1"/>
    <col min="8953" max="8953" width="23.28515625" style="78" customWidth="1"/>
    <col min="8954" max="8954" width="17" style="78" customWidth="1"/>
    <col min="8955" max="8957" width="9.140625" style="78"/>
    <col min="8958" max="8958" width="10.140625" style="78" bestFit="1" customWidth="1"/>
    <col min="8959" max="9194" width="9.140625" style="78"/>
    <col min="9195" max="9195" width="3.140625" style="78" customWidth="1"/>
    <col min="9196" max="9196" width="53.85546875" style="78" customWidth="1"/>
    <col min="9197" max="9198" width="16.28515625" style="78" customWidth="1"/>
    <col min="9199" max="9199" width="19.5703125" style="78" customWidth="1"/>
    <col min="9200" max="9205" width="17.85546875" style="78" customWidth="1"/>
    <col min="9206" max="9207" width="9.140625" style="78"/>
    <col min="9208" max="9208" width="17.7109375" style="78" customWidth="1"/>
    <col min="9209" max="9209" width="23.28515625" style="78" customWidth="1"/>
    <col min="9210" max="9210" width="17" style="78" customWidth="1"/>
    <col min="9211" max="9213" width="9.140625" style="78"/>
    <col min="9214" max="9214" width="10.140625" style="78" bestFit="1" customWidth="1"/>
    <col min="9215" max="9450" width="9.140625" style="78"/>
    <col min="9451" max="9451" width="3.140625" style="78" customWidth="1"/>
    <col min="9452" max="9452" width="53.85546875" style="78" customWidth="1"/>
    <col min="9453" max="9454" width="16.28515625" style="78" customWidth="1"/>
    <col min="9455" max="9455" width="19.5703125" style="78" customWidth="1"/>
    <col min="9456" max="9461" width="17.85546875" style="78" customWidth="1"/>
    <col min="9462" max="9463" width="9.140625" style="78"/>
    <col min="9464" max="9464" width="17.7109375" style="78" customWidth="1"/>
    <col min="9465" max="9465" width="23.28515625" style="78" customWidth="1"/>
    <col min="9466" max="9466" width="17" style="78" customWidth="1"/>
    <col min="9467" max="9469" width="9.140625" style="78"/>
    <col min="9470" max="9470" width="10.140625" style="78" bestFit="1" customWidth="1"/>
    <col min="9471" max="9706" width="9.140625" style="78"/>
    <col min="9707" max="9707" width="3.140625" style="78" customWidth="1"/>
    <col min="9708" max="9708" width="53.85546875" style="78" customWidth="1"/>
    <col min="9709" max="9710" width="16.28515625" style="78" customWidth="1"/>
    <col min="9711" max="9711" width="19.5703125" style="78" customWidth="1"/>
    <col min="9712" max="9717" width="17.85546875" style="78" customWidth="1"/>
    <col min="9718" max="9719" width="9.140625" style="78"/>
    <col min="9720" max="9720" width="17.7109375" style="78" customWidth="1"/>
    <col min="9721" max="9721" width="23.28515625" style="78" customWidth="1"/>
    <col min="9722" max="9722" width="17" style="78" customWidth="1"/>
    <col min="9723" max="9725" width="9.140625" style="78"/>
    <col min="9726" max="9726" width="10.140625" style="78" bestFit="1" customWidth="1"/>
    <col min="9727" max="9962" width="9.140625" style="78"/>
    <col min="9963" max="9963" width="3.140625" style="78" customWidth="1"/>
    <col min="9964" max="9964" width="53.85546875" style="78" customWidth="1"/>
    <col min="9965" max="9966" width="16.28515625" style="78" customWidth="1"/>
    <col min="9967" max="9967" width="19.5703125" style="78" customWidth="1"/>
    <col min="9968" max="9973" width="17.85546875" style="78" customWidth="1"/>
    <col min="9974" max="9975" width="9.140625" style="78"/>
    <col min="9976" max="9976" width="17.7109375" style="78" customWidth="1"/>
    <col min="9977" max="9977" width="23.28515625" style="78" customWidth="1"/>
    <col min="9978" max="9978" width="17" style="78" customWidth="1"/>
    <col min="9979" max="9981" width="9.140625" style="78"/>
    <col min="9982" max="9982" width="10.140625" style="78" bestFit="1" customWidth="1"/>
    <col min="9983" max="10218" width="9.140625" style="78"/>
    <col min="10219" max="10219" width="3.140625" style="78" customWidth="1"/>
    <col min="10220" max="10220" width="53.85546875" style="78" customWidth="1"/>
    <col min="10221" max="10222" width="16.28515625" style="78" customWidth="1"/>
    <col min="10223" max="10223" width="19.5703125" style="78" customWidth="1"/>
    <col min="10224" max="10229" width="17.85546875" style="78" customWidth="1"/>
    <col min="10230" max="10231" width="9.140625" style="78"/>
    <col min="10232" max="10232" width="17.7109375" style="78" customWidth="1"/>
    <col min="10233" max="10233" width="23.28515625" style="78" customWidth="1"/>
    <col min="10234" max="10234" width="17" style="78" customWidth="1"/>
    <col min="10235" max="10237" width="9.140625" style="78"/>
    <col min="10238" max="10238" width="10.140625" style="78" bestFit="1" customWidth="1"/>
    <col min="10239" max="10474" width="9.140625" style="78"/>
    <col min="10475" max="10475" width="3.140625" style="78" customWidth="1"/>
    <col min="10476" max="10476" width="53.85546875" style="78" customWidth="1"/>
    <col min="10477" max="10478" width="16.28515625" style="78" customWidth="1"/>
    <col min="10479" max="10479" width="19.5703125" style="78" customWidth="1"/>
    <col min="10480" max="10485" width="17.85546875" style="78" customWidth="1"/>
    <col min="10486" max="10487" width="9.140625" style="78"/>
    <col min="10488" max="10488" width="17.7109375" style="78" customWidth="1"/>
    <col min="10489" max="10489" width="23.28515625" style="78" customWidth="1"/>
    <col min="10490" max="10490" width="17" style="78" customWidth="1"/>
    <col min="10491" max="10493" width="9.140625" style="78"/>
    <col min="10494" max="10494" width="10.140625" style="78" bestFit="1" customWidth="1"/>
    <col min="10495" max="10730" width="9.140625" style="78"/>
    <col min="10731" max="10731" width="3.140625" style="78" customWidth="1"/>
    <col min="10732" max="10732" width="53.85546875" style="78" customWidth="1"/>
    <col min="10733" max="10734" width="16.28515625" style="78" customWidth="1"/>
    <col min="10735" max="10735" width="19.5703125" style="78" customWidth="1"/>
    <col min="10736" max="10741" width="17.85546875" style="78" customWidth="1"/>
    <col min="10742" max="10743" width="9.140625" style="78"/>
    <col min="10744" max="10744" width="17.7109375" style="78" customWidth="1"/>
    <col min="10745" max="10745" width="23.28515625" style="78" customWidth="1"/>
    <col min="10746" max="10746" width="17" style="78" customWidth="1"/>
    <col min="10747" max="10749" width="9.140625" style="78"/>
    <col min="10750" max="10750" width="10.140625" style="78" bestFit="1" customWidth="1"/>
    <col min="10751" max="10986" width="9.140625" style="78"/>
    <col min="10987" max="10987" width="3.140625" style="78" customWidth="1"/>
    <col min="10988" max="10988" width="53.85546875" style="78" customWidth="1"/>
    <col min="10989" max="10990" width="16.28515625" style="78" customWidth="1"/>
    <col min="10991" max="10991" width="19.5703125" style="78" customWidth="1"/>
    <col min="10992" max="10997" width="17.85546875" style="78" customWidth="1"/>
    <col min="10998" max="10999" width="9.140625" style="78"/>
    <col min="11000" max="11000" width="17.7109375" style="78" customWidth="1"/>
    <col min="11001" max="11001" width="23.28515625" style="78" customWidth="1"/>
    <col min="11002" max="11002" width="17" style="78" customWidth="1"/>
    <col min="11003" max="11005" width="9.140625" style="78"/>
    <col min="11006" max="11006" width="10.140625" style="78" bestFit="1" customWidth="1"/>
    <col min="11007" max="11242" width="9.140625" style="78"/>
    <col min="11243" max="11243" width="3.140625" style="78" customWidth="1"/>
    <col min="11244" max="11244" width="53.85546875" style="78" customWidth="1"/>
    <col min="11245" max="11246" width="16.28515625" style="78" customWidth="1"/>
    <col min="11247" max="11247" width="19.5703125" style="78" customWidth="1"/>
    <col min="11248" max="11253" width="17.85546875" style="78" customWidth="1"/>
    <col min="11254" max="11255" width="9.140625" style="78"/>
    <col min="11256" max="11256" width="17.7109375" style="78" customWidth="1"/>
    <col min="11257" max="11257" width="23.28515625" style="78" customWidth="1"/>
    <col min="11258" max="11258" width="17" style="78" customWidth="1"/>
    <col min="11259" max="11261" width="9.140625" style="78"/>
    <col min="11262" max="11262" width="10.140625" style="78" bestFit="1" customWidth="1"/>
    <col min="11263" max="11498" width="9.140625" style="78"/>
    <col min="11499" max="11499" width="3.140625" style="78" customWidth="1"/>
    <col min="11500" max="11500" width="53.85546875" style="78" customWidth="1"/>
    <col min="11501" max="11502" width="16.28515625" style="78" customWidth="1"/>
    <col min="11503" max="11503" width="19.5703125" style="78" customWidth="1"/>
    <col min="11504" max="11509" width="17.85546875" style="78" customWidth="1"/>
    <col min="11510" max="11511" width="9.140625" style="78"/>
    <col min="11512" max="11512" width="17.7109375" style="78" customWidth="1"/>
    <col min="11513" max="11513" width="23.28515625" style="78" customWidth="1"/>
    <col min="11514" max="11514" width="17" style="78" customWidth="1"/>
    <col min="11515" max="11517" width="9.140625" style="78"/>
    <col min="11518" max="11518" width="10.140625" style="78" bestFit="1" customWidth="1"/>
    <col min="11519" max="11754" width="9.140625" style="78"/>
    <col min="11755" max="11755" width="3.140625" style="78" customWidth="1"/>
    <col min="11756" max="11756" width="53.85546875" style="78" customWidth="1"/>
    <col min="11757" max="11758" width="16.28515625" style="78" customWidth="1"/>
    <col min="11759" max="11759" width="19.5703125" style="78" customWidth="1"/>
    <col min="11760" max="11765" width="17.85546875" style="78" customWidth="1"/>
    <col min="11766" max="11767" width="9.140625" style="78"/>
    <col min="11768" max="11768" width="17.7109375" style="78" customWidth="1"/>
    <col min="11769" max="11769" width="23.28515625" style="78" customWidth="1"/>
    <col min="11770" max="11770" width="17" style="78" customWidth="1"/>
    <col min="11771" max="11773" width="9.140625" style="78"/>
    <col min="11774" max="11774" width="10.140625" style="78" bestFit="1" customWidth="1"/>
    <col min="11775" max="12010" width="9.140625" style="78"/>
    <col min="12011" max="12011" width="3.140625" style="78" customWidth="1"/>
    <col min="12012" max="12012" width="53.85546875" style="78" customWidth="1"/>
    <col min="12013" max="12014" width="16.28515625" style="78" customWidth="1"/>
    <col min="12015" max="12015" width="19.5703125" style="78" customWidth="1"/>
    <col min="12016" max="12021" width="17.85546875" style="78" customWidth="1"/>
    <col min="12022" max="12023" width="9.140625" style="78"/>
    <col min="12024" max="12024" width="17.7109375" style="78" customWidth="1"/>
    <col min="12025" max="12025" width="23.28515625" style="78" customWidth="1"/>
    <col min="12026" max="12026" width="17" style="78" customWidth="1"/>
    <col min="12027" max="12029" width="9.140625" style="78"/>
    <col min="12030" max="12030" width="10.140625" style="78" bestFit="1" customWidth="1"/>
    <col min="12031" max="12266" width="9.140625" style="78"/>
    <col min="12267" max="12267" width="3.140625" style="78" customWidth="1"/>
    <col min="12268" max="12268" width="53.85546875" style="78" customWidth="1"/>
    <col min="12269" max="12270" width="16.28515625" style="78" customWidth="1"/>
    <col min="12271" max="12271" width="19.5703125" style="78" customWidth="1"/>
    <col min="12272" max="12277" width="17.85546875" style="78" customWidth="1"/>
    <col min="12278" max="12279" width="9.140625" style="78"/>
    <col min="12280" max="12280" width="17.7109375" style="78" customWidth="1"/>
    <col min="12281" max="12281" width="23.28515625" style="78" customWidth="1"/>
    <col min="12282" max="12282" width="17" style="78" customWidth="1"/>
    <col min="12283" max="12285" width="9.140625" style="78"/>
    <col min="12286" max="12286" width="10.140625" style="78" bestFit="1" customWidth="1"/>
    <col min="12287" max="12522" width="9.140625" style="78"/>
    <col min="12523" max="12523" width="3.140625" style="78" customWidth="1"/>
    <col min="12524" max="12524" width="53.85546875" style="78" customWidth="1"/>
    <col min="12525" max="12526" width="16.28515625" style="78" customWidth="1"/>
    <col min="12527" max="12527" width="19.5703125" style="78" customWidth="1"/>
    <col min="12528" max="12533" width="17.85546875" style="78" customWidth="1"/>
    <col min="12534" max="12535" width="9.140625" style="78"/>
    <col min="12536" max="12536" width="17.7109375" style="78" customWidth="1"/>
    <col min="12537" max="12537" width="23.28515625" style="78" customWidth="1"/>
    <col min="12538" max="12538" width="17" style="78" customWidth="1"/>
    <col min="12539" max="12541" width="9.140625" style="78"/>
    <col min="12542" max="12542" width="10.140625" style="78" bestFit="1" customWidth="1"/>
    <col min="12543" max="12778" width="9.140625" style="78"/>
    <col min="12779" max="12779" width="3.140625" style="78" customWidth="1"/>
    <col min="12780" max="12780" width="53.85546875" style="78" customWidth="1"/>
    <col min="12781" max="12782" width="16.28515625" style="78" customWidth="1"/>
    <col min="12783" max="12783" width="19.5703125" style="78" customWidth="1"/>
    <col min="12784" max="12789" width="17.85546875" style="78" customWidth="1"/>
    <col min="12790" max="12791" width="9.140625" style="78"/>
    <col min="12792" max="12792" width="17.7109375" style="78" customWidth="1"/>
    <col min="12793" max="12793" width="23.28515625" style="78" customWidth="1"/>
    <col min="12794" max="12794" width="17" style="78" customWidth="1"/>
    <col min="12795" max="12797" width="9.140625" style="78"/>
    <col min="12798" max="12798" width="10.140625" style="78" bestFit="1" customWidth="1"/>
    <col min="12799" max="13034" width="9.140625" style="78"/>
    <col min="13035" max="13035" width="3.140625" style="78" customWidth="1"/>
    <col min="13036" max="13036" width="53.85546875" style="78" customWidth="1"/>
    <col min="13037" max="13038" width="16.28515625" style="78" customWidth="1"/>
    <col min="13039" max="13039" width="19.5703125" style="78" customWidth="1"/>
    <col min="13040" max="13045" width="17.85546875" style="78" customWidth="1"/>
    <col min="13046" max="13047" width="9.140625" style="78"/>
    <col min="13048" max="13048" width="17.7109375" style="78" customWidth="1"/>
    <col min="13049" max="13049" width="23.28515625" style="78" customWidth="1"/>
    <col min="13050" max="13050" width="17" style="78" customWidth="1"/>
    <col min="13051" max="13053" width="9.140625" style="78"/>
    <col min="13054" max="13054" width="10.140625" style="78" bestFit="1" customWidth="1"/>
    <col min="13055" max="13290" width="9.140625" style="78"/>
    <col min="13291" max="13291" width="3.140625" style="78" customWidth="1"/>
    <col min="13292" max="13292" width="53.85546875" style="78" customWidth="1"/>
    <col min="13293" max="13294" width="16.28515625" style="78" customWidth="1"/>
    <col min="13295" max="13295" width="19.5703125" style="78" customWidth="1"/>
    <col min="13296" max="13301" width="17.85546875" style="78" customWidth="1"/>
    <col min="13302" max="13303" width="9.140625" style="78"/>
    <col min="13304" max="13304" width="17.7109375" style="78" customWidth="1"/>
    <col min="13305" max="13305" width="23.28515625" style="78" customWidth="1"/>
    <col min="13306" max="13306" width="17" style="78" customWidth="1"/>
    <col min="13307" max="13309" width="9.140625" style="78"/>
    <col min="13310" max="13310" width="10.140625" style="78" bestFit="1" customWidth="1"/>
    <col min="13311" max="13546" width="9.140625" style="78"/>
    <col min="13547" max="13547" width="3.140625" style="78" customWidth="1"/>
    <col min="13548" max="13548" width="53.85546875" style="78" customWidth="1"/>
    <col min="13549" max="13550" width="16.28515625" style="78" customWidth="1"/>
    <col min="13551" max="13551" width="19.5703125" style="78" customWidth="1"/>
    <col min="13552" max="13557" width="17.85546875" style="78" customWidth="1"/>
    <col min="13558" max="13559" width="9.140625" style="78"/>
    <col min="13560" max="13560" width="17.7109375" style="78" customWidth="1"/>
    <col min="13561" max="13561" width="23.28515625" style="78" customWidth="1"/>
    <col min="13562" max="13562" width="17" style="78" customWidth="1"/>
    <col min="13563" max="13565" width="9.140625" style="78"/>
    <col min="13566" max="13566" width="10.140625" style="78" bestFit="1" customWidth="1"/>
    <col min="13567" max="13802" width="9.140625" style="78"/>
    <col min="13803" max="13803" width="3.140625" style="78" customWidth="1"/>
    <col min="13804" max="13804" width="53.85546875" style="78" customWidth="1"/>
    <col min="13805" max="13806" width="16.28515625" style="78" customWidth="1"/>
    <col min="13807" max="13807" width="19.5703125" style="78" customWidth="1"/>
    <col min="13808" max="13813" width="17.85546875" style="78" customWidth="1"/>
    <col min="13814" max="13815" width="9.140625" style="78"/>
    <col min="13816" max="13816" width="17.7109375" style="78" customWidth="1"/>
    <col min="13817" max="13817" width="23.28515625" style="78" customWidth="1"/>
    <col min="13818" max="13818" width="17" style="78" customWidth="1"/>
    <col min="13819" max="13821" width="9.140625" style="78"/>
    <col min="13822" max="13822" width="10.140625" style="78" bestFit="1" customWidth="1"/>
    <col min="13823" max="14058" width="9.140625" style="78"/>
    <col min="14059" max="14059" width="3.140625" style="78" customWidth="1"/>
    <col min="14060" max="14060" width="53.85546875" style="78" customWidth="1"/>
    <col min="14061" max="14062" width="16.28515625" style="78" customWidth="1"/>
    <col min="14063" max="14063" width="19.5703125" style="78" customWidth="1"/>
    <col min="14064" max="14069" width="17.85546875" style="78" customWidth="1"/>
    <col min="14070" max="14071" width="9.140625" style="78"/>
    <col min="14072" max="14072" width="17.7109375" style="78" customWidth="1"/>
    <col min="14073" max="14073" width="23.28515625" style="78" customWidth="1"/>
    <col min="14074" max="14074" width="17" style="78" customWidth="1"/>
    <col min="14075" max="14077" width="9.140625" style="78"/>
    <col min="14078" max="14078" width="10.140625" style="78" bestFit="1" customWidth="1"/>
    <col min="14079" max="14314" width="9.140625" style="78"/>
    <col min="14315" max="14315" width="3.140625" style="78" customWidth="1"/>
    <col min="14316" max="14316" width="53.85546875" style="78" customWidth="1"/>
    <col min="14317" max="14318" width="16.28515625" style="78" customWidth="1"/>
    <col min="14319" max="14319" width="19.5703125" style="78" customWidth="1"/>
    <col min="14320" max="14325" width="17.85546875" style="78" customWidth="1"/>
    <col min="14326" max="14327" width="9.140625" style="78"/>
    <col min="14328" max="14328" width="17.7109375" style="78" customWidth="1"/>
    <col min="14329" max="14329" width="23.28515625" style="78" customWidth="1"/>
    <col min="14330" max="14330" width="17" style="78" customWidth="1"/>
    <col min="14331" max="14333" width="9.140625" style="78"/>
    <col min="14334" max="14334" width="10.140625" style="78" bestFit="1" customWidth="1"/>
    <col min="14335" max="14570" width="9.140625" style="78"/>
    <col min="14571" max="14571" width="3.140625" style="78" customWidth="1"/>
    <col min="14572" max="14572" width="53.85546875" style="78" customWidth="1"/>
    <col min="14573" max="14574" width="16.28515625" style="78" customWidth="1"/>
    <col min="14575" max="14575" width="19.5703125" style="78" customWidth="1"/>
    <col min="14576" max="14581" width="17.85546875" style="78" customWidth="1"/>
    <col min="14582" max="14583" width="9.140625" style="78"/>
    <col min="14584" max="14584" width="17.7109375" style="78" customWidth="1"/>
    <col min="14585" max="14585" width="23.28515625" style="78" customWidth="1"/>
    <col min="14586" max="14586" width="17" style="78" customWidth="1"/>
    <col min="14587" max="14589" width="9.140625" style="78"/>
    <col min="14590" max="14590" width="10.140625" style="78" bestFit="1" customWidth="1"/>
    <col min="14591" max="14826" width="9.140625" style="78"/>
    <col min="14827" max="14827" width="3.140625" style="78" customWidth="1"/>
    <col min="14828" max="14828" width="53.85546875" style="78" customWidth="1"/>
    <col min="14829" max="14830" width="16.28515625" style="78" customWidth="1"/>
    <col min="14831" max="14831" width="19.5703125" style="78" customWidth="1"/>
    <col min="14832" max="14837" width="17.85546875" style="78" customWidth="1"/>
    <col min="14838" max="14839" width="9.140625" style="78"/>
    <col min="14840" max="14840" width="17.7109375" style="78" customWidth="1"/>
    <col min="14841" max="14841" width="23.28515625" style="78" customWidth="1"/>
    <col min="14842" max="14842" width="17" style="78" customWidth="1"/>
    <col min="14843" max="14845" width="9.140625" style="78"/>
    <col min="14846" max="14846" width="10.140625" style="78" bestFit="1" customWidth="1"/>
    <col min="14847" max="15082" width="9.140625" style="78"/>
    <col min="15083" max="15083" width="3.140625" style="78" customWidth="1"/>
    <col min="15084" max="15084" width="53.85546875" style="78" customWidth="1"/>
    <col min="15085" max="15086" width="16.28515625" style="78" customWidth="1"/>
    <col min="15087" max="15087" width="19.5703125" style="78" customWidth="1"/>
    <col min="15088" max="15093" width="17.85546875" style="78" customWidth="1"/>
    <col min="15094" max="15095" width="9.140625" style="78"/>
    <col min="15096" max="15096" width="17.7109375" style="78" customWidth="1"/>
    <col min="15097" max="15097" width="23.28515625" style="78" customWidth="1"/>
    <col min="15098" max="15098" width="17" style="78" customWidth="1"/>
    <col min="15099" max="15101" width="9.140625" style="78"/>
    <col min="15102" max="15102" width="10.140625" style="78" bestFit="1" customWidth="1"/>
    <col min="15103" max="15338" width="9.140625" style="78"/>
    <col min="15339" max="15339" width="3.140625" style="78" customWidth="1"/>
    <col min="15340" max="15340" width="53.85546875" style="78" customWidth="1"/>
    <col min="15341" max="15342" width="16.28515625" style="78" customWidth="1"/>
    <col min="15343" max="15343" width="19.5703125" style="78" customWidth="1"/>
    <col min="15344" max="15349" width="17.85546875" style="78" customWidth="1"/>
    <col min="15350" max="15351" width="9.140625" style="78"/>
    <col min="15352" max="15352" width="17.7109375" style="78" customWidth="1"/>
    <col min="15353" max="15353" width="23.28515625" style="78" customWidth="1"/>
    <col min="15354" max="15354" width="17" style="78" customWidth="1"/>
    <col min="15355" max="15357" width="9.140625" style="78"/>
    <col min="15358" max="15358" width="10.140625" style="78" bestFit="1" customWidth="1"/>
    <col min="15359" max="15594" width="9.140625" style="78"/>
    <col min="15595" max="15595" width="3.140625" style="78" customWidth="1"/>
    <col min="15596" max="15596" width="53.85546875" style="78" customWidth="1"/>
    <col min="15597" max="15598" width="16.28515625" style="78" customWidth="1"/>
    <col min="15599" max="15599" width="19.5703125" style="78" customWidth="1"/>
    <col min="15600" max="15605" width="17.85546875" style="78" customWidth="1"/>
    <col min="15606" max="15607" width="9.140625" style="78"/>
    <col min="15608" max="15608" width="17.7109375" style="78" customWidth="1"/>
    <col min="15609" max="15609" width="23.28515625" style="78" customWidth="1"/>
    <col min="15610" max="15610" width="17" style="78" customWidth="1"/>
    <col min="15611" max="15613" width="9.140625" style="78"/>
    <col min="15614" max="15614" width="10.140625" style="78" bestFit="1" customWidth="1"/>
    <col min="15615" max="15850" width="9.140625" style="78"/>
    <col min="15851" max="15851" width="3.140625" style="78" customWidth="1"/>
    <col min="15852" max="15852" width="53.85546875" style="78" customWidth="1"/>
    <col min="15853" max="15854" width="16.28515625" style="78" customWidth="1"/>
    <col min="15855" max="15855" width="19.5703125" style="78" customWidth="1"/>
    <col min="15856" max="15861" width="17.85546875" style="78" customWidth="1"/>
    <col min="15862" max="15863" width="9.140625" style="78"/>
    <col min="15864" max="15864" width="17.7109375" style="78" customWidth="1"/>
    <col min="15865" max="15865" width="23.28515625" style="78" customWidth="1"/>
    <col min="15866" max="15866" width="17" style="78" customWidth="1"/>
    <col min="15867" max="15869" width="9.140625" style="78"/>
    <col min="15870" max="15870" width="10.140625" style="78" bestFit="1" customWidth="1"/>
    <col min="15871" max="16106" width="9.140625" style="78"/>
    <col min="16107" max="16107" width="3.140625" style="78" customWidth="1"/>
    <col min="16108" max="16108" width="53.85546875" style="78" customWidth="1"/>
    <col min="16109" max="16110" width="16.28515625" style="78" customWidth="1"/>
    <col min="16111" max="16111" width="19.5703125" style="78" customWidth="1"/>
    <col min="16112" max="16117" width="17.85546875" style="78" customWidth="1"/>
    <col min="16118" max="16119" width="9.140625" style="78"/>
    <col min="16120" max="16120" width="17.7109375" style="78" customWidth="1"/>
    <col min="16121" max="16121" width="23.28515625" style="78" customWidth="1"/>
    <col min="16122" max="16122" width="17" style="78" customWidth="1"/>
    <col min="16123" max="16125" width="9.140625" style="78"/>
    <col min="16126" max="16126" width="10.140625" style="78" bestFit="1" customWidth="1"/>
    <col min="16127" max="16384" width="9.140625" style="78"/>
  </cols>
  <sheetData>
    <row r="1" spans="2:13" s="242" customFormat="1">
      <c r="B1" s="241" t="s">
        <v>319</v>
      </c>
      <c r="C1" s="241"/>
    </row>
    <row r="2" spans="2:13" s="74" customFormat="1" ht="13.5" thickBot="1"/>
    <row r="3" spans="2:13" s="74" customFormat="1" ht="13.5" thickBot="1">
      <c r="B3" s="75" t="s">
        <v>934</v>
      </c>
      <c r="C3" s="218" t="s">
        <v>249</v>
      </c>
      <c r="D3" s="76">
        <f>'RCF-F'!Q6</f>
        <v>2023</v>
      </c>
      <c r="E3" s="76">
        <f t="shared" ref="E3:J3" si="0">D3+1</f>
        <v>2024</v>
      </c>
      <c r="F3" s="76">
        <f t="shared" si="0"/>
        <v>2025</v>
      </c>
      <c r="G3" s="76">
        <f t="shared" si="0"/>
        <v>2026</v>
      </c>
      <c r="H3" s="76">
        <f t="shared" si="0"/>
        <v>2027</v>
      </c>
      <c r="I3" s="76">
        <f t="shared" si="0"/>
        <v>2028</v>
      </c>
      <c r="J3" s="76">
        <f t="shared" si="0"/>
        <v>2029</v>
      </c>
      <c r="K3" s="212" t="s">
        <v>105</v>
      </c>
    </row>
    <row r="4" spans="2:13" s="74" customFormat="1">
      <c r="B4" s="247" t="str">
        <f>B58</f>
        <v>Direct staff</v>
      </c>
      <c r="C4" s="205" t="s">
        <v>255</v>
      </c>
      <c r="D4" s="206">
        <f>E67</f>
        <v>142385.28</v>
      </c>
      <c r="E4" s="206">
        <f t="shared" ref="E4:J4" si="1">D4*(1+E28)</f>
        <v>147368.76479999998</v>
      </c>
      <c r="F4" s="206">
        <f t="shared" si="1"/>
        <v>150316.14009599999</v>
      </c>
      <c r="G4" s="206">
        <f t="shared" si="1"/>
        <v>153322.46289791999</v>
      </c>
      <c r="H4" s="206">
        <f t="shared" si="1"/>
        <v>156388.91215587838</v>
      </c>
      <c r="I4" s="206">
        <f t="shared" si="1"/>
        <v>159516.69039899594</v>
      </c>
      <c r="J4" s="206">
        <f t="shared" si="1"/>
        <v>162707.02420697585</v>
      </c>
      <c r="K4" s="809" t="s">
        <v>258</v>
      </c>
      <c r="M4" s="488"/>
    </row>
    <row r="5" spans="2:13" s="74" customFormat="1">
      <c r="B5" s="247" t="str">
        <f>M28</f>
        <v>Seasonal workers</v>
      </c>
      <c r="C5" s="205" t="s">
        <v>255</v>
      </c>
      <c r="D5" s="206">
        <f>N96</f>
        <v>20741.848099929732</v>
      </c>
      <c r="E5" s="206">
        <f t="shared" ref="E5:J5" si="2">O96</f>
        <v>24833.207873690204</v>
      </c>
      <c r="F5" s="206">
        <f t="shared" si="2"/>
        <v>27756.922074602702</v>
      </c>
      <c r="G5" s="206">
        <f t="shared" si="2"/>
        <v>28399.304674640258</v>
      </c>
      <c r="H5" s="206">
        <f t="shared" si="2"/>
        <v>28967.290768133062</v>
      </c>
      <c r="I5" s="206">
        <f t="shared" si="2"/>
        <v>29546.636583495725</v>
      </c>
      <c r="J5" s="206">
        <f t="shared" si="2"/>
        <v>30137.569315165645</v>
      </c>
      <c r="K5" s="809" t="s">
        <v>261</v>
      </c>
      <c r="M5" s="489"/>
    </row>
    <row r="6" spans="2:13" s="74" customFormat="1">
      <c r="B6" s="247" t="str">
        <f>B95</f>
        <v>Enological materials / addetives</v>
      </c>
      <c r="C6" s="205" t="s">
        <v>255</v>
      </c>
      <c r="D6" s="206">
        <f t="shared" ref="D6:J6" si="3">E107</f>
        <v>3342.9045727750627</v>
      </c>
      <c r="E6" s="206">
        <f t="shared" si="3"/>
        <v>3367.2581342333583</v>
      </c>
      <c r="F6" s="206">
        <f t="shared" si="3"/>
        <v>3442.5617596276752</v>
      </c>
      <c r="G6" s="206">
        <f t="shared" si="3"/>
        <v>3511.412994820229</v>
      </c>
      <c r="H6" s="206">
        <f t="shared" si="3"/>
        <v>3581.6412547166337</v>
      </c>
      <c r="I6" s="206">
        <f t="shared" si="3"/>
        <v>3653.2740798109662</v>
      </c>
      <c r="J6" s="206">
        <f t="shared" si="3"/>
        <v>3726.3395614071856</v>
      </c>
      <c r="K6" s="809" t="s">
        <v>105</v>
      </c>
      <c r="M6" s="489"/>
    </row>
    <row r="7" spans="2:13" s="74" customFormat="1">
      <c r="B7" s="247" t="str">
        <f>B116</f>
        <v>Operational costs</v>
      </c>
      <c r="C7" s="205" t="s">
        <v>255</v>
      </c>
      <c r="D7" s="206">
        <f t="shared" ref="D7:J7" si="4">E128</f>
        <v>17432.469119031208</v>
      </c>
      <c r="E7" s="206">
        <f t="shared" si="4"/>
        <v>24682.085583753407</v>
      </c>
      <c r="F7" s="206">
        <f t="shared" si="4"/>
        <v>25175.727295428471</v>
      </c>
      <c r="G7" s="206">
        <f t="shared" si="4"/>
        <v>25679.24184133704</v>
      </c>
      <c r="H7" s="206">
        <f t="shared" si="4"/>
        <v>26192.826678163783</v>
      </c>
      <c r="I7" s="206">
        <f t="shared" si="4"/>
        <v>26716.683211727061</v>
      </c>
      <c r="J7" s="206">
        <f t="shared" si="4"/>
        <v>27251.016875961599</v>
      </c>
      <c r="K7" s="809" t="s">
        <v>105</v>
      </c>
      <c r="M7" s="489"/>
    </row>
    <row r="8" spans="2:13" s="74" customFormat="1">
      <c r="B8" s="247" t="s">
        <v>346</v>
      </c>
      <c r="C8" s="205" t="s">
        <v>255</v>
      </c>
      <c r="D8" s="206">
        <f t="shared" ref="D8:J8" si="5">E174</f>
        <v>300.55353822503321</v>
      </c>
      <c r="E8" s="206">
        <f t="shared" ca="1" si="5"/>
        <v>6695.4816075098552</v>
      </c>
      <c r="F8" s="206">
        <f t="shared" ca="1" si="5"/>
        <v>3299.2500849763428</v>
      </c>
      <c r="G8" s="206">
        <f t="shared" ca="1" si="5"/>
        <v>5371.3372588669035</v>
      </c>
      <c r="H8" s="206">
        <f t="shared" ca="1" si="5"/>
        <v>6413.7719452652655</v>
      </c>
      <c r="I8" s="206">
        <f t="shared" ca="1" si="5"/>
        <v>6669.833846046984</v>
      </c>
      <c r="J8" s="206">
        <f t="shared" ca="1" si="5"/>
        <v>6803.2305229679232</v>
      </c>
      <c r="K8" s="809" t="s">
        <v>105</v>
      </c>
      <c r="M8" s="489"/>
    </row>
    <row r="9" spans="2:13" s="74" customFormat="1">
      <c r="B9" s="247" t="str">
        <f>B176</f>
        <v>Bottling</v>
      </c>
      <c r="C9" s="205" t="s">
        <v>255</v>
      </c>
      <c r="D9" s="206">
        <f t="shared" ref="D9:J9" ca="1" si="6">E206</f>
        <v>7533.9650834292233</v>
      </c>
      <c r="E9" s="206">
        <f t="shared" ca="1" si="6"/>
        <v>182713.21044157376</v>
      </c>
      <c r="F9" s="206">
        <f t="shared" ca="1" si="6"/>
        <v>89089.967994956096</v>
      </c>
      <c r="G9" s="206">
        <f t="shared" ca="1" si="6"/>
        <v>145163.85906414976</v>
      </c>
      <c r="H9" s="206">
        <f t="shared" ca="1" si="6"/>
        <v>173309.13726387417</v>
      </c>
      <c r="I9" s="206">
        <f t="shared" ca="1" si="6"/>
        <v>180171.25140617363</v>
      </c>
      <c r="J9" s="206">
        <f t="shared" ca="1" si="6"/>
        <v>183772.21413115258</v>
      </c>
      <c r="K9" s="809" t="s">
        <v>105</v>
      </c>
      <c r="M9" s="489"/>
    </row>
    <row r="10" spans="2:13" s="74" customFormat="1">
      <c r="B10" s="839" t="str">
        <f>Costprice!B9</f>
        <v>Cost settlement with RCE</v>
      </c>
      <c r="C10" s="205" t="s">
        <v>255</v>
      </c>
      <c r="D10" s="206">
        <f ca="1">Costprice!E9</f>
        <v>66911.861933664579</v>
      </c>
      <c r="E10" s="206">
        <f ca="1">Costprice!F9</f>
        <v>102206.1307143857</v>
      </c>
      <c r="F10" s="206">
        <f ca="1">Costprice!G9</f>
        <v>133769.16297550683</v>
      </c>
      <c r="G10" s="206">
        <f ca="1">Costprice!H9</f>
        <v>144749.56274762927</v>
      </c>
      <c r="H10" s="206">
        <f ca="1">Costprice!I9</f>
        <v>147533.95068682119</v>
      </c>
      <c r="I10" s="206">
        <f ca="1">Costprice!J9</f>
        <v>155083.42323182186</v>
      </c>
      <c r="J10" s="206">
        <f ca="1">Costprice!K9</f>
        <v>159976.46932767349</v>
      </c>
      <c r="K10" s="809"/>
      <c r="M10" s="489"/>
    </row>
    <row r="11" spans="2:13" s="74" customFormat="1">
      <c r="B11" s="839" t="str">
        <f>Costprice!B10</f>
        <v>Cost settlement with RCV</v>
      </c>
      <c r="C11" s="205" t="s">
        <v>255</v>
      </c>
      <c r="D11" s="206">
        <f>Costprice!E10</f>
        <v>3685.2099926885285</v>
      </c>
      <c r="E11" s="206">
        <f>Costprice!F10</f>
        <v>168.7263207947521</v>
      </c>
      <c r="F11" s="206">
        <f>Costprice!G10</f>
        <v>168.7263207947521</v>
      </c>
      <c r="G11" s="206">
        <f>Costprice!H10</f>
        <v>168.7263207947521</v>
      </c>
      <c r="H11" s="206">
        <f>Costprice!I10</f>
        <v>168.7263207947521</v>
      </c>
      <c r="I11" s="206">
        <f>Costprice!J10</f>
        <v>168.7263207947521</v>
      </c>
      <c r="J11" s="207">
        <f>Costprice!K10</f>
        <v>168.7263207947521</v>
      </c>
      <c r="K11" s="809"/>
      <c r="M11" s="489"/>
    </row>
    <row r="12" spans="2:13" s="74" customFormat="1">
      <c r="B12" s="839" t="str">
        <f>Costprice!B42</f>
        <v>Costs barrels</v>
      </c>
      <c r="C12" s="205" t="s">
        <v>255</v>
      </c>
      <c r="D12" s="210">
        <f>Costprice!E42</f>
        <v>41055</v>
      </c>
      <c r="E12" s="210">
        <f ca="1">Costprice!F42</f>
        <v>42427.529645999995</v>
      </c>
      <c r="F12" s="210">
        <f ca="1">Costprice!G42</f>
        <v>95870.363377109985</v>
      </c>
      <c r="G12" s="210">
        <f ca="1">Costprice!H42</f>
        <v>91839.3631124034</v>
      </c>
      <c r="H12" s="210">
        <f ca="1">Costprice!I42</f>
        <v>76669.464189478036</v>
      </c>
      <c r="I12" s="210">
        <f ca="1">Costprice!J42</f>
        <v>126732.31197657638</v>
      </c>
      <c r="J12" s="211">
        <f ca="1">Costprice!K42</f>
        <v>98778.126137846935</v>
      </c>
      <c r="K12" s="809"/>
      <c r="M12" s="489"/>
    </row>
    <row r="13" spans="2:13" s="74" customFormat="1">
      <c r="B13" s="840" t="s">
        <v>829</v>
      </c>
      <c r="C13" s="205"/>
      <c r="D13" s="841">
        <f t="shared" ref="D13:J13" ca="1" si="7">SUM(D4:D12)</f>
        <v>303389.09233974339</v>
      </c>
      <c r="E13" s="841">
        <f t="shared" ca="1" si="7"/>
        <v>534462.39512194099</v>
      </c>
      <c r="F13" s="841">
        <f t="shared" ca="1" si="7"/>
        <v>528888.82197900279</v>
      </c>
      <c r="G13" s="841">
        <f t="shared" ca="1" si="7"/>
        <v>598205.27091256157</v>
      </c>
      <c r="H13" s="841">
        <f t="shared" ca="1" si="7"/>
        <v>619225.72126312542</v>
      </c>
      <c r="I13" s="841">
        <f t="shared" ca="1" si="7"/>
        <v>688258.83105544327</v>
      </c>
      <c r="J13" s="841">
        <f t="shared" ca="1" si="7"/>
        <v>673320.71639994613</v>
      </c>
      <c r="K13" s="809"/>
      <c r="M13" s="489"/>
    </row>
    <row r="14" spans="2:13" s="74" customFormat="1">
      <c r="B14" s="839"/>
      <c r="C14" s="205"/>
      <c r="D14" s="206"/>
      <c r="E14" s="206"/>
      <c r="F14" s="206"/>
      <c r="G14" s="206"/>
      <c r="H14" s="206"/>
      <c r="I14" s="206"/>
      <c r="J14" s="206"/>
      <c r="K14" s="809"/>
      <c r="M14" s="489"/>
    </row>
    <row r="15" spans="2:13" s="74" customFormat="1">
      <c r="B15" s="247" t="str">
        <f>B33</f>
        <v>Indirect staff</v>
      </c>
      <c r="C15" s="205" t="s">
        <v>255</v>
      </c>
      <c r="D15" s="206">
        <f>E38</f>
        <v>74174.399999999994</v>
      </c>
      <c r="E15" s="206">
        <f t="shared" ref="E15:J15" si="8">D15*(1+E28)</f>
        <v>76770.503999999986</v>
      </c>
      <c r="F15" s="206">
        <f t="shared" si="8"/>
        <v>78305.914079999988</v>
      </c>
      <c r="G15" s="206">
        <f t="shared" si="8"/>
        <v>79872.032361599995</v>
      </c>
      <c r="H15" s="206">
        <f t="shared" si="8"/>
        <v>81469.473008831992</v>
      </c>
      <c r="I15" s="206">
        <f t="shared" si="8"/>
        <v>83098.862469008629</v>
      </c>
      <c r="J15" s="206">
        <f t="shared" si="8"/>
        <v>84760.839718388801</v>
      </c>
      <c r="K15" s="809" t="s">
        <v>261</v>
      </c>
    </row>
    <row r="16" spans="2:13" s="74" customFormat="1">
      <c r="B16" s="247" t="str">
        <f>B40</f>
        <v>Domestic costs</v>
      </c>
      <c r="C16" s="205" t="s">
        <v>255</v>
      </c>
      <c r="D16" s="206">
        <f>E46</f>
        <v>24900</v>
      </c>
      <c r="E16" s="206">
        <f t="shared" ref="E16:J16" si="9">D16*(1+E28)</f>
        <v>25771.499999999996</v>
      </c>
      <c r="F16" s="206">
        <f t="shared" si="9"/>
        <v>26286.929999999997</v>
      </c>
      <c r="G16" s="206">
        <f t="shared" si="9"/>
        <v>26812.668599999997</v>
      </c>
      <c r="H16" s="206">
        <f t="shared" si="9"/>
        <v>27348.921971999996</v>
      </c>
      <c r="I16" s="206">
        <f t="shared" si="9"/>
        <v>27895.900411439998</v>
      </c>
      <c r="J16" s="206">
        <f t="shared" si="9"/>
        <v>28453.818419668798</v>
      </c>
      <c r="K16" s="809" t="s">
        <v>105</v>
      </c>
    </row>
    <row r="17" spans="2:29" s="74" customFormat="1">
      <c r="B17" s="247" t="str">
        <f>B48</f>
        <v>Third parties</v>
      </c>
      <c r="C17" s="205" t="s">
        <v>255</v>
      </c>
      <c r="D17" s="206">
        <f>E56</f>
        <v>17400</v>
      </c>
      <c r="E17" s="206">
        <f t="shared" ref="E17:J17" si="10">D17*(1+E28)</f>
        <v>18009</v>
      </c>
      <c r="F17" s="206">
        <f t="shared" si="10"/>
        <v>18369.18</v>
      </c>
      <c r="G17" s="206">
        <f t="shared" si="10"/>
        <v>18736.563600000001</v>
      </c>
      <c r="H17" s="206">
        <f t="shared" si="10"/>
        <v>19111.294872000002</v>
      </c>
      <c r="I17" s="206">
        <f t="shared" si="10"/>
        <v>19493.520769440001</v>
      </c>
      <c r="J17" s="206">
        <f t="shared" si="10"/>
        <v>19883.391184828801</v>
      </c>
      <c r="K17" s="809" t="s">
        <v>105</v>
      </c>
    </row>
    <row r="18" spans="2:29" s="74" customFormat="1">
      <c r="B18" s="247" t="str">
        <f>B69</f>
        <v>Insurance costs</v>
      </c>
      <c r="C18" s="205" t="s">
        <v>255</v>
      </c>
      <c r="D18" s="206">
        <f ca="1">C93</f>
        <v>18875.43919931506</v>
      </c>
      <c r="E18" s="206">
        <f t="shared" ref="E18:J18" ca="1" si="11">D93</f>
        <v>27218.862236210785</v>
      </c>
      <c r="F18" s="206">
        <f t="shared" ca="1" si="11"/>
        <v>27824.723930504759</v>
      </c>
      <c r="G18" s="206">
        <f t="shared" ca="1" si="11"/>
        <v>28674.640998707535</v>
      </c>
      <c r="H18" s="206">
        <f t="shared" ca="1" si="11"/>
        <v>28692.623157117545</v>
      </c>
      <c r="I18" s="206">
        <f t="shared" ca="1" si="11"/>
        <v>29411.916119648948</v>
      </c>
      <c r="J18" s="206">
        <f t="shared" ca="1" si="11"/>
        <v>46536.08771057806</v>
      </c>
      <c r="K18" s="809" t="s">
        <v>261</v>
      </c>
      <c r="M18" s="489"/>
    </row>
    <row r="19" spans="2:29" s="74" customFormat="1">
      <c r="B19" s="247" t="s">
        <v>763</v>
      </c>
      <c r="C19" s="205" t="s">
        <v>255</v>
      </c>
      <c r="D19" s="206">
        <f>Capex!G18</f>
        <v>0</v>
      </c>
      <c r="E19" s="206">
        <f>Capex!H18</f>
        <v>82500</v>
      </c>
      <c r="F19" s="206">
        <f>Capex!I18</f>
        <v>52500</v>
      </c>
      <c r="G19" s="206">
        <f>Capex!J18</f>
        <v>45000</v>
      </c>
      <c r="H19" s="206">
        <f>Capex!K18</f>
        <v>45000</v>
      </c>
      <c r="I19" s="206">
        <f>Capex!L18</f>
        <v>37500</v>
      </c>
      <c r="J19" s="206">
        <f>Capex!M18</f>
        <v>37500</v>
      </c>
      <c r="K19" s="809" t="s">
        <v>258</v>
      </c>
      <c r="M19" s="489"/>
    </row>
    <row r="20" spans="2:29" s="74" customFormat="1">
      <c r="B20" s="247" t="s">
        <v>988</v>
      </c>
      <c r="C20" s="205" t="s">
        <v>255</v>
      </c>
      <c r="D20" s="210">
        <f t="shared" ref="D20:J20" si="12">E219</f>
        <v>7500</v>
      </c>
      <c r="E20" s="210">
        <f t="shared" si="12"/>
        <v>7762.4999999999991</v>
      </c>
      <c r="F20" s="210">
        <f t="shared" si="12"/>
        <v>7917.7499999999982</v>
      </c>
      <c r="G20" s="210">
        <f t="shared" si="12"/>
        <v>8076.1049999999987</v>
      </c>
      <c r="H20" s="210">
        <f t="shared" si="12"/>
        <v>8237.6270999999979</v>
      </c>
      <c r="I20" s="210">
        <f t="shared" si="12"/>
        <v>0</v>
      </c>
      <c r="J20" s="210">
        <f t="shared" si="12"/>
        <v>0</v>
      </c>
      <c r="K20" s="809" t="s">
        <v>105</v>
      </c>
      <c r="M20" s="489"/>
    </row>
    <row r="21" spans="2:29" s="74" customFormat="1">
      <c r="B21" s="254" t="s">
        <v>902</v>
      </c>
      <c r="C21" s="205"/>
      <c r="D21" s="841">
        <f t="shared" ref="D21:J21" ca="1" si="13">SUM(D15:D20)</f>
        <v>142849.83919931506</v>
      </c>
      <c r="E21" s="841">
        <f t="shared" ca="1" si="13"/>
        <v>238032.36623621077</v>
      </c>
      <c r="F21" s="841">
        <f t="shared" ca="1" si="13"/>
        <v>211204.49801050473</v>
      </c>
      <c r="G21" s="841">
        <f t="shared" ca="1" si="13"/>
        <v>207172.01056030754</v>
      </c>
      <c r="H21" s="841">
        <f t="shared" ca="1" si="13"/>
        <v>209859.9401099495</v>
      </c>
      <c r="I21" s="841">
        <f t="shared" ca="1" si="13"/>
        <v>197400.19976953758</v>
      </c>
      <c r="J21" s="841">
        <f t="shared" ca="1" si="13"/>
        <v>217134.13703346445</v>
      </c>
      <c r="K21" s="809"/>
      <c r="M21" s="489"/>
    </row>
    <row r="22" spans="2:29" s="74" customFormat="1">
      <c r="B22" s="254"/>
      <c r="C22" s="205"/>
      <c r="D22" s="841"/>
      <c r="E22" s="841"/>
      <c r="F22" s="841"/>
      <c r="G22" s="841"/>
      <c r="H22" s="841"/>
      <c r="I22" s="841"/>
      <c r="J22" s="841"/>
      <c r="K22" s="809"/>
      <c r="M22" s="489"/>
    </row>
    <row r="23" spans="2:29" s="74" customFormat="1">
      <c r="B23" s="254" t="s">
        <v>941</v>
      </c>
      <c r="C23" s="205" t="s">
        <v>255</v>
      </c>
      <c r="D23" s="841">
        <f t="shared" ref="D23:J23" si="14">E212</f>
        <v>18000</v>
      </c>
      <c r="E23" s="841">
        <f t="shared" si="14"/>
        <v>18630</v>
      </c>
      <c r="F23" s="841">
        <f t="shared" si="14"/>
        <v>19002.599999999999</v>
      </c>
      <c r="G23" s="841">
        <f t="shared" si="14"/>
        <v>19382.651999999998</v>
      </c>
      <c r="H23" s="841">
        <f t="shared" si="14"/>
        <v>19770.305039999999</v>
      </c>
      <c r="I23" s="841">
        <f t="shared" si="14"/>
        <v>20165.711140799998</v>
      </c>
      <c r="J23" s="841">
        <f t="shared" si="14"/>
        <v>20569.025363615998</v>
      </c>
      <c r="K23" s="809" t="s">
        <v>258</v>
      </c>
      <c r="M23" s="489"/>
    </row>
    <row r="24" spans="2:29" s="242" customFormat="1" ht="13.5" thickBot="1">
      <c r="B24" s="254"/>
      <c r="C24" s="205"/>
      <c r="D24" s="841"/>
      <c r="E24" s="841"/>
      <c r="F24" s="841"/>
      <c r="G24" s="841"/>
      <c r="H24" s="841"/>
      <c r="I24" s="841"/>
      <c r="J24" s="841"/>
      <c r="K24" s="809"/>
      <c r="L24" s="74"/>
      <c r="M24" s="489"/>
      <c r="N24" s="74"/>
      <c r="O24" s="74"/>
      <c r="P24" s="74"/>
      <c r="Q24" s="74"/>
      <c r="R24" s="74"/>
      <c r="S24" s="74"/>
      <c r="T24" s="74"/>
      <c r="U24" s="74"/>
      <c r="V24" s="74"/>
      <c r="W24" s="74"/>
      <c r="X24" s="74"/>
      <c r="Y24" s="74"/>
      <c r="Z24" s="74"/>
      <c r="AA24" s="74"/>
      <c r="AB24" s="74"/>
    </row>
    <row r="25" spans="2:29" s="242" customFormat="1" ht="13.5" thickBot="1">
      <c r="B25" s="220" t="s">
        <v>87</v>
      </c>
      <c r="C25" s="516"/>
      <c r="D25" s="652">
        <f t="shared" ref="D25:J25" ca="1" si="15">D13+D21+D23</f>
        <v>464238.93153905845</v>
      </c>
      <c r="E25" s="652">
        <f t="shared" ca="1" si="15"/>
        <v>791124.76135815179</v>
      </c>
      <c r="F25" s="652">
        <f t="shared" ca="1" si="15"/>
        <v>759095.91998950753</v>
      </c>
      <c r="G25" s="652">
        <f t="shared" ca="1" si="15"/>
        <v>824759.9334728691</v>
      </c>
      <c r="H25" s="652">
        <f t="shared" ca="1" si="15"/>
        <v>848855.96641307487</v>
      </c>
      <c r="I25" s="652">
        <f t="shared" ca="1" si="15"/>
        <v>905824.74196578085</v>
      </c>
      <c r="J25" s="652">
        <f t="shared" ca="1" si="15"/>
        <v>911023.87879702658</v>
      </c>
      <c r="K25" s="216">
        <v>0.2</v>
      </c>
      <c r="L25" s="74"/>
      <c r="M25" s="489"/>
      <c r="N25" s="74"/>
      <c r="O25" s="74"/>
      <c r="P25" s="74"/>
      <c r="Q25" s="74"/>
      <c r="R25" s="74"/>
      <c r="S25" s="74"/>
      <c r="T25" s="74"/>
      <c r="U25" s="74"/>
      <c r="V25" s="74"/>
      <c r="W25" s="74"/>
      <c r="X25" s="74"/>
      <c r="Y25" s="74"/>
      <c r="Z25" s="74"/>
      <c r="AA25" s="74"/>
      <c r="AB25" s="74"/>
    </row>
    <row r="26" spans="2:29" s="242" customFormat="1" ht="13.5" thickBot="1">
      <c r="B26" s="515"/>
      <c r="C26" s="515"/>
      <c r="D26" s="74"/>
      <c r="E26" s="163"/>
      <c r="F26" s="163"/>
      <c r="G26" s="163"/>
      <c r="H26" s="163"/>
      <c r="I26" s="163"/>
      <c r="J26" s="163"/>
      <c r="K26" s="163"/>
      <c r="L26" s="74"/>
      <c r="M26" s="489"/>
      <c r="N26" s="74"/>
      <c r="O26" s="74"/>
      <c r="P26" s="74"/>
      <c r="Q26" s="74"/>
      <c r="R26" s="74"/>
      <c r="S26" s="74"/>
      <c r="T26" s="74"/>
      <c r="U26" s="74"/>
      <c r="V26" s="74"/>
      <c r="W26" s="74"/>
      <c r="X26" s="74"/>
      <c r="Y26" s="74"/>
      <c r="Z26" s="74"/>
      <c r="AA26" s="74"/>
      <c r="AB26" s="74"/>
      <c r="AC26" s="78"/>
    </row>
    <row r="27" spans="2:29" s="242" customFormat="1" ht="13.5" thickBot="1">
      <c r="B27" s="243"/>
      <c r="C27" s="244"/>
      <c r="D27" s="617">
        <f>D3</f>
        <v>2023</v>
      </c>
      <c r="E27" s="617">
        <f t="shared" ref="E27:J27" si="16">D27+1</f>
        <v>2024</v>
      </c>
      <c r="F27" s="617">
        <f t="shared" si="16"/>
        <v>2025</v>
      </c>
      <c r="G27" s="617">
        <f t="shared" si="16"/>
        <v>2026</v>
      </c>
      <c r="H27" s="617">
        <f t="shared" si="16"/>
        <v>2027</v>
      </c>
      <c r="I27" s="617">
        <f t="shared" si="16"/>
        <v>2028</v>
      </c>
      <c r="J27" s="618">
        <f t="shared" si="16"/>
        <v>2029</v>
      </c>
      <c r="K27" s="163"/>
      <c r="L27" s="74"/>
      <c r="M27" s="489"/>
      <c r="N27" s="74"/>
      <c r="O27" s="74"/>
      <c r="P27" s="74"/>
      <c r="Q27" s="74"/>
      <c r="R27" s="74"/>
      <c r="S27" s="74"/>
      <c r="T27" s="74"/>
      <c r="U27" s="74"/>
      <c r="V27" s="74"/>
      <c r="W27" s="74"/>
      <c r="X27" s="74"/>
      <c r="Y27" s="74"/>
      <c r="Z27" s="74"/>
      <c r="AA27" s="74"/>
      <c r="AB27" s="74"/>
      <c r="AC27" s="78"/>
    </row>
    <row r="28" spans="2:29" s="242" customFormat="1" ht="13.5" thickBot="1">
      <c r="B28" s="254" t="s">
        <v>169</v>
      </c>
      <c r="C28" s="241"/>
      <c r="D28" s="522">
        <v>4.9000000000000002E-2</v>
      </c>
      <c r="E28" s="522">
        <v>3.5000000000000003E-2</v>
      </c>
      <c r="F28" s="523">
        <v>0.02</v>
      </c>
      <c r="G28" s="523">
        <v>0.02</v>
      </c>
      <c r="H28" s="523">
        <v>0.02</v>
      </c>
      <c r="I28" s="523">
        <v>0.02</v>
      </c>
      <c r="J28" s="615">
        <v>0.02</v>
      </c>
      <c r="K28" s="163"/>
      <c r="L28" s="74"/>
      <c r="M28" s="249" t="s">
        <v>715</v>
      </c>
      <c r="N28" s="518">
        <f>D3</f>
        <v>2023</v>
      </c>
      <c r="O28" s="518">
        <f t="shared" ref="O28:T28" si="17">E27</f>
        <v>2024</v>
      </c>
      <c r="P28" s="518">
        <f t="shared" si="17"/>
        <v>2025</v>
      </c>
      <c r="Q28" s="518">
        <f t="shared" si="17"/>
        <v>2026</v>
      </c>
      <c r="R28" s="518">
        <f t="shared" si="17"/>
        <v>2027</v>
      </c>
      <c r="S28" s="518">
        <f t="shared" si="17"/>
        <v>2028</v>
      </c>
      <c r="T28" s="645">
        <f t="shared" si="17"/>
        <v>2029</v>
      </c>
      <c r="U28" s="244"/>
      <c r="V28" s="525" t="s">
        <v>620</v>
      </c>
      <c r="W28" s="526"/>
      <c r="X28" s="526"/>
      <c r="Y28" s="526"/>
      <c r="Z28" s="526"/>
      <c r="AA28" s="526"/>
      <c r="AB28" s="481"/>
      <c r="AC28" s="78"/>
    </row>
    <row r="29" spans="2:29" s="242" customFormat="1" ht="13.5" thickBot="1">
      <c r="B29" s="246"/>
      <c r="C29" s="517"/>
      <c r="D29" s="524">
        <f>1+D28</f>
        <v>1.0489999999999999</v>
      </c>
      <c r="E29" s="524">
        <f t="shared" ref="E29:J29" si="18">D29*(1+E28)</f>
        <v>1.0857149999999998</v>
      </c>
      <c r="F29" s="524">
        <f t="shared" si="18"/>
        <v>1.1074292999999997</v>
      </c>
      <c r="G29" s="524">
        <f t="shared" si="18"/>
        <v>1.1295778859999996</v>
      </c>
      <c r="H29" s="524">
        <f t="shared" si="18"/>
        <v>1.1521694437199996</v>
      </c>
      <c r="I29" s="524">
        <f t="shared" si="18"/>
        <v>1.1752128325943996</v>
      </c>
      <c r="J29" s="616">
        <f t="shared" si="18"/>
        <v>1.1987170892462875</v>
      </c>
      <c r="K29" s="163"/>
      <c r="L29" s="74"/>
      <c r="M29" s="247"/>
      <c r="T29" s="248"/>
      <c r="V29" s="525"/>
      <c r="W29" s="526"/>
      <c r="X29" s="526"/>
      <c r="Y29" s="244"/>
      <c r="Z29" s="244"/>
      <c r="AA29" s="244"/>
      <c r="AB29" s="245"/>
      <c r="AC29" s="78"/>
    </row>
    <row r="30" spans="2:29" s="242" customFormat="1" ht="13.5" thickBot="1">
      <c r="K30" s="163"/>
      <c r="L30" s="74"/>
      <c r="M30" s="254" t="s">
        <v>482</v>
      </c>
      <c r="N30" s="462"/>
      <c r="O30" s="462"/>
      <c r="P30" s="462"/>
      <c r="Q30" s="462"/>
      <c r="R30" s="462"/>
      <c r="S30" s="462"/>
      <c r="T30" s="646"/>
      <c r="V30" s="113" t="s">
        <v>490</v>
      </c>
      <c r="W30" s="480">
        <v>95000</v>
      </c>
      <c r="X30" s="481"/>
      <c r="Y30" s="244"/>
      <c r="Z30" s="244"/>
      <c r="AA30" s="244"/>
      <c r="AB30" s="245"/>
      <c r="AC30" s="78"/>
    </row>
    <row r="31" spans="2:29" s="242" customFormat="1" ht="13.5" thickBot="1">
      <c r="B31" s="249" t="s">
        <v>707</v>
      </c>
      <c r="C31" s="244"/>
      <c r="D31" s="244"/>
      <c r="E31" s="245"/>
      <c r="K31" s="163"/>
      <c r="L31" s="74"/>
      <c r="M31" s="247" t="s">
        <v>542</v>
      </c>
      <c r="N31" s="462">
        <f>'Prod info'!E49</f>
        <v>72697</v>
      </c>
      <c r="O31" s="462">
        <f>'Prod info'!F49</f>
        <v>94885</v>
      </c>
      <c r="P31" s="462">
        <f>'Prod info'!G49</f>
        <v>110572.75</v>
      </c>
      <c r="Q31" s="462">
        <f>'Prod info'!H49</f>
        <v>111125.61374999997</v>
      </c>
      <c r="R31" s="462">
        <f>'Prod info'!I49</f>
        <v>111125.61374999997</v>
      </c>
      <c r="S31" s="462">
        <f>'Prod info'!J49</f>
        <v>111125.61374999997</v>
      </c>
      <c r="T31" s="646">
        <f>'Prod info'!K49</f>
        <v>111125.61374999997</v>
      </c>
      <c r="V31" s="247"/>
      <c r="AB31" s="248"/>
      <c r="AC31" s="78"/>
    </row>
    <row r="32" spans="2:29" s="242" customFormat="1">
      <c r="B32" s="247"/>
      <c r="E32" s="248"/>
      <c r="K32" s="163"/>
      <c r="L32" s="74"/>
      <c r="M32" s="247" t="s">
        <v>731</v>
      </c>
      <c r="N32" s="462">
        <f>$W$34</f>
        <v>5457</v>
      </c>
      <c r="O32" s="462">
        <f t="shared" ref="O32:T32" si="19">$W$34</f>
        <v>5457</v>
      </c>
      <c r="P32" s="462">
        <f>$W$34</f>
        <v>5457</v>
      </c>
      <c r="Q32" s="462">
        <f t="shared" si="19"/>
        <v>5457</v>
      </c>
      <c r="R32" s="462">
        <f t="shared" si="19"/>
        <v>5457</v>
      </c>
      <c r="S32" s="462">
        <f t="shared" si="19"/>
        <v>5457</v>
      </c>
      <c r="T32" s="646">
        <f t="shared" si="19"/>
        <v>5457</v>
      </c>
      <c r="V32" s="249" t="s">
        <v>482</v>
      </c>
      <c r="W32" s="477" t="s">
        <v>26</v>
      </c>
      <c r="X32" s="478" t="s">
        <v>493</v>
      </c>
      <c r="Z32" s="249" t="s">
        <v>485</v>
      </c>
      <c r="AA32" s="244" t="s">
        <v>26</v>
      </c>
      <c r="AB32" s="245" t="s">
        <v>502</v>
      </c>
      <c r="AC32" s="78"/>
    </row>
    <row r="33" spans="2:29" s="242" customFormat="1">
      <c r="B33" s="8" t="s">
        <v>708</v>
      </c>
      <c r="C33" s="78"/>
      <c r="D33" s="78"/>
      <c r="E33" s="80"/>
      <c r="L33" s="74"/>
      <c r="M33" s="247" t="s">
        <v>495</v>
      </c>
      <c r="N33" s="462">
        <f>N31/N32</f>
        <v>13.32178852849551</v>
      </c>
      <c r="O33" s="462">
        <f t="shared" ref="O33:T33" si="20">O31/O32</f>
        <v>17.387758841854499</v>
      </c>
      <c r="P33" s="462">
        <f>P31/P32</f>
        <v>20.262552684625252</v>
      </c>
      <c r="Q33" s="462">
        <f t="shared" si="20"/>
        <v>20.363865448048372</v>
      </c>
      <c r="R33" s="462">
        <f t="shared" si="20"/>
        <v>20.363865448048372</v>
      </c>
      <c r="S33" s="462">
        <f t="shared" si="20"/>
        <v>20.363865448048372</v>
      </c>
      <c r="T33" s="646">
        <f t="shared" si="20"/>
        <v>20.363865448048372</v>
      </c>
      <c r="V33" s="8" t="s">
        <v>513</v>
      </c>
      <c r="W33" s="103">
        <f>W30</f>
        <v>95000</v>
      </c>
      <c r="X33" s="80"/>
      <c r="Z33" s="247" t="s">
        <v>507</v>
      </c>
      <c r="AA33" s="242">
        <v>0.28000000000000003</v>
      </c>
      <c r="AB33" s="248"/>
      <c r="AC33" s="78"/>
    </row>
    <row r="34" spans="2:29" s="242" customFormat="1">
      <c r="B34" s="8" t="s">
        <v>106</v>
      </c>
      <c r="C34" s="78" t="s">
        <v>711</v>
      </c>
      <c r="D34" s="78" t="s">
        <v>649</v>
      </c>
      <c r="E34" s="80" t="s">
        <v>107</v>
      </c>
      <c r="L34" s="74"/>
      <c r="M34" s="247" t="s">
        <v>733</v>
      </c>
      <c r="N34" s="609">
        <f>W44*D29</f>
        <v>34.640687096774194</v>
      </c>
      <c r="O34" s="609">
        <f t="shared" ref="O34:T34" si="21">N34*E28+N34</f>
        <v>35.853111145161293</v>
      </c>
      <c r="P34" s="609">
        <f t="shared" si="21"/>
        <v>36.570173368064516</v>
      </c>
      <c r="Q34" s="609">
        <f t="shared" si="21"/>
        <v>37.301576835425806</v>
      </c>
      <c r="R34" s="609">
        <f t="shared" si="21"/>
        <v>38.04760837213432</v>
      </c>
      <c r="S34" s="609">
        <f t="shared" si="21"/>
        <v>38.808560539577009</v>
      </c>
      <c r="T34" s="647">
        <f t="shared" si="21"/>
        <v>39.584731750368547</v>
      </c>
      <c r="V34" s="8" t="s">
        <v>497</v>
      </c>
      <c r="W34" s="467">
        <v>5457</v>
      </c>
      <c r="X34" s="80"/>
      <c r="Z34" s="247" t="s">
        <v>503</v>
      </c>
      <c r="AA34" s="242">
        <v>675</v>
      </c>
      <c r="AB34" s="248"/>
      <c r="AC34" s="78"/>
    </row>
    <row r="35" spans="2:29" s="242" customFormat="1">
      <c r="B35" s="8" t="s">
        <v>709</v>
      </c>
      <c r="C35" s="498">
        <v>1</v>
      </c>
      <c r="D35" s="605">
        <v>3500</v>
      </c>
      <c r="E35" s="468">
        <f>D35*12*C35</f>
        <v>42000</v>
      </c>
      <c r="L35" s="74"/>
      <c r="M35" s="254" t="str">
        <f>V45</f>
        <v>Total staff costs</v>
      </c>
      <c r="N35" s="612">
        <f t="shared" ref="N35:T35" si="22">N33*N34</f>
        <v>461.47590798500892</v>
      </c>
      <c r="O35" s="612">
        <f t="shared" si="22"/>
        <v>623.40525032227038</v>
      </c>
      <c r="P35" s="612">
        <f t="shared" si="22"/>
        <v>741.00506455628658</v>
      </c>
      <c r="Q35" s="612">
        <f t="shared" si="22"/>
        <v>759.60429167664915</v>
      </c>
      <c r="R35" s="612">
        <f t="shared" si="22"/>
        <v>774.79637751018208</v>
      </c>
      <c r="S35" s="612">
        <f t="shared" si="22"/>
        <v>790.29230506038573</v>
      </c>
      <c r="T35" s="648">
        <f t="shared" si="22"/>
        <v>806.09815116159348</v>
      </c>
      <c r="V35" s="8" t="s">
        <v>495</v>
      </c>
      <c r="W35" s="78">
        <f>W33/W34</f>
        <v>17.408832691955286</v>
      </c>
      <c r="X35" s="80"/>
      <c r="Z35" s="8" t="s">
        <v>504</v>
      </c>
      <c r="AA35" s="464">
        <f>AA33*AA34</f>
        <v>189.00000000000003</v>
      </c>
      <c r="AB35" s="80"/>
      <c r="AC35" s="78"/>
    </row>
    <row r="36" spans="2:29" s="242" customFormat="1">
      <c r="B36" s="8" t="s">
        <v>1197</v>
      </c>
      <c r="C36" s="498">
        <v>1</v>
      </c>
      <c r="D36" s="605">
        <v>2560</v>
      </c>
      <c r="E36" s="468">
        <f>D36*12*C36</f>
        <v>30720</v>
      </c>
      <c r="M36" s="247"/>
      <c r="T36" s="248"/>
      <c r="V36" s="8"/>
      <c r="W36" s="78"/>
      <c r="X36" s="80"/>
      <c r="Z36" s="8"/>
      <c r="AA36" s="78"/>
      <c r="AB36" s="80"/>
      <c r="AC36" s="78"/>
    </row>
    <row r="37" spans="2:29" s="242" customFormat="1">
      <c r="B37" s="8" t="s">
        <v>710</v>
      </c>
      <c r="C37" s="606">
        <v>0.02</v>
      </c>
      <c r="D37" s="103">
        <f>SUM(D35:D36)*C37</f>
        <v>121.2</v>
      </c>
      <c r="E37" s="542">
        <f>D37*12</f>
        <v>1454.4</v>
      </c>
      <c r="M37" s="254" t="str">
        <f>Z32</f>
        <v>Digging</v>
      </c>
      <c r="T37" s="248"/>
      <c r="V37" s="8" t="s">
        <v>525</v>
      </c>
      <c r="W37" s="78"/>
      <c r="X37" s="80" t="s">
        <v>528</v>
      </c>
      <c r="Z37" s="247" t="s">
        <v>505</v>
      </c>
      <c r="AA37" s="482">
        <v>2.7789999999999999</v>
      </c>
      <c r="AB37" s="248"/>
      <c r="AC37" s="78"/>
    </row>
    <row r="38" spans="2:29" s="242" customFormat="1">
      <c r="B38" s="229" t="s">
        <v>26</v>
      </c>
      <c r="C38" s="78"/>
      <c r="D38" s="78"/>
      <c r="E38" s="463">
        <f>SUM(E35:E37)</f>
        <v>74174.399999999994</v>
      </c>
      <c r="M38" s="247" t="str">
        <f>Z35</f>
        <v>Total decari</v>
      </c>
      <c r="N38" s="462">
        <f>AA35</f>
        <v>189.00000000000003</v>
      </c>
      <c r="O38" s="462">
        <f t="shared" ref="O38:T39" si="23">N38</f>
        <v>189.00000000000003</v>
      </c>
      <c r="P38" s="462">
        <f t="shared" si="23"/>
        <v>189.00000000000003</v>
      </c>
      <c r="Q38" s="462">
        <f t="shared" si="23"/>
        <v>189.00000000000003</v>
      </c>
      <c r="R38" s="462">
        <f t="shared" si="23"/>
        <v>189.00000000000003</v>
      </c>
      <c r="S38" s="462">
        <f t="shared" si="23"/>
        <v>189.00000000000003</v>
      </c>
      <c r="T38" s="646">
        <f t="shared" si="23"/>
        <v>189.00000000000003</v>
      </c>
      <c r="V38" s="8" t="s">
        <v>483</v>
      </c>
      <c r="W38" s="78">
        <v>20</v>
      </c>
      <c r="X38" s="232">
        <v>27.7</v>
      </c>
      <c r="Z38" s="8" t="s">
        <v>498</v>
      </c>
      <c r="AA38" s="78">
        <v>4</v>
      </c>
      <c r="AB38" s="80"/>
      <c r="AC38" s="78"/>
    </row>
    <row r="39" spans="2:29" s="242" customFormat="1">
      <c r="B39" s="8"/>
      <c r="C39" s="78"/>
      <c r="D39" s="78"/>
      <c r="E39" s="80"/>
      <c r="M39" s="247" t="str">
        <f>Z37</f>
        <v>Everage decari per day</v>
      </c>
      <c r="N39" s="613">
        <f>AA37</f>
        <v>2.7789999999999999</v>
      </c>
      <c r="O39" s="613">
        <f t="shared" si="23"/>
        <v>2.7789999999999999</v>
      </c>
      <c r="P39" s="613">
        <f t="shared" si="23"/>
        <v>2.7789999999999999</v>
      </c>
      <c r="Q39" s="613">
        <f t="shared" si="23"/>
        <v>2.7789999999999999</v>
      </c>
      <c r="R39" s="613">
        <f t="shared" si="23"/>
        <v>2.7789999999999999</v>
      </c>
      <c r="S39" s="613">
        <f t="shared" si="23"/>
        <v>2.7789999999999999</v>
      </c>
      <c r="T39" s="649">
        <f t="shared" si="23"/>
        <v>2.7789999999999999</v>
      </c>
      <c r="V39" s="8" t="s">
        <v>484</v>
      </c>
      <c r="W39" s="78">
        <v>4</v>
      </c>
      <c r="X39" s="80">
        <v>43.06</v>
      </c>
      <c r="Z39" s="8" t="s">
        <v>506</v>
      </c>
      <c r="AA39" s="483">
        <v>35</v>
      </c>
      <c r="AB39" s="80"/>
      <c r="AC39" s="78"/>
    </row>
    <row r="40" spans="2:29" s="242" customFormat="1">
      <c r="B40" s="229" t="s">
        <v>716</v>
      </c>
      <c r="C40" s="78"/>
      <c r="D40" s="87" t="s">
        <v>649</v>
      </c>
      <c r="E40" s="611" t="s">
        <v>107</v>
      </c>
      <c r="M40" s="247" t="str">
        <f>M33</f>
        <v>Days</v>
      </c>
      <c r="N40" s="462">
        <f>N38/N39</f>
        <v>68.010075566750643</v>
      </c>
      <c r="O40" s="462">
        <f t="shared" ref="O40:T40" si="24">O38/O39</f>
        <v>68.010075566750643</v>
      </c>
      <c r="P40" s="462">
        <f t="shared" si="24"/>
        <v>68.010075566750643</v>
      </c>
      <c r="Q40" s="462">
        <f t="shared" si="24"/>
        <v>68.010075566750643</v>
      </c>
      <c r="R40" s="462">
        <f t="shared" si="24"/>
        <v>68.010075566750643</v>
      </c>
      <c r="S40" s="462">
        <f t="shared" si="24"/>
        <v>68.010075566750643</v>
      </c>
      <c r="T40" s="646">
        <f t="shared" si="24"/>
        <v>68.010075566750643</v>
      </c>
      <c r="V40" s="8" t="s">
        <v>526</v>
      </c>
      <c r="W40" s="78">
        <v>3</v>
      </c>
      <c r="X40" s="80">
        <v>44.58</v>
      </c>
      <c r="Z40" s="8" t="s">
        <v>495</v>
      </c>
      <c r="AA40" s="89">
        <f>AA35/AA37</f>
        <v>68.010075566750643</v>
      </c>
      <c r="AB40" s="80"/>
      <c r="AC40" s="78"/>
    </row>
    <row r="41" spans="2:29" s="242" customFormat="1">
      <c r="B41" s="8" t="s">
        <v>141</v>
      </c>
      <c r="C41" s="78"/>
      <c r="D41" s="78">
        <v>300</v>
      </c>
      <c r="E41" s="508">
        <f t="shared" ref="E41:E46" si="25">D41*12</f>
        <v>3600</v>
      </c>
      <c r="M41" s="247" t="s">
        <v>733</v>
      </c>
      <c r="N41" s="609">
        <f>AA39*D29</f>
        <v>36.714999999999996</v>
      </c>
      <c r="O41" s="609">
        <f t="shared" ref="O41:T41" si="26">N41*E28+N41</f>
        <v>38.000024999999994</v>
      </c>
      <c r="P41" s="609">
        <f t="shared" si="26"/>
        <v>38.76002549999999</v>
      </c>
      <c r="Q41" s="609">
        <f t="shared" si="26"/>
        <v>39.535226009999988</v>
      </c>
      <c r="R41" s="609">
        <f t="shared" si="26"/>
        <v>40.32593053019999</v>
      </c>
      <c r="S41" s="609">
        <f t="shared" si="26"/>
        <v>41.132449140803992</v>
      </c>
      <c r="T41" s="647">
        <f t="shared" si="26"/>
        <v>41.955098123620068</v>
      </c>
      <c r="V41" s="8" t="s">
        <v>527</v>
      </c>
      <c r="W41" s="476">
        <v>4</v>
      </c>
      <c r="X41" s="479">
        <v>40.93</v>
      </c>
      <c r="Z41" s="8"/>
      <c r="AA41" s="78"/>
      <c r="AB41" s="80"/>
      <c r="AC41" s="78"/>
    </row>
    <row r="42" spans="2:29" s="242" customFormat="1">
      <c r="B42" s="8" t="s">
        <v>717</v>
      </c>
      <c r="C42" s="78"/>
      <c r="D42" s="78">
        <v>350</v>
      </c>
      <c r="E42" s="508">
        <f t="shared" si="25"/>
        <v>4200</v>
      </c>
      <c r="M42" s="254" t="s">
        <v>499</v>
      </c>
      <c r="N42" s="612">
        <f t="shared" ref="N42:T42" si="27">N40*N41</f>
        <v>2496.9899244332496</v>
      </c>
      <c r="O42" s="612">
        <f t="shared" si="27"/>
        <v>2584.3845717884133</v>
      </c>
      <c r="P42" s="612">
        <f t="shared" si="27"/>
        <v>2636.0722632241814</v>
      </c>
      <c r="Q42" s="612">
        <f t="shared" si="27"/>
        <v>2688.7937084886648</v>
      </c>
      <c r="R42" s="612">
        <f t="shared" si="27"/>
        <v>2742.5695826584383</v>
      </c>
      <c r="S42" s="612">
        <f t="shared" si="27"/>
        <v>2797.4209743116071</v>
      </c>
      <c r="T42" s="648">
        <f t="shared" si="27"/>
        <v>2853.3693937978392</v>
      </c>
      <c r="V42" s="8" t="s">
        <v>26</v>
      </c>
      <c r="W42" s="221">
        <f>W39+W40+W41+W38</f>
        <v>31</v>
      </c>
      <c r="X42" s="80"/>
      <c r="Y42" s="78"/>
      <c r="Z42" s="229" t="s">
        <v>508</v>
      </c>
      <c r="AA42" s="464">
        <f>AA38*AA39*AA40</f>
        <v>9521.4105793450908</v>
      </c>
      <c r="AB42" s="463">
        <f>AA42/W30</f>
        <v>0.10022537451942201</v>
      </c>
      <c r="AC42" s="78"/>
    </row>
    <row r="43" spans="2:29" s="242" customFormat="1">
      <c r="B43" s="8" t="s">
        <v>718</v>
      </c>
      <c r="C43" s="78"/>
      <c r="D43" s="78">
        <v>175</v>
      </c>
      <c r="E43" s="508">
        <f t="shared" si="25"/>
        <v>2100</v>
      </c>
      <c r="M43" s="247"/>
      <c r="T43" s="248"/>
      <c r="V43" s="8"/>
      <c r="W43" s="78"/>
      <c r="X43" s="80"/>
      <c r="Y43" s="78"/>
      <c r="Z43" s="8"/>
      <c r="AA43" s="78"/>
      <c r="AB43" s="463"/>
      <c r="AC43" s="78"/>
    </row>
    <row r="44" spans="2:29" s="242" customFormat="1">
      <c r="B44" s="8" t="s">
        <v>140</v>
      </c>
      <c r="C44" s="78"/>
      <c r="D44" s="78">
        <v>500</v>
      </c>
      <c r="E44" s="508">
        <f t="shared" si="25"/>
        <v>6000</v>
      </c>
      <c r="M44" s="254" t="s">
        <v>487</v>
      </c>
      <c r="T44" s="248"/>
      <c r="V44" s="8" t="s">
        <v>496</v>
      </c>
      <c r="W44" s="610">
        <f>X44/W42</f>
        <v>33.022580645161291</v>
      </c>
      <c r="X44" s="80">
        <f>W38*X38+W39*X39+W40*X40+W41*X41</f>
        <v>1023.7</v>
      </c>
      <c r="Y44" s="78"/>
      <c r="Z44" s="8" t="s">
        <v>500</v>
      </c>
      <c r="AA44" s="78">
        <v>30</v>
      </c>
      <c r="AB44" s="463"/>
      <c r="AC44" s="78"/>
    </row>
    <row r="45" spans="2:29" s="242" customFormat="1">
      <c r="B45" s="8" t="s">
        <v>108</v>
      </c>
      <c r="C45" s="78"/>
      <c r="D45" s="476">
        <v>750</v>
      </c>
      <c r="E45" s="561">
        <f t="shared" si="25"/>
        <v>9000</v>
      </c>
      <c r="M45" s="247" t="str">
        <f>V53</f>
        <v>KG vines</v>
      </c>
      <c r="N45" s="462">
        <f>N31</f>
        <v>72697</v>
      </c>
      <c r="O45" s="462">
        <f t="shared" ref="O45:T45" si="28">O31</f>
        <v>94885</v>
      </c>
      <c r="P45" s="462">
        <f t="shared" si="28"/>
        <v>110572.75</v>
      </c>
      <c r="Q45" s="462">
        <f t="shared" si="28"/>
        <v>111125.61374999997</v>
      </c>
      <c r="R45" s="462">
        <f t="shared" si="28"/>
        <v>111125.61374999997</v>
      </c>
      <c r="S45" s="462">
        <f t="shared" si="28"/>
        <v>111125.61374999997</v>
      </c>
      <c r="T45" s="646">
        <f t="shared" si="28"/>
        <v>111125.61374999997</v>
      </c>
      <c r="V45" s="8" t="s">
        <v>499</v>
      </c>
      <c r="W45" s="464">
        <f>W35*X44</f>
        <v>17821.422026754626</v>
      </c>
      <c r="X45" s="258">
        <f>W45/W33</f>
        <v>0.18759391607110132</v>
      </c>
      <c r="Y45" s="78"/>
      <c r="Z45" s="8" t="s">
        <v>501</v>
      </c>
      <c r="AA45" s="89">
        <f>AA40*AA44</f>
        <v>2040.3022670025193</v>
      </c>
      <c r="AB45" s="463">
        <f>AA45/W30</f>
        <v>2.1476865968447573E-2</v>
      </c>
      <c r="AC45" s="78"/>
    </row>
    <row r="46" spans="2:29">
      <c r="B46" s="229" t="s">
        <v>26</v>
      </c>
      <c r="D46" s="562">
        <f>SUM(D41:D45)</f>
        <v>2075</v>
      </c>
      <c r="E46" s="563">
        <f t="shared" si="25"/>
        <v>24900</v>
      </c>
      <c r="F46" s="242"/>
      <c r="G46" s="242"/>
      <c r="H46" s="242"/>
      <c r="I46" s="242"/>
      <c r="J46" s="242"/>
      <c r="K46" s="242"/>
      <c r="L46" s="242"/>
      <c r="M46" s="614" t="str">
        <f>V55</f>
        <v>Everage vines per staff per day</v>
      </c>
      <c r="N46" s="462">
        <f>W55</f>
        <v>312</v>
      </c>
      <c r="O46" s="462">
        <f t="shared" ref="O46:T46" si="29">N46</f>
        <v>312</v>
      </c>
      <c r="P46" s="462">
        <f t="shared" si="29"/>
        <v>312</v>
      </c>
      <c r="Q46" s="462">
        <f t="shared" si="29"/>
        <v>312</v>
      </c>
      <c r="R46" s="462">
        <f t="shared" si="29"/>
        <v>312</v>
      </c>
      <c r="S46" s="462">
        <f t="shared" si="29"/>
        <v>312</v>
      </c>
      <c r="T46" s="646">
        <f t="shared" si="29"/>
        <v>312</v>
      </c>
      <c r="U46" s="242"/>
      <c r="V46" s="247"/>
      <c r="W46" s="242"/>
      <c r="X46" s="248"/>
      <c r="Z46" s="8"/>
      <c r="AB46" s="80"/>
    </row>
    <row r="47" spans="2:29">
      <c r="B47" s="8"/>
      <c r="E47" s="80"/>
      <c r="F47" s="242"/>
      <c r="G47" s="242"/>
      <c r="H47" s="242"/>
      <c r="I47" s="242"/>
      <c r="J47" s="242"/>
      <c r="K47" s="242"/>
      <c r="L47" s="242"/>
      <c r="M47" s="247" t="str">
        <f>V54</f>
        <v>Total staff in days</v>
      </c>
      <c r="N47" s="462">
        <f t="shared" ref="N47:T47" si="30">N45/N46</f>
        <v>233.00320512820514</v>
      </c>
      <c r="O47" s="462">
        <f t="shared" si="30"/>
        <v>304.11858974358972</v>
      </c>
      <c r="P47" s="462">
        <f t="shared" si="30"/>
        <v>354.39983974358972</v>
      </c>
      <c r="Q47" s="462">
        <f t="shared" si="30"/>
        <v>356.1718389423076</v>
      </c>
      <c r="R47" s="462">
        <f t="shared" si="30"/>
        <v>356.1718389423076</v>
      </c>
      <c r="S47" s="462">
        <f t="shared" si="30"/>
        <v>356.1718389423076</v>
      </c>
      <c r="T47" s="646">
        <f t="shared" si="30"/>
        <v>356.1718389423076</v>
      </c>
      <c r="U47" s="242"/>
      <c r="V47" s="8" t="s">
        <v>500</v>
      </c>
      <c r="W47" s="78">
        <v>40</v>
      </c>
      <c r="X47" s="80"/>
      <c r="Z47" s="8"/>
      <c r="AB47" s="80"/>
    </row>
    <row r="48" spans="2:29">
      <c r="B48" s="229" t="s">
        <v>727</v>
      </c>
      <c r="E48" s="80"/>
      <c r="F48" s="242"/>
      <c r="G48" s="242"/>
      <c r="H48" s="242"/>
      <c r="I48" s="242"/>
      <c r="J48" s="242"/>
      <c r="K48" s="242"/>
      <c r="L48" s="242"/>
      <c r="M48" s="247" t="str">
        <f>V56</f>
        <v>Everage staff per day</v>
      </c>
      <c r="N48" s="462">
        <f>W56</f>
        <v>18.47</v>
      </c>
      <c r="O48" s="462">
        <f t="shared" ref="O48:T48" si="31">N48</f>
        <v>18.47</v>
      </c>
      <c r="P48" s="462">
        <f t="shared" si="31"/>
        <v>18.47</v>
      </c>
      <c r="Q48" s="462">
        <f t="shared" si="31"/>
        <v>18.47</v>
      </c>
      <c r="R48" s="462">
        <f t="shared" si="31"/>
        <v>18.47</v>
      </c>
      <c r="S48" s="462">
        <f t="shared" si="31"/>
        <v>18.47</v>
      </c>
      <c r="T48" s="646">
        <f t="shared" si="31"/>
        <v>18.47</v>
      </c>
      <c r="U48" s="242"/>
      <c r="V48" s="8" t="s">
        <v>501</v>
      </c>
      <c r="W48" s="231">
        <f>W35*W47</f>
        <v>696.35330767821142</v>
      </c>
      <c r="X48" s="461">
        <f>W48/W33</f>
        <v>7.3300348176653833E-3</v>
      </c>
      <c r="Z48" s="8"/>
      <c r="AB48" s="80"/>
    </row>
    <row r="49" spans="2:28" ht="13.5" thickBot="1">
      <c r="B49" s="8" t="s">
        <v>719</v>
      </c>
      <c r="D49" s="78">
        <v>75</v>
      </c>
      <c r="E49" s="508">
        <f t="shared" ref="E49:E56" si="32">D49*12</f>
        <v>900</v>
      </c>
      <c r="L49" s="242"/>
      <c r="M49" s="247" t="s">
        <v>495</v>
      </c>
      <c r="N49" s="462">
        <f>N45/N46/N48</f>
        <v>12.615224966334875</v>
      </c>
      <c r="O49" s="462">
        <f t="shared" ref="O49:T49" si="33">O45/O46/O48</f>
        <v>16.465543570308053</v>
      </c>
      <c r="P49" s="462">
        <f t="shared" si="33"/>
        <v>19.187863548651311</v>
      </c>
      <c r="Q49" s="462">
        <f t="shared" si="33"/>
        <v>19.283802866394566</v>
      </c>
      <c r="R49" s="462">
        <f t="shared" si="33"/>
        <v>19.283802866394566</v>
      </c>
      <c r="S49" s="462">
        <f t="shared" si="33"/>
        <v>19.283802866394566</v>
      </c>
      <c r="T49" s="646">
        <f t="shared" si="33"/>
        <v>19.283802866394566</v>
      </c>
      <c r="U49" s="242"/>
      <c r="V49" s="97"/>
      <c r="W49" s="236"/>
      <c r="X49" s="514"/>
      <c r="Z49" s="97" t="s">
        <v>491</v>
      </c>
      <c r="AA49" s="236" t="s">
        <v>494</v>
      </c>
      <c r="AB49" s="496"/>
    </row>
    <row r="50" spans="2:28" ht="13.5" thickBot="1">
      <c r="B50" s="8" t="s">
        <v>720</v>
      </c>
      <c r="D50" s="78">
        <v>450</v>
      </c>
      <c r="E50" s="508">
        <f t="shared" si="32"/>
        <v>5400</v>
      </c>
      <c r="L50" s="242"/>
      <c r="M50" s="247" t="str">
        <f>V59</f>
        <v>Costs per staff per day</v>
      </c>
      <c r="N50" s="609">
        <f>W59*D29</f>
        <v>36.714999999999996</v>
      </c>
      <c r="O50" s="609">
        <f t="shared" ref="O50:T50" si="34">N50*(1+E28)</f>
        <v>38.000024999999994</v>
      </c>
      <c r="P50" s="609">
        <f t="shared" si="34"/>
        <v>38.760025499999998</v>
      </c>
      <c r="Q50" s="609">
        <f t="shared" si="34"/>
        <v>39.535226009999995</v>
      </c>
      <c r="R50" s="609">
        <f t="shared" si="34"/>
        <v>40.325930530199997</v>
      </c>
      <c r="S50" s="609">
        <f t="shared" si="34"/>
        <v>41.132449140803999</v>
      </c>
      <c r="T50" s="647">
        <f t="shared" si="34"/>
        <v>41.955098123620083</v>
      </c>
      <c r="V50" s="97" t="s">
        <v>491</v>
      </c>
      <c r="W50" s="236" t="s">
        <v>494</v>
      </c>
      <c r="X50" s="514"/>
      <c r="Z50" s="242"/>
      <c r="AA50" s="242"/>
      <c r="AB50" s="248"/>
    </row>
    <row r="51" spans="2:28" ht="13.5" thickBot="1">
      <c r="B51" s="8" t="s">
        <v>721</v>
      </c>
      <c r="D51" s="78">
        <v>150</v>
      </c>
      <c r="E51" s="508">
        <f t="shared" si="32"/>
        <v>1800</v>
      </c>
      <c r="L51" s="242"/>
      <c r="M51" s="229" t="str">
        <f>M42</f>
        <v>Total staff costs</v>
      </c>
      <c r="N51" s="562">
        <f>N49*N50*N48</f>
        <v>8554.7126762820499</v>
      </c>
      <c r="O51" s="562">
        <f t="shared" ref="O51:T51" si="35">O49*O50*O48</f>
        <v>11556.514013221153</v>
      </c>
      <c r="P51" s="562">
        <f t="shared" si="35"/>
        <v>13736.54682565745</v>
      </c>
      <c r="Q51" s="562">
        <f t="shared" si="35"/>
        <v>14081.334150981451</v>
      </c>
      <c r="R51" s="562">
        <f t="shared" si="35"/>
        <v>14362.960834001078</v>
      </c>
      <c r="S51" s="562">
        <f t="shared" si="35"/>
        <v>14650.2200506811</v>
      </c>
      <c r="T51" s="563">
        <f t="shared" si="35"/>
        <v>14943.224451694725</v>
      </c>
      <c r="V51" s="247"/>
      <c r="W51" s="242"/>
      <c r="X51" s="242"/>
      <c r="AB51" s="80"/>
    </row>
    <row r="52" spans="2:28">
      <c r="B52" s="8" t="s">
        <v>723</v>
      </c>
      <c r="D52" s="78">
        <v>125</v>
      </c>
      <c r="E52" s="508">
        <f t="shared" si="32"/>
        <v>1500</v>
      </c>
      <c r="L52" s="242"/>
      <c r="M52" s="8"/>
      <c r="T52" s="80"/>
      <c r="V52" s="249" t="s">
        <v>487</v>
      </c>
      <c r="W52" s="227"/>
      <c r="X52" s="164"/>
      <c r="Z52" s="5" t="s">
        <v>486</v>
      </c>
      <c r="AA52" s="227"/>
      <c r="AB52" s="164"/>
    </row>
    <row r="53" spans="2:28">
      <c r="B53" s="8" t="s">
        <v>724</v>
      </c>
      <c r="D53" s="78">
        <v>125</v>
      </c>
      <c r="E53" s="508">
        <f t="shared" si="32"/>
        <v>1500</v>
      </c>
      <c r="L53" s="242"/>
      <c r="M53" s="229" t="s">
        <v>486</v>
      </c>
      <c r="T53" s="80"/>
      <c r="V53" s="8" t="str">
        <f>V33</f>
        <v>KG vines</v>
      </c>
      <c r="W53" s="462">
        <v>95000</v>
      </c>
      <c r="X53" s="248"/>
      <c r="Z53" s="8" t="str">
        <f>V53</f>
        <v>KG vines</v>
      </c>
      <c r="AA53" s="89">
        <f>W30</f>
        <v>95000</v>
      </c>
      <c r="AB53" s="80"/>
    </row>
    <row r="54" spans="2:28">
      <c r="B54" s="8" t="s">
        <v>725</v>
      </c>
      <c r="D54" s="78">
        <v>325</v>
      </c>
      <c r="E54" s="508">
        <f t="shared" si="32"/>
        <v>3900</v>
      </c>
      <c r="L54" s="242"/>
      <c r="M54" s="8" t="str">
        <f>M45</f>
        <v>KG vines</v>
      </c>
      <c r="N54" s="115">
        <f>N45</f>
        <v>72697</v>
      </c>
      <c r="O54" s="115">
        <f t="shared" ref="O54:T54" si="36">O45</f>
        <v>94885</v>
      </c>
      <c r="P54" s="115">
        <f t="shared" si="36"/>
        <v>110572.75</v>
      </c>
      <c r="Q54" s="115">
        <f t="shared" si="36"/>
        <v>111125.61374999997</v>
      </c>
      <c r="R54" s="115">
        <f t="shared" si="36"/>
        <v>111125.61374999997</v>
      </c>
      <c r="S54" s="115">
        <f t="shared" si="36"/>
        <v>111125.61374999997</v>
      </c>
      <c r="T54" s="508">
        <f t="shared" si="36"/>
        <v>111125.61374999997</v>
      </c>
      <c r="V54" s="8" t="s">
        <v>511</v>
      </c>
      <c r="W54" s="89">
        <f>W57*W56</f>
        <v>304.48717948717945</v>
      </c>
      <c r="X54" s="248"/>
      <c r="Z54" s="8" t="s">
        <v>511</v>
      </c>
      <c r="AA54" s="89">
        <f>AA57*AA55</f>
        <v>324.71999999999986</v>
      </c>
      <c r="AB54" s="80"/>
    </row>
    <row r="55" spans="2:28">
      <c r="B55" s="8" t="s">
        <v>726</v>
      </c>
      <c r="D55" s="114">
        <v>200</v>
      </c>
      <c r="E55" s="561">
        <f t="shared" si="32"/>
        <v>2400</v>
      </c>
      <c r="L55" s="242"/>
      <c r="M55" s="8" t="str">
        <f>Z56</f>
        <v>Everage per day</v>
      </c>
      <c r="N55" s="115">
        <f>AA56</f>
        <v>2878.7878787878799</v>
      </c>
      <c r="O55" s="115">
        <f t="shared" ref="O55:T55" si="37">N55</f>
        <v>2878.7878787878799</v>
      </c>
      <c r="P55" s="115">
        <f t="shared" si="37"/>
        <v>2878.7878787878799</v>
      </c>
      <c r="Q55" s="115">
        <f t="shared" si="37"/>
        <v>2878.7878787878799</v>
      </c>
      <c r="R55" s="115">
        <f t="shared" si="37"/>
        <v>2878.7878787878799</v>
      </c>
      <c r="S55" s="115">
        <f t="shared" si="37"/>
        <v>2878.7878787878799</v>
      </c>
      <c r="T55" s="508">
        <f t="shared" si="37"/>
        <v>2878.7878787878799</v>
      </c>
      <c r="V55" s="8" t="s">
        <v>509</v>
      </c>
      <c r="W55" s="465">
        <v>312</v>
      </c>
      <c r="X55" s="80"/>
      <c r="Z55" s="8" t="s">
        <v>495</v>
      </c>
      <c r="AA55" s="78">
        <f>AA53/AA56</f>
        <v>32.999999999999986</v>
      </c>
      <c r="AB55" s="80"/>
    </row>
    <row r="56" spans="2:28" ht="13.5" thickBot="1">
      <c r="B56" s="235" t="s">
        <v>26</v>
      </c>
      <c r="C56" s="236"/>
      <c r="D56" s="564">
        <f>SUM(D49:D55)</f>
        <v>1450</v>
      </c>
      <c r="E56" s="565">
        <f t="shared" si="32"/>
        <v>17400</v>
      </c>
      <c r="L56" s="242"/>
      <c r="M56" s="8" t="str">
        <f>M47</f>
        <v>Total staff in days</v>
      </c>
      <c r="N56" s="115">
        <f t="shared" ref="N56:T56" si="38">N57*N58</f>
        <v>248.48599831578937</v>
      </c>
      <c r="O56" s="115">
        <f t="shared" si="38"/>
        <v>324.32691789473671</v>
      </c>
      <c r="P56" s="115">
        <f t="shared" si="38"/>
        <v>377.94929873684197</v>
      </c>
      <c r="Q56" s="115">
        <f t="shared" si="38"/>
        <v>379.8390452305261</v>
      </c>
      <c r="R56" s="115">
        <f t="shared" si="38"/>
        <v>379.8390452305261</v>
      </c>
      <c r="S56" s="115">
        <f t="shared" si="38"/>
        <v>379.8390452305261</v>
      </c>
      <c r="T56" s="508">
        <f t="shared" si="38"/>
        <v>379.8390452305261</v>
      </c>
      <c r="V56" s="8" t="s">
        <v>498</v>
      </c>
      <c r="W56" s="466">
        <v>18.47</v>
      </c>
      <c r="X56" s="80"/>
      <c r="Z56" s="8" t="s">
        <v>497</v>
      </c>
      <c r="AA56" s="467">
        <v>2878.7878787878799</v>
      </c>
      <c r="AB56" s="80"/>
    </row>
    <row r="57" spans="2:28" ht="13.5" thickBot="1">
      <c r="L57" s="242"/>
      <c r="M57" s="8" t="str">
        <f>Z57</f>
        <v>Everage staff per day</v>
      </c>
      <c r="N57" s="464">
        <f>AA57</f>
        <v>9.84</v>
      </c>
      <c r="O57" s="464">
        <f t="shared" ref="O57:T57" si="39">N57</f>
        <v>9.84</v>
      </c>
      <c r="P57" s="464">
        <f t="shared" si="39"/>
        <v>9.84</v>
      </c>
      <c r="Q57" s="464">
        <f t="shared" si="39"/>
        <v>9.84</v>
      </c>
      <c r="R57" s="464">
        <f t="shared" si="39"/>
        <v>9.84</v>
      </c>
      <c r="S57" s="464">
        <f t="shared" si="39"/>
        <v>9.84</v>
      </c>
      <c r="T57" s="468">
        <f t="shared" si="39"/>
        <v>9.84</v>
      </c>
      <c r="V57" s="8" t="s">
        <v>512</v>
      </c>
      <c r="W57" s="464">
        <f>W53/W55/W56</f>
        <v>16.48549970152569</v>
      </c>
      <c r="X57" s="80"/>
      <c r="Z57" s="8" t="s">
        <v>498</v>
      </c>
      <c r="AA57" s="483">
        <v>9.84</v>
      </c>
      <c r="AB57" s="80"/>
    </row>
    <row r="58" spans="2:28">
      <c r="B58" s="5" t="s">
        <v>728</v>
      </c>
      <c r="C58" s="227" t="s">
        <v>711</v>
      </c>
      <c r="D58" s="227" t="s">
        <v>649</v>
      </c>
      <c r="E58" s="164" t="s">
        <v>107</v>
      </c>
      <c r="L58" s="242"/>
      <c r="M58" s="8" t="str">
        <f>M49</f>
        <v>Days</v>
      </c>
      <c r="N58" s="115">
        <f t="shared" ref="N58:T58" si="40">N54/N55</f>
        <v>25.252642105263149</v>
      </c>
      <c r="O58" s="115">
        <f>O54/O55</f>
        <v>32.960052631578932</v>
      </c>
      <c r="P58" s="115">
        <f t="shared" si="40"/>
        <v>38.409481578947357</v>
      </c>
      <c r="Q58" s="115">
        <f>Q54/Q55</f>
        <v>38.601528986842084</v>
      </c>
      <c r="R58" s="115">
        <f t="shared" si="40"/>
        <v>38.601528986842084</v>
      </c>
      <c r="S58" s="115">
        <f t="shared" si="40"/>
        <v>38.601528986842084</v>
      </c>
      <c r="T58" s="508">
        <f t="shared" si="40"/>
        <v>38.601528986842084</v>
      </c>
      <c r="V58" s="8"/>
      <c r="X58" s="80"/>
      <c r="Z58" s="8" t="s">
        <v>496</v>
      </c>
      <c r="AA58" s="78">
        <f>AA39</f>
        <v>35</v>
      </c>
      <c r="AB58" s="80"/>
    </row>
    <row r="59" spans="2:28">
      <c r="B59" s="213" t="s">
        <v>712</v>
      </c>
      <c r="C59" s="78">
        <v>1</v>
      </c>
      <c r="D59" s="605">
        <v>4607</v>
      </c>
      <c r="E59" s="508">
        <f t="shared" ref="E59:E65" si="41">D59*12*C59</f>
        <v>55284</v>
      </c>
      <c r="L59" s="242"/>
      <c r="M59" s="8" t="str">
        <f>Z58</f>
        <v>Costs per staff per day</v>
      </c>
      <c r="N59" s="114">
        <f t="shared" ref="N59:T59" si="42">N50</f>
        <v>36.714999999999996</v>
      </c>
      <c r="O59" s="114">
        <f>O50</f>
        <v>38.000024999999994</v>
      </c>
      <c r="P59" s="114">
        <f t="shared" si="42"/>
        <v>38.760025499999998</v>
      </c>
      <c r="Q59" s="114">
        <f t="shared" si="42"/>
        <v>39.535226009999995</v>
      </c>
      <c r="R59" s="114">
        <f t="shared" si="42"/>
        <v>40.325930530199997</v>
      </c>
      <c r="S59" s="114">
        <f t="shared" si="42"/>
        <v>41.132449140803999</v>
      </c>
      <c r="T59" s="561">
        <f t="shared" si="42"/>
        <v>41.955098123620083</v>
      </c>
      <c r="V59" s="8" t="str">
        <f>Z58</f>
        <v>Costs per staff per day</v>
      </c>
      <c r="W59" s="78">
        <f>AA58</f>
        <v>35</v>
      </c>
      <c r="X59" s="80"/>
      <c r="Z59" s="8" t="s">
        <v>499</v>
      </c>
      <c r="AA59" s="78">
        <f>AA55*AA57*AA58</f>
        <v>11365.199999999995</v>
      </c>
      <c r="AB59" s="461">
        <f>AA59/AA53</f>
        <v>0.11963368421052627</v>
      </c>
    </row>
    <row r="60" spans="2:28">
      <c r="B60" s="213" t="s">
        <v>713</v>
      </c>
      <c r="C60" s="78">
        <v>1</v>
      </c>
      <c r="D60" s="605">
        <v>2560</v>
      </c>
      <c r="E60" s="508">
        <f t="shared" si="41"/>
        <v>30720</v>
      </c>
      <c r="L60" s="242"/>
      <c r="M60" s="229" t="str">
        <f>M51</f>
        <v>Total staff costs</v>
      </c>
      <c r="N60" s="562">
        <f t="shared" ref="N60:T60" si="43">N57*N59*N58</f>
        <v>9123.1634281642055</v>
      </c>
      <c r="O60" s="562">
        <f t="shared" si="43"/>
        <v>12324.430988172939</v>
      </c>
      <c r="P60" s="562">
        <f t="shared" si="43"/>
        <v>14649.324456747112</v>
      </c>
      <c r="Q60" s="562">
        <f t="shared" si="43"/>
        <v>15017.02250061146</v>
      </c>
      <c r="R60" s="562">
        <f t="shared" si="43"/>
        <v>15317.36295062369</v>
      </c>
      <c r="S60" s="562">
        <f t="shared" si="43"/>
        <v>15623.710209636163</v>
      </c>
      <c r="T60" s="563">
        <f t="shared" si="43"/>
        <v>15936.184413828891</v>
      </c>
      <c r="V60" s="8" t="s">
        <v>510</v>
      </c>
      <c r="W60" s="78">
        <f>W59*W56</f>
        <v>646.44999999999993</v>
      </c>
      <c r="X60" s="80"/>
      <c r="Z60" s="8"/>
      <c r="AB60" s="80"/>
    </row>
    <row r="61" spans="2:28">
      <c r="B61" s="213" t="s">
        <v>714</v>
      </c>
      <c r="C61" s="78">
        <v>1</v>
      </c>
      <c r="D61" s="605">
        <v>1845</v>
      </c>
      <c r="E61" s="508">
        <f t="shared" si="41"/>
        <v>22140</v>
      </c>
      <c r="L61" s="242"/>
      <c r="M61" s="8"/>
      <c r="N61" s="464"/>
      <c r="O61" s="464"/>
      <c r="P61" s="464"/>
      <c r="Q61" s="464"/>
      <c r="R61" s="464"/>
      <c r="S61" s="464"/>
      <c r="T61" s="468"/>
      <c r="V61" s="8" t="s">
        <v>499</v>
      </c>
      <c r="W61" s="103">
        <f>W60*W57</f>
        <v>10657.051282051281</v>
      </c>
      <c r="X61" s="463">
        <f>W61/W53</f>
        <v>0.11217948717948717</v>
      </c>
      <c r="Z61" s="8" t="s">
        <v>500</v>
      </c>
      <c r="AA61" s="78">
        <v>30</v>
      </c>
      <c r="AB61" s="80"/>
    </row>
    <row r="62" spans="2:28">
      <c r="B62" s="213" t="s">
        <v>744</v>
      </c>
      <c r="C62" s="78">
        <v>1</v>
      </c>
      <c r="D62" s="605">
        <v>1335</v>
      </c>
      <c r="E62" s="508">
        <f t="shared" si="41"/>
        <v>16020</v>
      </c>
      <c r="L62" s="242"/>
      <c r="M62" s="229" t="s">
        <v>734</v>
      </c>
      <c r="T62" s="80"/>
      <c r="V62" s="8"/>
      <c r="X62" s="463"/>
      <c r="Z62" s="8" t="s">
        <v>501</v>
      </c>
      <c r="AA62" s="78">
        <f>AA55*AA61</f>
        <v>989.99999999999955</v>
      </c>
      <c r="AB62" s="461">
        <f>AA62/AA53</f>
        <v>1.0421052631578942E-2</v>
      </c>
    </row>
    <row r="63" spans="2:28">
      <c r="B63" s="8" t="s">
        <v>524</v>
      </c>
      <c r="C63" s="78">
        <v>1</v>
      </c>
      <c r="D63" s="605"/>
      <c r="E63" s="508">
        <f t="shared" si="41"/>
        <v>0</v>
      </c>
      <c r="L63" s="242"/>
      <c r="M63" s="8" t="str">
        <f>V69</f>
        <v>KG vines</v>
      </c>
      <c r="N63" s="103">
        <f>N54</f>
        <v>72697</v>
      </c>
      <c r="O63" s="103">
        <f t="shared" ref="O63:T63" si="44">O54</f>
        <v>94885</v>
      </c>
      <c r="P63" s="103">
        <f t="shared" si="44"/>
        <v>110572.75</v>
      </c>
      <c r="Q63" s="103">
        <f t="shared" si="44"/>
        <v>111125.61374999997</v>
      </c>
      <c r="R63" s="103">
        <f t="shared" si="44"/>
        <v>111125.61374999997</v>
      </c>
      <c r="S63" s="103">
        <f t="shared" si="44"/>
        <v>111125.61374999997</v>
      </c>
      <c r="T63" s="228">
        <f t="shared" si="44"/>
        <v>111125.61374999997</v>
      </c>
      <c r="V63" s="8" t="s">
        <v>500</v>
      </c>
      <c r="W63" s="78">
        <v>57.5</v>
      </c>
      <c r="X63" s="463"/>
      <c r="Z63" s="8"/>
      <c r="AB63" s="80"/>
    </row>
    <row r="64" spans="2:28" ht="13.5" thickBot="1">
      <c r="B64" s="213" t="s">
        <v>529</v>
      </c>
      <c r="C64" s="78">
        <v>2</v>
      </c>
      <c r="D64" s="115">
        <v>600</v>
      </c>
      <c r="E64" s="508">
        <f t="shared" si="41"/>
        <v>14400</v>
      </c>
      <c r="L64" s="242"/>
      <c r="M64" s="8" t="str">
        <f>V70</f>
        <v>Everage transport per day</v>
      </c>
      <c r="N64" s="89">
        <f>W70</f>
        <v>7916.666666666667</v>
      </c>
      <c r="O64" s="89">
        <f t="shared" ref="O64:T64" si="45">N64</f>
        <v>7916.666666666667</v>
      </c>
      <c r="P64" s="89">
        <f t="shared" si="45"/>
        <v>7916.666666666667</v>
      </c>
      <c r="Q64" s="89">
        <f t="shared" si="45"/>
        <v>7916.666666666667</v>
      </c>
      <c r="R64" s="89">
        <f t="shared" si="45"/>
        <v>7916.666666666667</v>
      </c>
      <c r="S64" s="89">
        <f t="shared" si="45"/>
        <v>7916.666666666667</v>
      </c>
      <c r="T64" s="230">
        <f t="shared" si="45"/>
        <v>7916.666666666667</v>
      </c>
      <c r="V64" s="8" t="str">
        <f>Z62</f>
        <v>Total fuel costs</v>
      </c>
      <c r="W64" s="103">
        <f>W63*W57</f>
        <v>947.91623283772719</v>
      </c>
      <c r="X64" s="463">
        <f>W64/W53</f>
        <v>9.9780656088181811E-3</v>
      </c>
      <c r="Z64" s="97" t="s">
        <v>491</v>
      </c>
      <c r="AA64" s="236" t="s">
        <v>494</v>
      </c>
      <c r="AB64" s="496"/>
    </row>
    <row r="65" spans="2:28">
      <c r="B65" s="213" t="s">
        <v>854</v>
      </c>
      <c r="C65" s="78">
        <v>1</v>
      </c>
      <c r="D65" s="115">
        <f>1050/12</f>
        <v>87.5</v>
      </c>
      <c r="E65" s="508">
        <f t="shared" si="41"/>
        <v>1050</v>
      </c>
      <c r="L65" s="255"/>
      <c r="M65" s="8" t="str">
        <f>V71</f>
        <v>Days</v>
      </c>
      <c r="N65" s="464">
        <f>N63/N64</f>
        <v>9.1827789473684209</v>
      </c>
      <c r="O65" s="464">
        <f t="shared" ref="O65:T65" si="46">O63/O64</f>
        <v>11.985473684210525</v>
      </c>
      <c r="P65" s="464">
        <f t="shared" si="46"/>
        <v>13.967084210526314</v>
      </c>
      <c r="Q65" s="464">
        <f t="shared" si="46"/>
        <v>14.036919631578943</v>
      </c>
      <c r="R65" s="464">
        <f t="shared" si="46"/>
        <v>14.036919631578943</v>
      </c>
      <c r="S65" s="464">
        <f t="shared" si="46"/>
        <v>14.036919631578943</v>
      </c>
      <c r="T65" s="468">
        <f t="shared" si="46"/>
        <v>14.036919631578943</v>
      </c>
      <c r="V65" s="8"/>
      <c r="X65" s="80"/>
      <c r="AB65" s="80"/>
    </row>
    <row r="66" spans="2:28" ht="13.5" thickBot="1">
      <c r="B66" s="8" t="s">
        <v>729</v>
      </c>
      <c r="C66" s="676">
        <v>0.02</v>
      </c>
      <c r="D66" s="490">
        <f>C66*SUM(D59:D64)</f>
        <v>218.94</v>
      </c>
      <c r="E66" s="561">
        <f>(E59+E60+E61+E62+E64)*C66</f>
        <v>2771.28</v>
      </c>
      <c r="L66" s="255"/>
      <c r="M66" s="8" t="str">
        <f>V72</f>
        <v>Everage staff per day</v>
      </c>
      <c r="N66" s="464">
        <v>8</v>
      </c>
      <c r="O66" s="464">
        <v>8</v>
      </c>
      <c r="P66" s="464">
        <v>8</v>
      </c>
      <c r="Q66" s="464">
        <v>8</v>
      </c>
      <c r="R66" s="464">
        <v>8</v>
      </c>
      <c r="S66" s="464">
        <v>8</v>
      </c>
      <c r="T66" s="468">
        <v>8</v>
      </c>
      <c r="V66" s="97" t="s">
        <v>491</v>
      </c>
      <c r="W66" s="236" t="s">
        <v>143</v>
      </c>
      <c r="X66" s="496"/>
      <c r="AB66" s="80"/>
    </row>
    <row r="67" spans="2:28" ht="13.5" thickBot="1">
      <c r="B67" s="97"/>
      <c r="C67" s="236"/>
      <c r="D67" s="607">
        <f>SUM(D59:D66)</f>
        <v>11253.44</v>
      </c>
      <c r="E67" s="608">
        <f>SUM(E59:E66)</f>
        <v>142385.28</v>
      </c>
      <c r="L67" s="255"/>
      <c r="M67" s="8" t="str">
        <f>V73</f>
        <v>Costs per staff per day</v>
      </c>
      <c r="N67" s="541">
        <f>N59</f>
        <v>36.714999999999996</v>
      </c>
      <c r="O67" s="541">
        <f t="shared" ref="O67:T67" si="47">O59</f>
        <v>38.000024999999994</v>
      </c>
      <c r="P67" s="541">
        <f t="shared" si="47"/>
        <v>38.760025499999998</v>
      </c>
      <c r="Q67" s="541">
        <f t="shared" si="47"/>
        <v>39.535226009999995</v>
      </c>
      <c r="R67" s="541">
        <f t="shared" si="47"/>
        <v>40.325930530199997</v>
      </c>
      <c r="S67" s="541">
        <f t="shared" si="47"/>
        <v>41.132449140803999</v>
      </c>
      <c r="T67" s="542">
        <f t="shared" si="47"/>
        <v>41.955098123620083</v>
      </c>
      <c r="V67" s="8"/>
      <c r="AA67" s="89"/>
      <c r="AB67" s="80"/>
    </row>
    <row r="68" spans="2:28" ht="13.5" thickBot="1">
      <c r="L68" s="255"/>
      <c r="M68" s="229" t="str">
        <f>M51</f>
        <v>Total staff costs</v>
      </c>
      <c r="N68" s="507">
        <f>N65*N66*N67</f>
        <v>2697.1658324210525</v>
      </c>
      <c r="O68" s="507">
        <f t="shared" ref="O68:T68" si="48">O65*O66*O67</f>
        <v>3643.5863970947362</v>
      </c>
      <c r="P68" s="507">
        <f t="shared" si="48"/>
        <v>4330.9163212851781</v>
      </c>
      <c r="Q68" s="507">
        <f t="shared" si="48"/>
        <v>4439.6223209494347</v>
      </c>
      <c r="R68" s="507">
        <f t="shared" si="48"/>
        <v>4528.4147673684238</v>
      </c>
      <c r="S68" s="507">
        <f t="shared" si="48"/>
        <v>4618.9830627157926</v>
      </c>
      <c r="T68" s="650">
        <f t="shared" si="48"/>
        <v>4711.3627239701091</v>
      </c>
      <c r="V68" s="249" t="s">
        <v>488</v>
      </c>
      <c r="W68" s="227"/>
      <c r="X68" s="164"/>
      <c r="AB68" s="80"/>
    </row>
    <row r="69" spans="2:28">
      <c r="B69" s="5" t="s">
        <v>722</v>
      </c>
      <c r="C69" s="511">
        <f t="shared" ref="C69:I69" si="49">D3</f>
        <v>2023</v>
      </c>
      <c r="D69" s="511">
        <f t="shared" si="49"/>
        <v>2024</v>
      </c>
      <c r="E69" s="511">
        <f t="shared" si="49"/>
        <v>2025</v>
      </c>
      <c r="F69" s="511">
        <f t="shared" si="49"/>
        <v>2026</v>
      </c>
      <c r="G69" s="511">
        <f t="shared" si="49"/>
        <v>2027</v>
      </c>
      <c r="H69" s="511">
        <f t="shared" si="49"/>
        <v>2028</v>
      </c>
      <c r="I69" s="808">
        <f t="shared" si="49"/>
        <v>2029</v>
      </c>
      <c r="L69" s="255"/>
      <c r="M69" s="8"/>
      <c r="T69" s="80"/>
      <c r="V69" s="8" t="s">
        <v>513</v>
      </c>
      <c r="W69" s="89">
        <f>AA53</f>
        <v>95000</v>
      </c>
      <c r="X69" s="80"/>
      <c r="Z69" s="89"/>
      <c r="AB69" s="80"/>
    </row>
    <row r="70" spans="2:28">
      <c r="B70" s="8"/>
      <c r="C70" s="904"/>
      <c r="D70" s="904"/>
      <c r="E70" s="904"/>
      <c r="F70" s="904"/>
      <c r="G70" s="904"/>
      <c r="H70" s="904"/>
      <c r="I70" s="80"/>
      <c r="L70" s="255"/>
      <c r="M70" s="229" t="str">
        <f>V82</f>
        <v>Construction maintenance</v>
      </c>
      <c r="T70" s="80"/>
      <c r="V70" s="8" t="s">
        <v>735</v>
      </c>
      <c r="W70" s="467">
        <f>W69/W71</f>
        <v>7916.666666666667</v>
      </c>
      <c r="X70" s="80"/>
      <c r="AB70" s="80"/>
    </row>
    <row r="71" spans="2:28">
      <c r="B71" s="90" t="str">
        <f>'RCE PP&amp;E'!A9</f>
        <v>New buildings</v>
      </c>
      <c r="C71" s="115">
        <f>'RCE PP&amp;E'!C9</f>
        <v>-127.73412310885918</v>
      </c>
      <c r="D71" s="115">
        <f>'RCE PP&amp;E'!D9</f>
        <v>1679361.7976306735</v>
      </c>
      <c r="E71" s="115">
        <f>'RCE PP&amp;E'!E9</f>
        <v>1648596.3293844557</v>
      </c>
      <c r="F71" s="115">
        <f>'RCE PP&amp;E'!F9</f>
        <v>1617830.8611382381</v>
      </c>
      <c r="G71" s="115">
        <f>'RCE PP&amp;E'!G9</f>
        <v>1587065.3928920203</v>
      </c>
      <c r="H71" s="115">
        <f>'RCE PP&amp;E'!H9</f>
        <v>1556299.9246458025</v>
      </c>
      <c r="I71" s="508">
        <f>'RCE PP&amp;E'!I9</f>
        <v>1525534.4563995849</v>
      </c>
      <c r="L71" s="255"/>
      <c r="M71" s="8" t="str">
        <f>V83</f>
        <v>Rows</v>
      </c>
      <c r="N71" s="89">
        <f>W83</f>
        <v>675</v>
      </c>
      <c r="O71" s="89">
        <f t="shared" ref="O71:T72" si="50">N71</f>
        <v>675</v>
      </c>
      <c r="P71" s="89">
        <f t="shared" si="50"/>
        <v>675</v>
      </c>
      <c r="Q71" s="89">
        <f t="shared" si="50"/>
        <v>675</v>
      </c>
      <c r="R71" s="89">
        <f t="shared" si="50"/>
        <v>675</v>
      </c>
      <c r="S71" s="89">
        <f t="shared" si="50"/>
        <v>675</v>
      </c>
      <c r="T71" s="230">
        <f t="shared" si="50"/>
        <v>675</v>
      </c>
      <c r="V71" s="8" t="s">
        <v>495</v>
      </c>
      <c r="W71" s="464">
        <v>12</v>
      </c>
      <c r="X71" s="80"/>
      <c r="Y71" s="242"/>
      <c r="AB71" s="80"/>
    </row>
    <row r="72" spans="2:28">
      <c r="B72" s="90" t="str">
        <f>'RCE PP&amp;E'!A10</f>
        <v>Infrastructure</v>
      </c>
      <c r="C72" s="115">
        <f>'RCE PP&amp;E'!C10</f>
        <v>0</v>
      </c>
      <c r="D72" s="115">
        <f>'RCE PP&amp;E'!D10</f>
        <v>91200</v>
      </c>
      <c r="E72" s="115">
        <f>'RCE PP&amp;E'!E10</f>
        <v>83600</v>
      </c>
      <c r="F72" s="115">
        <f>'RCE PP&amp;E'!F10</f>
        <v>76000</v>
      </c>
      <c r="G72" s="115">
        <f ca="1">'RCE PP&amp;E'!G10</f>
        <v>67061.438259148505</v>
      </c>
      <c r="H72" s="115">
        <f ca="1">'RCE PP&amp;E'!H10</f>
        <v>56784.314777445499</v>
      </c>
      <c r="I72" s="508">
        <f ca="1">'RCE PP&amp;E'!I10</f>
        <v>46507.191295742501</v>
      </c>
      <c r="L72" s="255"/>
      <c r="M72" s="8" t="str">
        <f>V84</f>
        <v>Rows per maintanace day</v>
      </c>
      <c r="N72" s="89">
        <f>W84</f>
        <v>51.923076923076898</v>
      </c>
      <c r="O72" s="89">
        <f t="shared" si="50"/>
        <v>51.923076923076898</v>
      </c>
      <c r="P72" s="89">
        <f t="shared" si="50"/>
        <v>51.923076923076898</v>
      </c>
      <c r="Q72" s="89">
        <f t="shared" si="50"/>
        <v>51.923076923076898</v>
      </c>
      <c r="R72" s="89">
        <f t="shared" si="50"/>
        <v>51.923076923076898</v>
      </c>
      <c r="S72" s="89">
        <f t="shared" si="50"/>
        <v>51.923076923076898</v>
      </c>
      <c r="T72" s="230">
        <f t="shared" si="50"/>
        <v>51.923076923076898</v>
      </c>
      <c r="V72" s="8" t="s">
        <v>498</v>
      </c>
      <c r="W72" s="78">
        <v>8</v>
      </c>
      <c r="X72" s="80"/>
      <c r="Y72" s="242"/>
      <c r="AB72" s="80"/>
    </row>
    <row r="73" spans="2:28">
      <c r="B73" s="90" t="str">
        <f>'RCE PP&amp;E'!A14</f>
        <v>Machinery</v>
      </c>
      <c r="C73" s="2803">
        <f ca="1">'RCE PP&amp;E'!C14</f>
        <v>224475.44364177869</v>
      </c>
      <c r="D73" s="2803">
        <f ca="1">'RCE PP&amp;E'!D14</f>
        <v>428266.57092533604</v>
      </c>
      <c r="E73" s="2803">
        <f ca="1">'RCE PP&amp;E'!E14</f>
        <v>390106.31678452715</v>
      </c>
      <c r="F73" s="2803">
        <f ca="1">'RCE PP&amp;E'!F14</f>
        <v>409901.92155826197</v>
      </c>
      <c r="G73" s="2803">
        <f ca="1">'RCE PP&amp;E'!G14</f>
        <v>356438.04654928815</v>
      </c>
      <c r="H73" s="2803">
        <f ca="1">'RCE PP&amp;E'!H14</f>
        <v>364118.42707604938</v>
      </c>
      <c r="I73" s="92">
        <f ca="1">'RCE PP&amp;E'!I14</f>
        <v>357984.23040840565</v>
      </c>
      <c r="L73" s="255"/>
      <c r="M73" s="8" t="str">
        <f>V85</f>
        <v>Days</v>
      </c>
      <c r="N73" s="89">
        <f t="shared" ref="N73:T73" si="51">N71/N72</f>
        <v>13.000000000000005</v>
      </c>
      <c r="O73" s="89">
        <f t="shared" si="51"/>
        <v>13.000000000000005</v>
      </c>
      <c r="P73" s="89">
        <f t="shared" si="51"/>
        <v>13.000000000000005</v>
      </c>
      <c r="Q73" s="89">
        <f t="shared" si="51"/>
        <v>13.000000000000005</v>
      </c>
      <c r="R73" s="89">
        <f t="shared" si="51"/>
        <v>13.000000000000005</v>
      </c>
      <c r="S73" s="89">
        <f t="shared" si="51"/>
        <v>13.000000000000005</v>
      </c>
      <c r="T73" s="230">
        <f t="shared" si="51"/>
        <v>13.000000000000005</v>
      </c>
      <c r="V73" s="8" t="s">
        <v>496</v>
      </c>
      <c r="W73" s="78">
        <f>AA58</f>
        <v>35</v>
      </c>
      <c r="X73" s="80"/>
      <c r="Y73" s="242"/>
      <c r="AB73" s="80"/>
    </row>
    <row r="74" spans="2:28">
      <c r="B74" s="90" t="str">
        <f>'RCE PP&amp;E'!A15</f>
        <v>Barrels</v>
      </c>
      <c r="C74" s="2803">
        <f>'RCE PP&amp;E'!C15</f>
        <v>82110</v>
      </c>
      <c r="D74" s="2803">
        <f ca="1">'RCE PP&amp;E'!D15</f>
        <v>128655.11858399998</v>
      </c>
      <c r="E74" s="2803">
        <f ca="1">'RCE PP&amp;E'!E15</f>
        <v>128916.27563244</v>
      </c>
      <c r="F74" s="2803">
        <f ca="1">'RCE PP&amp;E'!F15</f>
        <v>172871.66640339355</v>
      </c>
      <c r="G74" s="2803">
        <f ca="1">'RCE PP&amp;E'!G15</f>
        <v>251915.4061655454</v>
      </c>
      <c r="H74" s="2803">
        <f ca="1">'RCE PP&amp;E'!H15</f>
        <v>235481.10371632263</v>
      </c>
      <c r="I74" s="92">
        <f ca="1">'RCE PP&amp;E'!I15</f>
        <v>279695.77937463747</v>
      </c>
      <c r="L74" s="255"/>
      <c r="M74" s="8" t="str">
        <f>V86</f>
        <v>Everage staff per day</v>
      </c>
      <c r="N74" s="89">
        <f>W86</f>
        <v>9.5</v>
      </c>
      <c r="O74" s="89">
        <f t="shared" ref="O74:T74" si="52">N74</f>
        <v>9.5</v>
      </c>
      <c r="P74" s="89">
        <f t="shared" si="52"/>
        <v>9.5</v>
      </c>
      <c r="Q74" s="89">
        <f t="shared" si="52"/>
        <v>9.5</v>
      </c>
      <c r="R74" s="89">
        <f t="shared" si="52"/>
        <v>9.5</v>
      </c>
      <c r="S74" s="89">
        <f t="shared" si="52"/>
        <v>9.5</v>
      </c>
      <c r="T74" s="230">
        <f t="shared" si="52"/>
        <v>9.5</v>
      </c>
      <c r="V74" s="8" t="s">
        <v>499</v>
      </c>
      <c r="W74" s="89">
        <f>W71*W72*W73</f>
        <v>3360</v>
      </c>
      <c r="X74" s="463">
        <f>W74/W69</f>
        <v>3.5368421052631577E-2</v>
      </c>
      <c r="AB74" s="80"/>
    </row>
    <row r="75" spans="2:28">
      <c r="B75" s="90" t="str">
        <f>'RCE PP&amp;E'!A16</f>
        <v>Vehicles</v>
      </c>
      <c r="C75" s="2803">
        <f>'RCE PP&amp;E'!C16</f>
        <v>0</v>
      </c>
      <c r="D75" s="2803">
        <f>'RCE PP&amp;E'!D16</f>
        <v>72450</v>
      </c>
      <c r="E75" s="2803">
        <f ca="1">'RCE PP&amp;E'!E16</f>
        <v>57960</v>
      </c>
      <c r="F75" s="2803">
        <f ca="1">'RCE PP&amp;E'!F16</f>
        <v>43470</v>
      </c>
      <c r="G75" s="2803">
        <f ca="1">'RCE PP&amp;E'!G16</f>
        <v>28980</v>
      </c>
      <c r="H75" s="2803">
        <f ca="1">'RCE PP&amp;E'!H16</f>
        <v>14490</v>
      </c>
      <c r="I75" s="92">
        <f ca="1">'RCE PP&amp;E'!I16</f>
        <v>0</v>
      </c>
      <c r="L75" s="255"/>
      <c r="M75" s="8" t="str">
        <f>M67</f>
        <v>Costs per staff per day</v>
      </c>
      <c r="N75" s="272">
        <f>N67</f>
        <v>36.714999999999996</v>
      </c>
      <c r="O75" s="272">
        <f t="shared" ref="O75:T75" si="53">O67</f>
        <v>38.000024999999994</v>
      </c>
      <c r="P75" s="272">
        <f t="shared" si="53"/>
        <v>38.760025499999998</v>
      </c>
      <c r="Q75" s="272">
        <f t="shared" si="53"/>
        <v>39.535226009999995</v>
      </c>
      <c r="R75" s="272">
        <f t="shared" si="53"/>
        <v>40.325930530199997</v>
      </c>
      <c r="S75" s="272">
        <f t="shared" si="53"/>
        <v>41.132449140803999</v>
      </c>
      <c r="T75" s="651">
        <f t="shared" si="53"/>
        <v>41.955098123620083</v>
      </c>
      <c r="V75" s="8"/>
      <c r="X75" s="468"/>
      <c r="AB75" s="80"/>
    </row>
    <row r="76" spans="2:28">
      <c r="B76" s="90" t="str">
        <f>'RCE PP&amp;E'!A17</f>
        <v>Computer / IT</v>
      </c>
      <c r="C76" s="2803">
        <f>'RCE PP&amp;E'!C17</f>
        <v>0</v>
      </c>
      <c r="D76" s="2803">
        <f>'RCE PP&amp;E'!D17</f>
        <v>20812.5</v>
      </c>
      <c r="E76" s="2803">
        <f>'RCE PP&amp;E'!E17</f>
        <v>17437.5</v>
      </c>
      <c r="F76" s="2803">
        <f>'RCE PP&amp;E'!F17</f>
        <v>14062.5</v>
      </c>
      <c r="G76" s="2803">
        <f>'RCE PP&amp;E'!G17</f>
        <v>10687.5</v>
      </c>
      <c r="H76" s="2803">
        <f>'RCE PP&amp;E'!H17</f>
        <v>7312.5</v>
      </c>
      <c r="I76" s="92">
        <f>'RCE PP&amp;E'!I17</f>
        <v>3937.5</v>
      </c>
      <c r="L76" s="255"/>
      <c r="M76" s="229" t="str">
        <f>M68</f>
        <v>Total staff costs</v>
      </c>
      <c r="N76" s="507">
        <f>N74*N73*N75</f>
        <v>4534.3025000000016</v>
      </c>
      <c r="O76" s="507">
        <f t="shared" ref="O76:T76" si="54">O74*O73*O75</f>
        <v>4693.0030875000011</v>
      </c>
      <c r="P76" s="507">
        <f t="shared" si="54"/>
        <v>4786.8631492500017</v>
      </c>
      <c r="Q76" s="507">
        <f t="shared" si="54"/>
        <v>4882.6004122350014</v>
      </c>
      <c r="R76" s="507">
        <f t="shared" si="54"/>
        <v>4980.2524204797019</v>
      </c>
      <c r="S76" s="507">
        <f t="shared" si="54"/>
        <v>5079.8574688892959</v>
      </c>
      <c r="T76" s="650">
        <f t="shared" si="54"/>
        <v>5181.4546182670829</v>
      </c>
      <c r="V76" s="8"/>
      <c r="X76" s="468"/>
      <c r="AB76" s="80"/>
    </row>
    <row r="77" spans="2:28">
      <c r="B77" s="90" t="str">
        <f>'RCE PP&amp;E'!A18</f>
        <v>Others</v>
      </c>
      <c r="C77" s="289">
        <f>'RCE PP&amp;E'!C18</f>
        <v>0</v>
      </c>
      <c r="D77" s="289">
        <f>'RCE PP&amp;E'!D18</f>
        <v>127187.5</v>
      </c>
      <c r="E77" s="289">
        <f>'RCE PP&amp;E'!E18</f>
        <v>106562.5</v>
      </c>
      <c r="F77" s="289">
        <f>'RCE PP&amp;E'!F18</f>
        <v>85937.5</v>
      </c>
      <c r="G77" s="289">
        <f>'RCE PP&amp;E'!G18</f>
        <v>65312.5</v>
      </c>
      <c r="H77" s="289">
        <f>'RCE PP&amp;E'!H18</f>
        <v>44687.5</v>
      </c>
      <c r="I77" s="285">
        <f>'RCE PP&amp;E'!I18</f>
        <v>24062.5</v>
      </c>
      <c r="L77" s="255"/>
      <c r="M77" s="8"/>
      <c r="T77" s="80"/>
      <c r="V77" s="8" t="s">
        <v>500</v>
      </c>
      <c r="W77" s="78">
        <v>30</v>
      </c>
      <c r="X77" s="468"/>
      <c r="AB77" s="80"/>
    </row>
    <row r="78" spans="2:28">
      <c r="B78" s="8"/>
      <c r="C78" s="2803">
        <f ca="1">SUM(C71:C77)</f>
        <v>306457.70951866987</v>
      </c>
      <c r="D78" s="2803">
        <f t="shared" ref="D78:I78" ca="1" si="55">SUM(D71:D77)</f>
        <v>2547933.4871400096</v>
      </c>
      <c r="E78" s="2803">
        <f t="shared" ca="1" si="55"/>
        <v>2433178.9218014227</v>
      </c>
      <c r="F78" s="2803">
        <f t="shared" ca="1" si="55"/>
        <v>2420074.4490998937</v>
      </c>
      <c r="G78" s="2803">
        <f t="shared" ca="1" si="55"/>
        <v>2367460.2838660022</v>
      </c>
      <c r="H78" s="2803">
        <f t="shared" ca="1" si="55"/>
        <v>2279173.7702156198</v>
      </c>
      <c r="I78" s="92">
        <f t="shared" ca="1" si="55"/>
        <v>2237721.6574783707</v>
      </c>
      <c r="L78" s="255"/>
      <c r="M78" s="229" t="str">
        <f>V98</f>
        <v>Fertlizing</v>
      </c>
      <c r="T78" s="80"/>
      <c r="V78" s="8" t="s">
        <v>501</v>
      </c>
      <c r="W78" s="89">
        <f>W71*W77</f>
        <v>360</v>
      </c>
      <c r="X78" s="463">
        <f>W78/W69</f>
        <v>3.7894736842105261E-3</v>
      </c>
      <c r="AB78" s="80"/>
    </row>
    <row r="79" spans="2:28">
      <c r="B79" s="8"/>
      <c r="C79" s="904"/>
      <c r="D79" s="904"/>
      <c r="E79" s="904"/>
      <c r="F79" s="904"/>
      <c r="G79" s="904"/>
      <c r="H79" s="904"/>
      <c r="I79" s="80"/>
      <c r="L79" s="255"/>
      <c r="M79" s="8" t="str">
        <f>M71</f>
        <v>Rows</v>
      </c>
      <c r="N79" s="89">
        <f>N71</f>
        <v>675</v>
      </c>
      <c r="O79" s="89">
        <f t="shared" ref="O79:T79" si="56">O71</f>
        <v>675</v>
      </c>
      <c r="P79" s="89">
        <f t="shared" si="56"/>
        <v>675</v>
      </c>
      <c r="Q79" s="89">
        <f t="shared" si="56"/>
        <v>675</v>
      </c>
      <c r="R79" s="89">
        <f t="shared" si="56"/>
        <v>675</v>
      </c>
      <c r="S79" s="89">
        <f t="shared" si="56"/>
        <v>675</v>
      </c>
      <c r="T79" s="230">
        <f t="shared" si="56"/>
        <v>675</v>
      </c>
      <c r="V79" s="8"/>
      <c r="X79" s="80"/>
      <c r="AB79" s="80"/>
    </row>
    <row r="80" spans="2:28" ht="13.5" thickBot="1">
      <c r="B80" s="8" t="s">
        <v>205</v>
      </c>
      <c r="C80" s="2804">
        <v>3.8E-3</v>
      </c>
      <c r="D80" s="2804">
        <v>3.8E-3</v>
      </c>
      <c r="E80" s="2804">
        <v>3.8E-3</v>
      </c>
      <c r="F80" s="2804">
        <v>3.8E-3</v>
      </c>
      <c r="G80" s="2804">
        <v>3.8E-3</v>
      </c>
      <c r="H80" s="2804">
        <v>3.8E-3</v>
      </c>
      <c r="I80" s="806">
        <v>3.8E-3</v>
      </c>
      <c r="L80" s="255"/>
      <c r="M80" s="8" t="str">
        <f>M72</f>
        <v>Rows per maintanace day</v>
      </c>
      <c r="N80" s="89">
        <f>W100</f>
        <v>168.75</v>
      </c>
      <c r="O80" s="89">
        <f t="shared" ref="O80:T80" si="57">N80</f>
        <v>168.75</v>
      </c>
      <c r="P80" s="89">
        <f t="shared" si="57"/>
        <v>168.75</v>
      </c>
      <c r="Q80" s="89">
        <f t="shared" si="57"/>
        <v>168.75</v>
      </c>
      <c r="R80" s="89">
        <f t="shared" si="57"/>
        <v>168.75</v>
      </c>
      <c r="S80" s="89">
        <f t="shared" si="57"/>
        <v>168.75</v>
      </c>
      <c r="T80" s="230">
        <f t="shared" si="57"/>
        <v>168.75</v>
      </c>
      <c r="V80" s="97" t="s">
        <v>491</v>
      </c>
      <c r="W80" s="236" t="s">
        <v>514</v>
      </c>
      <c r="X80" s="496"/>
      <c r="AB80" s="80"/>
    </row>
    <row r="81" spans="2:28" ht="13.5" thickBot="1">
      <c r="B81" s="8" t="s">
        <v>864</v>
      </c>
      <c r="C81" s="464">
        <f ca="1">C78*C80</f>
        <v>1164.5392961709456</v>
      </c>
      <c r="D81" s="464">
        <f t="shared" ref="D81:I81" ca="1" si="58">D78*D80</f>
        <v>9682.1472511320371</v>
      </c>
      <c r="E81" s="464">
        <f t="shared" ca="1" si="58"/>
        <v>9246.0799028454057</v>
      </c>
      <c r="F81" s="464">
        <f t="shared" ca="1" si="58"/>
        <v>9196.2829065795959</v>
      </c>
      <c r="G81" s="464">
        <f t="shared" ca="1" si="58"/>
        <v>8996.3490786908078</v>
      </c>
      <c r="H81" s="464">
        <f t="shared" ca="1" si="58"/>
        <v>8660.8603268193547</v>
      </c>
      <c r="I81" s="468">
        <f t="shared" ca="1" si="58"/>
        <v>8503.3422984178087</v>
      </c>
      <c r="L81" s="255"/>
      <c r="M81" s="8" t="str">
        <f>V101</f>
        <v>Days</v>
      </c>
      <c r="N81" s="78">
        <f>N79/N80</f>
        <v>4</v>
      </c>
      <c r="O81" s="78">
        <f t="shared" ref="O81:T81" si="59">O79/O80</f>
        <v>4</v>
      </c>
      <c r="P81" s="78">
        <f t="shared" si="59"/>
        <v>4</v>
      </c>
      <c r="Q81" s="78">
        <f t="shared" si="59"/>
        <v>4</v>
      </c>
      <c r="R81" s="78">
        <f t="shared" si="59"/>
        <v>4</v>
      </c>
      <c r="S81" s="78">
        <f t="shared" si="59"/>
        <v>4</v>
      </c>
      <c r="T81" s="80">
        <f t="shared" si="59"/>
        <v>4</v>
      </c>
      <c r="V81" s="8"/>
      <c r="AB81" s="80"/>
    </row>
    <row r="82" spans="2:28">
      <c r="B82" s="8"/>
      <c r="C82" s="904"/>
      <c r="D82" s="904"/>
      <c r="E82" s="904"/>
      <c r="F82" s="904"/>
      <c r="G82" s="904"/>
      <c r="H82" s="904"/>
      <c r="I82" s="80"/>
      <c r="L82" s="255"/>
      <c r="M82" s="8" t="str">
        <f>V102</f>
        <v>Everage staff per day</v>
      </c>
      <c r="N82" s="78">
        <f>W102</f>
        <v>3</v>
      </c>
      <c r="O82" s="78">
        <f t="shared" ref="O82:T82" si="60">N82</f>
        <v>3</v>
      </c>
      <c r="P82" s="78">
        <f t="shared" si="60"/>
        <v>3</v>
      </c>
      <c r="Q82" s="78">
        <f t="shared" si="60"/>
        <v>3</v>
      </c>
      <c r="R82" s="78">
        <f t="shared" si="60"/>
        <v>3</v>
      </c>
      <c r="S82" s="78">
        <f t="shared" si="60"/>
        <v>3</v>
      </c>
      <c r="T82" s="80">
        <f t="shared" si="60"/>
        <v>3</v>
      </c>
      <c r="V82" s="249" t="s">
        <v>730</v>
      </c>
      <c r="W82" s="273" t="s">
        <v>26</v>
      </c>
      <c r="X82" s="469" t="s">
        <v>522</v>
      </c>
      <c r="Y82" s="470" t="s">
        <v>523</v>
      </c>
      <c r="AB82" s="80"/>
    </row>
    <row r="83" spans="2:28">
      <c r="B83" s="90" t="s">
        <v>144</v>
      </c>
      <c r="C83" s="2803">
        <f ca="1">Costprice!E62</f>
        <v>350704.13459980208</v>
      </c>
      <c r="D83" s="2803">
        <f ca="1">Costprice!F62</f>
        <v>555595.53417427605</v>
      </c>
      <c r="E83" s="2803">
        <f ca="1">Costprice!G62</f>
        <v>451700.63757765654</v>
      </c>
      <c r="F83" s="2803">
        <f ca="1">Costprice!H62</f>
        <v>451700.63757765654</v>
      </c>
      <c r="G83" s="2803">
        <f ca="1">Costprice!I62</f>
        <v>451700.63757765654</v>
      </c>
      <c r="H83" s="2803">
        <f ca="1">Costprice!J62</f>
        <v>451700.63757765654</v>
      </c>
      <c r="I83" s="92">
        <f ca="1">Costprice!K62</f>
        <v>451700.63757765654</v>
      </c>
      <c r="L83" s="255"/>
      <c r="M83" s="8" t="str">
        <f>M75</f>
        <v>Costs per staff per day</v>
      </c>
      <c r="N83" s="272">
        <f>N75</f>
        <v>36.714999999999996</v>
      </c>
      <c r="O83" s="272">
        <f t="shared" ref="O83:T83" si="61">O75</f>
        <v>38.000024999999994</v>
      </c>
      <c r="P83" s="272">
        <f t="shared" si="61"/>
        <v>38.760025499999998</v>
      </c>
      <c r="Q83" s="272">
        <f t="shared" si="61"/>
        <v>39.535226009999995</v>
      </c>
      <c r="R83" s="272">
        <f t="shared" si="61"/>
        <v>40.325930530199997</v>
      </c>
      <c r="S83" s="272">
        <f t="shared" si="61"/>
        <v>41.132449140803999</v>
      </c>
      <c r="T83" s="651">
        <f t="shared" si="61"/>
        <v>41.955098123620083</v>
      </c>
      <c r="V83" s="8" t="str">
        <f>V99</f>
        <v>Rows</v>
      </c>
      <c r="W83" s="89">
        <f>W99</f>
        <v>675</v>
      </c>
      <c r="X83" s="80"/>
      <c r="Y83" s="471"/>
      <c r="AB83" s="80"/>
    </row>
    <row r="84" spans="2:28">
      <c r="B84" s="90" t="str">
        <f>EN!B15</f>
        <v>Semi-finished products</v>
      </c>
      <c r="C84" s="2803">
        <f ca="1">EN!D15</f>
        <v>824617.14632188238</v>
      </c>
      <c r="D84" s="2803">
        <f ca="1">EN!E15</f>
        <v>594938.45228143875</v>
      </c>
      <c r="E84" s="2803">
        <f ca="1">EN!F15</f>
        <v>767298.66344039375</v>
      </c>
      <c r="F84" s="2803">
        <f ca="1">EN!G15</f>
        <v>821772.34404998901</v>
      </c>
      <c r="G84" s="2803">
        <f ca="1">EN!H15</f>
        <v>833996.80159210961</v>
      </c>
      <c r="H84" s="2803">
        <f ca="1">EN!I15</f>
        <v>903871.76543444581</v>
      </c>
      <c r="I84" s="92">
        <f ca="1">EN!J15</f>
        <v>903145.33697974484</v>
      </c>
      <c r="L84" s="255"/>
      <c r="M84" s="229" t="str">
        <f>M76</f>
        <v>Total staff costs</v>
      </c>
      <c r="N84" s="512">
        <f>N83*N82*N81</f>
        <v>440.57999999999993</v>
      </c>
      <c r="O84" s="512">
        <f t="shared" ref="O84:T84" si="62">O83*O82*O81</f>
        <v>456.00029999999992</v>
      </c>
      <c r="P84" s="512">
        <f t="shared" si="62"/>
        <v>465.12030599999997</v>
      </c>
      <c r="Q84" s="512">
        <f t="shared" si="62"/>
        <v>474.42271211999991</v>
      </c>
      <c r="R84" s="512">
        <f t="shared" si="62"/>
        <v>483.91116636239997</v>
      </c>
      <c r="S84" s="512">
        <f t="shared" si="62"/>
        <v>493.58938968964799</v>
      </c>
      <c r="T84" s="461">
        <f t="shared" si="62"/>
        <v>503.46117748344102</v>
      </c>
      <c r="V84" s="8" t="s">
        <v>519</v>
      </c>
      <c r="W84" s="467">
        <v>51.923076923076898</v>
      </c>
      <c r="X84" s="80"/>
      <c r="Y84" s="471"/>
      <c r="AA84" s="89"/>
      <c r="AB84" s="80"/>
    </row>
    <row r="85" spans="2:28">
      <c r="B85" s="90" t="str">
        <f>EN!B16</f>
        <v>Inventory materials</v>
      </c>
      <c r="C85" s="289">
        <f>EN!D16</f>
        <v>5405.3792879230259</v>
      </c>
      <c r="D85" s="289">
        <f ca="1">EN!E16</f>
        <v>18580.345882868332</v>
      </c>
      <c r="E85" s="289">
        <f ca="1">EN!F16</f>
        <v>19576.967492573087</v>
      </c>
      <c r="F85" s="289">
        <f ca="1">EN!G16</f>
        <v>25084.22451421709</v>
      </c>
      <c r="G85" s="289">
        <f ca="1">EN!H16</f>
        <v>27387.4993920161</v>
      </c>
      <c r="H85" s="289">
        <f ca="1">EN!I16</f>
        <v>27831.316509870372</v>
      </c>
      <c r="I85" s="285">
        <f ca="1">EN!J16</f>
        <v>28162.949521153052</v>
      </c>
      <c r="L85" s="255"/>
      <c r="M85" s="8"/>
      <c r="T85" s="80"/>
      <c r="V85" s="8" t="s">
        <v>495</v>
      </c>
      <c r="W85" s="464">
        <f>W83/W84</f>
        <v>13.000000000000005</v>
      </c>
      <c r="X85" s="80"/>
      <c r="Y85" s="471"/>
      <c r="AA85" s="89"/>
      <c r="AB85" s="80"/>
    </row>
    <row r="86" spans="2:28">
      <c r="B86" s="90"/>
      <c r="C86" s="2803">
        <f ca="1">SUM(C83:C85)</f>
        <v>1180726.6602096076</v>
      </c>
      <c r="D86" s="2803">
        <f t="shared" ref="D86:I86" ca="1" si="63">SUM(D83:D85)</f>
        <v>1169114.3323385832</v>
      </c>
      <c r="E86" s="2803">
        <f t="shared" ca="1" si="63"/>
        <v>1238576.2685106236</v>
      </c>
      <c r="F86" s="2803">
        <f t="shared" ca="1" si="63"/>
        <v>1298557.2061418626</v>
      </c>
      <c r="G86" s="2803">
        <f t="shared" ca="1" si="63"/>
        <v>1313084.9385617822</v>
      </c>
      <c r="H86" s="2803">
        <f t="shared" ca="1" si="63"/>
        <v>1383403.7195219728</v>
      </c>
      <c r="I86" s="92">
        <f t="shared" ca="1" si="63"/>
        <v>1383008.9240785544</v>
      </c>
      <c r="L86" s="255"/>
      <c r="M86" s="229" t="s">
        <v>489</v>
      </c>
      <c r="T86" s="80"/>
      <c r="V86" s="8" t="s">
        <v>498</v>
      </c>
      <c r="W86" s="78">
        <v>9.5</v>
      </c>
      <c r="X86" s="80"/>
      <c r="Y86" s="471"/>
      <c r="AA86" s="89"/>
      <c r="AB86" s="80"/>
    </row>
    <row r="87" spans="2:28">
      <c r="B87" s="8"/>
      <c r="C87" s="904"/>
      <c r="D87" s="904"/>
      <c r="E87" s="904"/>
      <c r="F87" s="904"/>
      <c r="G87" s="904"/>
      <c r="H87" s="904"/>
      <c r="I87" s="80"/>
      <c r="L87" s="255"/>
      <c r="M87" s="8" t="str">
        <f>M79</f>
        <v>Rows</v>
      </c>
      <c r="N87" s="89">
        <f>N79</f>
        <v>675</v>
      </c>
      <c r="O87" s="89">
        <f t="shared" ref="O87:T87" si="64">O79</f>
        <v>675</v>
      </c>
      <c r="P87" s="89">
        <f t="shared" si="64"/>
        <v>675</v>
      </c>
      <c r="Q87" s="89">
        <f t="shared" si="64"/>
        <v>675</v>
      </c>
      <c r="R87" s="89">
        <f t="shared" si="64"/>
        <v>675</v>
      </c>
      <c r="S87" s="89">
        <f t="shared" si="64"/>
        <v>675</v>
      </c>
      <c r="T87" s="230">
        <f t="shared" si="64"/>
        <v>675</v>
      </c>
      <c r="V87" s="8" t="s">
        <v>520</v>
      </c>
      <c r="W87" s="464">
        <f>W83/W85/W86</f>
        <v>5.4655870445344101</v>
      </c>
      <c r="X87" s="80"/>
      <c r="Y87" s="471"/>
      <c r="AB87" s="80"/>
    </row>
    <row r="88" spans="2:28">
      <c r="B88" s="8" t="s">
        <v>861</v>
      </c>
      <c r="C88" s="2805">
        <v>1.2</v>
      </c>
      <c r="D88" s="2805">
        <v>1.2</v>
      </c>
      <c r="E88" s="2805">
        <v>1.2</v>
      </c>
      <c r="F88" s="2805">
        <v>1.2</v>
      </c>
      <c r="G88" s="2805">
        <v>1.2</v>
      </c>
      <c r="H88" s="2805">
        <v>1.2</v>
      </c>
      <c r="I88" s="807">
        <v>2.2000000000000002</v>
      </c>
      <c r="L88" s="242"/>
      <c r="M88" s="8" t="str">
        <f>M80</f>
        <v>Rows per maintanace day</v>
      </c>
      <c r="N88" s="89">
        <f>W114</f>
        <v>32.142857142857146</v>
      </c>
      <c r="O88" s="89">
        <f t="shared" ref="O88:T88" si="65">N88</f>
        <v>32.142857142857146</v>
      </c>
      <c r="P88" s="89">
        <f t="shared" si="65"/>
        <v>32.142857142857146</v>
      </c>
      <c r="Q88" s="89">
        <f t="shared" si="65"/>
        <v>32.142857142857146</v>
      </c>
      <c r="R88" s="89">
        <f t="shared" si="65"/>
        <v>32.142857142857146</v>
      </c>
      <c r="S88" s="89">
        <f t="shared" si="65"/>
        <v>32.142857142857146</v>
      </c>
      <c r="T88" s="230">
        <f t="shared" si="65"/>
        <v>32.142857142857146</v>
      </c>
      <c r="V88" s="8"/>
      <c r="X88" s="80"/>
      <c r="Y88" s="471"/>
      <c r="AB88" s="80"/>
    </row>
    <row r="89" spans="2:28">
      <c r="B89" s="8" t="s">
        <v>862</v>
      </c>
      <c r="C89" s="464">
        <f ca="1">C86*C88</f>
        <v>1416871.9922515291</v>
      </c>
      <c r="D89" s="464">
        <f t="shared" ref="D89:I89" ca="1" si="66">D86*D88</f>
        <v>1402937.1988062998</v>
      </c>
      <c r="E89" s="464">
        <f t="shared" ca="1" si="66"/>
        <v>1486291.5222127482</v>
      </c>
      <c r="F89" s="464">
        <f t="shared" ca="1" si="66"/>
        <v>1558268.6473702351</v>
      </c>
      <c r="G89" s="464">
        <f t="shared" ca="1" si="66"/>
        <v>1575701.9262741387</v>
      </c>
      <c r="H89" s="464">
        <f t="shared" ca="1" si="66"/>
        <v>1660084.4634263674</v>
      </c>
      <c r="I89" s="468">
        <f t="shared" ca="1" si="66"/>
        <v>3042619.6329728197</v>
      </c>
      <c r="L89" s="242"/>
      <c r="M89" s="8" t="str">
        <f>M81</f>
        <v>Days</v>
      </c>
      <c r="N89" s="78">
        <f>N87/N88</f>
        <v>20.999999999999996</v>
      </c>
      <c r="O89" s="78">
        <f t="shared" ref="O89:T89" si="67">O87/O88</f>
        <v>20.999999999999996</v>
      </c>
      <c r="P89" s="78">
        <f t="shared" si="67"/>
        <v>20.999999999999996</v>
      </c>
      <c r="Q89" s="78">
        <f t="shared" si="67"/>
        <v>20.999999999999996</v>
      </c>
      <c r="R89" s="78">
        <f t="shared" si="67"/>
        <v>20.999999999999996</v>
      </c>
      <c r="S89" s="78">
        <f t="shared" si="67"/>
        <v>20.999999999999996</v>
      </c>
      <c r="T89" s="80">
        <f t="shared" si="67"/>
        <v>20.999999999999996</v>
      </c>
      <c r="V89" s="8" t="s">
        <v>496</v>
      </c>
      <c r="W89" s="78">
        <f>W73</f>
        <v>35</v>
      </c>
      <c r="X89" s="80"/>
      <c r="Y89" s="471"/>
      <c r="AB89" s="80"/>
    </row>
    <row r="90" spans="2:28">
      <c r="B90" s="8" t="s">
        <v>205</v>
      </c>
      <c r="C90" s="2804">
        <v>1.2500000000000001E-2</v>
      </c>
      <c r="D90" s="2804">
        <f t="shared" ref="D90:I90" si="68">C90</f>
        <v>1.2500000000000001E-2</v>
      </c>
      <c r="E90" s="2804">
        <f t="shared" si="68"/>
        <v>1.2500000000000001E-2</v>
      </c>
      <c r="F90" s="2804">
        <f t="shared" si="68"/>
        <v>1.2500000000000001E-2</v>
      </c>
      <c r="G90" s="2804">
        <f t="shared" si="68"/>
        <v>1.2500000000000001E-2</v>
      </c>
      <c r="H90" s="2804">
        <f t="shared" si="68"/>
        <v>1.2500000000000001E-2</v>
      </c>
      <c r="I90" s="806">
        <f t="shared" si="68"/>
        <v>1.2500000000000001E-2</v>
      </c>
      <c r="L90" s="242"/>
      <c r="M90" s="8" t="str">
        <f>M82</f>
        <v>Everage staff per day</v>
      </c>
      <c r="N90" s="78">
        <f>W116</f>
        <v>15.9</v>
      </c>
      <c r="O90" s="78">
        <f t="shared" ref="O90:T90" si="69">N90</f>
        <v>15.9</v>
      </c>
      <c r="P90" s="78">
        <f t="shared" si="69"/>
        <v>15.9</v>
      </c>
      <c r="Q90" s="78">
        <f t="shared" si="69"/>
        <v>15.9</v>
      </c>
      <c r="R90" s="78">
        <f t="shared" si="69"/>
        <v>15.9</v>
      </c>
      <c r="S90" s="78">
        <f t="shared" si="69"/>
        <v>15.9</v>
      </c>
      <c r="T90" s="80">
        <f t="shared" si="69"/>
        <v>15.9</v>
      </c>
      <c r="V90" s="8" t="s">
        <v>499</v>
      </c>
      <c r="W90" s="89">
        <f>W85*W86*W89</f>
        <v>4322.5000000000018</v>
      </c>
      <c r="X90" s="463">
        <f>W90/W83</f>
        <v>6.4037037037037061</v>
      </c>
      <c r="Y90" s="471">
        <f>W90/$W$30</f>
        <v>4.550000000000002E-2</v>
      </c>
      <c r="AB90" s="80"/>
    </row>
    <row r="91" spans="2:28">
      <c r="B91" s="8" t="s">
        <v>863</v>
      </c>
      <c r="C91" s="924">
        <f ca="1">C89*C90</f>
        <v>17710.899903144116</v>
      </c>
      <c r="D91" s="924">
        <f t="shared" ref="D91:I91" ca="1" si="70">D89*D90</f>
        <v>17536.71498507875</v>
      </c>
      <c r="E91" s="924">
        <f t="shared" ca="1" si="70"/>
        <v>18578.644027659353</v>
      </c>
      <c r="F91" s="924">
        <f t="shared" ca="1" si="70"/>
        <v>19478.358092127939</v>
      </c>
      <c r="G91" s="924">
        <f t="shared" ca="1" si="70"/>
        <v>19696.274078426737</v>
      </c>
      <c r="H91" s="924">
        <f t="shared" ca="1" si="70"/>
        <v>20751.055792829593</v>
      </c>
      <c r="I91" s="230">
        <f t="shared" ca="1" si="70"/>
        <v>38032.74541216025</v>
      </c>
      <c r="L91" s="242"/>
      <c r="M91" s="8" t="str">
        <f>M83</f>
        <v>Costs per staff per day</v>
      </c>
      <c r="N91" s="272">
        <f>N83</f>
        <v>36.714999999999996</v>
      </c>
      <c r="O91" s="272">
        <f t="shared" ref="O91:T91" si="71">O83</f>
        <v>38.000024999999994</v>
      </c>
      <c r="P91" s="272">
        <f t="shared" si="71"/>
        <v>38.760025499999998</v>
      </c>
      <c r="Q91" s="272">
        <f t="shared" si="71"/>
        <v>39.535226009999995</v>
      </c>
      <c r="R91" s="272">
        <f t="shared" si="71"/>
        <v>40.325930530199997</v>
      </c>
      <c r="S91" s="272">
        <f t="shared" si="71"/>
        <v>41.132449140803999</v>
      </c>
      <c r="T91" s="651">
        <f t="shared" si="71"/>
        <v>41.955098123620083</v>
      </c>
      <c r="V91" s="8"/>
      <c r="X91" s="468"/>
      <c r="Y91" s="471"/>
      <c r="AB91" s="80"/>
    </row>
    <row r="92" spans="2:28">
      <c r="B92" s="8"/>
      <c r="C92" s="904"/>
      <c r="D92" s="904"/>
      <c r="E92" s="904"/>
      <c r="F92" s="904"/>
      <c r="G92" s="904"/>
      <c r="H92" s="904"/>
      <c r="I92" s="80"/>
      <c r="L92" s="242"/>
      <c r="M92" s="229" t="str">
        <f>M84</f>
        <v>Total staff costs</v>
      </c>
      <c r="N92" s="507">
        <f>N89*N90*N91</f>
        <v>12259.138499999997</v>
      </c>
      <c r="O92" s="507">
        <f t="shared" ref="O92:T92" si="72">O89*O90*O91</f>
        <v>12688.208347499996</v>
      </c>
      <c r="P92" s="507">
        <f t="shared" si="72"/>
        <v>12941.972514449999</v>
      </c>
      <c r="Q92" s="507">
        <f t="shared" si="72"/>
        <v>13200.811964738998</v>
      </c>
      <c r="R92" s="507">
        <f t="shared" si="72"/>
        <v>13464.828204033778</v>
      </c>
      <c r="S92" s="507">
        <f t="shared" si="72"/>
        <v>13734.124768114454</v>
      </c>
      <c r="T92" s="650">
        <f t="shared" si="72"/>
        <v>14008.807263476745</v>
      </c>
      <c r="V92" s="8"/>
      <c r="X92" s="468"/>
      <c r="Y92" s="471"/>
      <c r="AB92" s="80"/>
    </row>
    <row r="93" spans="2:28" ht="13.5" thickBot="1">
      <c r="B93" s="97" t="s">
        <v>865</v>
      </c>
      <c r="C93" s="237">
        <f t="shared" ref="C93:I93" ca="1" si="73">C81+C91</f>
        <v>18875.43919931506</v>
      </c>
      <c r="D93" s="237">
        <f t="shared" ca="1" si="73"/>
        <v>27218.862236210785</v>
      </c>
      <c r="E93" s="237">
        <f t="shared" ca="1" si="73"/>
        <v>27824.723930504759</v>
      </c>
      <c r="F93" s="237">
        <f t="shared" ca="1" si="73"/>
        <v>28674.640998707535</v>
      </c>
      <c r="G93" s="237">
        <f t="shared" ca="1" si="73"/>
        <v>28692.623157117545</v>
      </c>
      <c r="H93" s="237">
        <f t="shared" ca="1" si="73"/>
        <v>29411.916119648948</v>
      </c>
      <c r="I93" s="514">
        <f t="shared" ca="1" si="73"/>
        <v>46536.08771057806</v>
      </c>
      <c r="L93" s="242"/>
      <c r="M93" s="8"/>
      <c r="T93" s="80"/>
      <c r="V93" s="8" t="s">
        <v>500</v>
      </c>
      <c r="W93" s="78">
        <v>30</v>
      </c>
      <c r="X93" s="468"/>
      <c r="Y93" s="471"/>
      <c r="AB93" s="80"/>
    </row>
    <row r="94" spans="2:28" ht="13.5" thickBot="1">
      <c r="L94" s="242"/>
      <c r="M94" s="8"/>
      <c r="T94" s="80"/>
      <c r="V94" s="8" t="s">
        <v>501</v>
      </c>
      <c r="W94" s="89">
        <f>W85*W93</f>
        <v>390.00000000000017</v>
      </c>
      <c r="X94" s="463">
        <f>W94/W83</f>
        <v>0.57777777777777806</v>
      </c>
      <c r="Y94" s="471">
        <f>W94/$W$30</f>
        <v>4.1052631578947386E-3</v>
      </c>
      <c r="AB94" s="80"/>
    </row>
    <row r="95" spans="2:28">
      <c r="B95" s="249" t="s">
        <v>321</v>
      </c>
      <c r="C95" s="519"/>
      <c r="D95" s="244"/>
      <c r="E95" s="244"/>
      <c r="F95" s="244"/>
      <c r="G95" s="244"/>
      <c r="H95" s="244"/>
      <c r="I95" s="244"/>
      <c r="J95" s="244"/>
      <c r="K95" s="245"/>
      <c r="L95" s="242"/>
      <c r="M95" s="8" t="s">
        <v>328</v>
      </c>
      <c r="N95" s="103">
        <f>N35+N42+N51+N60+N68+N76+N84+N92</f>
        <v>40567.528769285564</v>
      </c>
      <c r="O95" s="103">
        <f t="shared" ref="O95:T95" si="74">O35+O42+O51+O60+O68+O76+O84+O92</f>
        <v>48569.532955599512</v>
      </c>
      <c r="P95" s="103">
        <f t="shared" si="74"/>
        <v>54287.820901170198</v>
      </c>
      <c r="Q95" s="103">
        <f t="shared" si="74"/>
        <v>55544.212061801656</v>
      </c>
      <c r="R95" s="103">
        <f t="shared" si="74"/>
        <v>56655.096303037688</v>
      </c>
      <c r="S95" s="103">
        <f t="shared" si="74"/>
        <v>57788.198229098445</v>
      </c>
      <c r="T95" s="228">
        <f t="shared" si="74"/>
        <v>58943.962193680425</v>
      </c>
      <c r="V95" s="8"/>
      <c r="X95" s="80"/>
      <c r="Y95" s="473"/>
      <c r="AB95" s="80"/>
    </row>
    <row r="96" spans="2:28" ht="13.5" thickBot="1">
      <c r="B96" s="247"/>
      <c r="C96" s="2801"/>
      <c r="D96" s="2880" t="s">
        <v>322</v>
      </c>
      <c r="E96" s="2880" t="s">
        <v>323</v>
      </c>
      <c r="F96" s="2880" t="s">
        <v>324</v>
      </c>
      <c r="G96" s="903" t="s">
        <v>325</v>
      </c>
      <c r="H96" s="2880" t="s">
        <v>326</v>
      </c>
      <c r="I96" s="903" t="s">
        <v>327</v>
      </c>
      <c r="J96" s="2881" t="s">
        <v>328</v>
      </c>
      <c r="K96" s="248" t="s">
        <v>329</v>
      </c>
      <c r="L96" s="242"/>
      <c r="M96" s="8" t="s">
        <v>329</v>
      </c>
      <c r="N96" s="507">
        <f>N95/'RCE PP&amp;E'!$E$3</f>
        <v>20741.848099929732</v>
      </c>
      <c r="O96" s="507">
        <f>O95/'RCE PP&amp;E'!$E$3</f>
        <v>24833.207873690204</v>
      </c>
      <c r="P96" s="507">
        <f>P95/'RCE PP&amp;E'!$E$3</f>
        <v>27756.922074602702</v>
      </c>
      <c r="Q96" s="507">
        <f>Q95/'RCE PP&amp;E'!$E$3</f>
        <v>28399.304674640258</v>
      </c>
      <c r="R96" s="507">
        <f>R95/'RCE PP&amp;E'!$E$3</f>
        <v>28967.290768133062</v>
      </c>
      <c r="S96" s="507">
        <f>S95/'RCE PP&amp;E'!$E$3</f>
        <v>29546.636583495725</v>
      </c>
      <c r="T96" s="650">
        <f>T95/'RCE PP&amp;E'!$E$3</f>
        <v>30137.569315165645</v>
      </c>
      <c r="U96" s="103">
        <f>U95/'RCE PP&amp;E'!$E$3</f>
        <v>0</v>
      </c>
      <c r="V96" s="97" t="s">
        <v>491</v>
      </c>
      <c r="W96" s="236" t="s">
        <v>515</v>
      </c>
      <c r="X96" s="496"/>
      <c r="Y96" s="474"/>
      <c r="AB96" s="80"/>
    </row>
    <row r="97" spans="2:28" ht="13.5" thickBot="1">
      <c r="B97" s="8" t="s">
        <v>330</v>
      </c>
      <c r="C97" s="904"/>
      <c r="D97" s="527">
        <v>151.25</v>
      </c>
      <c r="E97" s="527">
        <v>65</v>
      </c>
      <c r="F97" s="528">
        <v>66</v>
      </c>
      <c r="G97" s="528">
        <v>150</v>
      </c>
      <c r="H97" s="528">
        <v>170</v>
      </c>
      <c r="I97" s="528">
        <v>0</v>
      </c>
      <c r="J97" s="252">
        <f>SUM(D97:I97)</f>
        <v>602.25</v>
      </c>
      <c r="K97" s="253">
        <f>J97/1.95583</f>
        <v>307.92553545042261</v>
      </c>
      <c r="M97" s="8"/>
      <c r="T97" s="80"/>
      <c r="V97" s="8"/>
      <c r="Y97" s="242"/>
      <c r="AB97" s="80"/>
    </row>
    <row r="98" spans="2:28">
      <c r="B98" s="8" t="s">
        <v>331</v>
      </c>
      <c r="C98" s="904"/>
      <c r="D98" s="529">
        <v>1653.3485540334857</v>
      </c>
      <c r="E98" s="529">
        <v>710.52995710529956</v>
      </c>
      <c r="F98" s="529">
        <v>721.46118721461187</v>
      </c>
      <c r="G98" s="529">
        <v>1639.6845163968453</v>
      </c>
      <c r="H98" s="529">
        <v>1858.3091185830913</v>
      </c>
      <c r="I98" s="530">
        <v>0</v>
      </c>
      <c r="J98" s="257">
        <f>SUM(D98:I98)</f>
        <v>6583.3333333333339</v>
      </c>
      <c r="K98" s="643">
        <f>J98/1.95583</f>
        <v>3366.0048845417723</v>
      </c>
      <c r="L98" s="242"/>
      <c r="M98" s="254" t="s">
        <v>732</v>
      </c>
      <c r="T98" s="80"/>
      <c r="V98" s="249" t="s">
        <v>516</v>
      </c>
      <c r="W98" s="273" t="s">
        <v>26</v>
      </c>
      <c r="X98" s="469" t="s">
        <v>522</v>
      </c>
      <c r="Y98" s="470" t="s">
        <v>523</v>
      </c>
      <c r="AB98" s="80"/>
    </row>
    <row r="99" spans="2:28">
      <c r="B99" s="8" t="s">
        <v>26</v>
      </c>
      <c r="C99" s="904"/>
      <c r="D99" s="256">
        <f>D97+D98</f>
        <v>1804.5985540334857</v>
      </c>
      <c r="E99" s="256">
        <f t="shared" ref="E99:J99" si="75">E97+E98</f>
        <v>775.52995710529956</v>
      </c>
      <c r="F99" s="256">
        <f t="shared" si="75"/>
        <v>787.46118721461187</v>
      </c>
      <c r="G99" s="256">
        <f t="shared" si="75"/>
        <v>1789.6845163968453</v>
      </c>
      <c r="H99" s="256">
        <f t="shared" si="75"/>
        <v>2028.3091185830913</v>
      </c>
      <c r="I99" s="256">
        <f t="shared" si="75"/>
        <v>0</v>
      </c>
      <c r="J99" s="256">
        <f t="shared" si="75"/>
        <v>7185.5833333333339</v>
      </c>
      <c r="K99" s="644">
        <f>K97+K98</f>
        <v>3673.9304199921949</v>
      </c>
      <c r="L99" s="242"/>
      <c r="M99" s="8" t="s">
        <v>482</v>
      </c>
      <c r="N99" s="115">
        <f t="shared" ref="N99:T99" si="76">N33</f>
        <v>13.32178852849551</v>
      </c>
      <c r="O99" s="115">
        <f t="shared" si="76"/>
        <v>17.387758841854499</v>
      </c>
      <c r="P99" s="115">
        <f t="shared" si="76"/>
        <v>20.262552684625252</v>
      </c>
      <c r="Q99" s="115">
        <f t="shared" si="76"/>
        <v>20.363865448048372</v>
      </c>
      <c r="R99" s="115">
        <f t="shared" si="76"/>
        <v>20.363865448048372</v>
      </c>
      <c r="S99" s="115">
        <f t="shared" si="76"/>
        <v>20.363865448048372</v>
      </c>
      <c r="T99" s="508">
        <f t="shared" si="76"/>
        <v>20.363865448048372</v>
      </c>
      <c r="V99" s="8" t="s">
        <v>503</v>
      </c>
      <c r="W99" s="89">
        <f>AA34</f>
        <v>675</v>
      </c>
      <c r="X99" s="80"/>
      <c r="Y99" s="471"/>
      <c r="AB99" s="80"/>
    </row>
    <row r="100" spans="2:28">
      <c r="B100" s="247"/>
      <c r="C100" s="2801"/>
      <c r="D100" s="2801"/>
      <c r="E100" s="2801"/>
      <c r="F100" s="2801"/>
      <c r="G100" s="2801"/>
      <c r="H100" s="2801"/>
      <c r="I100" s="2801"/>
      <c r="J100" s="2801"/>
      <c r="K100" s="248"/>
      <c r="L100" s="242"/>
      <c r="M100" s="8" t="str">
        <f>M104</f>
        <v>Everage fuel costs per day</v>
      </c>
      <c r="N100" s="114">
        <f>W47*D29</f>
        <v>41.959999999999994</v>
      </c>
      <c r="O100" s="114">
        <f t="shared" ref="O100:T100" si="77">N100*E28+N100</f>
        <v>43.428599999999996</v>
      </c>
      <c r="P100" s="114">
        <f t="shared" si="77"/>
        <v>44.297171999999996</v>
      </c>
      <c r="Q100" s="114">
        <f t="shared" si="77"/>
        <v>45.183115439999995</v>
      </c>
      <c r="R100" s="114">
        <f t="shared" si="77"/>
        <v>46.086777748799996</v>
      </c>
      <c r="S100" s="114">
        <f t="shared" si="77"/>
        <v>47.008513303775999</v>
      </c>
      <c r="T100" s="561">
        <f t="shared" si="77"/>
        <v>47.948683569851518</v>
      </c>
      <c r="V100" s="8" t="s">
        <v>518</v>
      </c>
      <c r="W100" s="467">
        <v>168.75</v>
      </c>
      <c r="X100" s="80"/>
      <c r="Y100" s="471"/>
      <c r="AB100" s="80"/>
    </row>
    <row r="101" spans="2:28">
      <c r="B101" s="254" t="s">
        <v>332</v>
      </c>
      <c r="C101" s="2798"/>
      <c r="D101" s="904"/>
      <c r="E101" s="250">
        <f t="shared" ref="E101:K101" si="78">D3</f>
        <v>2023</v>
      </c>
      <c r="F101" s="250">
        <f t="shared" si="78"/>
        <v>2024</v>
      </c>
      <c r="G101" s="250">
        <f t="shared" si="78"/>
        <v>2025</v>
      </c>
      <c r="H101" s="250">
        <f t="shared" si="78"/>
        <v>2026</v>
      </c>
      <c r="I101" s="250">
        <f t="shared" si="78"/>
        <v>2027</v>
      </c>
      <c r="J101" s="250">
        <f t="shared" si="78"/>
        <v>2028</v>
      </c>
      <c r="K101" s="251">
        <f t="shared" si="78"/>
        <v>2029</v>
      </c>
      <c r="L101" s="242"/>
      <c r="M101" s="8"/>
      <c r="N101" s="115">
        <f>N99*N100</f>
        <v>558.98224665567147</v>
      </c>
      <c r="O101" s="115">
        <f t="shared" ref="O101:T101" si="79">O99*O100</f>
        <v>755.12602363936219</v>
      </c>
      <c r="P101" s="115">
        <f t="shared" si="79"/>
        <v>897.57378142990649</v>
      </c>
      <c r="Q101" s="115">
        <f t="shared" si="79"/>
        <v>920.10288334379686</v>
      </c>
      <c r="R101" s="115">
        <f t="shared" si="79"/>
        <v>938.50494101067284</v>
      </c>
      <c r="S101" s="115">
        <f t="shared" si="79"/>
        <v>957.27503983088627</v>
      </c>
      <c r="T101" s="508">
        <f t="shared" si="79"/>
        <v>976.42054062750401</v>
      </c>
      <c r="V101" s="8" t="s">
        <v>495</v>
      </c>
      <c r="W101" s="464">
        <f>W99/W100</f>
        <v>4</v>
      </c>
      <c r="X101" s="80"/>
      <c r="Y101" s="471"/>
      <c r="AB101" s="80"/>
    </row>
    <row r="102" spans="2:28">
      <c r="B102" s="247" t="s">
        <v>196</v>
      </c>
      <c r="C102" s="2801"/>
      <c r="D102" s="904"/>
      <c r="E102" s="252">
        <f>'Prod info'!E153/('Prod info'!E153+'Prod info'!E154+'Prod info'!E155)*$K$97*D$29</f>
        <v>323.01388668749331</v>
      </c>
      <c r="F102" s="252">
        <f>'Prod info'!F153/('Prod info'!F153+'Prod info'!F154+'Prod info'!F155)*$K$97*E$29</f>
        <v>334.31937272155551</v>
      </c>
      <c r="G102" s="252">
        <f>'Prod info'!G153/('Prod info'!G153+'Prod info'!G154+'Prod info'!G155)*$K$97*F$29</f>
        <v>341.00576017598661</v>
      </c>
      <c r="H102" s="252">
        <f>'Prod info'!H153/('Prod info'!H153+'Prod info'!H154+'Prod info'!H155)*$K$97*G$29</f>
        <v>347.82587537950633</v>
      </c>
      <c r="I102" s="252">
        <f>'Prod info'!I153/('Prod info'!I153+'Prod info'!I154+'Prod info'!I155)*$K$97*H$29</f>
        <v>354.78239288709648</v>
      </c>
      <c r="J102" s="252">
        <f>'Prod info'!J153/('Prod info'!J153+'Prod info'!J154+'Prod info'!J155)*$K$97*I$29</f>
        <v>361.87804074483836</v>
      </c>
      <c r="K102" s="253">
        <f>'Prod info'!K153/('Prod info'!K153+'Prod info'!K154+'Prod info'!K155)*$K$97*J$29</f>
        <v>369.11560155973513</v>
      </c>
      <c r="L102" s="242"/>
      <c r="M102" s="8"/>
      <c r="N102" s="115"/>
      <c r="O102" s="115"/>
      <c r="P102" s="115"/>
      <c r="Q102" s="115"/>
      <c r="R102" s="115"/>
      <c r="S102" s="115"/>
      <c r="T102" s="508"/>
      <c r="V102" s="8" t="s">
        <v>498</v>
      </c>
      <c r="W102" s="78">
        <v>3</v>
      </c>
      <c r="X102" s="80"/>
      <c r="Y102" s="471"/>
      <c r="AB102" s="80"/>
    </row>
    <row r="103" spans="2:28">
      <c r="B103" s="247" t="s">
        <v>198</v>
      </c>
      <c r="C103" s="2801"/>
      <c r="D103" s="904"/>
      <c r="E103" s="252">
        <f>('Prod info'!E154+'Prod info'!E155)/('Prod info'!E153+'Prod info'!E154+'Prod info'!E155)*$K$97*D$29</f>
        <v>0</v>
      </c>
      <c r="F103" s="252">
        <f>('Prod info'!F154+'Prod info'!F155)/('Prod info'!F153+'Prod info'!F154+'Prod info'!F155)*$K$97*E$29</f>
        <v>0</v>
      </c>
      <c r="G103" s="252">
        <f>('Prod info'!G154+'Prod info'!G155)/('Prod info'!G153+'Prod info'!G154+'Prod info'!G155)*$K$97*F$29</f>
        <v>0</v>
      </c>
      <c r="H103" s="252">
        <f>('Prod info'!H154+'Prod info'!H155)/('Prod info'!H153+'Prod info'!H154+'Prod info'!H155)*$K$97*G$29</f>
        <v>0</v>
      </c>
      <c r="I103" s="252">
        <f>('Prod info'!I154+'Prod info'!I155)/('Prod info'!I153+'Prod info'!I154+'Prod info'!I155)*$K$97*H$29</f>
        <v>0</v>
      </c>
      <c r="J103" s="252">
        <f>('Prod info'!J154+'Prod info'!J155)/('Prod info'!J153+'Prod info'!J154+'Prod info'!J155)*$K$97*I$29</f>
        <v>0</v>
      </c>
      <c r="K103" s="253">
        <f>('Prod info'!K154+'Prod info'!K155)/('Prod info'!K153+'Prod info'!K154+'Prod info'!K155)*$K$97*J$29</f>
        <v>0</v>
      </c>
      <c r="M103" s="8" t="s">
        <v>485</v>
      </c>
      <c r="N103" s="115">
        <f>AA40</f>
        <v>68.010075566750643</v>
      </c>
      <c r="O103" s="115">
        <f t="shared" ref="O103:T103" si="80">N103</f>
        <v>68.010075566750643</v>
      </c>
      <c r="P103" s="115">
        <f t="shared" si="80"/>
        <v>68.010075566750643</v>
      </c>
      <c r="Q103" s="115">
        <f t="shared" si="80"/>
        <v>68.010075566750643</v>
      </c>
      <c r="R103" s="115">
        <f t="shared" si="80"/>
        <v>68.010075566750643</v>
      </c>
      <c r="S103" s="115">
        <f t="shared" si="80"/>
        <v>68.010075566750643</v>
      </c>
      <c r="T103" s="508">
        <f t="shared" si="80"/>
        <v>68.010075566750643</v>
      </c>
      <c r="V103" s="8" t="s">
        <v>496</v>
      </c>
      <c r="W103" s="78">
        <f>W89</f>
        <v>35</v>
      </c>
      <c r="X103" s="80"/>
      <c r="Y103" s="471"/>
      <c r="AB103" s="80"/>
    </row>
    <row r="104" spans="2:28">
      <c r="B104" s="247" t="s">
        <v>201</v>
      </c>
      <c r="C104" s="2801"/>
      <c r="D104" s="904"/>
      <c r="E104" s="252">
        <f>('Prod info'!E156+'Prod info'!E157+'Prod info'!E158+'Prod info'!E159)/SUM('Prod info'!E156:E167)*$K$98*D$29</f>
        <v>0</v>
      </c>
      <c r="F104" s="252">
        <f>('Prod info'!F156+'Prod info'!F157+'Prod info'!F158+'Prod info'!F159)/SUM('Prod info'!F156:F167)*$K$98*E$29</f>
        <v>0</v>
      </c>
      <c r="G104" s="252">
        <f>('Prod info'!G156+'Prod info'!G157+'Prod info'!G158+'Prod info'!G159)/SUM('Prod info'!G156:G167)*$K$98*F$29</f>
        <v>0</v>
      </c>
      <c r="H104" s="252">
        <f>('Prod info'!H156+'Prod info'!H157+'Prod info'!H158+'Prod info'!H159)/SUM('Prod info'!H156:H167)*$K$98*G$29</f>
        <v>0</v>
      </c>
      <c r="I104" s="252">
        <f>('Prod info'!I156+'Prod info'!I157+'Prod info'!I158+'Prod info'!I159)/SUM('Prod info'!I156:I167)*$K$98*H$29</f>
        <v>0</v>
      </c>
      <c r="J104" s="252">
        <f>('Prod info'!J156+'Prod info'!J157+'Prod info'!J158+'Prod info'!J159)/SUM('Prod info'!J156:J167)*$K$98*I$29</f>
        <v>0</v>
      </c>
      <c r="K104" s="253">
        <f>('Prod info'!K156+'Prod info'!K157+'Prod info'!K158+'Prod info'!K159)/SUM('Prod info'!K156:K167)*$K$98*J$29</f>
        <v>0</v>
      </c>
      <c r="M104" s="8" t="str">
        <f>Z44</f>
        <v>Everage fuel costs per day</v>
      </c>
      <c r="N104" s="114">
        <f>AA44*D29</f>
        <v>31.47</v>
      </c>
      <c r="O104" s="114">
        <f t="shared" ref="O104:T104" si="81">N104*(1+E28)</f>
        <v>32.571449999999999</v>
      </c>
      <c r="P104" s="114">
        <f t="shared" si="81"/>
        <v>33.222878999999999</v>
      </c>
      <c r="Q104" s="114">
        <f t="shared" si="81"/>
        <v>33.887336580000003</v>
      </c>
      <c r="R104" s="114">
        <f t="shared" si="81"/>
        <v>34.565083311600006</v>
      </c>
      <c r="S104" s="114">
        <f t="shared" si="81"/>
        <v>35.256384977832006</v>
      </c>
      <c r="T104" s="561">
        <f t="shared" si="81"/>
        <v>35.961512677388647</v>
      </c>
      <c r="V104" s="8" t="s">
        <v>499</v>
      </c>
      <c r="W104" s="89">
        <f>W101*W102*W103</f>
        <v>420</v>
      </c>
      <c r="X104" s="463">
        <f>W104/W99</f>
        <v>0.62222222222222223</v>
      </c>
      <c r="Y104" s="471">
        <f>W104/$W$30</f>
        <v>4.4210526315789471E-3</v>
      </c>
      <c r="AB104" s="230"/>
    </row>
    <row r="105" spans="2:28">
      <c r="B105" s="247" t="s">
        <v>205</v>
      </c>
      <c r="C105" s="2801"/>
      <c r="D105" s="904"/>
      <c r="E105" s="252">
        <f>('Prod info'!E160+'Prod info'!E162+'Prod info'!E163)/SUM('Prod info'!E156:E167)*$K$98*D$29</f>
        <v>2600.1194188579429</v>
      </c>
      <c r="F105" s="252">
        <f>('Prod info'!F160+'Prod info'!F162+'Prod info'!F163)/SUM('Prod info'!F156:F167)*$K$98*E$29</f>
        <v>2637.2147528290479</v>
      </c>
      <c r="G105" s="252">
        <f>('Prod info'!G160+'Prod info'!G162+'Prod info'!G163)/SUM('Prod info'!G156:G167)*$K$98*F$29</f>
        <v>2691.9290813972316</v>
      </c>
      <c r="H105" s="252">
        <f>('Prod info'!H160+'Prod info'!H162+'Prod info'!H163)/SUM('Prod info'!H156:H167)*$K$98*G$29</f>
        <v>2745.7676630251767</v>
      </c>
      <c r="I105" s="252">
        <f>('Prod info'!I160+'Prod info'!I162+'Prod info'!I163)/SUM('Prod info'!I156:I167)*$K$98*H$29</f>
        <v>2800.6830162856804</v>
      </c>
      <c r="J105" s="252">
        <f>('Prod info'!J160+'Prod info'!J162+'Prod info'!J163)/SUM('Prod info'!J156:J167)*$K$98*I$29</f>
        <v>2856.6966766113937</v>
      </c>
      <c r="K105" s="253">
        <f>('Prod info'!K160+'Prod info'!K162+'Prod info'!K163)/SUM('Prod info'!K156:K167)*$K$98*J$29</f>
        <v>2913.8306101436215</v>
      </c>
      <c r="M105" s="8"/>
      <c r="N105" s="115">
        <f>N103*N104</f>
        <v>2140.2770780856426</v>
      </c>
      <c r="O105" s="115">
        <f t="shared" ref="O105:T105" si="82">O103*O104</f>
        <v>2215.1867758186399</v>
      </c>
      <c r="P105" s="115">
        <f t="shared" si="82"/>
        <v>2259.4905113350128</v>
      </c>
      <c r="Q105" s="115">
        <f t="shared" si="82"/>
        <v>2304.6803215617133</v>
      </c>
      <c r="R105" s="115">
        <f t="shared" si="82"/>
        <v>2350.7739279929478</v>
      </c>
      <c r="S105" s="115">
        <f t="shared" si="82"/>
        <v>2397.7894065528071</v>
      </c>
      <c r="T105" s="508">
        <f t="shared" si="82"/>
        <v>2445.7451946838632</v>
      </c>
      <c r="V105" s="8"/>
      <c r="X105" s="468"/>
      <c r="Y105" s="471"/>
      <c r="AB105" s="80"/>
    </row>
    <row r="106" spans="2:28">
      <c r="B106" s="247" t="s">
        <v>206</v>
      </c>
      <c r="C106" s="2801"/>
      <c r="D106" s="904"/>
      <c r="E106" s="257">
        <f>('Prod info'!E166+'Prod info'!E164+'Prod info'!E167)/SUM('Prod info'!E156:E167)*$K$98*D$29</f>
        <v>419.77126722962669</v>
      </c>
      <c r="F106" s="257">
        <f>('Prod info'!F166+'Prod info'!F164+'Prod info'!F167)/SUM('Prod info'!F156:F167)*$K$98*E$29</f>
        <v>395.72400868275469</v>
      </c>
      <c r="G106" s="257">
        <f>('Prod info'!G166+'Prod info'!G164+'Prod info'!G167)/SUM('Prod info'!G156:G167)*$K$98*F$29</f>
        <v>409.62691805445678</v>
      </c>
      <c r="H106" s="257">
        <f>('Prod info'!H166+'Prod info'!H164+'Prod info'!H167)/SUM('Prod info'!H156:H167)*$K$98*G$29</f>
        <v>417.81945641554597</v>
      </c>
      <c r="I106" s="257">
        <f>('Prod info'!I166+'Prod info'!I164+'Prod info'!I167)/SUM('Prod info'!I156:I167)*$K$98*H$29</f>
        <v>426.17584554385684</v>
      </c>
      <c r="J106" s="257">
        <f>('Prod info'!J166+'Prod info'!J164+'Prod info'!J167)/SUM('Prod info'!J156:J167)*$K$98*I$29</f>
        <v>434.699362454734</v>
      </c>
      <c r="K106" s="643">
        <f>('Prod info'!K166+'Prod info'!K164+'Prod info'!K167)/SUM('Prod info'!K156:K167)*$K$98*J$29</f>
        <v>443.39334970382862</v>
      </c>
      <c r="M106" s="8"/>
      <c r="N106" s="115"/>
      <c r="O106" s="115"/>
      <c r="P106" s="115"/>
      <c r="Q106" s="115"/>
      <c r="R106" s="115"/>
      <c r="S106" s="115"/>
      <c r="T106" s="508"/>
      <c r="V106" s="8" t="s">
        <v>521</v>
      </c>
      <c r="W106" s="464">
        <f>(1800+2014)/1.2</f>
        <v>3178.3333333333335</v>
      </c>
      <c r="X106" s="80"/>
      <c r="Y106" s="471"/>
      <c r="AB106" s="80"/>
    </row>
    <row r="107" spans="2:28">
      <c r="B107" s="254" t="s">
        <v>5</v>
      </c>
      <c r="C107" s="2798"/>
      <c r="D107" s="904"/>
      <c r="E107" s="2802">
        <f t="shared" ref="E107:K107" si="83">SUM(E102:E106)</f>
        <v>3342.9045727750627</v>
      </c>
      <c r="F107" s="2802">
        <f t="shared" si="83"/>
        <v>3367.2581342333583</v>
      </c>
      <c r="G107" s="2802">
        <f t="shared" si="83"/>
        <v>3442.5617596276752</v>
      </c>
      <c r="H107" s="2802">
        <f t="shared" si="83"/>
        <v>3511.412994820229</v>
      </c>
      <c r="I107" s="2802">
        <f t="shared" si="83"/>
        <v>3581.6412547166337</v>
      </c>
      <c r="J107" s="2802">
        <f t="shared" si="83"/>
        <v>3653.2740798109662</v>
      </c>
      <c r="K107" s="258">
        <f t="shared" si="83"/>
        <v>3726.3395614071856</v>
      </c>
      <c r="M107" s="8" t="str">
        <f>V52</f>
        <v>Tying</v>
      </c>
      <c r="N107" s="115">
        <f t="shared" ref="N107:T107" si="84">N49</f>
        <v>12.615224966334875</v>
      </c>
      <c r="O107" s="115">
        <f t="shared" si="84"/>
        <v>16.465543570308053</v>
      </c>
      <c r="P107" s="115">
        <f t="shared" si="84"/>
        <v>19.187863548651311</v>
      </c>
      <c r="Q107" s="115">
        <f t="shared" si="84"/>
        <v>19.283802866394566</v>
      </c>
      <c r="R107" s="115">
        <f t="shared" si="84"/>
        <v>19.283802866394566</v>
      </c>
      <c r="S107" s="115">
        <f t="shared" si="84"/>
        <v>19.283802866394566</v>
      </c>
      <c r="T107" s="508">
        <f t="shared" si="84"/>
        <v>19.283802866394566</v>
      </c>
      <c r="V107" s="8" t="s">
        <v>503</v>
      </c>
      <c r="W107" s="89">
        <f>W99</f>
        <v>675</v>
      </c>
      <c r="X107" s="80"/>
      <c r="Y107" s="471"/>
      <c r="AB107" s="80"/>
    </row>
    <row r="108" spans="2:28">
      <c r="B108" s="8"/>
      <c r="C108" s="904"/>
      <c r="D108" s="904"/>
      <c r="E108" s="904"/>
      <c r="F108" s="904"/>
      <c r="G108" s="904"/>
      <c r="H108" s="904"/>
      <c r="I108" s="904"/>
      <c r="J108" s="904"/>
      <c r="K108" s="80"/>
      <c r="M108" s="8" t="str">
        <f>M104</f>
        <v>Everage fuel costs per day</v>
      </c>
      <c r="N108" s="114">
        <f>W63*D29</f>
        <v>60.317499999999995</v>
      </c>
      <c r="O108" s="114">
        <f t="shared" ref="O108:T108" si="85">N108*(1+E28)</f>
        <v>62.428612499999993</v>
      </c>
      <c r="P108" s="114">
        <f t="shared" si="85"/>
        <v>63.677184749999995</v>
      </c>
      <c r="Q108" s="114">
        <f t="shared" si="85"/>
        <v>64.950728444999996</v>
      </c>
      <c r="R108" s="114">
        <f t="shared" si="85"/>
        <v>66.249743013900002</v>
      </c>
      <c r="S108" s="114">
        <f t="shared" si="85"/>
        <v>67.574737874177998</v>
      </c>
      <c r="T108" s="561">
        <f t="shared" si="85"/>
        <v>68.926232631661563</v>
      </c>
      <c r="V108" s="8" t="s">
        <v>522</v>
      </c>
      <c r="W108" s="78">
        <f>W106/W107</f>
        <v>4.7086419753086419</v>
      </c>
      <c r="X108" s="463">
        <f>W108/W99</f>
        <v>6.9757658893461359E-3</v>
      </c>
      <c r="Y108" s="472">
        <f>W108/$W$30</f>
        <v>4.9564652371669918E-5</v>
      </c>
      <c r="AB108" s="80"/>
    </row>
    <row r="109" spans="2:28">
      <c r="B109" s="254" t="s">
        <v>333</v>
      </c>
      <c r="C109" s="2798"/>
      <c r="D109" s="904"/>
      <c r="E109" s="2802"/>
      <c r="F109" s="2802"/>
      <c r="G109" s="2802"/>
      <c r="H109" s="2802"/>
      <c r="I109" s="2802"/>
      <c r="J109" s="2802"/>
      <c r="K109" s="258"/>
      <c r="M109" s="8"/>
      <c r="N109" s="115">
        <f>N107*N108</f>
        <v>760.91883190690373</v>
      </c>
      <c r="O109" s="115">
        <f t="shared" ref="O109:T109" si="86">O107*O108</f>
        <v>1027.9210391526278</v>
      </c>
      <c r="P109" s="115">
        <f t="shared" si="86"/>
        <v>1221.82913214526</v>
      </c>
      <c r="Q109" s="115">
        <f t="shared" si="86"/>
        <v>1252.4970433621061</v>
      </c>
      <c r="R109" s="115">
        <f t="shared" si="86"/>
        <v>1277.5469842293483</v>
      </c>
      <c r="S109" s="115">
        <f t="shared" si="86"/>
        <v>1303.0979239139351</v>
      </c>
      <c r="T109" s="508">
        <f t="shared" si="86"/>
        <v>1329.1598823922138</v>
      </c>
      <c r="V109" s="8"/>
      <c r="X109" s="80"/>
      <c r="Y109" s="473"/>
      <c r="AB109" s="80"/>
    </row>
    <row r="110" spans="2:28" ht="13.5" thickBot="1">
      <c r="B110" s="247" t="str">
        <f>B102</f>
        <v>White</v>
      </c>
      <c r="C110" s="2801"/>
      <c r="D110" s="904"/>
      <c r="E110" s="252">
        <f>E102/'Prod info'!E153</f>
        <v>0.1900209738177964</v>
      </c>
      <c r="F110" s="252">
        <f>F102/'Prod info'!F153</f>
        <v>0.11919497448570862</v>
      </c>
      <c r="G110" s="252">
        <f>G102/'Prod info'!G153</f>
        <v>0.1034713821067428</v>
      </c>
      <c r="H110" s="252">
        <f>H102/'Prod info'!H153</f>
        <v>0.10501573109341061</v>
      </c>
      <c r="I110" s="252">
        <f>I102/'Prod info'!I153</f>
        <v>0.10711604571527884</v>
      </c>
      <c r="J110" s="252">
        <f>J102/'Prod info'!J153</f>
        <v>0.10925836662958439</v>
      </c>
      <c r="K110" s="253">
        <f>K102/'Prod info'!K153</f>
        <v>0.11144353396217609</v>
      </c>
      <c r="M110" s="8"/>
      <c r="N110" s="115"/>
      <c r="O110" s="115"/>
      <c r="P110" s="115"/>
      <c r="Q110" s="115"/>
      <c r="R110" s="115"/>
      <c r="S110" s="115"/>
      <c r="T110" s="508"/>
      <c r="V110" s="97" t="s">
        <v>491</v>
      </c>
      <c r="W110" s="236" t="s">
        <v>517</v>
      </c>
      <c r="X110" s="496"/>
      <c r="Y110" s="474"/>
      <c r="AB110" s="80"/>
    </row>
    <row r="111" spans="2:28" ht="13.5" thickBot="1">
      <c r="B111" s="8" t="str">
        <f>B103</f>
        <v>Rose</v>
      </c>
      <c r="C111" s="904"/>
      <c r="D111" s="904"/>
      <c r="E111" s="924">
        <f>IF(E103=0,0,E103/('Prod info'!E154+'Prod info'!E155))</f>
        <v>0</v>
      </c>
      <c r="F111" s="924">
        <f>IF(F103=0,0,F103/('Prod info'!F154+'Prod info'!F155))</f>
        <v>0</v>
      </c>
      <c r="G111" s="924">
        <f>IF(G103=0,0,G103/('Prod info'!G154+'Prod info'!G155))</f>
        <v>0</v>
      </c>
      <c r="H111" s="924">
        <f>IF(H103=0,0,H103/('Prod info'!H154+'Prod info'!H155))</f>
        <v>0</v>
      </c>
      <c r="I111" s="924">
        <f>IF(I103=0,0,I103/('Prod info'!I154+'Prod info'!I155))</f>
        <v>0</v>
      </c>
      <c r="J111" s="924">
        <f>IF(J103=0,0,J103/('Prod info'!J154+'Prod info'!J155))</f>
        <v>0</v>
      </c>
      <c r="K111" s="230">
        <f>IF(K103=0,0,K103/('Prod info'!K154+'Prod info'!K155))</f>
        <v>0</v>
      </c>
      <c r="M111" s="8" t="str">
        <f>Z52</f>
        <v>Cutting</v>
      </c>
      <c r="N111" s="115">
        <f t="shared" ref="N111:T111" si="87">N58</f>
        <v>25.252642105263149</v>
      </c>
      <c r="O111" s="115">
        <f t="shared" si="87"/>
        <v>32.960052631578932</v>
      </c>
      <c r="P111" s="115">
        <f t="shared" si="87"/>
        <v>38.409481578947357</v>
      </c>
      <c r="Q111" s="115">
        <f t="shared" si="87"/>
        <v>38.601528986842084</v>
      </c>
      <c r="R111" s="115">
        <f t="shared" si="87"/>
        <v>38.601528986842084</v>
      </c>
      <c r="S111" s="115">
        <f t="shared" si="87"/>
        <v>38.601528986842084</v>
      </c>
      <c r="T111" s="508">
        <f t="shared" si="87"/>
        <v>38.601528986842084</v>
      </c>
      <c r="V111" s="8"/>
      <c r="AB111" s="80"/>
    </row>
    <row r="112" spans="2:28">
      <c r="B112" s="8" t="str">
        <f>B104</f>
        <v>Classic</v>
      </c>
      <c r="C112" s="904"/>
      <c r="D112" s="904"/>
      <c r="E112" s="924">
        <f>IF(E104=0,0,E104/('Prod info'!E156+'Prod info'!E157+'Prod info'!E158+'Prod info'!E159))</f>
        <v>0</v>
      </c>
      <c r="F112" s="924">
        <f>IF(F104=0,0,F104/('Prod info'!F156+'Prod info'!F157+'Prod info'!F158+'Prod info'!F159))</f>
        <v>0</v>
      </c>
      <c r="G112" s="924">
        <f>IF(G104=0,0,G104/('Prod info'!G156+'Prod info'!G157+'Prod info'!G158+'Prod info'!G159))</f>
        <v>0</v>
      </c>
      <c r="H112" s="924">
        <f>IF(H104=0,0,H104/('Prod info'!H156+'Prod info'!H157+'Prod info'!H158+'Prod info'!H159))</f>
        <v>0</v>
      </c>
      <c r="I112" s="924">
        <f>IF(I104=0,0,I104/('Prod info'!I156+'Prod info'!I157+'Prod info'!I158+'Prod info'!I159))</f>
        <v>0</v>
      </c>
      <c r="J112" s="924">
        <f>IF(J104=0,0,J104/('Prod info'!J156+'Prod info'!J157+'Prod info'!J158+'Prod info'!J159))</f>
        <v>0</v>
      </c>
      <c r="K112" s="230">
        <f>IF(K104=0,0,K104/('Prod info'!K156+'Prod info'!K157+'Prod info'!K158+'Prod info'!K159))</f>
        <v>0</v>
      </c>
      <c r="M112" s="8" t="str">
        <f>M108</f>
        <v>Everage fuel costs per day</v>
      </c>
      <c r="N112" s="114">
        <f>AA61*D29</f>
        <v>31.47</v>
      </c>
      <c r="O112" s="114">
        <f t="shared" ref="O112:T112" si="88">N112*(1+E28)</f>
        <v>32.571449999999999</v>
      </c>
      <c r="P112" s="114">
        <f t="shared" si="88"/>
        <v>33.222878999999999</v>
      </c>
      <c r="Q112" s="114">
        <f t="shared" si="88"/>
        <v>33.887336580000003</v>
      </c>
      <c r="R112" s="114">
        <f t="shared" si="88"/>
        <v>34.565083311600006</v>
      </c>
      <c r="S112" s="114">
        <f t="shared" si="88"/>
        <v>35.256384977832006</v>
      </c>
      <c r="T112" s="561">
        <f t="shared" si="88"/>
        <v>35.961512677388647</v>
      </c>
      <c r="V112" s="249" t="s">
        <v>489</v>
      </c>
      <c r="W112" s="273" t="s">
        <v>26</v>
      </c>
      <c r="X112" s="469" t="s">
        <v>522</v>
      </c>
      <c r="Y112" s="470" t="s">
        <v>523</v>
      </c>
      <c r="AB112" s="80"/>
    </row>
    <row r="113" spans="2:28">
      <c r="B113" s="8" t="str">
        <f>B105</f>
        <v>Premium</v>
      </c>
      <c r="C113" s="904"/>
      <c r="D113" s="904"/>
      <c r="E113" s="924">
        <f>E105/('Prod info'!E160+'Prod info'!E162+'Prod info'!E163)</f>
        <v>9.7873710993164678E-2</v>
      </c>
      <c r="F113" s="924">
        <f>F105/('Prod info'!F160+'Prod info'!F162+'Prod info'!F163)</f>
        <v>7.1503771771571009E-2</v>
      </c>
      <c r="G113" s="924">
        <f>G105/('Prod info'!G160+'Prod info'!G162+'Prod info'!G163)</f>
        <v>6.2624648832243349E-2</v>
      </c>
      <c r="H113" s="924">
        <f>H105/('Prod info'!H160+'Prod info'!H162+'Prod info'!H163)</f>
        <v>6.3559345083470886E-2</v>
      </c>
      <c r="I113" s="924">
        <f>I105/('Prod info'!I160+'Prod info'!I162+'Prod info'!I163)</f>
        <v>6.4830531985140313E-2</v>
      </c>
      <c r="J113" s="924">
        <f>J105/('Prod info'!J160+'Prod info'!J162+'Prod info'!J163)</f>
        <v>6.6127142624843108E-2</v>
      </c>
      <c r="K113" s="230">
        <f>K105/('Prod info'!K160+'Prod info'!K162+'Prod info'!K163)</f>
        <v>6.7449685477339968E-2</v>
      </c>
      <c r="M113" s="8"/>
      <c r="N113" s="115">
        <f>N111*N112</f>
        <v>794.70064705263133</v>
      </c>
      <c r="O113" s="115">
        <f t="shared" ref="O113:T113" si="89">O111*O112</f>
        <v>1073.5567062868415</v>
      </c>
      <c r="P113" s="115">
        <f t="shared" si="89"/>
        <v>1276.0735589500969</v>
      </c>
      <c r="Q113" s="115">
        <f t="shared" si="89"/>
        <v>1308.1030052797441</v>
      </c>
      <c r="R113" s="115">
        <f t="shared" si="89"/>
        <v>1334.2650653853391</v>
      </c>
      <c r="S113" s="115">
        <f t="shared" si="89"/>
        <v>1360.9503666930459</v>
      </c>
      <c r="T113" s="508">
        <f t="shared" si="89"/>
        <v>1388.169374026907</v>
      </c>
      <c r="V113" s="8" t="s">
        <v>503</v>
      </c>
      <c r="W113" s="89">
        <f>W99</f>
        <v>675</v>
      </c>
      <c r="X113" s="80"/>
      <c r="Y113" s="471"/>
      <c r="AB113" s="80"/>
    </row>
    <row r="114" spans="2:28" ht="13.5" thickBot="1">
      <c r="B114" s="97" t="str">
        <f>B106</f>
        <v>Selection individuelle</v>
      </c>
      <c r="C114" s="236"/>
      <c r="D114" s="236"/>
      <c r="E114" s="259">
        <f>E106/('Prod info'!E166+'Prod info'!E164+'Prod info'!E167)</f>
        <v>9.7873710993164706E-2</v>
      </c>
      <c r="F114" s="259">
        <f>F106/('Prod info'!F166+'Prod info'!F164+'Prod info'!F167)</f>
        <v>7.1503771771571009E-2</v>
      </c>
      <c r="G114" s="259">
        <f>G106/('Prod info'!G166+'Prod info'!G164+'Prod info'!G167)</f>
        <v>6.2624648832243363E-2</v>
      </c>
      <c r="H114" s="259">
        <f>H106/('Prod info'!H166+'Prod info'!H164+'Prod info'!H167)</f>
        <v>6.3559345083470886E-2</v>
      </c>
      <c r="I114" s="259">
        <f>I106/('Prod info'!I166+'Prod info'!I164+'Prod info'!I167)</f>
        <v>6.4830531985140299E-2</v>
      </c>
      <c r="J114" s="259">
        <f>J106/('Prod info'!J166+'Prod info'!J164+'Prod info'!J167)</f>
        <v>6.6127142624843108E-2</v>
      </c>
      <c r="K114" s="2882">
        <f>K106/('Prod info'!K166+'Prod info'!K164+'Prod info'!K167)</f>
        <v>6.7449685477339968E-2</v>
      </c>
      <c r="M114" s="8"/>
      <c r="N114" s="115"/>
      <c r="O114" s="115"/>
      <c r="P114" s="115"/>
      <c r="Q114" s="115"/>
      <c r="R114" s="115"/>
      <c r="S114" s="115"/>
      <c r="T114" s="508"/>
      <c r="V114" s="8" t="s">
        <v>518</v>
      </c>
      <c r="W114" s="467">
        <v>32.142857142857146</v>
      </c>
      <c r="X114" s="80"/>
      <c r="Y114" s="471"/>
      <c r="AB114" s="80"/>
    </row>
    <row r="115" spans="2:28" ht="13.5" thickBot="1">
      <c r="D115" s="224"/>
      <c r="E115" s="224"/>
      <c r="F115" s="224"/>
      <c r="G115" s="224"/>
      <c r="H115" s="224"/>
      <c r="I115" s="224"/>
      <c r="J115" s="224"/>
      <c r="K115" s="224"/>
      <c r="M115" s="8" t="str">
        <f>V68</f>
        <v>Waste transportation</v>
      </c>
      <c r="N115" s="115">
        <f>N65</f>
        <v>9.1827789473684209</v>
      </c>
      <c r="O115" s="115">
        <f t="shared" ref="O115:T115" si="90">O65</f>
        <v>11.985473684210525</v>
      </c>
      <c r="P115" s="115">
        <f t="shared" si="90"/>
        <v>13.967084210526314</v>
      </c>
      <c r="Q115" s="115">
        <f t="shared" si="90"/>
        <v>14.036919631578943</v>
      </c>
      <c r="R115" s="115">
        <f t="shared" si="90"/>
        <v>14.036919631578943</v>
      </c>
      <c r="S115" s="115">
        <f t="shared" si="90"/>
        <v>14.036919631578943</v>
      </c>
      <c r="T115" s="508">
        <f t="shared" si="90"/>
        <v>14.036919631578943</v>
      </c>
      <c r="V115" s="8" t="s">
        <v>495</v>
      </c>
      <c r="W115" s="464">
        <f>W113/W114</f>
        <v>20.999999999999996</v>
      </c>
      <c r="X115" s="80"/>
      <c r="Y115" s="471"/>
      <c r="AB115" s="80"/>
    </row>
    <row r="116" spans="2:28">
      <c r="B116" s="249" t="s">
        <v>21</v>
      </c>
      <c r="C116" s="518"/>
      <c r="D116" s="227"/>
      <c r="E116" s="227"/>
      <c r="F116" s="227"/>
      <c r="G116" s="227"/>
      <c r="H116" s="227"/>
      <c r="I116" s="227"/>
      <c r="J116" s="227"/>
      <c r="K116" s="164"/>
      <c r="M116" s="8" t="str">
        <f>M112</f>
        <v>Everage fuel costs per day</v>
      </c>
      <c r="N116" s="114">
        <f>W77*D29</f>
        <v>31.47</v>
      </c>
      <c r="O116" s="114">
        <f t="shared" ref="O116:T116" si="91">N116*(1+E28)</f>
        <v>32.571449999999999</v>
      </c>
      <c r="P116" s="114">
        <f t="shared" si="91"/>
        <v>33.222878999999999</v>
      </c>
      <c r="Q116" s="114">
        <f t="shared" si="91"/>
        <v>33.887336580000003</v>
      </c>
      <c r="R116" s="114">
        <f t="shared" si="91"/>
        <v>34.565083311600006</v>
      </c>
      <c r="S116" s="114">
        <f t="shared" si="91"/>
        <v>35.256384977832006</v>
      </c>
      <c r="T116" s="561">
        <f t="shared" si="91"/>
        <v>35.961512677388647</v>
      </c>
      <c r="V116" s="8" t="s">
        <v>498</v>
      </c>
      <c r="W116" s="78">
        <v>15.9</v>
      </c>
      <c r="X116" s="80"/>
      <c r="Y116" s="471"/>
      <c r="AB116" s="80"/>
    </row>
    <row r="117" spans="2:28">
      <c r="B117" s="254"/>
      <c r="C117" s="2798"/>
      <c r="D117" s="904"/>
      <c r="E117" s="904"/>
      <c r="F117" s="904"/>
      <c r="G117" s="904"/>
      <c r="H117" s="904"/>
      <c r="I117" s="904"/>
      <c r="J117" s="904"/>
      <c r="K117" s="80"/>
      <c r="M117" s="8"/>
      <c r="N117" s="115">
        <f>N115*N116</f>
        <v>288.98205347368418</v>
      </c>
      <c r="O117" s="115">
        <f t="shared" ref="O117:T117" si="92">O115*O116</f>
        <v>390.38425683157891</v>
      </c>
      <c r="P117" s="115">
        <f t="shared" si="92"/>
        <v>464.02674870912625</v>
      </c>
      <c r="Q117" s="115">
        <f t="shared" si="92"/>
        <v>475.67382010172525</v>
      </c>
      <c r="R117" s="115">
        <f t="shared" si="92"/>
        <v>485.18729650375985</v>
      </c>
      <c r="S117" s="115">
        <f t="shared" si="92"/>
        <v>494.89104243383503</v>
      </c>
      <c r="T117" s="508">
        <f t="shared" si="92"/>
        <v>504.78886328251173</v>
      </c>
      <c r="V117" s="8" t="s">
        <v>496</v>
      </c>
      <c r="W117" s="78">
        <f>W103</f>
        <v>35</v>
      </c>
      <c r="X117" s="80"/>
      <c r="Y117" s="471"/>
      <c r="AB117" s="80"/>
    </row>
    <row r="118" spans="2:28">
      <c r="B118" s="254"/>
      <c r="C118" s="2798"/>
      <c r="D118" s="250">
        <v>2022</v>
      </c>
      <c r="E118" s="250">
        <f>D118+1</f>
        <v>2023</v>
      </c>
      <c r="F118" s="250">
        <f t="shared" ref="F118:K118" si="93">E118+1</f>
        <v>2024</v>
      </c>
      <c r="G118" s="250">
        <f t="shared" si="93"/>
        <v>2025</v>
      </c>
      <c r="H118" s="250">
        <f t="shared" si="93"/>
        <v>2026</v>
      </c>
      <c r="I118" s="250">
        <f t="shared" si="93"/>
        <v>2027</v>
      </c>
      <c r="J118" s="250">
        <f t="shared" si="93"/>
        <v>2028</v>
      </c>
      <c r="K118" s="251">
        <f t="shared" si="93"/>
        <v>2029</v>
      </c>
      <c r="M118" s="8"/>
      <c r="N118" s="115"/>
      <c r="O118" s="115"/>
      <c r="P118" s="115"/>
      <c r="Q118" s="115"/>
      <c r="R118" s="115"/>
      <c r="S118" s="115"/>
      <c r="T118" s="508"/>
      <c r="V118" s="8" t="s">
        <v>499</v>
      </c>
      <c r="W118" s="89">
        <f>W115*W116*W117</f>
        <v>11686.5</v>
      </c>
      <c r="X118" s="463">
        <f>W118/W113</f>
        <v>17.313333333333333</v>
      </c>
      <c r="Y118" s="471">
        <f>W118/$W$30</f>
        <v>0.12301578947368422</v>
      </c>
      <c r="AB118" s="80"/>
    </row>
    <row r="119" spans="2:28">
      <c r="B119" s="213" t="s">
        <v>855</v>
      </c>
      <c r="C119" s="914"/>
      <c r="D119" s="533">
        <f>15565.57+1691.03</f>
        <v>17256.599999999999</v>
      </c>
      <c r="E119" s="260">
        <f t="shared" ref="E119:K119" si="94">D119*(1+D$28)*IF(E118=$C$132,$C$133,1)</f>
        <v>18102.173399999996</v>
      </c>
      <c r="F119" s="260">
        <f t="shared" si="94"/>
        <v>30913.986623849989</v>
      </c>
      <c r="G119" s="260">
        <f t="shared" si="94"/>
        <v>31532.266356326989</v>
      </c>
      <c r="H119" s="260">
        <f t="shared" si="94"/>
        <v>32162.911683453531</v>
      </c>
      <c r="I119" s="260">
        <f t="shared" si="94"/>
        <v>32806.169917122599</v>
      </c>
      <c r="J119" s="260">
        <f t="shared" si="94"/>
        <v>33462.293315465053</v>
      </c>
      <c r="K119" s="637">
        <f t="shared" si="94"/>
        <v>34131.539181774351</v>
      </c>
      <c r="M119" s="8" t="str">
        <f>V82</f>
        <v>Construction maintenance</v>
      </c>
      <c r="N119" s="115">
        <f>N73</f>
        <v>13.000000000000005</v>
      </c>
      <c r="O119" s="115">
        <f t="shared" ref="O119:T119" si="95">O73</f>
        <v>13.000000000000005</v>
      </c>
      <c r="P119" s="115">
        <f t="shared" si="95"/>
        <v>13.000000000000005</v>
      </c>
      <c r="Q119" s="115">
        <f t="shared" si="95"/>
        <v>13.000000000000005</v>
      </c>
      <c r="R119" s="115">
        <f t="shared" si="95"/>
        <v>13.000000000000005</v>
      </c>
      <c r="S119" s="115">
        <f t="shared" si="95"/>
        <v>13.000000000000005</v>
      </c>
      <c r="T119" s="508">
        <f t="shared" si="95"/>
        <v>13.000000000000005</v>
      </c>
      <c r="V119" s="8"/>
      <c r="X119" s="468"/>
      <c r="Y119" s="471"/>
      <c r="AB119" s="80"/>
    </row>
    <row r="120" spans="2:28">
      <c r="B120" s="213" t="s">
        <v>858</v>
      </c>
      <c r="C120" s="914"/>
      <c r="D120" s="533">
        <f>79.23+664.48</f>
        <v>743.71</v>
      </c>
      <c r="E120" s="260">
        <f t="shared" ref="E120:K120" si="96">D120*(1+D$28)*IF(E118=$C$136,$C$137,1)</f>
        <v>780.15179000000001</v>
      </c>
      <c r="F120" s="260">
        <f t="shared" si="96"/>
        <v>1614.9142052999998</v>
      </c>
      <c r="G120" s="260">
        <f t="shared" si="96"/>
        <v>1647.2124894059998</v>
      </c>
      <c r="H120" s="260">
        <f t="shared" si="96"/>
        <v>1680.1567391941198</v>
      </c>
      <c r="I120" s="260">
        <f t="shared" si="96"/>
        <v>1713.7598739780024</v>
      </c>
      <c r="J120" s="260">
        <f t="shared" si="96"/>
        <v>1748.0350714575625</v>
      </c>
      <c r="K120" s="637">
        <f t="shared" si="96"/>
        <v>1782.9957728867137</v>
      </c>
      <c r="M120" s="8" t="str">
        <f>M112</f>
        <v>Everage fuel costs per day</v>
      </c>
      <c r="N120" s="114">
        <f>W93*D29</f>
        <v>31.47</v>
      </c>
      <c r="O120" s="114">
        <f t="shared" ref="O120:T120" si="97">N120*(1+E28)</f>
        <v>32.571449999999999</v>
      </c>
      <c r="P120" s="114">
        <f t="shared" si="97"/>
        <v>33.222878999999999</v>
      </c>
      <c r="Q120" s="114">
        <f t="shared" si="97"/>
        <v>33.887336580000003</v>
      </c>
      <c r="R120" s="114">
        <f t="shared" si="97"/>
        <v>34.565083311600006</v>
      </c>
      <c r="S120" s="114">
        <f t="shared" si="97"/>
        <v>35.256384977832006</v>
      </c>
      <c r="T120" s="561">
        <f t="shared" si="97"/>
        <v>35.961512677388647</v>
      </c>
      <c r="V120" s="8" t="s">
        <v>521</v>
      </c>
      <c r="W120" s="464">
        <f>(1800+2014)/1.2</f>
        <v>3178.3333333333335</v>
      </c>
      <c r="X120" s="80"/>
      <c r="Y120" s="471"/>
      <c r="AB120" s="80"/>
    </row>
    <row r="121" spans="2:28">
      <c r="B121" s="213" t="s">
        <v>334</v>
      </c>
      <c r="C121" s="914"/>
      <c r="D121" s="533">
        <f>615.54+72.36</f>
        <v>687.9</v>
      </c>
      <c r="E121" s="260">
        <f t="shared" ref="E121:K125" si="98">D121*(1+D$28)</f>
        <v>721.60709999999995</v>
      </c>
      <c r="F121" s="260">
        <f t="shared" si="98"/>
        <v>746.86334849999992</v>
      </c>
      <c r="G121" s="260">
        <f t="shared" si="98"/>
        <v>761.80061546999991</v>
      </c>
      <c r="H121" s="260">
        <f t="shared" si="98"/>
        <v>777.03662777939996</v>
      </c>
      <c r="I121" s="260">
        <f t="shared" si="98"/>
        <v>792.57736033498793</v>
      </c>
      <c r="J121" s="260">
        <f t="shared" si="98"/>
        <v>808.42890754168775</v>
      </c>
      <c r="K121" s="637">
        <f t="shared" si="98"/>
        <v>824.59748569252156</v>
      </c>
      <c r="M121" s="8"/>
      <c r="N121" s="115">
        <f>N119*N120</f>
        <v>409.11000000000013</v>
      </c>
      <c r="O121" s="115">
        <f t="shared" ref="O121:T121" si="99">O119*O120</f>
        <v>423.42885000000018</v>
      </c>
      <c r="P121" s="115">
        <f t="shared" si="99"/>
        <v>431.89742700000016</v>
      </c>
      <c r="Q121" s="115">
        <f t="shared" si="99"/>
        <v>440.53537554000025</v>
      </c>
      <c r="R121" s="115">
        <f t="shared" si="99"/>
        <v>449.34608305080025</v>
      </c>
      <c r="S121" s="115">
        <f t="shared" si="99"/>
        <v>458.33300471181627</v>
      </c>
      <c r="T121" s="508">
        <f t="shared" si="99"/>
        <v>467.49966480605258</v>
      </c>
      <c r="V121" s="8" t="s">
        <v>503</v>
      </c>
      <c r="W121" s="89">
        <f>W113</f>
        <v>675</v>
      </c>
      <c r="X121" s="80"/>
      <c r="Y121" s="471"/>
      <c r="AB121" s="80"/>
    </row>
    <row r="122" spans="2:28">
      <c r="B122" s="213" t="s">
        <v>335</v>
      </c>
      <c r="C122" s="914"/>
      <c r="D122" s="533">
        <f>3876.92+123.08</f>
        <v>4000</v>
      </c>
      <c r="E122" s="260">
        <f t="shared" si="98"/>
        <v>4196</v>
      </c>
      <c r="F122" s="260">
        <f t="shared" si="98"/>
        <v>4342.8599999999997</v>
      </c>
      <c r="G122" s="260">
        <f t="shared" si="98"/>
        <v>4429.7172</v>
      </c>
      <c r="H122" s="260">
        <f t="shared" si="98"/>
        <v>4518.3115440000001</v>
      </c>
      <c r="I122" s="260">
        <f t="shared" si="98"/>
        <v>4608.6777748800005</v>
      </c>
      <c r="J122" s="260">
        <f t="shared" si="98"/>
        <v>4700.8513303776008</v>
      </c>
      <c r="K122" s="637">
        <f t="shared" si="98"/>
        <v>4794.8683569851528</v>
      </c>
      <c r="M122" s="8"/>
      <c r="N122" s="115"/>
      <c r="O122" s="115"/>
      <c r="P122" s="115"/>
      <c r="Q122" s="115"/>
      <c r="R122" s="115"/>
      <c r="S122" s="115"/>
      <c r="T122" s="508"/>
      <c r="V122" s="8" t="s">
        <v>522</v>
      </c>
      <c r="W122" s="78">
        <f>W120/W121</f>
        <v>4.7086419753086419</v>
      </c>
      <c r="X122" s="463">
        <f>W122/W113</f>
        <v>6.9757658893461359E-3</v>
      </c>
      <c r="Y122" s="472">
        <f>W122/$W$30</f>
        <v>4.9564652371669918E-5</v>
      </c>
      <c r="AB122" s="80"/>
    </row>
    <row r="123" spans="2:28">
      <c r="B123" s="213" t="s">
        <v>336</v>
      </c>
      <c r="C123" s="914"/>
      <c r="D123" s="534">
        <f>1376.92+123.08</f>
        <v>1500</v>
      </c>
      <c r="E123" s="260">
        <f t="shared" si="98"/>
        <v>1573.5</v>
      </c>
      <c r="F123" s="260">
        <f t="shared" si="98"/>
        <v>1628.5724999999998</v>
      </c>
      <c r="G123" s="260">
        <f t="shared" si="98"/>
        <v>1661.1439499999997</v>
      </c>
      <c r="H123" s="260">
        <f t="shared" si="98"/>
        <v>1694.3668289999996</v>
      </c>
      <c r="I123" s="260">
        <f t="shared" si="98"/>
        <v>1728.2541655799996</v>
      </c>
      <c r="J123" s="260">
        <f t="shared" si="98"/>
        <v>1762.8192488915997</v>
      </c>
      <c r="K123" s="637">
        <f t="shared" si="98"/>
        <v>1798.0756338694318</v>
      </c>
      <c r="L123" s="242"/>
      <c r="M123" s="8" t="s">
        <v>328</v>
      </c>
      <c r="N123" s="115">
        <f>N121+N117+N113+N109+N105+N101</f>
        <v>4952.9708571745332</v>
      </c>
      <c r="O123" s="115">
        <f t="shared" ref="O123:T123" si="100">O121+O117+O113+O109+O105+O101</f>
        <v>5885.6036517290504</v>
      </c>
      <c r="P123" s="115">
        <f t="shared" si="100"/>
        <v>6550.8911595694026</v>
      </c>
      <c r="Q123" s="115">
        <f t="shared" si="100"/>
        <v>6701.5924491890855</v>
      </c>
      <c r="R123" s="115">
        <f t="shared" si="100"/>
        <v>6835.6242981728683</v>
      </c>
      <c r="S123" s="115">
        <f t="shared" si="100"/>
        <v>6972.3367841363261</v>
      </c>
      <c r="T123" s="508">
        <f t="shared" si="100"/>
        <v>7111.7835198190523</v>
      </c>
      <c r="V123" s="8"/>
      <c r="X123" s="80"/>
      <c r="Y123" s="471"/>
      <c r="AB123" s="80"/>
    </row>
    <row r="124" spans="2:28" ht="13.5" thickBot="1">
      <c r="B124" s="213" t="s">
        <v>747</v>
      </c>
      <c r="C124" s="914"/>
      <c r="D124" s="852"/>
      <c r="E124" s="260">
        <f>N124</f>
        <v>2532.4137870748141</v>
      </c>
      <c r="F124" s="260">
        <f t="shared" ref="F124:K126" si="101">E124*(1+E$28)</f>
        <v>2621.0482696224326</v>
      </c>
      <c r="G124" s="260">
        <f t="shared" si="101"/>
        <v>2673.4692350148812</v>
      </c>
      <c r="H124" s="260">
        <f t="shared" si="101"/>
        <v>2726.9386197151789</v>
      </c>
      <c r="I124" s="260">
        <f t="shared" si="101"/>
        <v>2781.4773921094825</v>
      </c>
      <c r="J124" s="260">
        <f t="shared" si="101"/>
        <v>2837.1069399516723</v>
      </c>
      <c r="K124" s="637">
        <f t="shared" si="101"/>
        <v>2893.8490787507058</v>
      </c>
      <c r="M124" s="97" t="s">
        <v>329</v>
      </c>
      <c r="N124" s="564">
        <f>N123/'RCE PP&amp;E'!$E$3</f>
        <v>2532.4137870748141</v>
      </c>
      <c r="O124" s="564">
        <f>O123/'RCE PP&amp;E'!$E$3</f>
        <v>3009.2613630678793</v>
      </c>
      <c r="P124" s="564">
        <f>P123/'RCE PP&amp;E'!$E$3</f>
        <v>3349.4174644879172</v>
      </c>
      <c r="Q124" s="564">
        <f>Q123/'RCE PP&amp;E'!$E$3</f>
        <v>3426.469810356261</v>
      </c>
      <c r="R124" s="564">
        <f>R123/'RCE PP&amp;E'!$E$3</f>
        <v>3494.9992065633865</v>
      </c>
      <c r="S124" s="564">
        <f>S123/'RCE PP&amp;E'!$E$3</f>
        <v>3564.8991906946544</v>
      </c>
      <c r="T124" s="565">
        <f>T123/'RCE PP&amp;E'!$E$3</f>
        <v>3636.1971745085475</v>
      </c>
      <c r="U124" s="236"/>
      <c r="V124" s="97" t="s">
        <v>491</v>
      </c>
      <c r="W124" s="236" t="s">
        <v>492</v>
      </c>
      <c r="X124" s="496"/>
      <c r="Y124" s="475"/>
      <c r="Z124" s="236"/>
      <c r="AA124" s="236"/>
      <c r="AB124" s="496"/>
    </row>
    <row r="125" spans="2:28">
      <c r="B125" s="213" t="s">
        <v>751</v>
      </c>
      <c r="C125" s="914"/>
      <c r="D125" s="534">
        <v>2400</v>
      </c>
      <c r="E125" s="260">
        <f t="shared" si="98"/>
        <v>2517.6</v>
      </c>
      <c r="F125" s="260">
        <f t="shared" si="101"/>
        <v>2605.7159999999999</v>
      </c>
      <c r="G125" s="260">
        <f t="shared" si="101"/>
        <v>2657.83032</v>
      </c>
      <c r="H125" s="260">
        <f t="shared" si="101"/>
        <v>2710.9869263999999</v>
      </c>
      <c r="I125" s="260">
        <f t="shared" si="101"/>
        <v>2765.206664928</v>
      </c>
      <c r="J125" s="260">
        <f t="shared" si="101"/>
        <v>2820.5107982265599</v>
      </c>
      <c r="K125" s="637">
        <f t="shared" si="101"/>
        <v>2876.9210141910912</v>
      </c>
    </row>
    <row r="126" spans="2:28">
      <c r="B126" s="213" t="s">
        <v>181</v>
      </c>
      <c r="C126" s="914"/>
      <c r="D126" s="535">
        <v>3500</v>
      </c>
      <c r="E126" s="261">
        <f>D126*(1+D$28)</f>
        <v>3671.4999999999995</v>
      </c>
      <c r="F126" s="261">
        <f t="shared" si="101"/>
        <v>3800.0024999999991</v>
      </c>
      <c r="G126" s="261">
        <f t="shared" si="101"/>
        <v>3876.0025499999992</v>
      </c>
      <c r="H126" s="261">
        <f t="shared" si="101"/>
        <v>3953.5226009999992</v>
      </c>
      <c r="I126" s="261">
        <f t="shared" si="101"/>
        <v>4032.5930530199994</v>
      </c>
      <c r="J126" s="261">
        <f t="shared" si="101"/>
        <v>4113.2449140803992</v>
      </c>
      <c r="K126" s="638">
        <f t="shared" si="101"/>
        <v>4195.5098123620073</v>
      </c>
      <c r="M126" s="14"/>
      <c r="O126" s="14"/>
      <c r="P126" s="14"/>
      <c r="Q126" s="14"/>
      <c r="R126" s="14"/>
      <c r="S126" s="14"/>
      <c r="T126" s="14"/>
      <c r="U126" s="14"/>
      <c r="V126" s="14"/>
    </row>
    <row r="127" spans="2:28">
      <c r="B127" s="8" t="s">
        <v>328</v>
      </c>
      <c r="C127" s="904"/>
      <c r="D127" s="2799">
        <f t="shared" ref="D127:K127" si="102">SUM(D119:D126)</f>
        <v>30088.21</v>
      </c>
      <c r="E127" s="2799">
        <f>SUM(E119:E126)</f>
        <v>34094.946077074805</v>
      </c>
      <c r="F127" s="2799">
        <f t="shared" si="102"/>
        <v>48273.963447272428</v>
      </c>
      <c r="G127" s="2799">
        <f t="shared" si="102"/>
        <v>49239.442716217862</v>
      </c>
      <c r="H127" s="2799">
        <f t="shared" si="102"/>
        <v>50224.231570542222</v>
      </c>
      <c r="I127" s="2799">
        <f t="shared" si="102"/>
        <v>51228.716201953073</v>
      </c>
      <c r="J127" s="2799">
        <f t="shared" si="102"/>
        <v>52253.290525992139</v>
      </c>
      <c r="K127" s="639">
        <f t="shared" si="102"/>
        <v>53298.35633651197</v>
      </c>
    </row>
    <row r="128" spans="2:28">
      <c r="B128" s="8" t="s">
        <v>329</v>
      </c>
      <c r="C128" s="904"/>
      <c r="D128" s="2800">
        <f>D127/1.95583</f>
        <v>15383.857492726873</v>
      </c>
      <c r="E128" s="2800">
        <f>E127/1.95583</f>
        <v>17432.469119031208</v>
      </c>
      <c r="F128" s="2800">
        <f t="shared" ref="F128:K128" si="103">F127/1.95583</f>
        <v>24682.085583753407</v>
      </c>
      <c r="G128" s="2800">
        <f t="shared" si="103"/>
        <v>25175.727295428471</v>
      </c>
      <c r="H128" s="2800">
        <f t="shared" si="103"/>
        <v>25679.24184133704</v>
      </c>
      <c r="I128" s="2800">
        <f t="shared" si="103"/>
        <v>26192.826678163783</v>
      </c>
      <c r="J128" s="2800">
        <f t="shared" si="103"/>
        <v>26716.683211727061</v>
      </c>
      <c r="K128" s="640">
        <f t="shared" si="103"/>
        <v>27251.016875961599</v>
      </c>
    </row>
    <row r="129" spans="2:11">
      <c r="B129" s="254"/>
      <c r="C129" s="2798"/>
      <c r="D129" s="914"/>
      <c r="E129" s="914"/>
      <c r="F129" s="914"/>
      <c r="G129" s="914"/>
      <c r="H129" s="914"/>
      <c r="I129" s="914"/>
      <c r="J129" s="904"/>
      <c r="K129" s="80"/>
    </row>
    <row r="130" spans="2:11" ht="13.5" thickBot="1">
      <c r="B130" s="254"/>
      <c r="C130" s="2798"/>
      <c r="D130" s="914"/>
      <c r="E130" s="914"/>
      <c r="F130" s="914"/>
      <c r="G130" s="914"/>
      <c r="H130" s="914"/>
      <c r="I130" s="914"/>
      <c r="J130" s="904"/>
      <c r="K130" s="80"/>
    </row>
    <row r="131" spans="2:11">
      <c r="B131" s="249" t="str">
        <f>B119</f>
        <v>Electricity *</v>
      </c>
      <c r="C131" s="645"/>
      <c r="D131" s="904"/>
      <c r="E131" s="904"/>
      <c r="F131" s="904"/>
      <c r="G131" s="904"/>
      <c r="H131" s="904"/>
      <c r="I131" s="904"/>
      <c r="J131" s="904"/>
      <c r="K131" s="80"/>
    </row>
    <row r="132" spans="2:11">
      <c r="B132" s="247" t="s">
        <v>856</v>
      </c>
      <c r="C132" s="248">
        <f>Capex!F24</f>
        <v>2024</v>
      </c>
      <c r="D132" s="904"/>
      <c r="E132" s="904"/>
      <c r="F132" s="904"/>
      <c r="G132" s="904"/>
      <c r="H132" s="904"/>
      <c r="I132" s="904"/>
      <c r="J132" s="904"/>
      <c r="K132" s="80"/>
    </row>
    <row r="133" spans="2:11">
      <c r="B133" s="247" t="s">
        <v>857</v>
      </c>
      <c r="C133" s="802">
        <v>1.65</v>
      </c>
      <c r="D133" s="904"/>
      <c r="E133" s="904"/>
      <c r="F133" s="904"/>
      <c r="G133" s="904"/>
      <c r="H133" s="904"/>
      <c r="I133" s="904"/>
      <c r="J133" s="904"/>
      <c r="K133" s="80"/>
    </row>
    <row r="134" spans="2:11">
      <c r="B134" s="254"/>
      <c r="C134" s="803"/>
      <c r="D134" s="904"/>
      <c r="E134" s="904"/>
      <c r="F134" s="904"/>
      <c r="G134" s="904"/>
      <c r="H134" s="904"/>
      <c r="I134" s="904"/>
      <c r="J134" s="904"/>
      <c r="K134" s="80"/>
    </row>
    <row r="135" spans="2:11">
      <c r="B135" s="254" t="str">
        <f>B120</f>
        <v>Water **</v>
      </c>
      <c r="C135" s="803"/>
      <c r="D135" s="904"/>
      <c r="E135" s="904"/>
      <c r="F135" s="904"/>
      <c r="G135" s="904"/>
      <c r="H135" s="904"/>
      <c r="I135" s="904"/>
      <c r="J135" s="904"/>
      <c r="K135" s="80"/>
    </row>
    <row r="136" spans="2:11">
      <c r="B136" s="247" t="s">
        <v>859</v>
      </c>
      <c r="C136" s="248">
        <f>Capex!F22</f>
        <v>2024</v>
      </c>
      <c r="D136" s="904"/>
      <c r="E136" s="904"/>
      <c r="F136" s="904"/>
      <c r="G136" s="904"/>
      <c r="H136" s="904"/>
      <c r="I136" s="904"/>
      <c r="J136" s="904"/>
      <c r="K136" s="80"/>
    </row>
    <row r="137" spans="2:11" ht="13.5" thickBot="1">
      <c r="B137" s="804" t="s">
        <v>860</v>
      </c>
      <c r="C137" s="805">
        <v>2</v>
      </c>
      <c r="D137" s="904"/>
      <c r="E137" s="904"/>
      <c r="F137" s="904"/>
      <c r="G137" s="904"/>
      <c r="H137" s="904"/>
      <c r="I137" s="904"/>
      <c r="J137" s="904"/>
      <c r="K137" s="80"/>
    </row>
    <row r="138" spans="2:11">
      <c r="B138" s="254"/>
      <c r="C138" s="2798"/>
      <c r="D138" s="914"/>
      <c r="E138" s="914"/>
      <c r="F138" s="914"/>
      <c r="G138" s="914"/>
      <c r="H138" s="914"/>
      <c r="I138" s="914"/>
      <c r="J138" s="904"/>
      <c r="K138" s="80"/>
    </row>
    <row r="139" spans="2:11">
      <c r="B139" s="247"/>
      <c r="C139" s="2801"/>
      <c r="D139" s="914"/>
      <c r="E139" s="250">
        <f t="shared" ref="E139:K139" si="104">E101</f>
        <v>2023</v>
      </c>
      <c r="F139" s="250">
        <f t="shared" si="104"/>
        <v>2024</v>
      </c>
      <c r="G139" s="250">
        <f t="shared" si="104"/>
        <v>2025</v>
      </c>
      <c r="H139" s="250">
        <f t="shared" si="104"/>
        <v>2026</v>
      </c>
      <c r="I139" s="250">
        <f t="shared" si="104"/>
        <v>2027</v>
      </c>
      <c r="J139" s="250">
        <f t="shared" si="104"/>
        <v>2028</v>
      </c>
      <c r="K139" s="251">
        <f t="shared" si="104"/>
        <v>2029</v>
      </c>
    </row>
    <row r="140" spans="2:11">
      <c r="B140" s="247" t="s">
        <v>196</v>
      </c>
      <c r="C140" s="2801"/>
      <c r="D140" s="914"/>
      <c r="E140" s="2802">
        <f>('Prod info'!E153/('Prod info'!E168))*E128</f>
        <v>784.43754230082345</v>
      </c>
      <c r="F140" s="2802">
        <f>('Prod info'!F153/('Prod info'!F168))*F128</f>
        <v>1284.0484065154149</v>
      </c>
      <c r="G140" s="2802">
        <f>('Prod info'!G153/('Prod info'!G168))*G128</f>
        <v>1320.7915100994765</v>
      </c>
      <c r="H140" s="2802">
        <f>('Prod info'!H153/('Prod info'!H168))*H128</f>
        <v>1347.2073403014658</v>
      </c>
      <c r="I140" s="2802">
        <f>('Prod info'!I153/('Prod info'!I168))*I128</f>
        <v>1374.1514871074953</v>
      </c>
      <c r="J140" s="2802">
        <f>('Prod info'!J153/('Prod info'!J168))*J128</f>
        <v>1401.6345168496455</v>
      </c>
      <c r="K140" s="258">
        <f>('Prod info'!K153/('Prod info'!K168))*K128</f>
        <v>1429.6672071866381</v>
      </c>
    </row>
    <row r="141" spans="2:11">
      <c r="B141" s="247" t="s">
        <v>198</v>
      </c>
      <c r="C141" s="2801"/>
      <c r="D141" s="914"/>
      <c r="E141" s="2802">
        <f>(('Prod info'!E154+'Prod info'!E155)/('Prod info'!E168))*E128</f>
        <v>0</v>
      </c>
      <c r="F141" s="2802">
        <f>(('Prod info'!F154+'Prod info'!F155)/('Prod info'!F168))*F128</f>
        <v>0</v>
      </c>
      <c r="G141" s="2802">
        <f>(('Prod info'!G154+'Prod info'!G155)/('Prod info'!G168))*G128</f>
        <v>0</v>
      </c>
      <c r="H141" s="2802">
        <f>(('Prod info'!H154+'Prod info'!H155)/('Prod info'!H168))*H128</f>
        <v>0</v>
      </c>
      <c r="I141" s="2802">
        <f>(('Prod info'!I154+'Prod info'!I155)/('Prod info'!I168))*I128</f>
        <v>0</v>
      </c>
      <c r="J141" s="2802">
        <f>(('Prod info'!J154+'Prod info'!J155)/('Prod info'!J168))*J128</f>
        <v>0</v>
      </c>
      <c r="K141" s="258">
        <f>(('Prod info'!K154+'Prod info'!K155)/('Prod info'!K168))*K128</f>
        <v>0</v>
      </c>
    </row>
    <row r="142" spans="2:11">
      <c r="B142" s="247" t="s">
        <v>201</v>
      </c>
      <c r="C142" s="2801"/>
      <c r="D142" s="914"/>
      <c r="E142" s="2802">
        <f>(('Prod info'!E156+'Prod info'!E157+'Prod info'!E158+'Prod info'!E159)/('Prod info'!E168))*E128</f>
        <v>0</v>
      </c>
      <c r="F142" s="2802">
        <f>(('Prod info'!F156+'Prod info'!F157+'Prod info'!F158+'Prod info'!F159)/('Prod info'!F168))*F128</f>
        <v>0</v>
      </c>
      <c r="G142" s="2802">
        <f>(('Prod info'!G156+'Prod info'!G157+'Prod info'!G158+'Prod info'!G159)/('Prod info'!G168))*G128</f>
        <v>0</v>
      </c>
      <c r="H142" s="2802">
        <f>(('Prod info'!H156+'Prod info'!H157+'Prod info'!H158+'Prod info'!H159)/('Prod info'!H168))*H128</f>
        <v>0</v>
      </c>
      <c r="I142" s="2802">
        <f>(('Prod info'!I156+'Prod info'!I157+'Prod info'!I158+'Prod info'!I159)/('Prod info'!I168))*I128</f>
        <v>0</v>
      </c>
      <c r="J142" s="2802">
        <f>(('Prod info'!J156+'Prod info'!J157+'Prod info'!J158+'Prod info'!J159)/('Prod info'!J168))*J128</f>
        <v>0</v>
      </c>
      <c r="K142" s="258">
        <f>(('Prod info'!K156+'Prod info'!K157+'Prod info'!K158+'Prod info'!K159)/('Prod info'!K168))*K128</f>
        <v>0</v>
      </c>
    </row>
    <row r="143" spans="2:11">
      <c r="B143" s="247" t="s">
        <v>205</v>
      </c>
      <c r="C143" s="2801"/>
      <c r="D143" s="914"/>
      <c r="E143" s="2802">
        <f>(('Prod info'!E160+'Prod info'!E162+'Prod info'!E163)/('Prod info'!E168))*E128</f>
        <v>12259.307982856932</v>
      </c>
      <c r="F143" s="2802">
        <f>(('Prod info'!F160+'Prod info'!F162+'Prod info'!F163)/('Prod info'!F168))*F128</f>
        <v>16884.738673218701</v>
      </c>
      <c r="G143" s="2802">
        <f>(('Prod info'!G160+'Prod info'!G162+'Prod info'!G163)/('Prod info'!G168))*G128</f>
        <v>17227.05794342755</v>
      </c>
      <c r="H143" s="2802">
        <f>(('Prod info'!H160+'Prod info'!H162+'Prod info'!H163)/('Prod info'!H168))*H128</f>
        <v>17571.599102296099</v>
      </c>
      <c r="I143" s="2802">
        <f>(('Prod info'!I160+'Prod info'!I162+'Prod info'!I163)/('Prod info'!I168))*I128</f>
        <v>17923.031084342023</v>
      </c>
      <c r="J143" s="2802">
        <f>(('Prod info'!J160+'Prod info'!J162+'Prod info'!J163)/('Prod info'!J168))*J128</f>
        <v>18281.491706028864</v>
      </c>
      <c r="K143" s="258">
        <f>(('Prod info'!K160+'Prod info'!K162+'Prod info'!K163)/('Prod info'!K168))*K128</f>
        <v>18647.121540149441</v>
      </c>
    </row>
    <row r="144" spans="2:11">
      <c r="B144" s="247" t="s">
        <v>206</v>
      </c>
      <c r="C144" s="2801"/>
      <c r="D144" s="914"/>
      <c r="E144" s="262">
        <f>(('Prod info'!E166+'Prod info'!E164+'Prod info'!E167)/('Prod info'!E168))*E128</f>
        <v>1979.180344563739</v>
      </c>
      <c r="F144" s="262">
        <f>(('Prod info'!F166+'Prod info'!F164+'Prod info'!F167)/('Prod info'!F168))*F128</f>
        <v>2533.6186467784291</v>
      </c>
      <c r="G144" s="262">
        <f>(('Prod info'!G166+'Prod info'!G164+'Prod info'!G167)/('Prod info'!G168))*G128</f>
        <v>2621.416255456867</v>
      </c>
      <c r="H144" s="262">
        <f>(('Prod info'!H166+'Prod info'!H164+'Prod info'!H167)/('Prod info'!H168))*H128</f>
        <v>2673.8445805660044</v>
      </c>
      <c r="I144" s="262">
        <f>(('Prod info'!I166+'Prod info'!I164+'Prod info'!I167)/('Prod info'!I168))*I128</f>
        <v>2727.3214721773247</v>
      </c>
      <c r="J144" s="262">
        <f>(('Prod info'!J166+'Prod info'!J164+'Prod info'!J167)/('Prod info'!J168))*J128</f>
        <v>2781.8679016208716</v>
      </c>
      <c r="K144" s="641">
        <f>(('Prod info'!K166+'Prod info'!K164+'Prod info'!K167)/('Prod info'!K168))*K128</f>
        <v>2837.5052596532887</v>
      </c>
    </row>
    <row r="145" spans="2:11">
      <c r="B145" s="8"/>
      <c r="C145" s="904"/>
      <c r="D145" s="914"/>
      <c r="E145" s="924">
        <f>SUM(E140:E144)</f>
        <v>15022.925869721495</v>
      </c>
      <c r="F145" s="924">
        <f t="shared" ref="F145:K145" si="105">SUM(F140:F144)</f>
        <v>20702.405726512545</v>
      </c>
      <c r="G145" s="924">
        <f t="shared" si="105"/>
        <v>21169.265708983894</v>
      </c>
      <c r="H145" s="924">
        <f t="shared" si="105"/>
        <v>21592.651023163569</v>
      </c>
      <c r="I145" s="924">
        <f t="shared" si="105"/>
        <v>22024.504043626843</v>
      </c>
      <c r="J145" s="924">
        <f t="shared" si="105"/>
        <v>22464.994124499382</v>
      </c>
      <c r="K145" s="230">
        <f t="shared" si="105"/>
        <v>22914.294006989367</v>
      </c>
    </row>
    <row r="146" spans="2:11">
      <c r="B146" s="254" t="s">
        <v>333</v>
      </c>
      <c r="C146" s="2798"/>
      <c r="D146" s="914"/>
      <c r="E146" s="2802"/>
      <c r="F146" s="2802"/>
      <c r="G146" s="2802"/>
      <c r="H146" s="2802"/>
      <c r="I146" s="2802"/>
      <c r="J146" s="2802"/>
      <c r="K146" s="258"/>
    </row>
    <row r="147" spans="2:11">
      <c r="B147" s="247" t="str">
        <f>B110</f>
        <v>White</v>
      </c>
      <c r="C147" s="2801"/>
      <c r="D147" s="252"/>
      <c r="E147" s="252">
        <f>E140/'Prod info'!E153</f>
        <v>0.46146494572059127</v>
      </c>
      <c r="F147" s="252">
        <f>F140/'Prod info'!F153</f>
        <v>0.45780211839680662</v>
      </c>
      <c r="G147" s="252">
        <f>G140/'Prod info'!G153</f>
        <v>0.40076778455095596</v>
      </c>
      <c r="H147" s="252">
        <f>H140/'Prod info'!H153</f>
        <v>0.40674939327559717</v>
      </c>
      <c r="I147" s="252">
        <f>I140/'Prod info'!I153</f>
        <v>0.41488438114110915</v>
      </c>
      <c r="J147" s="252">
        <f>J140/'Prod info'!J153</f>
        <v>0.42318206876393138</v>
      </c>
      <c r="K147" s="253">
        <f>K140/'Prod info'!K153</f>
        <v>0.43164571013920994</v>
      </c>
    </row>
    <row r="148" spans="2:11">
      <c r="B148" s="8" t="str">
        <f>B111</f>
        <v>Rose</v>
      </c>
      <c r="C148" s="904"/>
      <c r="D148" s="924"/>
      <c r="E148" s="924">
        <f>IF(E141=0,0,E141/('Prod info'!E154+'Prod info'!E155))</f>
        <v>0</v>
      </c>
      <c r="F148" s="924">
        <f>IF(F141=0,0,F141/('Prod info'!F154+'Prod info'!F155))</f>
        <v>0</v>
      </c>
      <c r="G148" s="924">
        <f>IF(G141=0,0,G141/('Prod info'!G154+'Prod info'!G155))</f>
        <v>0</v>
      </c>
      <c r="H148" s="924">
        <f>IF(H141=0,0,H141/('Prod info'!H154+'Prod info'!H155))</f>
        <v>0</v>
      </c>
      <c r="I148" s="924">
        <f>IF(I141=0,0,I141/('Prod info'!I154+'Prod info'!I155))</f>
        <v>0</v>
      </c>
      <c r="J148" s="924">
        <f>IF(J141=0,0,J141/('Prod info'!J154+'Prod info'!J155))</f>
        <v>0</v>
      </c>
      <c r="K148" s="230">
        <f>IF(K141=0,0,K141/('Prod info'!K154+'Prod info'!K155))</f>
        <v>0</v>
      </c>
    </row>
    <row r="149" spans="2:11">
      <c r="B149" s="8" t="str">
        <f>B112</f>
        <v>Classic</v>
      </c>
      <c r="C149" s="904"/>
      <c r="D149" s="924"/>
      <c r="E149" s="924">
        <f>IF(E142=0,0,E142/('Prod info'!E156+'Prod info'!E157+'Prod info'!E158+'Prod info'!E159))</f>
        <v>0</v>
      </c>
      <c r="F149" s="2883">
        <f>IF(F142=0,0,F142/('Prod info'!F156+'Prod info'!F157+'Prod info'!F158+'Prod info'!F159))</f>
        <v>0</v>
      </c>
      <c r="G149" s="924">
        <f>IF(G142=0,0,G142/('Prod info'!G156+'Prod info'!G157+'Prod info'!G158+'Prod info'!G159))</f>
        <v>0</v>
      </c>
      <c r="H149" s="924">
        <f>IF(H142=0,0,H142/('Prod info'!H156+'Prod info'!H157+'Prod info'!H158+'Prod info'!H159))</f>
        <v>0</v>
      </c>
      <c r="I149" s="924">
        <f>IF(I142=0,0,I142/('Prod info'!I156+'Prod info'!I157+'Prod info'!I158+'Prod info'!I159))</f>
        <v>0</v>
      </c>
      <c r="J149" s="924">
        <f>IF(J142=0,0,J142/('Prod info'!J156+'Prod info'!J157+'Prod info'!J158+'Prod info'!J159))</f>
        <v>0</v>
      </c>
      <c r="K149" s="230">
        <f>IF(K142=0,0,K142/('Prod info'!K156+'Prod info'!K157+'Prod info'!K158+'Prod info'!K159))</f>
        <v>0</v>
      </c>
    </row>
    <row r="150" spans="2:11">
      <c r="B150" s="8" t="str">
        <f>B113</f>
        <v>Premium</v>
      </c>
      <c r="C150" s="904"/>
      <c r="D150" s="924"/>
      <c r="E150" s="924">
        <f>E143/('Prod info'!E160+'Prod info'!E162+'Prod info'!E163)</f>
        <v>0.46146494572059132</v>
      </c>
      <c r="F150" s="924">
        <f>F143/('Prod info'!F160+'Prod info'!F162+'Prod info'!F163)</f>
        <v>0.45780211839680651</v>
      </c>
      <c r="G150" s="924">
        <f>G143/('Prod info'!G160+'Prod info'!G162+'Prod info'!G163)</f>
        <v>0.40076778455095602</v>
      </c>
      <c r="H150" s="924">
        <f>H143/('Prod info'!H160+'Prod info'!H162+'Prod info'!H163)</f>
        <v>0.40674939327559717</v>
      </c>
      <c r="I150" s="924">
        <f>I143/('Prod info'!I160+'Prod info'!I162+'Prod info'!I163)</f>
        <v>0.4148843811411092</v>
      </c>
      <c r="J150" s="924">
        <f>J143/('Prod info'!J160+'Prod info'!J162+'Prod info'!J163)</f>
        <v>0.42318206876393138</v>
      </c>
      <c r="K150" s="230">
        <f>K143/('Prod info'!K160+'Prod info'!K162+'Prod info'!K163)</f>
        <v>0.43164571013920999</v>
      </c>
    </row>
    <row r="151" spans="2:11" ht="13.5" thickBot="1">
      <c r="B151" s="97" t="str">
        <f>B114</f>
        <v>Selection individuelle</v>
      </c>
      <c r="C151" s="236"/>
      <c r="D151" s="259"/>
      <c r="E151" s="259">
        <f>E144/('Prod info'!E166+'Prod info'!E164+'Prod info'!E167)</f>
        <v>0.46146494572059132</v>
      </c>
      <c r="F151" s="259">
        <f>F144/('Prod info'!F166+'Prod info'!F164+'Prod info'!F167)</f>
        <v>0.45780211839680657</v>
      </c>
      <c r="G151" s="259">
        <f>G144/('Prod info'!G166+'Prod info'!G164+'Prod info'!G167)</f>
        <v>0.40076778455095602</v>
      </c>
      <c r="H151" s="259">
        <f>H144/('Prod info'!H166+'Prod info'!H164+'Prod info'!H167)</f>
        <v>0.40674939327559723</v>
      </c>
      <c r="I151" s="259">
        <f>I144/('Prod info'!I166+'Prod info'!I164+'Prod info'!I167)</f>
        <v>0.4148843811411092</v>
      </c>
      <c r="J151" s="259">
        <f>J144/('Prod info'!J166+'Prod info'!J164+'Prod info'!J167)</f>
        <v>0.42318206876393144</v>
      </c>
      <c r="K151" s="642">
        <f>K144/('Prod info'!K166+'Prod info'!K164+'Prod info'!K167)</f>
        <v>0.43164571013920999</v>
      </c>
    </row>
    <row r="152" spans="2:11" ht="13.5" thickBot="1"/>
    <row r="153" spans="2:11">
      <c r="B153" s="5" t="s">
        <v>346</v>
      </c>
      <c r="C153" s="511"/>
      <c r="D153" s="227"/>
      <c r="E153" s="270"/>
      <c r="F153" s="227"/>
      <c r="G153" s="227"/>
      <c r="H153" s="227"/>
      <c r="I153" s="227"/>
      <c r="J153" s="227"/>
      <c r="K153" s="164"/>
    </row>
    <row r="154" spans="2:11">
      <c r="B154" s="219"/>
      <c r="C154" s="915"/>
      <c r="D154" s="916" t="s">
        <v>317</v>
      </c>
      <c r="E154" s="916" t="s">
        <v>318</v>
      </c>
      <c r="F154" s="916"/>
      <c r="G154" s="917"/>
      <c r="H154" s="918"/>
      <c r="I154" s="914"/>
      <c r="J154" s="904"/>
      <c r="K154" s="80"/>
    </row>
    <row r="155" spans="2:11">
      <c r="B155" s="8" t="str">
        <f>B140</f>
        <v>White</v>
      </c>
      <c r="C155" s="904"/>
      <c r="D155" s="532">
        <v>0.10639999999999999</v>
      </c>
      <c r="E155" s="919">
        <f>D155/1.95583</f>
        <v>5.4401456159277647E-2</v>
      </c>
      <c r="F155" s="904"/>
      <c r="G155" s="904"/>
      <c r="H155" s="918"/>
      <c r="I155" s="914"/>
      <c r="J155" s="904"/>
      <c r="K155" s="80"/>
    </row>
    <row r="156" spans="2:11">
      <c r="B156" s="8" t="str">
        <f>B141</f>
        <v>Rose</v>
      </c>
      <c r="C156" s="904"/>
      <c r="D156" s="532">
        <v>0.10639999999999999</v>
      </c>
      <c r="E156" s="919">
        <f>D156/1.95583</f>
        <v>5.4401456159277647E-2</v>
      </c>
      <c r="F156" s="904"/>
      <c r="G156" s="904"/>
      <c r="H156" s="904"/>
      <c r="I156" s="904"/>
      <c r="J156" s="904"/>
      <c r="K156" s="80"/>
    </row>
    <row r="157" spans="2:11">
      <c r="B157" s="8" t="str">
        <f>B142</f>
        <v>Classic</v>
      </c>
      <c r="C157" s="904"/>
      <c r="D157" s="532">
        <v>0.12</v>
      </c>
      <c r="E157" s="919">
        <f>D157/1.95583</f>
        <v>6.1355025743546218E-2</v>
      </c>
      <c r="F157" s="904"/>
      <c r="G157" s="904"/>
      <c r="H157" s="904"/>
      <c r="I157" s="904"/>
      <c r="J157" s="904"/>
      <c r="K157" s="80"/>
    </row>
    <row r="158" spans="2:11">
      <c r="B158" s="8" t="str">
        <f>B143</f>
        <v>Premium</v>
      </c>
      <c r="C158" s="904"/>
      <c r="D158" s="532">
        <v>0.13</v>
      </c>
      <c r="E158" s="919">
        <f>D158/1.95583</f>
        <v>6.6467944555508404E-2</v>
      </c>
      <c r="F158" s="904"/>
      <c r="G158" s="904"/>
      <c r="H158" s="904"/>
      <c r="I158" s="904"/>
      <c r="J158" s="904"/>
      <c r="K158" s="80"/>
    </row>
    <row r="159" spans="2:11">
      <c r="B159" s="8" t="str">
        <f>B144</f>
        <v>Selection individuelle</v>
      </c>
      <c r="C159" s="904"/>
      <c r="D159" s="532">
        <v>0.17</v>
      </c>
      <c r="E159" s="919">
        <f>D159/1.95583</f>
        <v>8.6919619803357148E-2</v>
      </c>
      <c r="F159" s="904"/>
      <c r="G159" s="904"/>
      <c r="H159" s="904"/>
      <c r="I159" s="904"/>
      <c r="J159" s="904"/>
      <c r="K159" s="80"/>
    </row>
    <row r="160" spans="2:11">
      <c r="B160" s="8"/>
      <c r="C160" s="904"/>
      <c r="D160" s="904"/>
      <c r="E160" s="904"/>
      <c r="F160" s="904"/>
      <c r="G160" s="904"/>
      <c r="H160" s="904"/>
      <c r="I160" s="904"/>
      <c r="J160" s="904"/>
      <c r="K160" s="80"/>
    </row>
    <row r="161" spans="2:14">
      <c r="B161" s="229" t="s">
        <v>347</v>
      </c>
      <c r="C161" s="920"/>
      <c r="D161" s="250">
        <v>2022</v>
      </c>
      <c r="E161" s="250">
        <f>D161+1</f>
        <v>2023</v>
      </c>
      <c r="F161" s="250">
        <f t="shared" ref="F161:K161" si="106">E161+1</f>
        <v>2024</v>
      </c>
      <c r="G161" s="250">
        <f t="shared" si="106"/>
        <v>2025</v>
      </c>
      <c r="H161" s="250">
        <f t="shared" si="106"/>
        <v>2026</v>
      </c>
      <c r="I161" s="250">
        <f t="shared" si="106"/>
        <v>2027</v>
      </c>
      <c r="J161" s="250">
        <f t="shared" si="106"/>
        <v>2028</v>
      </c>
      <c r="K161" s="251">
        <f t="shared" si="106"/>
        <v>2029</v>
      </c>
    </row>
    <row r="162" spans="2:14">
      <c r="B162" s="8" t="str">
        <f>B155</f>
        <v>White</v>
      </c>
      <c r="C162" s="904"/>
      <c r="D162" s="921">
        <f>E155</f>
        <v>5.4401456159277647E-2</v>
      </c>
      <c r="E162" s="233">
        <f>D162*(1+D$28)</f>
        <v>5.7067127511082248E-2</v>
      </c>
      <c r="F162" s="233">
        <f>E162*(1+E$28)</f>
        <v>5.9064476973970124E-2</v>
      </c>
      <c r="G162" s="233">
        <f t="shared" ref="E162:K166" si="107">F162*(1+F$28)</f>
        <v>6.0245766513449525E-2</v>
      </c>
      <c r="H162" s="233">
        <f t="shared" si="107"/>
        <v>6.1450681843718519E-2</v>
      </c>
      <c r="I162" s="233">
        <f t="shared" si="107"/>
        <v>6.2679695480592892E-2</v>
      </c>
      <c r="J162" s="233">
        <f t="shared" si="107"/>
        <v>6.3933289390204748E-2</v>
      </c>
      <c r="K162" s="234">
        <f t="shared" si="107"/>
        <v>6.5211955178008846E-2</v>
      </c>
    </row>
    <row r="163" spans="2:14">
      <c r="B163" s="8" t="str">
        <f>B156</f>
        <v>Rose</v>
      </c>
      <c r="C163" s="904"/>
      <c r="D163" s="921">
        <f>E156</f>
        <v>5.4401456159277647E-2</v>
      </c>
      <c r="E163" s="233">
        <f t="shared" si="107"/>
        <v>5.7067127511082248E-2</v>
      </c>
      <c r="F163" s="233">
        <f t="shared" si="107"/>
        <v>5.9064476973970124E-2</v>
      </c>
      <c r="G163" s="233">
        <f t="shared" si="107"/>
        <v>6.0245766513449525E-2</v>
      </c>
      <c r="H163" s="233">
        <f t="shared" si="107"/>
        <v>6.1450681843718519E-2</v>
      </c>
      <c r="I163" s="233">
        <f t="shared" si="107"/>
        <v>6.2679695480592892E-2</v>
      </c>
      <c r="J163" s="233">
        <f t="shared" si="107"/>
        <v>6.3933289390204748E-2</v>
      </c>
      <c r="K163" s="234">
        <f t="shared" si="107"/>
        <v>6.5211955178008846E-2</v>
      </c>
    </row>
    <row r="164" spans="2:14">
      <c r="B164" s="8" t="str">
        <f>B157</f>
        <v>Classic</v>
      </c>
      <c r="C164" s="904"/>
      <c r="D164" s="921">
        <f>E157</f>
        <v>6.1355025743546218E-2</v>
      </c>
      <c r="E164" s="233">
        <f>D164*(1+D$28)</f>
        <v>6.4361422004979976E-2</v>
      </c>
      <c r="F164" s="233">
        <f t="shared" si="107"/>
        <v>6.6614071775154271E-2</v>
      </c>
      <c r="G164" s="233">
        <f t="shared" si="107"/>
        <v>6.7946353210657354E-2</v>
      </c>
      <c r="H164" s="233">
        <f t="shared" si="107"/>
        <v>6.9305280274870498E-2</v>
      </c>
      <c r="I164" s="233">
        <f t="shared" si="107"/>
        <v>7.0691385880367913E-2</v>
      </c>
      <c r="J164" s="233">
        <f t="shared" si="107"/>
        <v>7.2105213597975268E-2</v>
      </c>
      <c r="K164" s="234">
        <f t="shared" si="107"/>
        <v>7.3547317869934778E-2</v>
      </c>
    </row>
    <row r="165" spans="2:14">
      <c r="B165" s="8" t="str">
        <f>B158</f>
        <v>Premium</v>
      </c>
      <c r="C165" s="904"/>
      <c r="D165" s="921">
        <f>E158</f>
        <v>6.6467944555508404E-2</v>
      </c>
      <c r="E165" s="233">
        <f>D165*(1+D$28)</f>
        <v>6.9724873838728316E-2</v>
      </c>
      <c r="F165" s="233">
        <f t="shared" si="107"/>
        <v>7.2165244423083807E-2</v>
      </c>
      <c r="G165" s="233">
        <f t="shared" si="107"/>
        <v>7.3608549311545479E-2</v>
      </c>
      <c r="H165" s="233">
        <f t="shared" si="107"/>
        <v>7.508072029777639E-2</v>
      </c>
      <c r="I165" s="233">
        <f t="shared" si="107"/>
        <v>7.6582334703731922E-2</v>
      </c>
      <c r="J165" s="233">
        <f t="shared" si="107"/>
        <v>7.8113981397806564E-2</v>
      </c>
      <c r="K165" s="234">
        <f t="shared" si="107"/>
        <v>7.9676261025762696E-2</v>
      </c>
    </row>
    <row r="166" spans="2:14">
      <c r="B166" s="8" t="str">
        <f>B159</f>
        <v>Selection individuelle</v>
      </c>
      <c r="C166" s="904"/>
      <c r="D166" s="921">
        <f>E159</f>
        <v>8.6919619803357148E-2</v>
      </c>
      <c r="E166" s="233">
        <f>D166*(1+D$28)</f>
        <v>9.1178681173721646E-2</v>
      </c>
      <c r="F166" s="233">
        <f t="shared" si="107"/>
        <v>9.4369935014801898E-2</v>
      </c>
      <c r="G166" s="233">
        <f t="shared" si="107"/>
        <v>9.625733371509794E-2</v>
      </c>
      <c r="H166" s="233">
        <f t="shared" si="107"/>
        <v>9.8182480389399904E-2</v>
      </c>
      <c r="I166" s="233">
        <f t="shared" si="107"/>
        <v>0.1001461299971879</v>
      </c>
      <c r="J166" s="233">
        <f t="shared" si="107"/>
        <v>0.10214905259713167</v>
      </c>
      <c r="K166" s="234">
        <f t="shared" si="107"/>
        <v>0.1041920336490743</v>
      </c>
    </row>
    <row r="167" spans="2:14">
      <c r="B167" s="8"/>
      <c r="C167" s="904"/>
      <c r="D167" s="904"/>
      <c r="E167" s="904"/>
      <c r="F167" s="904"/>
      <c r="G167" s="904"/>
      <c r="H167" s="904"/>
      <c r="I167" s="904"/>
      <c r="J167" s="904"/>
      <c r="K167" s="80"/>
      <c r="N167" s="242"/>
    </row>
    <row r="168" spans="2:14">
      <c r="B168" s="229" t="s">
        <v>348</v>
      </c>
      <c r="C168" s="920"/>
      <c r="D168" s="904"/>
      <c r="E168" s="904"/>
      <c r="F168" s="904"/>
      <c r="G168" s="904"/>
      <c r="H168" s="904"/>
      <c r="I168" s="904"/>
      <c r="J168" s="904"/>
      <c r="K168" s="80"/>
    </row>
    <row r="169" spans="2:14">
      <c r="B169" s="8" t="str">
        <f>B162</f>
        <v>White</v>
      </c>
      <c r="C169" s="904"/>
      <c r="D169" s="464"/>
      <c r="E169" s="464">
        <f>E162*'Prod info'!P277</f>
        <v>0</v>
      </c>
      <c r="F169" s="464">
        <f>F162*'Prod info'!Q277</f>
        <v>133.8401048230163</v>
      </c>
      <c r="G169" s="464">
        <f>G162*'Prod info'!R277</f>
        <v>225.25892099378777</v>
      </c>
      <c r="H169" s="464">
        <f>H162*'Prod info'!S277</f>
        <v>270.01429602129917</v>
      </c>
      <c r="I169" s="464">
        <f>I162*'Prod info'!T277</f>
        <v>276.79353524229822</v>
      </c>
      <c r="J169" s="464">
        <f>J162*'Prod info'!U277</f>
        <v>282.32940594714415</v>
      </c>
      <c r="K169" s="468">
        <f>K162*'Prod info'!V277</f>
        <v>287.97599406608708</v>
      </c>
    </row>
    <row r="170" spans="2:14">
      <c r="B170" s="8" t="str">
        <f>B163</f>
        <v>Rose</v>
      </c>
      <c r="C170" s="904"/>
      <c r="D170" s="464"/>
      <c r="E170" s="464">
        <f>E163*'Prod info'!P278</f>
        <v>300.55353822503321</v>
      </c>
      <c r="F170" s="464">
        <f>F163*'Prod info'!Q278</f>
        <v>0</v>
      </c>
      <c r="G170" s="464">
        <f>G163*'Prod info'!R278</f>
        <v>0</v>
      </c>
      <c r="H170" s="464">
        <f>H163*'Prod info'!S278</f>
        <v>0</v>
      </c>
      <c r="I170" s="464">
        <f>I163*'Prod info'!T278</f>
        <v>0</v>
      </c>
      <c r="J170" s="464">
        <f>J163*'Prod info'!U278</f>
        <v>0</v>
      </c>
      <c r="K170" s="468">
        <f>K163*'Prod info'!V278</f>
        <v>0</v>
      </c>
    </row>
    <row r="171" spans="2:14">
      <c r="B171" s="8" t="str">
        <f>B164</f>
        <v>Classic</v>
      </c>
      <c r="C171" s="904"/>
      <c r="D171" s="464"/>
      <c r="E171" s="464">
        <f>E164*'Prod info'!P279</f>
        <v>0</v>
      </c>
      <c r="F171" s="464">
        <f>F164*'Prod info'!Q279</f>
        <v>3855.4448368211956</v>
      </c>
      <c r="G171" s="464">
        <f>G164*'Prod info'!R279</f>
        <v>0</v>
      </c>
      <c r="H171" s="464">
        <f>H164*'Prod info'!S279</f>
        <v>0</v>
      </c>
      <c r="I171" s="464">
        <f>I164*'Prod info'!T279</f>
        <v>0</v>
      </c>
      <c r="J171" s="464">
        <f>J164*'Prod info'!U279</f>
        <v>0</v>
      </c>
      <c r="K171" s="468">
        <f>K164*'Prod info'!V279</f>
        <v>0</v>
      </c>
    </row>
    <row r="172" spans="2:14">
      <c r="B172" s="8" t="str">
        <f>B165</f>
        <v>Premium</v>
      </c>
      <c r="C172" s="904"/>
      <c r="D172" s="464"/>
      <c r="E172" s="464">
        <f>E165*'Prod info'!P280</f>
        <v>0</v>
      </c>
      <c r="F172" s="464">
        <f ca="1">F165*'Prod info'!Q280</f>
        <v>2706.1966658656429</v>
      </c>
      <c r="G172" s="464">
        <f ca="1">G165*'Prod info'!R280</f>
        <v>3073.991163982555</v>
      </c>
      <c r="H172" s="464">
        <f ca="1">H165*'Prod info'!S280</f>
        <v>4541.6828246260256</v>
      </c>
      <c r="I172" s="464">
        <f ca="1">I165*'Prod info'!T280</f>
        <v>5385.8824350440582</v>
      </c>
      <c r="J172" s="464">
        <f ca="1">J165*'Prod info'!U280</f>
        <v>5498.8076825047938</v>
      </c>
      <c r="K172" s="468">
        <f ca="1">K165*'Prod info'!V280</f>
        <v>5608.7838361548902</v>
      </c>
    </row>
    <row r="173" spans="2:14">
      <c r="B173" s="8" t="str">
        <f>B166</f>
        <v>Selection individuelle</v>
      </c>
      <c r="C173" s="904"/>
      <c r="D173" s="541"/>
      <c r="E173" s="541">
        <f>E166*'Prod info'!P281</f>
        <v>0</v>
      </c>
      <c r="F173" s="541">
        <f>F166*'Prod info'!Q281</f>
        <v>0</v>
      </c>
      <c r="G173" s="541">
        <f>G166*'Prod info'!R281</f>
        <v>0</v>
      </c>
      <c r="H173" s="541">
        <f>H166*'Prod info'!S281</f>
        <v>559.6401382195794</v>
      </c>
      <c r="I173" s="541">
        <f>I166*'Prod info'!T281</f>
        <v>751.09597497890923</v>
      </c>
      <c r="J173" s="541">
        <f>J166*'Prod info'!U281</f>
        <v>888.69675759504548</v>
      </c>
      <c r="K173" s="542">
        <f>K166*'Prod info'!V281</f>
        <v>906.47069274694638</v>
      </c>
    </row>
    <row r="174" spans="2:14" ht="13.5" thickBot="1">
      <c r="B174" s="97"/>
      <c r="C174" s="236"/>
      <c r="D174" s="271">
        <f t="shared" ref="D174:K174" si="108">SUM(D169:D173)</f>
        <v>0</v>
      </c>
      <c r="E174" s="271">
        <f t="shared" si="108"/>
        <v>300.55353822503321</v>
      </c>
      <c r="F174" s="271">
        <f t="shared" ca="1" si="108"/>
        <v>6695.4816075098552</v>
      </c>
      <c r="G174" s="271">
        <f t="shared" ca="1" si="108"/>
        <v>3299.2500849763428</v>
      </c>
      <c r="H174" s="271">
        <f t="shared" ca="1" si="108"/>
        <v>5371.3372588669035</v>
      </c>
      <c r="I174" s="271">
        <f t="shared" ca="1" si="108"/>
        <v>6413.7719452652655</v>
      </c>
      <c r="J174" s="271">
        <f t="shared" ca="1" si="108"/>
        <v>6669.833846046984</v>
      </c>
      <c r="K174" s="636">
        <f t="shared" ca="1" si="108"/>
        <v>6803.2305229679232</v>
      </c>
    </row>
    <row r="175" spans="2:14" ht="13.5" thickBot="1"/>
    <row r="176" spans="2:14" ht="15">
      <c r="B176" s="5" t="s">
        <v>337</v>
      </c>
      <c r="C176" s="520"/>
      <c r="D176" s="263"/>
      <c r="E176" s="263"/>
      <c r="F176" s="264"/>
      <c r="G176" s="264"/>
      <c r="H176" s="227"/>
      <c r="I176" s="227"/>
      <c r="J176" s="227"/>
      <c r="K176" s="164"/>
    </row>
    <row r="177" spans="2:11">
      <c r="B177" s="213"/>
      <c r="C177" s="14"/>
      <c r="D177" s="265" t="str">
        <f>B187</f>
        <v>White</v>
      </c>
      <c r="E177" s="250" t="str">
        <f>B188</f>
        <v>Rose</v>
      </c>
      <c r="F177" s="265" t="str">
        <f>B196</f>
        <v>Classic</v>
      </c>
      <c r="G177" s="265" t="str">
        <f>B197</f>
        <v>Premium</v>
      </c>
      <c r="H177" s="265" t="str">
        <f>B198</f>
        <v>Selection individuelle</v>
      </c>
      <c r="K177" s="80"/>
    </row>
    <row r="178" spans="2:11">
      <c r="B178" s="213" t="s">
        <v>241</v>
      </c>
      <c r="C178" s="14"/>
      <c r="D178" s="677">
        <f>(1.21658/'RCE PP&amp;E'!$E$3)*(1+3%)^3</f>
        <v>0.6797062186693118</v>
      </c>
      <c r="E178" s="678">
        <f t="shared" ref="E178:E183" si="109">D178</f>
        <v>0.6797062186693118</v>
      </c>
      <c r="F178" s="531">
        <f>(1.55842/'RCE PP&amp;E'!$E$3)*(1+3%)^3</f>
        <v>0.87069306194301133</v>
      </c>
      <c r="G178" s="531">
        <f>(1.77356/'RCE PP&amp;E'!$E$3)*(1+3%)^3</f>
        <v>0.99089230562983488</v>
      </c>
      <c r="H178" s="531">
        <f>((2.9541)/'RCE PP&amp;E'!$E$3)</f>
        <v>1.5104073462417491</v>
      </c>
      <c r="K178" s="80"/>
    </row>
    <row r="179" spans="2:11">
      <c r="B179" s="213" t="s">
        <v>338</v>
      </c>
      <c r="C179" s="14"/>
      <c r="D179" s="677">
        <f>(0.1092/'RCE PP&amp;E'!$E$3)*(1+3%)^3</f>
        <v>6.101030682625791E-2</v>
      </c>
      <c r="E179" s="678">
        <f t="shared" si="109"/>
        <v>6.101030682625791E-2</v>
      </c>
      <c r="F179" s="531">
        <f>(0.60630732/'RCE PP&amp;E'!$E$3)*(1+3%)^3</f>
        <v>0.33874538117404884</v>
      </c>
      <c r="G179" s="531">
        <f>(0.60630732/'RCE PP&amp;E'!$E$3)*(1+3%)^3</f>
        <v>0.33874538117404884</v>
      </c>
      <c r="H179" s="531">
        <f>(0.60630732/'RCE PP&amp;E'!$E$3)*(1+3%)^3</f>
        <v>0.33874538117404884</v>
      </c>
      <c r="K179" s="80"/>
    </row>
    <row r="180" spans="2:11">
      <c r="B180" s="213" t="s">
        <v>339</v>
      </c>
      <c r="C180" s="14"/>
      <c r="D180" s="677">
        <f>(0.4257/'RCE PP&amp;E'!$E$3)*(1+3%)^3</f>
        <v>0.23783963018258236</v>
      </c>
      <c r="E180" s="678">
        <f t="shared" si="109"/>
        <v>0.23783963018258236</v>
      </c>
      <c r="F180" s="531">
        <f>(0.2346996/'RCE PP&amp;E'!$E$3)*(1+3%)^3</f>
        <v>0.13112724000000001</v>
      </c>
      <c r="G180" s="531">
        <f>(0.2346996/'RCE PP&amp;E'!$E$3)*(1+3%)^3</f>
        <v>0.13112724000000001</v>
      </c>
      <c r="H180" s="531">
        <f>(0.2346996/'RCE PP&amp;E'!$E$3)*(1+3%)^3</f>
        <v>0.13112724000000001</v>
      </c>
      <c r="K180" s="80"/>
    </row>
    <row r="181" spans="2:11">
      <c r="B181" s="213" t="s">
        <v>340</v>
      </c>
      <c r="C181" s="14"/>
      <c r="D181" s="677">
        <f>(0.2427/'RCE PP&amp;E'!$E$3)*(1+3%)^3</f>
        <v>0.13559708302868859</v>
      </c>
      <c r="E181" s="678">
        <f t="shared" si="109"/>
        <v>0.13559708302868859</v>
      </c>
      <c r="F181" s="531">
        <f>(0.2346996/'RCE PP&amp;E'!$E$3)*(1+3%)^3</f>
        <v>0.13112724000000001</v>
      </c>
      <c r="G181" s="531">
        <f>(0.2346996/'RCE PP&amp;E'!$E$3)*(1+3%)^3</f>
        <v>0.13112724000000001</v>
      </c>
      <c r="H181" s="531">
        <f>(0.2346996/'RCE PP&amp;E'!$E$3)*(1+3%)^3</f>
        <v>0.13112724000000001</v>
      </c>
      <c r="K181" s="80"/>
    </row>
    <row r="182" spans="2:11">
      <c r="B182" s="213" t="s">
        <v>341</v>
      </c>
      <c r="C182" s="14"/>
      <c r="D182" s="677">
        <f>(0.35003/'RCE PP&amp;E'!$E$3)*(1+3%)^3</f>
        <v>0.19556261628566901</v>
      </c>
      <c r="E182" s="678">
        <f t="shared" si="109"/>
        <v>0.19556261628566901</v>
      </c>
      <c r="F182" s="531">
        <f>(0.3/'RCE PP&amp;E'!$E$3)*(1+3%)^3</f>
        <v>0.16761073303917007</v>
      </c>
      <c r="G182" s="531">
        <f>(0.3/'RCE PP&amp;E'!$E$3)*(1+3%)^3</f>
        <v>0.16761073303917007</v>
      </c>
      <c r="H182" s="531">
        <f>(0.3/'RCE PP&amp;E'!$E$3)*(1+3%)^3</f>
        <v>0.16761073303917007</v>
      </c>
      <c r="K182" s="80"/>
    </row>
    <row r="183" spans="2:11">
      <c r="B183" s="213" t="s">
        <v>343</v>
      </c>
      <c r="C183" s="14"/>
      <c r="D183" s="677">
        <f>(0.02505/'RCE PP&amp;E'!$E$3)*(1+3%)^3</f>
        <v>1.3995496208770702E-2</v>
      </c>
      <c r="E183" s="678">
        <f t="shared" si="109"/>
        <v>1.3995496208770702E-2</v>
      </c>
      <c r="F183" s="531">
        <f>(0.01389/'RCE PP&amp;E'!$E$3)*(1+3%)^3</f>
        <v>7.7603769397135737E-3</v>
      </c>
      <c r="G183" s="531">
        <f>(0.016667/'RCE PP&amp;E'!$E$3)*(1+3%)^3</f>
        <v>9.3118936252128259E-3</v>
      </c>
      <c r="H183" s="531">
        <f>(0.033333/'RCE PP&amp;E'!$E$3)*(1+3%)^3</f>
        <v>1.8623228547982189E-2</v>
      </c>
      <c r="K183" s="80"/>
    </row>
    <row r="184" spans="2:11" ht="13.5" thickBot="1">
      <c r="B184" s="8"/>
      <c r="D184" s="266">
        <f>SUM(D178:D183)</f>
        <v>1.3237113512012804</v>
      </c>
      <c r="E184" s="266">
        <f>SUM(E178:E183)</f>
        <v>1.3237113512012804</v>
      </c>
      <c r="F184" s="266">
        <f>SUM(F178:F183)</f>
        <v>1.6470640330959441</v>
      </c>
      <c r="G184" s="266">
        <f>SUM(G178:G183)</f>
        <v>1.7688147934682668</v>
      </c>
      <c r="H184" s="266">
        <f>SUM(H178:H183)</f>
        <v>2.2976411690029503</v>
      </c>
      <c r="K184" s="80"/>
    </row>
    <row r="185" spans="2:11">
      <c r="B185" s="8"/>
      <c r="D185" s="536"/>
      <c r="E185" s="536"/>
      <c r="F185" s="536"/>
      <c r="G185" s="536"/>
      <c r="H185" s="536"/>
      <c r="K185" s="80"/>
    </row>
    <row r="186" spans="2:11">
      <c r="B186" s="225" t="s">
        <v>342</v>
      </c>
      <c r="C186" s="14"/>
      <c r="D186" s="537">
        <f>'Prod info'!O308/D29</f>
        <v>16.158245948522403</v>
      </c>
      <c r="E186" s="538">
        <f t="shared" ref="E186:K186" si="110">D186*(1+D28)</f>
        <v>16.95</v>
      </c>
      <c r="F186" s="538">
        <f t="shared" si="110"/>
        <v>17.543249999999997</v>
      </c>
      <c r="G186" s="538">
        <f t="shared" si="110"/>
        <v>17.894114999999996</v>
      </c>
      <c r="H186" s="538">
        <f t="shared" si="110"/>
        <v>18.251997299999996</v>
      </c>
      <c r="I186" s="538">
        <f t="shared" si="110"/>
        <v>18.617037245999995</v>
      </c>
      <c r="J186" s="538">
        <f t="shared" si="110"/>
        <v>18.989377990919994</v>
      </c>
      <c r="K186" s="866">
        <f t="shared" si="110"/>
        <v>19.369165550738394</v>
      </c>
    </row>
    <row r="187" spans="2:11">
      <c r="B187" s="267" t="str">
        <f>B162</f>
        <v>White</v>
      </c>
      <c r="E187" s="539"/>
      <c r="F187" s="539"/>
      <c r="G187" s="539"/>
      <c r="H187" s="539"/>
      <c r="I187" s="539"/>
      <c r="J187" s="539"/>
      <c r="K187" s="635"/>
    </row>
    <row r="188" spans="2:11">
      <c r="B188" s="8" t="str">
        <f>B163</f>
        <v>Rose</v>
      </c>
      <c r="E188" s="539"/>
      <c r="F188" s="539"/>
      <c r="G188" s="539"/>
      <c r="H188" s="539"/>
      <c r="I188" s="539"/>
      <c r="J188" s="539"/>
      <c r="K188" s="635"/>
    </row>
    <row r="189" spans="2:11">
      <c r="B189" s="267" t="str">
        <f>B164</f>
        <v>Classic</v>
      </c>
      <c r="E189" s="539"/>
      <c r="F189" s="539"/>
      <c r="G189" s="539"/>
      <c r="H189" s="539"/>
      <c r="I189" s="539"/>
      <c r="J189" s="539"/>
      <c r="K189" s="635"/>
    </row>
    <row r="190" spans="2:11">
      <c r="B190" s="267" t="str">
        <f>B165</f>
        <v>Premium</v>
      </c>
      <c r="E190" s="539"/>
      <c r="F190" s="539"/>
      <c r="G190" s="539"/>
      <c r="H190" s="539"/>
      <c r="I190" s="539"/>
      <c r="J190" s="539"/>
      <c r="K190" s="635"/>
    </row>
    <row r="191" spans="2:11">
      <c r="B191" s="267" t="str">
        <f>B166</f>
        <v>Selection individuelle</v>
      </c>
      <c r="E191" s="539"/>
      <c r="F191" s="539"/>
      <c r="G191" s="539"/>
      <c r="H191" s="539"/>
      <c r="I191" s="539"/>
      <c r="J191" s="539"/>
      <c r="K191" s="635"/>
    </row>
    <row r="192" spans="2:11">
      <c r="B192" s="8"/>
      <c r="K192" s="80"/>
    </row>
    <row r="193" spans="2:11">
      <c r="B193" s="229" t="s">
        <v>344</v>
      </c>
      <c r="C193" s="221"/>
      <c r="D193" s="250">
        <v>2022</v>
      </c>
      <c r="E193" s="250">
        <f>D193+1</f>
        <v>2023</v>
      </c>
      <c r="F193" s="250">
        <f t="shared" ref="F193:K193" si="111">E193+1</f>
        <v>2024</v>
      </c>
      <c r="G193" s="250">
        <f t="shared" si="111"/>
        <v>2025</v>
      </c>
      <c r="H193" s="250">
        <f t="shared" si="111"/>
        <v>2026</v>
      </c>
      <c r="I193" s="250">
        <f t="shared" si="111"/>
        <v>2027</v>
      </c>
      <c r="J193" s="250">
        <f t="shared" si="111"/>
        <v>2028</v>
      </c>
      <c r="K193" s="251">
        <f t="shared" si="111"/>
        <v>2029</v>
      </c>
    </row>
    <row r="194" spans="2:11">
      <c r="B194" s="267" t="str">
        <f>B169</f>
        <v>White</v>
      </c>
      <c r="C194" s="521"/>
      <c r="D194" s="942">
        <f>'Inv. mat'!O11</f>
        <v>0</v>
      </c>
      <c r="E194" s="233">
        <f>'Inv. mat'!O11</f>
        <v>0</v>
      </c>
      <c r="F194" s="233">
        <f>'Inv. mat'!P11</f>
        <v>1.978166595511081</v>
      </c>
      <c r="G194" s="233">
        <f>'Inv. mat'!Q11</f>
        <v>2.0096340407640851</v>
      </c>
      <c r="H194" s="233">
        <f>'Inv. mat'!R11</f>
        <v>2.0513097845684682</v>
      </c>
      <c r="I194" s="233">
        <f>'Inv. mat'!S11</f>
        <v>2.0916711020596672</v>
      </c>
      <c r="J194" s="233">
        <f>'Inv. mat'!T11</f>
        <v>2.1334207054649807</v>
      </c>
      <c r="K194" s="234">
        <f>'Inv. mat'!U11</f>
        <v>2.1761942964325982</v>
      </c>
    </row>
    <row r="195" spans="2:11">
      <c r="B195" s="8" t="str">
        <f>B170</f>
        <v>Rose</v>
      </c>
      <c r="D195" s="942">
        <f>E184</f>
        <v>1.3237113512012804</v>
      </c>
      <c r="E195" s="233">
        <f>'Inv. mat'!Z11</f>
        <v>1.9073329325137274</v>
      </c>
      <c r="F195" s="233">
        <f>'Inv. mat'!AA11</f>
        <v>0</v>
      </c>
      <c r="G195" s="233">
        <f>'Inv. mat'!AB11</f>
        <v>0</v>
      </c>
      <c r="H195" s="233">
        <f>'Inv. mat'!AC11</f>
        <v>0</v>
      </c>
      <c r="I195" s="233">
        <f>'Inv. mat'!AD11</f>
        <v>0</v>
      </c>
      <c r="J195" s="233">
        <f>'Inv. mat'!AE11</f>
        <v>0</v>
      </c>
      <c r="K195" s="234">
        <f>'Inv. mat'!AF11</f>
        <v>0</v>
      </c>
    </row>
    <row r="196" spans="2:11">
      <c r="B196" s="267" t="str">
        <f>B171</f>
        <v>Classic</v>
      </c>
      <c r="C196" s="521"/>
      <c r="D196" s="942">
        <f>F184</f>
        <v>1.6470640330959441</v>
      </c>
      <c r="E196" s="233">
        <f>'Inv. mat'!AK11</f>
        <v>0</v>
      </c>
      <c r="F196" s="233">
        <f>'Inv. mat'!AL11</f>
        <v>2.4400815072474424</v>
      </c>
      <c r="G196" s="233">
        <f>'Inv. mat'!AM11</f>
        <v>0</v>
      </c>
      <c r="H196" s="233">
        <f>'Inv. mat'!AN11</f>
        <v>0</v>
      </c>
      <c r="I196" s="233">
        <f>'Inv. mat'!AO11</f>
        <v>0</v>
      </c>
      <c r="J196" s="233">
        <f>'Inv. mat'!AP11</f>
        <v>0</v>
      </c>
      <c r="K196" s="234">
        <f>'Inv. mat'!AQ11</f>
        <v>0</v>
      </c>
    </row>
    <row r="197" spans="2:11">
      <c r="B197" s="267" t="str">
        <f>B172</f>
        <v>Premium</v>
      </c>
      <c r="C197" s="521"/>
      <c r="D197" s="942">
        <f>G184</f>
        <v>1.7688147934682668</v>
      </c>
      <c r="E197" s="233">
        <f>'Inv. mat'!AV11</f>
        <v>0</v>
      </c>
      <c r="F197" s="233">
        <f ca="1">'Inv. mat'!AW11</f>
        <v>2.6109247376322027</v>
      </c>
      <c r="G197" s="233">
        <f ca="1">'Inv. mat'!AX11</f>
        <v>2.6644887371457942</v>
      </c>
      <c r="H197" s="233">
        <f ca="1">'Inv. mat'!AY11</f>
        <v>2.7189794828167764</v>
      </c>
      <c r="I197" s="233">
        <f ca="1">'Inv. mat'!AZ11</f>
        <v>2.7721925512561634</v>
      </c>
      <c r="J197" s="233">
        <f ca="1">'Inv. mat'!BA11</f>
        <v>2.8269637505361245</v>
      </c>
      <c r="K197" s="234">
        <f ca="1">'Inv. mat'!BB11</f>
        <v>2.8835611401676666</v>
      </c>
    </row>
    <row r="198" spans="2:11">
      <c r="B198" s="267" t="str">
        <f>B173</f>
        <v>Selection individuelle</v>
      </c>
      <c r="C198" s="521"/>
      <c r="D198" s="942">
        <f>H184</f>
        <v>2.2976411690029503</v>
      </c>
      <c r="E198" s="233">
        <f>'Inv. mat'!BG11</f>
        <v>0</v>
      </c>
      <c r="F198" s="233">
        <f>'Inv. mat'!BH11</f>
        <v>0</v>
      </c>
      <c r="G198" s="233">
        <f>'Inv. mat'!BI11</f>
        <v>0</v>
      </c>
      <c r="H198" s="233">
        <f>'Inv. mat'!BJ11</f>
        <v>3.5202588286954026</v>
      </c>
      <c r="I198" s="233">
        <f>'Inv. mat'!BK11</f>
        <v>3.5839029804968829</v>
      </c>
      <c r="J198" s="233">
        <f>'Inv. mat'!BL11</f>
        <v>3.65562970978826</v>
      </c>
      <c r="K198" s="234">
        <f>'Inv. mat'!BM11</f>
        <v>3.7278413279809497</v>
      </c>
    </row>
    <row r="199" spans="2:11">
      <c r="B199" s="8"/>
      <c r="K199" s="80"/>
    </row>
    <row r="200" spans="2:11">
      <c r="B200" s="229" t="s">
        <v>345</v>
      </c>
      <c r="C200" s="221"/>
      <c r="K200" s="80"/>
    </row>
    <row r="201" spans="2:11">
      <c r="B201" s="8" t="str">
        <f>B194</f>
        <v>White</v>
      </c>
      <c r="D201" s="223">
        <f>D194*'Prod info'!O277</f>
        <v>0</v>
      </c>
      <c r="E201" s="115">
        <f>Costprice!E27</f>
        <v>0</v>
      </c>
      <c r="F201" s="115">
        <f>Costprice!F27</f>
        <v>3361.8941290710823</v>
      </c>
      <c r="G201" s="115">
        <f>Costprice!G27</f>
        <v>5635.5162588126859</v>
      </c>
      <c r="H201" s="115">
        <f>Costprice!H27</f>
        <v>6760.0913950453869</v>
      </c>
      <c r="I201" s="115">
        <f>Costprice!I27</f>
        <v>6927.6146900216181</v>
      </c>
      <c r="J201" s="115">
        <f>Costprice!J27</f>
        <v>7065.8893765000166</v>
      </c>
      <c r="K201" s="508">
        <f>Costprice!K27</f>
        <v>7207.5555097847655</v>
      </c>
    </row>
    <row r="202" spans="2:11">
      <c r="B202" s="8" t="str">
        <f>B195</f>
        <v>Rose</v>
      </c>
      <c r="D202" s="223">
        <f>D195*'Prod info'!O278</f>
        <v>0</v>
      </c>
      <c r="E202" s="115">
        <f>Costprice!E28</f>
        <v>7533.9650834292233</v>
      </c>
      <c r="F202" s="115">
        <f>Costprice!F28</f>
        <v>0</v>
      </c>
      <c r="G202" s="115">
        <f>Costprice!G28</f>
        <v>0</v>
      </c>
      <c r="H202" s="115">
        <f>Costprice!H28</f>
        <v>0</v>
      </c>
      <c r="I202" s="115">
        <f>Costprice!I28</f>
        <v>0</v>
      </c>
      <c r="J202" s="115">
        <f>Costprice!J28</f>
        <v>0</v>
      </c>
      <c r="K202" s="508">
        <f>Costprice!K28</f>
        <v>0</v>
      </c>
    </row>
    <row r="203" spans="2:11">
      <c r="B203" s="8" t="str">
        <f>B196</f>
        <v>Classic</v>
      </c>
      <c r="D203" s="223">
        <f>D196*'Prod info'!O279</f>
        <v>0</v>
      </c>
      <c r="E203" s="115">
        <f>Costprice!E29</f>
        <v>0</v>
      </c>
      <c r="F203" s="115">
        <f>Costprice!F29</f>
        <v>105919.05806659698</v>
      </c>
      <c r="G203" s="115">
        <f>Costprice!G29</f>
        <v>0</v>
      </c>
      <c r="H203" s="115">
        <f>Costprice!H29</f>
        <v>0</v>
      </c>
      <c r="I203" s="115">
        <f>Costprice!I29</f>
        <v>0</v>
      </c>
      <c r="J203" s="115">
        <f>Costprice!J29</f>
        <v>0</v>
      </c>
      <c r="K203" s="508">
        <f>Costprice!K29</f>
        <v>0</v>
      </c>
    </row>
    <row r="204" spans="2:11">
      <c r="B204" s="8" t="str">
        <f>B197</f>
        <v>Premium</v>
      </c>
      <c r="D204" s="223">
        <f>D197*'Prod info'!O280</f>
        <v>0</v>
      </c>
      <c r="E204" s="115">
        <f ca="1">Costprice!E30</f>
        <v>0</v>
      </c>
      <c r="F204" s="115">
        <f ca="1">Costprice!F30</f>
        <v>73432.258245905701</v>
      </c>
      <c r="G204" s="115">
        <f ca="1">Costprice!G30</f>
        <v>83454.451736143412</v>
      </c>
      <c r="H204" s="115">
        <f ca="1">Costprice!H30</f>
        <v>123354.66117643152</v>
      </c>
      <c r="I204" s="115">
        <f ca="1">Costprice!I30</f>
        <v>146222.06830855759</v>
      </c>
      <c r="J204" s="115">
        <f ca="1">Costprice!J30</f>
        <v>149252.37817330522</v>
      </c>
      <c r="K204" s="508">
        <f ca="1">Costprice!K30</f>
        <v>152240.49395629214</v>
      </c>
    </row>
    <row r="205" spans="2:11">
      <c r="B205" s="8" t="str">
        <f>B198</f>
        <v>Selection individuelle</v>
      </c>
      <c r="D205" s="268">
        <f>D198*'Prod info'!O281</f>
        <v>0</v>
      </c>
      <c r="E205" s="114">
        <f>Costprice!E31</f>
        <v>0</v>
      </c>
      <c r="F205" s="114">
        <f>Costprice!F31</f>
        <v>0</v>
      </c>
      <c r="G205" s="114">
        <f>Costprice!G31</f>
        <v>0</v>
      </c>
      <c r="H205" s="114">
        <f>Costprice!H31</f>
        <v>15049.106492672847</v>
      </c>
      <c r="I205" s="114">
        <f>Costprice!I31</f>
        <v>20159.454265294968</v>
      </c>
      <c r="J205" s="114">
        <f>Costprice!J31</f>
        <v>23852.983856368395</v>
      </c>
      <c r="K205" s="561">
        <f>Costprice!K31</f>
        <v>24324.164665075696</v>
      </c>
    </row>
    <row r="206" spans="2:11" ht="13.5" thickBot="1">
      <c r="B206" s="235" t="s">
        <v>26</v>
      </c>
      <c r="C206" s="513"/>
      <c r="D206" s="269">
        <f>SUM(D201:D205)</f>
        <v>0</v>
      </c>
      <c r="E206" s="269">
        <f ca="1">SUM(E201:E205)</f>
        <v>7533.9650834292233</v>
      </c>
      <c r="F206" s="269">
        <f t="shared" ref="F206:K206" ca="1" si="112">SUM(F201:F205)</f>
        <v>182713.21044157376</v>
      </c>
      <c r="G206" s="269">
        <f t="shared" ca="1" si="112"/>
        <v>89089.967994956096</v>
      </c>
      <c r="H206" s="269">
        <f t="shared" ca="1" si="112"/>
        <v>145163.85906414976</v>
      </c>
      <c r="I206" s="269">
        <f t="shared" ca="1" si="112"/>
        <v>173309.13726387417</v>
      </c>
      <c r="J206" s="269">
        <f t="shared" ca="1" si="112"/>
        <v>180171.25140617363</v>
      </c>
      <c r="K206" s="540">
        <f t="shared" ca="1" si="112"/>
        <v>183772.21413115258</v>
      </c>
    </row>
    <row r="207" spans="2:11" ht="13.5" thickBot="1"/>
    <row r="208" spans="2:11">
      <c r="B208" s="5" t="s">
        <v>939</v>
      </c>
      <c r="C208" s="227"/>
      <c r="D208" s="227"/>
      <c r="E208" s="227"/>
      <c r="F208" s="227"/>
      <c r="G208" s="227"/>
      <c r="H208" s="227"/>
      <c r="I208" s="227"/>
      <c r="J208" s="227"/>
      <c r="K208" s="164"/>
    </row>
    <row r="209" spans="2:11">
      <c r="B209" s="8" t="s">
        <v>981</v>
      </c>
      <c r="C209" s="630">
        <v>18000</v>
      </c>
      <c r="K209" s="80"/>
    </row>
    <row r="210" spans="2:11">
      <c r="B210" s="8"/>
      <c r="K210" s="80"/>
    </row>
    <row r="211" spans="2:11">
      <c r="B211" s="8" t="s">
        <v>940</v>
      </c>
      <c r="E211" s="114">
        <f>C209</f>
        <v>18000</v>
      </c>
      <c r="F211" s="114">
        <f t="shared" ref="F211:K211" si="113">E211*(1+E28)</f>
        <v>18630</v>
      </c>
      <c r="G211" s="114">
        <f t="shared" si="113"/>
        <v>19002.599999999999</v>
      </c>
      <c r="H211" s="114">
        <f t="shared" si="113"/>
        <v>19382.651999999998</v>
      </c>
      <c r="I211" s="114">
        <f t="shared" si="113"/>
        <v>19770.305039999999</v>
      </c>
      <c r="J211" s="114">
        <f t="shared" si="113"/>
        <v>20165.711140799998</v>
      </c>
      <c r="K211" s="561">
        <f t="shared" si="113"/>
        <v>20569.025363615998</v>
      </c>
    </row>
    <row r="212" spans="2:11" ht="13.5" thickBot="1">
      <c r="B212" s="235" t="s">
        <v>940</v>
      </c>
      <c r="C212" s="236"/>
      <c r="D212" s="236"/>
      <c r="E212" s="564">
        <f t="shared" ref="E212:K212" si="114">SUM(E211)</f>
        <v>18000</v>
      </c>
      <c r="F212" s="564">
        <f t="shared" si="114"/>
        <v>18630</v>
      </c>
      <c r="G212" s="564">
        <f t="shared" si="114"/>
        <v>19002.599999999999</v>
      </c>
      <c r="H212" s="564">
        <f t="shared" si="114"/>
        <v>19382.651999999998</v>
      </c>
      <c r="I212" s="564">
        <f t="shared" si="114"/>
        <v>19770.305039999999</v>
      </c>
      <c r="J212" s="564">
        <f t="shared" si="114"/>
        <v>20165.711140799998</v>
      </c>
      <c r="K212" s="565">
        <f t="shared" si="114"/>
        <v>20569.025363615998</v>
      </c>
    </row>
    <row r="213" spans="2:11" ht="13.5" thickBot="1"/>
    <row r="214" spans="2:11">
      <c r="B214" s="5" t="s">
        <v>983</v>
      </c>
      <c r="C214" s="227"/>
      <c r="D214" s="227"/>
      <c r="E214" s="871"/>
      <c r="F214" s="227"/>
      <c r="G214" s="227"/>
      <c r="H214" s="227"/>
      <c r="I214" s="227"/>
      <c r="J214" s="227"/>
      <c r="K214" s="164"/>
    </row>
    <row r="215" spans="2:11">
      <c r="B215" s="8" t="s">
        <v>984</v>
      </c>
      <c r="C215" s="904"/>
      <c r="D215" s="904"/>
      <c r="E215" s="904">
        <f>Bond!F43</f>
        <v>196</v>
      </c>
      <c r="F215" s="904">
        <f>Bond!G43</f>
        <v>196</v>
      </c>
      <c r="G215" s="2892">
        <f>Bond!H43</f>
        <v>196</v>
      </c>
      <c r="H215" s="2892">
        <f>Bond!I43</f>
        <v>196</v>
      </c>
      <c r="I215" s="2892">
        <f>Bond!J43</f>
        <v>196</v>
      </c>
      <c r="J215" s="2892">
        <f>Bond!K43</f>
        <v>0</v>
      </c>
      <c r="K215" s="901">
        <f>Bond!L43</f>
        <v>0</v>
      </c>
    </row>
    <row r="216" spans="2:11">
      <c r="B216" s="8" t="s">
        <v>985</v>
      </c>
      <c r="C216" s="904"/>
      <c r="D216" s="904"/>
      <c r="E216" s="904">
        <f t="shared" ref="E216:K216" si="115">IF(E215&gt;0,10,0)</f>
        <v>10</v>
      </c>
      <c r="F216" s="904">
        <f t="shared" si="115"/>
        <v>10</v>
      </c>
      <c r="G216" s="904">
        <f t="shared" si="115"/>
        <v>10</v>
      </c>
      <c r="H216" s="904">
        <f t="shared" si="115"/>
        <v>10</v>
      </c>
      <c r="I216" s="904">
        <f t="shared" si="115"/>
        <v>10</v>
      </c>
      <c r="J216" s="904">
        <f t="shared" si="115"/>
        <v>0</v>
      </c>
      <c r="K216" s="80">
        <f t="shared" si="115"/>
        <v>0</v>
      </c>
    </row>
    <row r="217" spans="2:11">
      <c r="B217" s="8" t="s">
        <v>986</v>
      </c>
      <c r="C217" s="904"/>
      <c r="D217" s="904"/>
      <c r="E217" s="904"/>
      <c r="F217" s="904"/>
      <c r="G217" s="904"/>
      <c r="H217" s="904"/>
      <c r="I217" s="904"/>
      <c r="J217" s="904"/>
      <c r="K217" s="80"/>
    </row>
    <row r="218" spans="2:11">
      <c r="B218" s="8" t="s">
        <v>986</v>
      </c>
      <c r="C218" s="904"/>
      <c r="D218" s="904"/>
      <c r="E218" s="541">
        <v>750</v>
      </c>
      <c r="F218" s="541">
        <f t="shared" ref="F218:K218" si="116">E218*(1+E28)</f>
        <v>776.24999999999989</v>
      </c>
      <c r="G218" s="541">
        <f t="shared" si="116"/>
        <v>791.77499999999986</v>
      </c>
      <c r="H218" s="541">
        <f t="shared" si="116"/>
        <v>807.61049999999989</v>
      </c>
      <c r="I218" s="541">
        <f t="shared" si="116"/>
        <v>823.76270999999986</v>
      </c>
      <c r="J218" s="541">
        <f t="shared" si="116"/>
        <v>840.23796419999985</v>
      </c>
      <c r="K218" s="542">
        <f t="shared" si="116"/>
        <v>857.04272348399991</v>
      </c>
    </row>
    <row r="219" spans="2:11" ht="13.5" thickBot="1">
      <c r="B219" s="97" t="s">
        <v>987</v>
      </c>
      <c r="C219" s="236"/>
      <c r="D219" s="236"/>
      <c r="E219" s="237">
        <f t="shared" ref="E219:K219" si="117">E216*E218</f>
        <v>7500</v>
      </c>
      <c r="F219" s="237">
        <f t="shared" si="117"/>
        <v>7762.4999999999991</v>
      </c>
      <c r="G219" s="237">
        <f t="shared" si="117"/>
        <v>7917.7499999999982</v>
      </c>
      <c r="H219" s="237">
        <f t="shared" si="117"/>
        <v>8076.1049999999987</v>
      </c>
      <c r="I219" s="237">
        <f t="shared" si="117"/>
        <v>8237.6270999999979</v>
      </c>
      <c r="J219" s="237">
        <f t="shared" si="117"/>
        <v>0</v>
      </c>
      <c r="K219" s="2893">
        <f t="shared" si="117"/>
        <v>0</v>
      </c>
    </row>
    <row r="260" spans="4:7">
      <c r="D260" s="89"/>
    </row>
    <row r="263" spans="4:7">
      <c r="D263" s="89"/>
      <c r="E263" s="89"/>
      <c r="F263" s="89"/>
      <c r="G263" s="89"/>
    </row>
    <row r="266" spans="4:7">
      <c r="E266" s="89"/>
    </row>
    <row r="302" spans="2:4">
      <c r="B302" s="221"/>
      <c r="C302" s="221"/>
      <c r="D302" s="89"/>
    </row>
  </sheetData>
  <sheetProtection password="CD53" sheet="1" objects="1" scenarios="1" selectLockedCells="1"/>
  <dataValidations count="2">
    <dataValidation type="list" allowBlank="1" showInputMessage="1" showErrorMessage="1" sqref="M5:M14 K4:K24 M18:M27">
      <formula1>"Exempt,Reversed,VAT"</formula1>
    </dataValidation>
    <dataValidation type="list" allowBlank="1" showInputMessage="1" showErrorMessage="1" sqref="C4:C24">
      <formula1>"Red Church Estate,Red Church Vineyard,Red Church Assets,Red Church Finance, Red Church Holding"</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9" tint="0.59999389629810485"/>
  </sheetPr>
  <dimension ref="A1:AO316"/>
  <sheetViews>
    <sheetView zoomScale="60" zoomScaleNormal="60" workbookViewId="0">
      <selection activeCell="H28" sqref="H28"/>
    </sheetView>
  </sheetViews>
  <sheetFormatPr defaultRowHeight="12.75"/>
  <cols>
    <col min="1" max="1" width="2.85546875" style="2111" customWidth="1"/>
    <col min="2" max="2" width="19" style="2111" customWidth="1"/>
    <col min="3" max="3" width="22.28515625" style="2111" customWidth="1"/>
    <col min="4" max="4" width="12.42578125" style="2111" customWidth="1"/>
    <col min="5" max="5" width="14.5703125" style="2111" customWidth="1"/>
    <col min="6" max="6" width="15.140625" style="2111" customWidth="1"/>
    <col min="7" max="7" width="15.42578125" style="2111" customWidth="1"/>
    <col min="8" max="8" width="15.140625" style="2111" customWidth="1"/>
    <col min="9" max="9" width="14.5703125" style="2111" customWidth="1"/>
    <col min="10" max="10" width="15.140625" style="2111" customWidth="1"/>
    <col min="11" max="11" width="16" style="2111" customWidth="1"/>
    <col min="12" max="12" width="16.140625" style="2111" customWidth="1"/>
    <col min="13" max="13" width="3" style="2111" customWidth="1"/>
    <col min="14" max="14" width="20.85546875" style="2111" customWidth="1"/>
    <col min="15" max="15" width="14.5703125" style="2111" customWidth="1"/>
    <col min="16" max="16" width="21.28515625" style="2111" bestFit="1" customWidth="1"/>
    <col min="17" max="17" width="18.42578125" style="2111" bestFit="1" customWidth="1"/>
    <col min="18" max="18" width="13.7109375" style="2111" customWidth="1"/>
    <col min="19" max="19" width="11.5703125" style="2111" bestFit="1" customWidth="1"/>
    <col min="20" max="20" width="12.85546875" style="2111" customWidth="1"/>
    <col min="21" max="21" width="14.85546875" style="2111" customWidth="1"/>
    <col min="22" max="26" width="11.85546875" style="2111" bestFit="1" customWidth="1"/>
    <col min="27" max="27" width="15.5703125" style="2111" bestFit="1" customWidth="1"/>
    <col min="28" max="28" width="13" style="2111" customWidth="1"/>
    <col min="29" max="29" width="16.28515625" style="2111" customWidth="1"/>
    <col min="30" max="30" width="13.42578125" style="2111" bestFit="1" customWidth="1"/>
    <col min="31" max="31" width="11.85546875" style="2111" bestFit="1" customWidth="1"/>
    <col min="32" max="32" width="15.42578125" style="2297" bestFit="1" customWidth="1"/>
    <col min="33" max="33" width="12.5703125" style="2297" bestFit="1" customWidth="1"/>
    <col min="34" max="38" width="9.140625" style="2297"/>
    <col min="39" max="256" width="9.140625" style="2111"/>
    <col min="257" max="257" width="2.85546875" style="2111" customWidth="1"/>
    <col min="258" max="258" width="19" style="2111" customWidth="1"/>
    <col min="259" max="259" width="21.140625" style="2111" customWidth="1"/>
    <col min="260" max="260" width="15.5703125" style="2111" customWidth="1"/>
    <col min="261" max="261" width="14.5703125" style="2111" customWidth="1"/>
    <col min="262" max="262" width="16" style="2111" customWidth="1"/>
    <col min="263" max="263" width="16.28515625" style="2111" bestFit="1" customWidth="1"/>
    <col min="264" max="264" width="16.5703125" style="2111" bestFit="1" customWidth="1"/>
    <col min="265" max="265" width="14.5703125" style="2111" customWidth="1"/>
    <col min="266" max="266" width="13.42578125" style="2111" bestFit="1" customWidth="1"/>
    <col min="267" max="267" width="12.7109375" style="2111" customWidth="1"/>
    <col min="268" max="268" width="13.28515625" style="2111" bestFit="1" customWidth="1"/>
    <col min="269" max="269" width="14.28515625" style="2111" customWidth="1"/>
    <col min="270" max="270" width="12" style="2111" customWidth="1"/>
    <col min="271" max="271" width="19.42578125" style="2111" bestFit="1" customWidth="1"/>
    <col min="272" max="272" width="11.85546875" style="2111" customWidth="1"/>
    <col min="273" max="273" width="12" style="2111" customWidth="1"/>
    <col min="274" max="274" width="11.28515625" style="2111" customWidth="1"/>
    <col min="275" max="512" width="9.140625" style="2111"/>
    <col min="513" max="513" width="2.85546875" style="2111" customWidth="1"/>
    <col min="514" max="514" width="19" style="2111" customWidth="1"/>
    <col min="515" max="515" width="21.140625" style="2111" customWidth="1"/>
    <col min="516" max="516" width="15.5703125" style="2111" customWidth="1"/>
    <col min="517" max="517" width="14.5703125" style="2111" customWidth="1"/>
    <col min="518" max="518" width="16" style="2111" customWidth="1"/>
    <col min="519" max="519" width="16.28515625" style="2111" bestFit="1" customWidth="1"/>
    <col min="520" max="520" width="16.5703125" style="2111" bestFit="1" customWidth="1"/>
    <col min="521" max="521" width="14.5703125" style="2111" customWidth="1"/>
    <col min="522" max="522" width="13.42578125" style="2111" bestFit="1" customWidth="1"/>
    <col min="523" max="523" width="12.7109375" style="2111" customWidth="1"/>
    <col min="524" max="524" width="13.28515625" style="2111" bestFit="1" customWidth="1"/>
    <col min="525" max="525" width="14.28515625" style="2111" customWidth="1"/>
    <col min="526" max="526" width="12" style="2111" customWidth="1"/>
    <col min="527" max="527" width="19.42578125" style="2111" bestFit="1" customWidth="1"/>
    <col min="528" max="528" width="11.85546875" style="2111" customWidth="1"/>
    <col min="529" max="529" width="12" style="2111" customWidth="1"/>
    <col min="530" max="530" width="11.28515625" style="2111" customWidth="1"/>
    <col min="531" max="768" width="9.140625" style="2111"/>
    <col min="769" max="769" width="2.85546875" style="2111" customWidth="1"/>
    <col min="770" max="770" width="19" style="2111" customWidth="1"/>
    <col min="771" max="771" width="21.140625" style="2111" customWidth="1"/>
    <col min="772" max="772" width="15.5703125" style="2111" customWidth="1"/>
    <col min="773" max="773" width="14.5703125" style="2111" customWidth="1"/>
    <col min="774" max="774" width="16" style="2111" customWidth="1"/>
    <col min="775" max="775" width="16.28515625" style="2111" bestFit="1" customWidth="1"/>
    <col min="776" max="776" width="16.5703125" style="2111" bestFit="1" customWidth="1"/>
    <col min="777" max="777" width="14.5703125" style="2111" customWidth="1"/>
    <col min="778" max="778" width="13.42578125" style="2111" bestFit="1" customWidth="1"/>
    <col min="779" max="779" width="12.7109375" style="2111" customWidth="1"/>
    <col min="780" max="780" width="13.28515625" style="2111" bestFit="1" customWidth="1"/>
    <col min="781" max="781" width="14.28515625" style="2111" customWidth="1"/>
    <col min="782" max="782" width="12" style="2111" customWidth="1"/>
    <col min="783" max="783" width="19.42578125" style="2111" bestFit="1" customWidth="1"/>
    <col min="784" max="784" width="11.85546875" style="2111" customWidth="1"/>
    <col min="785" max="785" width="12" style="2111" customWidth="1"/>
    <col min="786" max="786" width="11.28515625" style="2111" customWidth="1"/>
    <col min="787" max="1024" width="9.140625" style="2111"/>
    <col min="1025" max="1025" width="2.85546875" style="2111" customWidth="1"/>
    <col min="1026" max="1026" width="19" style="2111" customWidth="1"/>
    <col min="1027" max="1027" width="21.140625" style="2111" customWidth="1"/>
    <col min="1028" max="1028" width="15.5703125" style="2111" customWidth="1"/>
    <col min="1029" max="1029" width="14.5703125" style="2111" customWidth="1"/>
    <col min="1030" max="1030" width="16" style="2111" customWidth="1"/>
    <col min="1031" max="1031" width="16.28515625" style="2111" bestFit="1" customWidth="1"/>
    <col min="1032" max="1032" width="16.5703125" style="2111" bestFit="1" customWidth="1"/>
    <col min="1033" max="1033" width="14.5703125" style="2111" customWidth="1"/>
    <col min="1034" max="1034" width="13.42578125" style="2111" bestFit="1" customWidth="1"/>
    <col min="1035" max="1035" width="12.7109375" style="2111" customWidth="1"/>
    <col min="1036" max="1036" width="13.28515625" style="2111" bestFit="1" customWidth="1"/>
    <col min="1037" max="1037" width="14.28515625" style="2111" customWidth="1"/>
    <col min="1038" max="1038" width="12" style="2111" customWidth="1"/>
    <col min="1039" max="1039" width="19.42578125" style="2111" bestFit="1" customWidth="1"/>
    <col min="1040" max="1040" width="11.85546875" style="2111" customWidth="1"/>
    <col min="1041" max="1041" width="12" style="2111" customWidth="1"/>
    <col min="1042" max="1042" width="11.28515625" style="2111" customWidth="1"/>
    <col min="1043" max="1280" width="9.140625" style="2111"/>
    <col min="1281" max="1281" width="2.85546875" style="2111" customWidth="1"/>
    <col min="1282" max="1282" width="19" style="2111" customWidth="1"/>
    <col min="1283" max="1283" width="21.140625" style="2111" customWidth="1"/>
    <col min="1284" max="1284" width="15.5703125" style="2111" customWidth="1"/>
    <col min="1285" max="1285" width="14.5703125" style="2111" customWidth="1"/>
    <col min="1286" max="1286" width="16" style="2111" customWidth="1"/>
    <col min="1287" max="1287" width="16.28515625" style="2111" bestFit="1" customWidth="1"/>
    <col min="1288" max="1288" width="16.5703125" style="2111" bestFit="1" customWidth="1"/>
    <col min="1289" max="1289" width="14.5703125" style="2111" customWidth="1"/>
    <col min="1290" max="1290" width="13.42578125" style="2111" bestFit="1" customWidth="1"/>
    <col min="1291" max="1291" width="12.7109375" style="2111" customWidth="1"/>
    <col min="1292" max="1292" width="13.28515625" style="2111" bestFit="1" customWidth="1"/>
    <col min="1293" max="1293" width="14.28515625" style="2111" customWidth="1"/>
    <col min="1294" max="1294" width="12" style="2111" customWidth="1"/>
    <col min="1295" max="1295" width="19.42578125" style="2111" bestFit="1" customWidth="1"/>
    <col min="1296" max="1296" width="11.85546875" style="2111" customWidth="1"/>
    <col min="1297" max="1297" width="12" style="2111" customWidth="1"/>
    <col min="1298" max="1298" width="11.28515625" style="2111" customWidth="1"/>
    <col min="1299" max="1536" width="9.140625" style="2111"/>
    <col min="1537" max="1537" width="2.85546875" style="2111" customWidth="1"/>
    <col min="1538" max="1538" width="19" style="2111" customWidth="1"/>
    <col min="1539" max="1539" width="21.140625" style="2111" customWidth="1"/>
    <col min="1540" max="1540" width="15.5703125" style="2111" customWidth="1"/>
    <col min="1541" max="1541" width="14.5703125" style="2111" customWidth="1"/>
    <col min="1542" max="1542" width="16" style="2111" customWidth="1"/>
    <col min="1543" max="1543" width="16.28515625" style="2111" bestFit="1" customWidth="1"/>
    <col min="1544" max="1544" width="16.5703125" style="2111" bestFit="1" customWidth="1"/>
    <col min="1545" max="1545" width="14.5703125" style="2111" customWidth="1"/>
    <col min="1546" max="1546" width="13.42578125" style="2111" bestFit="1" customWidth="1"/>
    <col min="1547" max="1547" width="12.7109375" style="2111" customWidth="1"/>
    <col min="1548" max="1548" width="13.28515625" style="2111" bestFit="1" customWidth="1"/>
    <col min="1549" max="1549" width="14.28515625" style="2111" customWidth="1"/>
    <col min="1550" max="1550" width="12" style="2111" customWidth="1"/>
    <col min="1551" max="1551" width="19.42578125" style="2111" bestFit="1" customWidth="1"/>
    <col min="1552" max="1552" width="11.85546875" style="2111" customWidth="1"/>
    <col min="1553" max="1553" width="12" style="2111" customWidth="1"/>
    <col min="1554" max="1554" width="11.28515625" style="2111" customWidth="1"/>
    <col min="1555" max="1792" width="9.140625" style="2111"/>
    <col min="1793" max="1793" width="2.85546875" style="2111" customWidth="1"/>
    <col min="1794" max="1794" width="19" style="2111" customWidth="1"/>
    <col min="1795" max="1795" width="21.140625" style="2111" customWidth="1"/>
    <col min="1796" max="1796" width="15.5703125" style="2111" customWidth="1"/>
    <col min="1797" max="1797" width="14.5703125" style="2111" customWidth="1"/>
    <col min="1798" max="1798" width="16" style="2111" customWidth="1"/>
    <col min="1799" max="1799" width="16.28515625" style="2111" bestFit="1" customWidth="1"/>
    <col min="1800" max="1800" width="16.5703125" style="2111" bestFit="1" customWidth="1"/>
    <col min="1801" max="1801" width="14.5703125" style="2111" customWidth="1"/>
    <col min="1802" max="1802" width="13.42578125" style="2111" bestFit="1" customWidth="1"/>
    <col min="1803" max="1803" width="12.7109375" style="2111" customWidth="1"/>
    <col min="1804" max="1804" width="13.28515625" style="2111" bestFit="1" customWidth="1"/>
    <col min="1805" max="1805" width="14.28515625" style="2111" customWidth="1"/>
    <col min="1806" max="1806" width="12" style="2111" customWidth="1"/>
    <col min="1807" max="1807" width="19.42578125" style="2111" bestFit="1" customWidth="1"/>
    <col min="1808" max="1808" width="11.85546875" style="2111" customWidth="1"/>
    <col min="1809" max="1809" width="12" style="2111" customWidth="1"/>
    <col min="1810" max="1810" width="11.28515625" style="2111" customWidth="1"/>
    <col min="1811" max="2048" width="9.140625" style="2111"/>
    <col min="2049" max="2049" width="2.85546875" style="2111" customWidth="1"/>
    <col min="2050" max="2050" width="19" style="2111" customWidth="1"/>
    <col min="2051" max="2051" width="21.140625" style="2111" customWidth="1"/>
    <col min="2052" max="2052" width="15.5703125" style="2111" customWidth="1"/>
    <col min="2053" max="2053" width="14.5703125" style="2111" customWidth="1"/>
    <col min="2054" max="2054" width="16" style="2111" customWidth="1"/>
    <col min="2055" max="2055" width="16.28515625" style="2111" bestFit="1" customWidth="1"/>
    <col min="2056" max="2056" width="16.5703125" style="2111" bestFit="1" customWidth="1"/>
    <col min="2057" max="2057" width="14.5703125" style="2111" customWidth="1"/>
    <col min="2058" max="2058" width="13.42578125" style="2111" bestFit="1" customWidth="1"/>
    <col min="2059" max="2059" width="12.7109375" style="2111" customWidth="1"/>
    <col min="2060" max="2060" width="13.28515625" style="2111" bestFit="1" customWidth="1"/>
    <col min="2061" max="2061" width="14.28515625" style="2111" customWidth="1"/>
    <col min="2062" max="2062" width="12" style="2111" customWidth="1"/>
    <col min="2063" max="2063" width="19.42578125" style="2111" bestFit="1" customWidth="1"/>
    <col min="2064" max="2064" width="11.85546875" style="2111" customWidth="1"/>
    <col min="2065" max="2065" width="12" style="2111" customWidth="1"/>
    <col min="2066" max="2066" width="11.28515625" style="2111" customWidth="1"/>
    <col min="2067" max="2304" width="9.140625" style="2111"/>
    <col min="2305" max="2305" width="2.85546875" style="2111" customWidth="1"/>
    <col min="2306" max="2306" width="19" style="2111" customWidth="1"/>
    <col min="2307" max="2307" width="21.140625" style="2111" customWidth="1"/>
    <col min="2308" max="2308" width="15.5703125" style="2111" customWidth="1"/>
    <col min="2309" max="2309" width="14.5703125" style="2111" customWidth="1"/>
    <col min="2310" max="2310" width="16" style="2111" customWidth="1"/>
    <col min="2311" max="2311" width="16.28515625" style="2111" bestFit="1" customWidth="1"/>
    <col min="2312" max="2312" width="16.5703125" style="2111" bestFit="1" customWidth="1"/>
    <col min="2313" max="2313" width="14.5703125" style="2111" customWidth="1"/>
    <col min="2314" max="2314" width="13.42578125" style="2111" bestFit="1" customWidth="1"/>
    <col min="2315" max="2315" width="12.7109375" style="2111" customWidth="1"/>
    <col min="2316" max="2316" width="13.28515625" style="2111" bestFit="1" customWidth="1"/>
    <col min="2317" max="2317" width="14.28515625" style="2111" customWidth="1"/>
    <col min="2318" max="2318" width="12" style="2111" customWidth="1"/>
    <col min="2319" max="2319" width="19.42578125" style="2111" bestFit="1" customWidth="1"/>
    <col min="2320" max="2320" width="11.85546875" style="2111" customWidth="1"/>
    <col min="2321" max="2321" width="12" style="2111" customWidth="1"/>
    <col min="2322" max="2322" width="11.28515625" style="2111" customWidth="1"/>
    <col min="2323" max="2560" width="9.140625" style="2111"/>
    <col min="2561" max="2561" width="2.85546875" style="2111" customWidth="1"/>
    <col min="2562" max="2562" width="19" style="2111" customWidth="1"/>
    <col min="2563" max="2563" width="21.140625" style="2111" customWidth="1"/>
    <col min="2564" max="2564" width="15.5703125" style="2111" customWidth="1"/>
    <col min="2565" max="2565" width="14.5703125" style="2111" customWidth="1"/>
    <col min="2566" max="2566" width="16" style="2111" customWidth="1"/>
    <col min="2567" max="2567" width="16.28515625" style="2111" bestFit="1" customWidth="1"/>
    <col min="2568" max="2568" width="16.5703125" style="2111" bestFit="1" customWidth="1"/>
    <col min="2569" max="2569" width="14.5703125" style="2111" customWidth="1"/>
    <col min="2570" max="2570" width="13.42578125" style="2111" bestFit="1" customWidth="1"/>
    <col min="2571" max="2571" width="12.7109375" style="2111" customWidth="1"/>
    <col min="2572" max="2572" width="13.28515625" style="2111" bestFit="1" customWidth="1"/>
    <col min="2573" max="2573" width="14.28515625" style="2111" customWidth="1"/>
    <col min="2574" max="2574" width="12" style="2111" customWidth="1"/>
    <col min="2575" max="2575" width="19.42578125" style="2111" bestFit="1" customWidth="1"/>
    <col min="2576" max="2576" width="11.85546875" style="2111" customWidth="1"/>
    <col min="2577" max="2577" width="12" style="2111" customWidth="1"/>
    <col min="2578" max="2578" width="11.28515625" style="2111" customWidth="1"/>
    <col min="2579" max="2816" width="9.140625" style="2111"/>
    <col min="2817" max="2817" width="2.85546875" style="2111" customWidth="1"/>
    <col min="2818" max="2818" width="19" style="2111" customWidth="1"/>
    <col min="2819" max="2819" width="21.140625" style="2111" customWidth="1"/>
    <col min="2820" max="2820" width="15.5703125" style="2111" customWidth="1"/>
    <col min="2821" max="2821" width="14.5703125" style="2111" customWidth="1"/>
    <col min="2822" max="2822" width="16" style="2111" customWidth="1"/>
    <col min="2823" max="2823" width="16.28515625" style="2111" bestFit="1" customWidth="1"/>
    <col min="2824" max="2824" width="16.5703125" style="2111" bestFit="1" customWidth="1"/>
    <col min="2825" max="2825" width="14.5703125" style="2111" customWidth="1"/>
    <col min="2826" max="2826" width="13.42578125" style="2111" bestFit="1" customWidth="1"/>
    <col min="2827" max="2827" width="12.7109375" style="2111" customWidth="1"/>
    <col min="2828" max="2828" width="13.28515625" style="2111" bestFit="1" customWidth="1"/>
    <col min="2829" max="2829" width="14.28515625" style="2111" customWidth="1"/>
    <col min="2830" max="2830" width="12" style="2111" customWidth="1"/>
    <col min="2831" max="2831" width="19.42578125" style="2111" bestFit="1" customWidth="1"/>
    <col min="2832" max="2832" width="11.85546875" style="2111" customWidth="1"/>
    <col min="2833" max="2833" width="12" style="2111" customWidth="1"/>
    <col min="2834" max="2834" width="11.28515625" style="2111" customWidth="1"/>
    <col min="2835" max="3072" width="9.140625" style="2111"/>
    <col min="3073" max="3073" width="2.85546875" style="2111" customWidth="1"/>
    <col min="3074" max="3074" width="19" style="2111" customWidth="1"/>
    <col min="3075" max="3075" width="21.140625" style="2111" customWidth="1"/>
    <col min="3076" max="3076" width="15.5703125" style="2111" customWidth="1"/>
    <col min="3077" max="3077" width="14.5703125" style="2111" customWidth="1"/>
    <col min="3078" max="3078" width="16" style="2111" customWidth="1"/>
    <col min="3079" max="3079" width="16.28515625" style="2111" bestFit="1" customWidth="1"/>
    <col min="3080" max="3080" width="16.5703125" style="2111" bestFit="1" customWidth="1"/>
    <col min="3081" max="3081" width="14.5703125" style="2111" customWidth="1"/>
    <col min="3082" max="3082" width="13.42578125" style="2111" bestFit="1" customWidth="1"/>
    <col min="3083" max="3083" width="12.7109375" style="2111" customWidth="1"/>
    <col min="3084" max="3084" width="13.28515625" style="2111" bestFit="1" customWidth="1"/>
    <col min="3085" max="3085" width="14.28515625" style="2111" customWidth="1"/>
    <col min="3086" max="3086" width="12" style="2111" customWidth="1"/>
    <col min="3087" max="3087" width="19.42578125" style="2111" bestFit="1" customWidth="1"/>
    <col min="3088" max="3088" width="11.85546875" style="2111" customWidth="1"/>
    <col min="3089" max="3089" width="12" style="2111" customWidth="1"/>
    <col min="3090" max="3090" width="11.28515625" style="2111" customWidth="1"/>
    <col min="3091" max="3328" width="9.140625" style="2111"/>
    <col min="3329" max="3329" width="2.85546875" style="2111" customWidth="1"/>
    <col min="3330" max="3330" width="19" style="2111" customWidth="1"/>
    <col min="3331" max="3331" width="21.140625" style="2111" customWidth="1"/>
    <col min="3332" max="3332" width="15.5703125" style="2111" customWidth="1"/>
    <col min="3333" max="3333" width="14.5703125" style="2111" customWidth="1"/>
    <col min="3334" max="3334" width="16" style="2111" customWidth="1"/>
    <col min="3335" max="3335" width="16.28515625" style="2111" bestFit="1" customWidth="1"/>
    <col min="3336" max="3336" width="16.5703125" style="2111" bestFit="1" customWidth="1"/>
    <col min="3337" max="3337" width="14.5703125" style="2111" customWidth="1"/>
    <col min="3338" max="3338" width="13.42578125" style="2111" bestFit="1" customWidth="1"/>
    <col min="3339" max="3339" width="12.7109375" style="2111" customWidth="1"/>
    <col min="3340" max="3340" width="13.28515625" style="2111" bestFit="1" customWidth="1"/>
    <col min="3341" max="3341" width="14.28515625" style="2111" customWidth="1"/>
    <col min="3342" max="3342" width="12" style="2111" customWidth="1"/>
    <col min="3343" max="3343" width="19.42578125" style="2111" bestFit="1" customWidth="1"/>
    <col min="3344" max="3344" width="11.85546875" style="2111" customWidth="1"/>
    <col min="3345" max="3345" width="12" style="2111" customWidth="1"/>
    <col min="3346" max="3346" width="11.28515625" style="2111" customWidth="1"/>
    <col min="3347" max="3584" width="9.140625" style="2111"/>
    <col min="3585" max="3585" width="2.85546875" style="2111" customWidth="1"/>
    <col min="3586" max="3586" width="19" style="2111" customWidth="1"/>
    <col min="3587" max="3587" width="21.140625" style="2111" customWidth="1"/>
    <col min="3588" max="3588" width="15.5703125" style="2111" customWidth="1"/>
    <col min="3589" max="3589" width="14.5703125" style="2111" customWidth="1"/>
    <col min="3590" max="3590" width="16" style="2111" customWidth="1"/>
    <col min="3591" max="3591" width="16.28515625" style="2111" bestFit="1" customWidth="1"/>
    <col min="3592" max="3592" width="16.5703125" style="2111" bestFit="1" customWidth="1"/>
    <col min="3593" max="3593" width="14.5703125" style="2111" customWidth="1"/>
    <col min="3594" max="3594" width="13.42578125" style="2111" bestFit="1" customWidth="1"/>
    <col min="3595" max="3595" width="12.7109375" style="2111" customWidth="1"/>
    <col min="3596" max="3596" width="13.28515625" style="2111" bestFit="1" customWidth="1"/>
    <col min="3597" max="3597" width="14.28515625" style="2111" customWidth="1"/>
    <col min="3598" max="3598" width="12" style="2111" customWidth="1"/>
    <col min="3599" max="3599" width="19.42578125" style="2111" bestFit="1" customWidth="1"/>
    <col min="3600" max="3600" width="11.85546875" style="2111" customWidth="1"/>
    <col min="3601" max="3601" width="12" style="2111" customWidth="1"/>
    <col min="3602" max="3602" width="11.28515625" style="2111" customWidth="1"/>
    <col min="3603" max="3840" width="9.140625" style="2111"/>
    <col min="3841" max="3841" width="2.85546875" style="2111" customWidth="1"/>
    <col min="3842" max="3842" width="19" style="2111" customWidth="1"/>
    <col min="3843" max="3843" width="21.140625" style="2111" customWidth="1"/>
    <col min="3844" max="3844" width="15.5703125" style="2111" customWidth="1"/>
    <col min="3845" max="3845" width="14.5703125" style="2111" customWidth="1"/>
    <col min="3846" max="3846" width="16" style="2111" customWidth="1"/>
    <col min="3847" max="3847" width="16.28515625" style="2111" bestFit="1" customWidth="1"/>
    <col min="3848" max="3848" width="16.5703125" style="2111" bestFit="1" customWidth="1"/>
    <col min="3849" max="3849" width="14.5703125" style="2111" customWidth="1"/>
    <col min="3850" max="3850" width="13.42578125" style="2111" bestFit="1" customWidth="1"/>
    <col min="3851" max="3851" width="12.7109375" style="2111" customWidth="1"/>
    <col min="3852" max="3852" width="13.28515625" style="2111" bestFit="1" customWidth="1"/>
    <col min="3853" max="3853" width="14.28515625" style="2111" customWidth="1"/>
    <col min="3854" max="3854" width="12" style="2111" customWidth="1"/>
    <col min="3855" max="3855" width="19.42578125" style="2111" bestFit="1" customWidth="1"/>
    <col min="3856" max="3856" width="11.85546875" style="2111" customWidth="1"/>
    <col min="3857" max="3857" width="12" style="2111" customWidth="1"/>
    <col min="3858" max="3858" width="11.28515625" style="2111" customWidth="1"/>
    <col min="3859" max="4096" width="9.140625" style="2111"/>
    <col min="4097" max="4097" width="2.85546875" style="2111" customWidth="1"/>
    <col min="4098" max="4098" width="19" style="2111" customWidth="1"/>
    <col min="4099" max="4099" width="21.140625" style="2111" customWidth="1"/>
    <col min="4100" max="4100" width="15.5703125" style="2111" customWidth="1"/>
    <col min="4101" max="4101" width="14.5703125" style="2111" customWidth="1"/>
    <col min="4102" max="4102" width="16" style="2111" customWidth="1"/>
    <col min="4103" max="4103" width="16.28515625" style="2111" bestFit="1" customWidth="1"/>
    <col min="4104" max="4104" width="16.5703125" style="2111" bestFit="1" customWidth="1"/>
    <col min="4105" max="4105" width="14.5703125" style="2111" customWidth="1"/>
    <col min="4106" max="4106" width="13.42578125" style="2111" bestFit="1" customWidth="1"/>
    <col min="4107" max="4107" width="12.7109375" style="2111" customWidth="1"/>
    <col min="4108" max="4108" width="13.28515625" style="2111" bestFit="1" customWidth="1"/>
    <col min="4109" max="4109" width="14.28515625" style="2111" customWidth="1"/>
    <col min="4110" max="4110" width="12" style="2111" customWidth="1"/>
    <col min="4111" max="4111" width="19.42578125" style="2111" bestFit="1" customWidth="1"/>
    <col min="4112" max="4112" width="11.85546875" style="2111" customWidth="1"/>
    <col min="4113" max="4113" width="12" style="2111" customWidth="1"/>
    <col min="4114" max="4114" width="11.28515625" style="2111" customWidth="1"/>
    <col min="4115" max="4352" width="9.140625" style="2111"/>
    <col min="4353" max="4353" width="2.85546875" style="2111" customWidth="1"/>
    <col min="4354" max="4354" width="19" style="2111" customWidth="1"/>
    <col min="4355" max="4355" width="21.140625" style="2111" customWidth="1"/>
    <col min="4356" max="4356" width="15.5703125" style="2111" customWidth="1"/>
    <col min="4357" max="4357" width="14.5703125" style="2111" customWidth="1"/>
    <col min="4358" max="4358" width="16" style="2111" customWidth="1"/>
    <col min="4359" max="4359" width="16.28515625" style="2111" bestFit="1" customWidth="1"/>
    <col min="4360" max="4360" width="16.5703125" style="2111" bestFit="1" customWidth="1"/>
    <col min="4361" max="4361" width="14.5703125" style="2111" customWidth="1"/>
    <col min="4362" max="4362" width="13.42578125" style="2111" bestFit="1" customWidth="1"/>
    <col min="4363" max="4363" width="12.7109375" style="2111" customWidth="1"/>
    <col min="4364" max="4364" width="13.28515625" style="2111" bestFit="1" customWidth="1"/>
    <col min="4365" max="4365" width="14.28515625" style="2111" customWidth="1"/>
    <col min="4366" max="4366" width="12" style="2111" customWidth="1"/>
    <col min="4367" max="4367" width="19.42578125" style="2111" bestFit="1" customWidth="1"/>
    <col min="4368" max="4368" width="11.85546875" style="2111" customWidth="1"/>
    <col min="4369" max="4369" width="12" style="2111" customWidth="1"/>
    <col min="4370" max="4370" width="11.28515625" style="2111" customWidth="1"/>
    <col min="4371" max="4608" width="9.140625" style="2111"/>
    <col min="4609" max="4609" width="2.85546875" style="2111" customWidth="1"/>
    <col min="4610" max="4610" width="19" style="2111" customWidth="1"/>
    <col min="4611" max="4611" width="21.140625" style="2111" customWidth="1"/>
    <col min="4612" max="4612" width="15.5703125" style="2111" customWidth="1"/>
    <col min="4613" max="4613" width="14.5703125" style="2111" customWidth="1"/>
    <col min="4614" max="4614" width="16" style="2111" customWidth="1"/>
    <col min="4615" max="4615" width="16.28515625" style="2111" bestFit="1" customWidth="1"/>
    <col min="4616" max="4616" width="16.5703125" style="2111" bestFit="1" customWidth="1"/>
    <col min="4617" max="4617" width="14.5703125" style="2111" customWidth="1"/>
    <col min="4618" max="4618" width="13.42578125" style="2111" bestFit="1" customWidth="1"/>
    <col min="4619" max="4619" width="12.7109375" style="2111" customWidth="1"/>
    <col min="4620" max="4620" width="13.28515625" style="2111" bestFit="1" customWidth="1"/>
    <col min="4621" max="4621" width="14.28515625" style="2111" customWidth="1"/>
    <col min="4622" max="4622" width="12" style="2111" customWidth="1"/>
    <col min="4623" max="4623" width="19.42578125" style="2111" bestFit="1" customWidth="1"/>
    <col min="4624" max="4624" width="11.85546875" style="2111" customWidth="1"/>
    <col min="4625" max="4625" width="12" style="2111" customWidth="1"/>
    <col min="4626" max="4626" width="11.28515625" style="2111" customWidth="1"/>
    <col min="4627" max="4864" width="9.140625" style="2111"/>
    <col min="4865" max="4865" width="2.85546875" style="2111" customWidth="1"/>
    <col min="4866" max="4866" width="19" style="2111" customWidth="1"/>
    <col min="4867" max="4867" width="21.140625" style="2111" customWidth="1"/>
    <col min="4868" max="4868" width="15.5703125" style="2111" customWidth="1"/>
    <col min="4869" max="4869" width="14.5703125" style="2111" customWidth="1"/>
    <col min="4870" max="4870" width="16" style="2111" customWidth="1"/>
    <col min="4871" max="4871" width="16.28515625" style="2111" bestFit="1" customWidth="1"/>
    <col min="4872" max="4872" width="16.5703125" style="2111" bestFit="1" customWidth="1"/>
    <col min="4873" max="4873" width="14.5703125" style="2111" customWidth="1"/>
    <col min="4874" max="4874" width="13.42578125" style="2111" bestFit="1" customWidth="1"/>
    <col min="4875" max="4875" width="12.7109375" style="2111" customWidth="1"/>
    <col min="4876" max="4876" width="13.28515625" style="2111" bestFit="1" customWidth="1"/>
    <col min="4877" max="4877" width="14.28515625" style="2111" customWidth="1"/>
    <col min="4878" max="4878" width="12" style="2111" customWidth="1"/>
    <col min="4879" max="4879" width="19.42578125" style="2111" bestFit="1" customWidth="1"/>
    <col min="4880" max="4880" width="11.85546875" style="2111" customWidth="1"/>
    <col min="4881" max="4881" width="12" style="2111" customWidth="1"/>
    <col min="4882" max="4882" width="11.28515625" style="2111" customWidth="1"/>
    <col min="4883" max="5120" width="9.140625" style="2111"/>
    <col min="5121" max="5121" width="2.85546875" style="2111" customWidth="1"/>
    <col min="5122" max="5122" width="19" style="2111" customWidth="1"/>
    <col min="5123" max="5123" width="21.140625" style="2111" customWidth="1"/>
    <col min="5124" max="5124" width="15.5703125" style="2111" customWidth="1"/>
    <col min="5125" max="5125" width="14.5703125" style="2111" customWidth="1"/>
    <col min="5126" max="5126" width="16" style="2111" customWidth="1"/>
    <col min="5127" max="5127" width="16.28515625" style="2111" bestFit="1" customWidth="1"/>
    <col min="5128" max="5128" width="16.5703125" style="2111" bestFit="1" customWidth="1"/>
    <col min="5129" max="5129" width="14.5703125" style="2111" customWidth="1"/>
    <col min="5130" max="5130" width="13.42578125" style="2111" bestFit="1" customWidth="1"/>
    <col min="5131" max="5131" width="12.7109375" style="2111" customWidth="1"/>
    <col min="5132" max="5132" width="13.28515625" style="2111" bestFit="1" customWidth="1"/>
    <col min="5133" max="5133" width="14.28515625" style="2111" customWidth="1"/>
    <col min="5134" max="5134" width="12" style="2111" customWidth="1"/>
    <col min="5135" max="5135" width="19.42578125" style="2111" bestFit="1" customWidth="1"/>
    <col min="5136" max="5136" width="11.85546875" style="2111" customWidth="1"/>
    <col min="5137" max="5137" width="12" style="2111" customWidth="1"/>
    <col min="5138" max="5138" width="11.28515625" style="2111" customWidth="1"/>
    <col min="5139" max="5376" width="9.140625" style="2111"/>
    <col min="5377" max="5377" width="2.85546875" style="2111" customWidth="1"/>
    <col min="5378" max="5378" width="19" style="2111" customWidth="1"/>
    <col min="5379" max="5379" width="21.140625" style="2111" customWidth="1"/>
    <col min="5380" max="5380" width="15.5703125" style="2111" customWidth="1"/>
    <col min="5381" max="5381" width="14.5703125" style="2111" customWidth="1"/>
    <col min="5382" max="5382" width="16" style="2111" customWidth="1"/>
    <col min="5383" max="5383" width="16.28515625" style="2111" bestFit="1" customWidth="1"/>
    <col min="5384" max="5384" width="16.5703125" style="2111" bestFit="1" customWidth="1"/>
    <col min="5385" max="5385" width="14.5703125" style="2111" customWidth="1"/>
    <col min="5386" max="5386" width="13.42578125" style="2111" bestFit="1" customWidth="1"/>
    <col min="5387" max="5387" width="12.7109375" style="2111" customWidth="1"/>
    <col min="5388" max="5388" width="13.28515625" style="2111" bestFit="1" customWidth="1"/>
    <col min="5389" max="5389" width="14.28515625" style="2111" customWidth="1"/>
    <col min="5390" max="5390" width="12" style="2111" customWidth="1"/>
    <col min="5391" max="5391" width="19.42578125" style="2111" bestFit="1" customWidth="1"/>
    <col min="5392" max="5392" width="11.85546875" style="2111" customWidth="1"/>
    <col min="5393" max="5393" width="12" style="2111" customWidth="1"/>
    <col min="5394" max="5394" width="11.28515625" style="2111" customWidth="1"/>
    <col min="5395" max="5632" width="9.140625" style="2111"/>
    <col min="5633" max="5633" width="2.85546875" style="2111" customWidth="1"/>
    <col min="5634" max="5634" width="19" style="2111" customWidth="1"/>
    <col min="5635" max="5635" width="21.140625" style="2111" customWidth="1"/>
    <col min="5636" max="5636" width="15.5703125" style="2111" customWidth="1"/>
    <col min="5637" max="5637" width="14.5703125" style="2111" customWidth="1"/>
    <col min="5638" max="5638" width="16" style="2111" customWidth="1"/>
    <col min="5639" max="5639" width="16.28515625" style="2111" bestFit="1" customWidth="1"/>
    <col min="5640" max="5640" width="16.5703125" style="2111" bestFit="1" customWidth="1"/>
    <col min="5641" max="5641" width="14.5703125" style="2111" customWidth="1"/>
    <col min="5642" max="5642" width="13.42578125" style="2111" bestFit="1" customWidth="1"/>
    <col min="5643" max="5643" width="12.7109375" style="2111" customWidth="1"/>
    <col min="5644" max="5644" width="13.28515625" style="2111" bestFit="1" customWidth="1"/>
    <col min="5645" max="5645" width="14.28515625" style="2111" customWidth="1"/>
    <col min="5646" max="5646" width="12" style="2111" customWidth="1"/>
    <col min="5647" max="5647" width="19.42578125" style="2111" bestFit="1" customWidth="1"/>
    <col min="5648" max="5648" width="11.85546875" style="2111" customWidth="1"/>
    <col min="5649" max="5649" width="12" style="2111" customWidth="1"/>
    <col min="5650" max="5650" width="11.28515625" style="2111" customWidth="1"/>
    <col min="5651" max="5888" width="9.140625" style="2111"/>
    <col min="5889" max="5889" width="2.85546875" style="2111" customWidth="1"/>
    <col min="5890" max="5890" width="19" style="2111" customWidth="1"/>
    <col min="5891" max="5891" width="21.140625" style="2111" customWidth="1"/>
    <col min="5892" max="5892" width="15.5703125" style="2111" customWidth="1"/>
    <col min="5893" max="5893" width="14.5703125" style="2111" customWidth="1"/>
    <col min="5894" max="5894" width="16" style="2111" customWidth="1"/>
    <col min="5895" max="5895" width="16.28515625" style="2111" bestFit="1" customWidth="1"/>
    <col min="5896" max="5896" width="16.5703125" style="2111" bestFit="1" customWidth="1"/>
    <col min="5897" max="5897" width="14.5703125" style="2111" customWidth="1"/>
    <col min="5898" max="5898" width="13.42578125" style="2111" bestFit="1" customWidth="1"/>
    <col min="5899" max="5899" width="12.7109375" style="2111" customWidth="1"/>
    <col min="5900" max="5900" width="13.28515625" style="2111" bestFit="1" customWidth="1"/>
    <col min="5901" max="5901" width="14.28515625" style="2111" customWidth="1"/>
    <col min="5902" max="5902" width="12" style="2111" customWidth="1"/>
    <col min="5903" max="5903" width="19.42578125" style="2111" bestFit="1" customWidth="1"/>
    <col min="5904" max="5904" width="11.85546875" style="2111" customWidth="1"/>
    <col min="5905" max="5905" width="12" style="2111" customWidth="1"/>
    <col min="5906" max="5906" width="11.28515625" style="2111" customWidth="1"/>
    <col min="5907" max="6144" width="9.140625" style="2111"/>
    <col min="6145" max="6145" width="2.85546875" style="2111" customWidth="1"/>
    <col min="6146" max="6146" width="19" style="2111" customWidth="1"/>
    <col min="6147" max="6147" width="21.140625" style="2111" customWidth="1"/>
    <col min="6148" max="6148" width="15.5703125" style="2111" customWidth="1"/>
    <col min="6149" max="6149" width="14.5703125" style="2111" customWidth="1"/>
    <col min="6150" max="6150" width="16" style="2111" customWidth="1"/>
    <col min="6151" max="6151" width="16.28515625" style="2111" bestFit="1" customWidth="1"/>
    <col min="6152" max="6152" width="16.5703125" style="2111" bestFit="1" customWidth="1"/>
    <col min="6153" max="6153" width="14.5703125" style="2111" customWidth="1"/>
    <col min="6154" max="6154" width="13.42578125" style="2111" bestFit="1" customWidth="1"/>
    <col min="6155" max="6155" width="12.7109375" style="2111" customWidth="1"/>
    <col min="6156" max="6156" width="13.28515625" style="2111" bestFit="1" customWidth="1"/>
    <col min="6157" max="6157" width="14.28515625" style="2111" customWidth="1"/>
    <col min="6158" max="6158" width="12" style="2111" customWidth="1"/>
    <col min="6159" max="6159" width="19.42578125" style="2111" bestFit="1" customWidth="1"/>
    <col min="6160" max="6160" width="11.85546875" style="2111" customWidth="1"/>
    <col min="6161" max="6161" width="12" style="2111" customWidth="1"/>
    <col min="6162" max="6162" width="11.28515625" style="2111" customWidth="1"/>
    <col min="6163" max="6400" width="9.140625" style="2111"/>
    <col min="6401" max="6401" width="2.85546875" style="2111" customWidth="1"/>
    <col min="6402" max="6402" width="19" style="2111" customWidth="1"/>
    <col min="6403" max="6403" width="21.140625" style="2111" customWidth="1"/>
    <col min="6404" max="6404" width="15.5703125" style="2111" customWidth="1"/>
    <col min="6405" max="6405" width="14.5703125" style="2111" customWidth="1"/>
    <col min="6406" max="6406" width="16" style="2111" customWidth="1"/>
    <col min="6407" max="6407" width="16.28515625" style="2111" bestFit="1" customWidth="1"/>
    <col min="6408" max="6408" width="16.5703125" style="2111" bestFit="1" customWidth="1"/>
    <col min="6409" max="6409" width="14.5703125" style="2111" customWidth="1"/>
    <col min="6410" max="6410" width="13.42578125" style="2111" bestFit="1" customWidth="1"/>
    <col min="6411" max="6411" width="12.7109375" style="2111" customWidth="1"/>
    <col min="6412" max="6412" width="13.28515625" style="2111" bestFit="1" customWidth="1"/>
    <col min="6413" max="6413" width="14.28515625" style="2111" customWidth="1"/>
    <col min="6414" max="6414" width="12" style="2111" customWidth="1"/>
    <col min="6415" max="6415" width="19.42578125" style="2111" bestFit="1" customWidth="1"/>
    <col min="6416" max="6416" width="11.85546875" style="2111" customWidth="1"/>
    <col min="6417" max="6417" width="12" style="2111" customWidth="1"/>
    <col min="6418" max="6418" width="11.28515625" style="2111" customWidth="1"/>
    <col min="6419" max="6656" width="9.140625" style="2111"/>
    <col min="6657" max="6657" width="2.85546875" style="2111" customWidth="1"/>
    <col min="6658" max="6658" width="19" style="2111" customWidth="1"/>
    <col min="6659" max="6659" width="21.140625" style="2111" customWidth="1"/>
    <col min="6660" max="6660" width="15.5703125" style="2111" customWidth="1"/>
    <col min="6661" max="6661" width="14.5703125" style="2111" customWidth="1"/>
    <col min="6662" max="6662" width="16" style="2111" customWidth="1"/>
    <col min="6663" max="6663" width="16.28515625" style="2111" bestFit="1" customWidth="1"/>
    <col min="6664" max="6664" width="16.5703125" style="2111" bestFit="1" customWidth="1"/>
    <col min="6665" max="6665" width="14.5703125" style="2111" customWidth="1"/>
    <col min="6666" max="6666" width="13.42578125" style="2111" bestFit="1" customWidth="1"/>
    <col min="6667" max="6667" width="12.7109375" style="2111" customWidth="1"/>
    <col min="6668" max="6668" width="13.28515625" style="2111" bestFit="1" customWidth="1"/>
    <col min="6669" max="6669" width="14.28515625" style="2111" customWidth="1"/>
    <col min="6670" max="6670" width="12" style="2111" customWidth="1"/>
    <col min="6671" max="6671" width="19.42578125" style="2111" bestFit="1" customWidth="1"/>
    <col min="6672" max="6672" width="11.85546875" style="2111" customWidth="1"/>
    <col min="6673" max="6673" width="12" style="2111" customWidth="1"/>
    <col min="6674" max="6674" width="11.28515625" style="2111" customWidth="1"/>
    <col min="6675" max="6912" width="9.140625" style="2111"/>
    <col min="6913" max="6913" width="2.85546875" style="2111" customWidth="1"/>
    <col min="6914" max="6914" width="19" style="2111" customWidth="1"/>
    <col min="6915" max="6915" width="21.140625" style="2111" customWidth="1"/>
    <col min="6916" max="6916" width="15.5703125" style="2111" customWidth="1"/>
    <col min="6917" max="6917" width="14.5703125" style="2111" customWidth="1"/>
    <col min="6918" max="6918" width="16" style="2111" customWidth="1"/>
    <col min="6919" max="6919" width="16.28515625" style="2111" bestFit="1" customWidth="1"/>
    <col min="6920" max="6920" width="16.5703125" style="2111" bestFit="1" customWidth="1"/>
    <col min="6921" max="6921" width="14.5703125" style="2111" customWidth="1"/>
    <col min="6922" max="6922" width="13.42578125" style="2111" bestFit="1" customWidth="1"/>
    <col min="6923" max="6923" width="12.7109375" style="2111" customWidth="1"/>
    <col min="6924" max="6924" width="13.28515625" style="2111" bestFit="1" customWidth="1"/>
    <col min="6925" max="6925" width="14.28515625" style="2111" customWidth="1"/>
    <col min="6926" max="6926" width="12" style="2111" customWidth="1"/>
    <col min="6927" max="6927" width="19.42578125" style="2111" bestFit="1" customWidth="1"/>
    <col min="6928" max="6928" width="11.85546875" style="2111" customWidth="1"/>
    <col min="6929" max="6929" width="12" style="2111" customWidth="1"/>
    <col min="6930" max="6930" width="11.28515625" style="2111" customWidth="1"/>
    <col min="6931" max="7168" width="9.140625" style="2111"/>
    <col min="7169" max="7169" width="2.85546875" style="2111" customWidth="1"/>
    <col min="7170" max="7170" width="19" style="2111" customWidth="1"/>
    <col min="7171" max="7171" width="21.140625" style="2111" customWidth="1"/>
    <col min="7172" max="7172" width="15.5703125" style="2111" customWidth="1"/>
    <col min="7173" max="7173" width="14.5703125" style="2111" customWidth="1"/>
    <col min="7174" max="7174" width="16" style="2111" customWidth="1"/>
    <col min="7175" max="7175" width="16.28515625" style="2111" bestFit="1" customWidth="1"/>
    <col min="7176" max="7176" width="16.5703125" style="2111" bestFit="1" customWidth="1"/>
    <col min="7177" max="7177" width="14.5703125" style="2111" customWidth="1"/>
    <col min="7178" max="7178" width="13.42578125" style="2111" bestFit="1" customWidth="1"/>
    <col min="7179" max="7179" width="12.7109375" style="2111" customWidth="1"/>
    <col min="7180" max="7180" width="13.28515625" style="2111" bestFit="1" customWidth="1"/>
    <col min="7181" max="7181" width="14.28515625" style="2111" customWidth="1"/>
    <col min="7182" max="7182" width="12" style="2111" customWidth="1"/>
    <col min="7183" max="7183" width="19.42578125" style="2111" bestFit="1" customWidth="1"/>
    <col min="7184" max="7184" width="11.85546875" style="2111" customWidth="1"/>
    <col min="7185" max="7185" width="12" style="2111" customWidth="1"/>
    <col min="7186" max="7186" width="11.28515625" style="2111" customWidth="1"/>
    <col min="7187" max="7424" width="9.140625" style="2111"/>
    <col min="7425" max="7425" width="2.85546875" style="2111" customWidth="1"/>
    <col min="7426" max="7426" width="19" style="2111" customWidth="1"/>
    <col min="7427" max="7427" width="21.140625" style="2111" customWidth="1"/>
    <col min="7428" max="7428" width="15.5703125" style="2111" customWidth="1"/>
    <col min="7429" max="7429" width="14.5703125" style="2111" customWidth="1"/>
    <col min="7430" max="7430" width="16" style="2111" customWidth="1"/>
    <col min="7431" max="7431" width="16.28515625" style="2111" bestFit="1" customWidth="1"/>
    <col min="7432" max="7432" width="16.5703125" style="2111" bestFit="1" customWidth="1"/>
    <col min="7433" max="7433" width="14.5703125" style="2111" customWidth="1"/>
    <col min="7434" max="7434" width="13.42578125" style="2111" bestFit="1" customWidth="1"/>
    <col min="7435" max="7435" width="12.7109375" style="2111" customWidth="1"/>
    <col min="7436" max="7436" width="13.28515625" style="2111" bestFit="1" customWidth="1"/>
    <col min="7437" max="7437" width="14.28515625" style="2111" customWidth="1"/>
    <col min="7438" max="7438" width="12" style="2111" customWidth="1"/>
    <col min="7439" max="7439" width="19.42578125" style="2111" bestFit="1" customWidth="1"/>
    <col min="7440" max="7440" width="11.85546875" style="2111" customWidth="1"/>
    <col min="7441" max="7441" width="12" style="2111" customWidth="1"/>
    <col min="7442" max="7442" width="11.28515625" style="2111" customWidth="1"/>
    <col min="7443" max="7680" width="9.140625" style="2111"/>
    <col min="7681" max="7681" width="2.85546875" style="2111" customWidth="1"/>
    <col min="7682" max="7682" width="19" style="2111" customWidth="1"/>
    <col min="7683" max="7683" width="21.140625" style="2111" customWidth="1"/>
    <col min="7684" max="7684" width="15.5703125" style="2111" customWidth="1"/>
    <col min="7685" max="7685" width="14.5703125" style="2111" customWidth="1"/>
    <col min="7686" max="7686" width="16" style="2111" customWidth="1"/>
    <col min="7687" max="7687" width="16.28515625" style="2111" bestFit="1" customWidth="1"/>
    <col min="7688" max="7688" width="16.5703125" style="2111" bestFit="1" customWidth="1"/>
    <col min="7689" max="7689" width="14.5703125" style="2111" customWidth="1"/>
    <col min="7690" max="7690" width="13.42578125" style="2111" bestFit="1" customWidth="1"/>
    <col min="7691" max="7691" width="12.7109375" style="2111" customWidth="1"/>
    <col min="7692" max="7692" width="13.28515625" style="2111" bestFit="1" customWidth="1"/>
    <col min="7693" max="7693" width="14.28515625" style="2111" customWidth="1"/>
    <col min="7694" max="7694" width="12" style="2111" customWidth="1"/>
    <col min="7695" max="7695" width="19.42578125" style="2111" bestFit="1" customWidth="1"/>
    <col min="7696" max="7696" width="11.85546875" style="2111" customWidth="1"/>
    <col min="7697" max="7697" width="12" style="2111" customWidth="1"/>
    <col min="7698" max="7698" width="11.28515625" style="2111" customWidth="1"/>
    <col min="7699" max="7936" width="9.140625" style="2111"/>
    <col min="7937" max="7937" width="2.85546875" style="2111" customWidth="1"/>
    <col min="7938" max="7938" width="19" style="2111" customWidth="1"/>
    <col min="7939" max="7939" width="21.140625" style="2111" customWidth="1"/>
    <col min="7940" max="7940" width="15.5703125" style="2111" customWidth="1"/>
    <col min="7941" max="7941" width="14.5703125" style="2111" customWidth="1"/>
    <col min="7942" max="7942" width="16" style="2111" customWidth="1"/>
    <col min="7943" max="7943" width="16.28515625" style="2111" bestFit="1" customWidth="1"/>
    <col min="7944" max="7944" width="16.5703125" style="2111" bestFit="1" customWidth="1"/>
    <col min="7945" max="7945" width="14.5703125" style="2111" customWidth="1"/>
    <col min="7946" max="7946" width="13.42578125" style="2111" bestFit="1" customWidth="1"/>
    <col min="7947" max="7947" width="12.7109375" style="2111" customWidth="1"/>
    <col min="7948" max="7948" width="13.28515625" style="2111" bestFit="1" customWidth="1"/>
    <col min="7949" max="7949" width="14.28515625" style="2111" customWidth="1"/>
    <col min="7950" max="7950" width="12" style="2111" customWidth="1"/>
    <col min="7951" max="7951" width="19.42578125" style="2111" bestFit="1" customWidth="1"/>
    <col min="7952" max="7952" width="11.85546875" style="2111" customWidth="1"/>
    <col min="7953" max="7953" width="12" style="2111" customWidth="1"/>
    <col min="7954" max="7954" width="11.28515625" style="2111" customWidth="1"/>
    <col min="7955" max="8192" width="9.140625" style="2111"/>
    <col min="8193" max="8193" width="2.85546875" style="2111" customWidth="1"/>
    <col min="8194" max="8194" width="19" style="2111" customWidth="1"/>
    <col min="8195" max="8195" width="21.140625" style="2111" customWidth="1"/>
    <col min="8196" max="8196" width="15.5703125" style="2111" customWidth="1"/>
    <col min="8197" max="8197" width="14.5703125" style="2111" customWidth="1"/>
    <col min="8198" max="8198" width="16" style="2111" customWidth="1"/>
    <col min="8199" max="8199" width="16.28515625" style="2111" bestFit="1" customWidth="1"/>
    <col min="8200" max="8200" width="16.5703125" style="2111" bestFit="1" customWidth="1"/>
    <col min="8201" max="8201" width="14.5703125" style="2111" customWidth="1"/>
    <col min="8202" max="8202" width="13.42578125" style="2111" bestFit="1" customWidth="1"/>
    <col min="8203" max="8203" width="12.7109375" style="2111" customWidth="1"/>
    <col min="8204" max="8204" width="13.28515625" style="2111" bestFit="1" customWidth="1"/>
    <col min="8205" max="8205" width="14.28515625" style="2111" customWidth="1"/>
    <col min="8206" max="8206" width="12" style="2111" customWidth="1"/>
    <col min="8207" max="8207" width="19.42578125" style="2111" bestFit="1" customWidth="1"/>
    <col min="8208" max="8208" width="11.85546875" style="2111" customWidth="1"/>
    <col min="8209" max="8209" width="12" style="2111" customWidth="1"/>
    <col min="8210" max="8210" width="11.28515625" style="2111" customWidth="1"/>
    <col min="8211" max="8448" width="9.140625" style="2111"/>
    <col min="8449" max="8449" width="2.85546875" style="2111" customWidth="1"/>
    <col min="8450" max="8450" width="19" style="2111" customWidth="1"/>
    <col min="8451" max="8451" width="21.140625" style="2111" customWidth="1"/>
    <col min="8452" max="8452" width="15.5703125" style="2111" customWidth="1"/>
    <col min="8453" max="8453" width="14.5703125" style="2111" customWidth="1"/>
    <col min="8454" max="8454" width="16" style="2111" customWidth="1"/>
    <col min="8455" max="8455" width="16.28515625" style="2111" bestFit="1" customWidth="1"/>
    <col min="8456" max="8456" width="16.5703125" style="2111" bestFit="1" customWidth="1"/>
    <col min="8457" max="8457" width="14.5703125" style="2111" customWidth="1"/>
    <col min="8458" max="8458" width="13.42578125" style="2111" bestFit="1" customWidth="1"/>
    <col min="8459" max="8459" width="12.7109375" style="2111" customWidth="1"/>
    <col min="8460" max="8460" width="13.28515625" style="2111" bestFit="1" customWidth="1"/>
    <col min="8461" max="8461" width="14.28515625" style="2111" customWidth="1"/>
    <col min="8462" max="8462" width="12" style="2111" customWidth="1"/>
    <col min="8463" max="8463" width="19.42578125" style="2111" bestFit="1" customWidth="1"/>
    <col min="8464" max="8464" width="11.85546875" style="2111" customWidth="1"/>
    <col min="8465" max="8465" width="12" style="2111" customWidth="1"/>
    <col min="8466" max="8466" width="11.28515625" style="2111" customWidth="1"/>
    <col min="8467" max="8704" width="9.140625" style="2111"/>
    <col min="8705" max="8705" width="2.85546875" style="2111" customWidth="1"/>
    <col min="8706" max="8706" width="19" style="2111" customWidth="1"/>
    <col min="8707" max="8707" width="21.140625" style="2111" customWidth="1"/>
    <col min="8708" max="8708" width="15.5703125" style="2111" customWidth="1"/>
    <col min="8709" max="8709" width="14.5703125" style="2111" customWidth="1"/>
    <col min="8710" max="8710" width="16" style="2111" customWidth="1"/>
    <col min="8711" max="8711" width="16.28515625" style="2111" bestFit="1" customWidth="1"/>
    <col min="8712" max="8712" width="16.5703125" style="2111" bestFit="1" customWidth="1"/>
    <col min="8713" max="8713" width="14.5703125" style="2111" customWidth="1"/>
    <col min="8714" max="8714" width="13.42578125" style="2111" bestFit="1" customWidth="1"/>
    <col min="8715" max="8715" width="12.7109375" style="2111" customWidth="1"/>
    <col min="8716" max="8716" width="13.28515625" style="2111" bestFit="1" customWidth="1"/>
    <col min="8717" max="8717" width="14.28515625" style="2111" customWidth="1"/>
    <col min="8718" max="8718" width="12" style="2111" customWidth="1"/>
    <col min="8719" max="8719" width="19.42578125" style="2111" bestFit="1" customWidth="1"/>
    <col min="8720" max="8720" width="11.85546875" style="2111" customWidth="1"/>
    <col min="8721" max="8721" width="12" style="2111" customWidth="1"/>
    <col min="8722" max="8722" width="11.28515625" style="2111" customWidth="1"/>
    <col min="8723" max="8960" width="9.140625" style="2111"/>
    <col min="8961" max="8961" width="2.85546875" style="2111" customWidth="1"/>
    <col min="8962" max="8962" width="19" style="2111" customWidth="1"/>
    <col min="8963" max="8963" width="21.140625" style="2111" customWidth="1"/>
    <col min="8964" max="8964" width="15.5703125" style="2111" customWidth="1"/>
    <col min="8965" max="8965" width="14.5703125" style="2111" customWidth="1"/>
    <col min="8966" max="8966" width="16" style="2111" customWidth="1"/>
    <col min="8967" max="8967" width="16.28515625" style="2111" bestFit="1" customWidth="1"/>
    <col min="8968" max="8968" width="16.5703125" style="2111" bestFit="1" customWidth="1"/>
    <col min="8969" max="8969" width="14.5703125" style="2111" customWidth="1"/>
    <col min="8970" max="8970" width="13.42578125" style="2111" bestFit="1" customWidth="1"/>
    <col min="8971" max="8971" width="12.7109375" style="2111" customWidth="1"/>
    <col min="8972" max="8972" width="13.28515625" style="2111" bestFit="1" customWidth="1"/>
    <col min="8973" max="8973" width="14.28515625" style="2111" customWidth="1"/>
    <col min="8974" max="8974" width="12" style="2111" customWidth="1"/>
    <col min="8975" max="8975" width="19.42578125" style="2111" bestFit="1" customWidth="1"/>
    <col min="8976" max="8976" width="11.85546875" style="2111" customWidth="1"/>
    <col min="8977" max="8977" width="12" style="2111" customWidth="1"/>
    <col min="8978" max="8978" width="11.28515625" style="2111" customWidth="1"/>
    <col min="8979" max="9216" width="9.140625" style="2111"/>
    <col min="9217" max="9217" width="2.85546875" style="2111" customWidth="1"/>
    <col min="9218" max="9218" width="19" style="2111" customWidth="1"/>
    <col min="9219" max="9219" width="21.140625" style="2111" customWidth="1"/>
    <col min="9220" max="9220" width="15.5703125" style="2111" customWidth="1"/>
    <col min="9221" max="9221" width="14.5703125" style="2111" customWidth="1"/>
    <col min="9222" max="9222" width="16" style="2111" customWidth="1"/>
    <col min="9223" max="9223" width="16.28515625" style="2111" bestFit="1" customWidth="1"/>
    <col min="9224" max="9224" width="16.5703125" style="2111" bestFit="1" customWidth="1"/>
    <col min="9225" max="9225" width="14.5703125" style="2111" customWidth="1"/>
    <col min="9226" max="9226" width="13.42578125" style="2111" bestFit="1" customWidth="1"/>
    <col min="9227" max="9227" width="12.7109375" style="2111" customWidth="1"/>
    <col min="9228" max="9228" width="13.28515625" style="2111" bestFit="1" customWidth="1"/>
    <col min="9229" max="9229" width="14.28515625" style="2111" customWidth="1"/>
    <col min="9230" max="9230" width="12" style="2111" customWidth="1"/>
    <col min="9231" max="9231" width="19.42578125" style="2111" bestFit="1" customWidth="1"/>
    <col min="9232" max="9232" width="11.85546875" style="2111" customWidth="1"/>
    <col min="9233" max="9233" width="12" style="2111" customWidth="1"/>
    <col min="9234" max="9234" width="11.28515625" style="2111" customWidth="1"/>
    <col min="9235" max="9472" width="9.140625" style="2111"/>
    <col min="9473" max="9473" width="2.85546875" style="2111" customWidth="1"/>
    <col min="9474" max="9474" width="19" style="2111" customWidth="1"/>
    <col min="9475" max="9475" width="21.140625" style="2111" customWidth="1"/>
    <col min="9476" max="9476" width="15.5703125" style="2111" customWidth="1"/>
    <col min="9477" max="9477" width="14.5703125" style="2111" customWidth="1"/>
    <col min="9478" max="9478" width="16" style="2111" customWidth="1"/>
    <col min="9479" max="9479" width="16.28515625" style="2111" bestFit="1" customWidth="1"/>
    <col min="9480" max="9480" width="16.5703125" style="2111" bestFit="1" customWidth="1"/>
    <col min="9481" max="9481" width="14.5703125" style="2111" customWidth="1"/>
    <col min="9482" max="9482" width="13.42578125" style="2111" bestFit="1" customWidth="1"/>
    <col min="9483" max="9483" width="12.7109375" style="2111" customWidth="1"/>
    <col min="9484" max="9484" width="13.28515625" style="2111" bestFit="1" customWidth="1"/>
    <col min="9485" max="9485" width="14.28515625" style="2111" customWidth="1"/>
    <col min="9486" max="9486" width="12" style="2111" customWidth="1"/>
    <col min="9487" max="9487" width="19.42578125" style="2111" bestFit="1" customWidth="1"/>
    <col min="9488" max="9488" width="11.85546875" style="2111" customWidth="1"/>
    <col min="9489" max="9489" width="12" style="2111" customWidth="1"/>
    <col min="9490" max="9490" width="11.28515625" style="2111" customWidth="1"/>
    <col min="9491" max="9728" width="9.140625" style="2111"/>
    <col min="9729" max="9729" width="2.85546875" style="2111" customWidth="1"/>
    <col min="9730" max="9730" width="19" style="2111" customWidth="1"/>
    <col min="9731" max="9731" width="21.140625" style="2111" customWidth="1"/>
    <col min="9732" max="9732" width="15.5703125" style="2111" customWidth="1"/>
    <col min="9733" max="9733" width="14.5703125" style="2111" customWidth="1"/>
    <col min="9734" max="9734" width="16" style="2111" customWidth="1"/>
    <col min="9735" max="9735" width="16.28515625" style="2111" bestFit="1" customWidth="1"/>
    <col min="9736" max="9736" width="16.5703125" style="2111" bestFit="1" customWidth="1"/>
    <col min="9737" max="9737" width="14.5703125" style="2111" customWidth="1"/>
    <col min="9738" max="9738" width="13.42578125" style="2111" bestFit="1" customWidth="1"/>
    <col min="9739" max="9739" width="12.7109375" style="2111" customWidth="1"/>
    <col min="9740" max="9740" width="13.28515625" style="2111" bestFit="1" customWidth="1"/>
    <col min="9741" max="9741" width="14.28515625" style="2111" customWidth="1"/>
    <col min="9742" max="9742" width="12" style="2111" customWidth="1"/>
    <col min="9743" max="9743" width="19.42578125" style="2111" bestFit="1" customWidth="1"/>
    <col min="9744" max="9744" width="11.85546875" style="2111" customWidth="1"/>
    <col min="9745" max="9745" width="12" style="2111" customWidth="1"/>
    <col min="9746" max="9746" width="11.28515625" style="2111" customWidth="1"/>
    <col min="9747" max="9984" width="9.140625" style="2111"/>
    <col min="9985" max="9985" width="2.85546875" style="2111" customWidth="1"/>
    <col min="9986" max="9986" width="19" style="2111" customWidth="1"/>
    <col min="9987" max="9987" width="21.140625" style="2111" customWidth="1"/>
    <col min="9988" max="9988" width="15.5703125" style="2111" customWidth="1"/>
    <col min="9989" max="9989" width="14.5703125" style="2111" customWidth="1"/>
    <col min="9990" max="9990" width="16" style="2111" customWidth="1"/>
    <col min="9991" max="9991" width="16.28515625" style="2111" bestFit="1" customWidth="1"/>
    <col min="9992" max="9992" width="16.5703125" style="2111" bestFit="1" customWidth="1"/>
    <col min="9993" max="9993" width="14.5703125" style="2111" customWidth="1"/>
    <col min="9994" max="9994" width="13.42578125" style="2111" bestFit="1" customWidth="1"/>
    <col min="9995" max="9995" width="12.7109375" style="2111" customWidth="1"/>
    <col min="9996" max="9996" width="13.28515625" style="2111" bestFit="1" customWidth="1"/>
    <col min="9997" max="9997" width="14.28515625" style="2111" customWidth="1"/>
    <col min="9998" max="9998" width="12" style="2111" customWidth="1"/>
    <col min="9999" max="9999" width="19.42578125" style="2111" bestFit="1" customWidth="1"/>
    <col min="10000" max="10000" width="11.85546875" style="2111" customWidth="1"/>
    <col min="10001" max="10001" width="12" style="2111" customWidth="1"/>
    <col min="10002" max="10002" width="11.28515625" style="2111" customWidth="1"/>
    <col min="10003" max="10240" width="9.140625" style="2111"/>
    <col min="10241" max="10241" width="2.85546875" style="2111" customWidth="1"/>
    <col min="10242" max="10242" width="19" style="2111" customWidth="1"/>
    <col min="10243" max="10243" width="21.140625" style="2111" customWidth="1"/>
    <col min="10244" max="10244" width="15.5703125" style="2111" customWidth="1"/>
    <col min="10245" max="10245" width="14.5703125" style="2111" customWidth="1"/>
    <col min="10246" max="10246" width="16" style="2111" customWidth="1"/>
    <col min="10247" max="10247" width="16.28515625" style="2111" bestFit="1" customWidth="1"/>
    <col min="10248" max="10248" width="16.5703125" style="2111" bestFit="1" customWidth="1"/>
    <col min="10249" max="10249" width="14.5703125" style="2111" customWidth="1"/>
    <col min="10250" max="10250" width="13.42578125" style="2111" bestFit="1" customWidth="1"/>
    <col min="10251" max="10251" width="12.7109375" style="2111" customWidth="1"/>
    <col min="10252" max="10252" width="13.28515625" style="2111" bestFit="1" customWidth="1"/>
    <col min="10253" max="10253" width="14.28515625" style="2111" customWidth="1"/>
    <col min="10254" max="10254" width="12" style="2111" customWidth="1"/>
    <col min="10255" max="10255" width="19.42578125" style="2111" bestFit="1" customWidth="1"/>
    <col min="10256" max="10256" width="11.85546875" style="2111" customWidth="1"/>
    <col min="10257" max="10257" width="12" style="2111" customWidth="1"/>
    <col min="10258" max="10258" width="11.28515625" style="2111" customWidth="1"/>
    <col min="10259" max="10496" width="9.140625" style="2111"/>
    <col min="10497" max="10497" width="2.85546875" style="2111" customWidth="1"/>
    <col min="10498" max="10498" width="19" style="2111" customWidth="1"/>
    <col min="10499" max="10499" width="21.140625" style="2111" customWidth="1"/>
    <col min="10500" max="10500" width="15.5703125" style="2111" customWidth="1"/>
    <col min="10501" max="10501" width="14.5703125" style="2111" customWidth="1"/>
    <col min="10502" max="10502" width="16" style="2111" customWidth="1"/>
    <col min="10503" max="10503" width="16.28515625" style="2111" bestFit="1" customWidth="1"/>
    <col min="10504" max="10504" width="16.5703125" style="2111" bestFit="1" customWidth="1"/>
    <col min="10505" max="10505" width="14.5703125" style="2111" customWidth="1"/>
    <col min="10506" max="10506" width="13.42578125" style="2111" bestFit="1" customWidth="1"/>
    <col min="10507" max="10507" width="12.7109375" style="2111" customWidth="1"/>
    <col min="10508" max="10508" width="13.28515625" style="2111" bestFit="1" customWidth="1"/>
    <col min="10509" max="10509" width="14.28515625" style="2111" customWidth="1"/>
    <col min="10510" max="10510" width="12" style="2111" customWidth="1"/>
    <col min="10511" max="10511" width="19.42578125" style="2111" bestFit="1" customWidth="1"/>
    <col min="10512" max="10512" width="11.85546875" style="2111" customWidth="1"/>
    <col min="10513" max="10513" width="12" style="2111" customWidth="1"/>
    <col min="10514" max="10514" width="11.28515625" style="2111" customWidth="1"/>
    <col min="10515" max="10752" width="9.140625" style="2111"/>
    <col min="10753" max="10753" width="2.85546875" style="2111" customWidth="1"/>
    <col min="10754" max="10754" width="19" style="2111" customWidth="1"/>
    <col min="10755" max="10755" width="21.140625" style="2111" customWidth="1"/>
    <col min="10756" max="10756" width="15.5703125" style="2111" customWidth="1"/>
    <col min="10757" max="10757" width="14.5703125" style="2111" customWidth="1"/>
    <col min="10758" max="10758" width="16" style="2111" customWidth="1"/>
    <col min="10759" max="10759" width="16.28515625" style="2111" bestFit="1" customWidth="1"/>
    <col min="10760" max="10760" width="16.5703125" style="2111" bestFit="1" customWidth="1"/>
    <col min="10761" max="10761" width="14.5703125" style="2111" customWidth="1"/>
    <col min="10762" max="10762" width="13.42578125" style="2111" bestFit="1" customWidth="1"/>
    <col min="10763" max="10763" width="12.7109375" style="2111" customWidth="1"/>
    <col min="10764" max="10764" width="13.28515625" style="2111" bestFit="1" customWidth="1"/>
    <col min="10765" max="10765" width="14.28515625" style="2111" customWidth="1"/>
    <col min="10766" max="10766" width="12" style="2111" customWidth="1"/>
    <col min="10767" max="10767" width="19.42578125" style="2111" bestFit="1" customWidth="1"/>
    <col min="10768" max="10768" width="11.85546875" style="2111" customWidth="1"/>
    <col min="10769" max="10769" width="12" style="2111" customWidth="1"/>
    <col min="10770" max="10770" width="11.28515625" style="2111" customWidth="1"/>
    <col min="10771" max="11008" width="9.140625" style="2111"/>
    <col min="11009" max="11009" width="2.85546875" style="2111" customWidth="1"/>
    <col min="11010" max="11010" width="19" style="2111" customWidth="1"/>
    <col min="11011" max="11011" width="21.140625" style="2111" customWidth="1"/>
    <col min="11012" max="11012" width="15.5703125" style="2111" customWidth="1"/>
    <col min="11013" max="11013" width="14.5703125" style="2111" customWidth="1"/>
    <col min="11014" max="11014" width="16" style="2111" customWidth="1"/>
    <col min="11015" max="11015" width="16.28515625" style="2111" bestFit="1" customWidth="1"/>
    <col min="11016" max="11016" width="16.5703125" style="2111" bestFit="1" customWidth="1"/>
    <col min="11017" max="11017" width="14.5703125" style="2111" customWidth="1"/>
    <col min="11018" max="11018" width="13.42578125" style="2111" bestFit="1" customWidth="1"/>
    <col min="11019" max="11019" width="12.7109375" style="2111" customWidth="1"/>
    <col min="11020" max="11020" width="13.28515625" style="2111" bestFit="1" customWidth="1"/>
    <col min="11021" max="11021" width="14.28515625" style="2111" customWidth="1"/>
    <col min="11022" max="11022" width="12" style="2111" customWidth="1"/>
    <col min="11023" max="11023" width="19.42578125" style="2111" bestFit="1" customWidth="1"/>
    <col min="11024" max="11024" width="11.85546875" style="2111" customWidth="1"/>
    <col min="11025" max="11025" width="12" style="2111" customWidth="1"/>
    <col min="11026" max="11026" width="11.28515625" style="2111" customWidth="1"/>
    <col min="11027" max="11264" width="9.140625" style="2111"/>
    <col min="11265" max="11265" width="2.85546875" style="2111" customWidth="1"/>
    <col min="11266" max="11266" width="19" style="2111" customWidth="1"/>
    <col min="11267" max="11267" width="21.140625" style="2111" customWidth="1"/>
    <col min="11268" max="11268" width="15.5703125" style="2111" customWidth="1"/>
    <col min="11269" max="11269" width="14.5703125" style="2111" customWidth="1"/>
    <col min="11270" max="11270" width="16" style="2111" customWidth="1"/>
    <col min="11271" max="11271" width="16.28515625" style="2111" bestFit="1" customWidth="1"/>
    <col min="11272" max="11272" width="16.5703125" style="2111" bestFit="1" customWidth="1"/>
    <col min="11273" max="11273" width="14.5703125" style="2111" customWidth="1"/>
    <col min="11274" max="11274" width="13.42578125" style="2111" bestFit="1" customWidth="1"/>
    <col min="11275" max="11275" width="12.7109375" style="2111" customWidth="1"/>
    <col min="11276" max="11276" width="13.28515625" style="2111" bestFit="1" customWidth="1"/>
    <col min="11277" max="11277" width="14.28515625" style="2111" customWidth="1"/>
    <col min="11278" max="11278" width="12" style="2111" customWidth="1"/>
    <col min="11279" max="11279" width="19.42578125" style="2111" bestFit="1" customWidth="1"/>
    <col min="11280" max="11280" width="11.85546875" style="2111" customWidth="1"/>
    <col min="11281" max="11281" width="12" style="2111" customWidth="1"/>
    <col min="11282" max="11282" width="11.28515625" style="2111" customWidth="1"/>
    <col min="11283" max="11520" width="9.140625" style="2111"/>
    <col min="11521" max="11521" width="2.85546875" style="2111" customWidth="1"/>
    <col min="11522" max="11522" width="19" style="2111" customWidth="1"/>
    <col min="11523" max="11523" width="21.140625" style="2111" customWidth="1"/>
    <col min="11524" max="11524" width="15.5703125" style="2111" customWidth="1"/>
    <col min="11525" max="11525" width="14.5703125" style="2111" customWidth="1"/>
    <col min="11526" max="11526" width="16" style="2111" customWidth="1"/>
    <col min="11527" max="11527" width="16.28515625" style="2111" bestFit="1" customWidth="1"/>
    <col min="11528" max="11528" width="16.5703125" style="2111" bestFit="1" customWidth="1"/>
    <col min="11529" max="11529" width="14.5703125" style="2111" customWidth="1"/>
    <col min="11530" max="11530" width="13.42578125" style="2111" bestFit="1" customWidth="1"/>
    <col min="11531" max="11531" width="12.7109375" style="2111" customWidth="1"/>
    <col min="11532" max="11532" width="13.28515625" style="2111" bestFit="1" customWidth="1"/>
    <col min="11533" max="11533" width="14.28515625" style="2111" customWidth="1"/>
    <col min="11534" max="11534" width="12" style="2111" customWidth="1"/>
    <col min="11535" max="11535" width="19.42578125" style="2111" bestFit="1" customWidth="1"/>
    <col min="11536" max="11536" width="11.85546875" style="2111" customWidth="1"/>
    <col min="11537" max="11537" width="12" style="2111" customWidth="1"/>
    <col min="11538" max="11538" width="11.28515625" style="2111" customWidth="1"/>
    <col min="11539" max="11776" width="9.140625" style="2111"/>
    <col min="11777" max="11777" width="2.85546875" style="2111" customWidth="1"/>
    <col min="11778" max="11778" width="19" style="2111" customWidth="1"/>
    <col min="11779" max="11779" width="21.140625" style="2111" customWidth="1"/>
    <col min="11780" max="11780" width="15.5703125" style="2111" customWidth="1"/>
    <col min="11781" max="11781" width="14.5703125" style="2111" customWidth="1"/>
    <col min="11782" max="11782" width="16" style="2111" customWidth="1"/>
    <col min="11783" max="11783" width="16.28515625" style="2111" bestFit="1" customWidth="1"/>
    <col min="11784" max="11784" width="16.5703125" style="2111" bestFit="1" customWidth="1"/>
    <col min="11785" max="11785" width="14.5703125" style="2111" customWidth="1"/>
    <col min="11786" max="11786" width="13.42578125" style="2111" bestFit="1" customWidth="1"/>
    <col min="11787" max="11787" width="12.7109375" style="2111" customWidth="1"/>
    <col min="11788" max="11788" width="13.28515625" style="2111" bestFit="1" customWidth="1"/>
    <col min="11789" max="11789" width="14.28515625" style="2111" customWidth="1"/>
    <col min="11790" max="11790" width="12" style="2111" customWidth="1"/>
    <col min="11791" max="11791" width="19.42578125" style="2111" bestFit="1" customWidth="1"/>
    <col min="11792" max="11792" width="11.85546875" style="2111" customWidth="1"/>
    <col min="11793" max="11793" width="12" style="2111" customWidth="1"/>
    <col min="11794" max="11794" width="11.28515625" style="2111" customWidth="1"/>
    <col min="11795" max="12032" width="9.140625" style="2111"/>
    <col min="12033" max="12033" width="2.85546875" style="2111" customWidth="1"/>
    <col min="12034" max="12034" width="19" style="2111" customWidth="1"/>
    <col min="12035" max="12035" width="21.140625" style="2111" customWidth="1"/>
    <col min="12036" max="12036" width="15.5703125" style="2111" customWidth="1"/>
    <col min="12037" max="12037" width="14.5703125" style="2111" customWidth="1"/>
    <col min="12038" max="12038" width="16" style="2111" customWidth="1"/>
    <col min="12039" max="12039" width="16.28515625" style="2111" bestFit="1" customWidth="1"/>
    <col min="12040" max="12040" width="16.5703125" style="2111" bestFit="1" customWidth="1"/>
    <col min="12041" max="12041" width="14.5703125" style="2111" customWidth="1"/>
    <col min="12042" max="12042" width="13.42578125" style="2111" bestFit="1" customWidth="1"/>
    <col min="12043" max="12043" width="12.7109375" style="2111" customWidth="1"/>
    <col min="12044" max="12044" width="13.28515625" style="2111" bestFit="1" customWidth="1"/>
    <col min="12045" max="12045" width="14.28515625" style="2111" customWidth="1"/>
    <col min="12046" max="12046" width="12" style="2111" customWidth="1"/>
    <col min="12047" max="12047" width="19.42578125" style="2111" bestFit="1" customWidth="1"/>
    <col min="12048" max="12048" width="11.85546875" style="2111" customWidth="1"/>
    <col min="12049" max="12049" width="12" style="2111" customWidth="1"/>
    <col min="12050" max="12050" width="11.28515625" style="2111" customWidth="1"/>
    <col min="12051" max="12288" width="9.140625" style="2111"/>
    <col min="12289" max="12289" width="2.85546875" style="2111" customWidth="1"/>
    <col min="12290" max="12290" width="19" style="2111" customWidth="1"/>
    <col min="12291" max="12291" width="21.140625" style="2111" customWidth="1"/>
    <col min="12292" max="12292" width="15.5703125" style="2111" customWidth="1"/>
    <col min="12293" max="12293" width="14.5703125" style="2111" customWidth="1"/>
    <col min="12294" max="12294" width="16" style="2111" customWidth="1"/>
    <col min="12295" max="12295" width="16.28515625" style="2111" bestFit="1" customWidth="1"/>
    <col min="12296" max="12296" width="16.5703125" style="2111" bestFit="1" customWidth="1"/>
    <col min="12297" max="12297" width="14.5703125" style="2111" customWidth="1"/>
    <col min="12298" max="12298" width="13.42578125" style="2111" bestFit="1" customWidth="1"/>
    <col min="12299" max="12299" width="12.7109375" style="2111" customWidth="1"/>
    <col min="12300" max="12300" width="13.28515625" style="2111" bestFit="1" customWidth="1"/>
    <col min="12301" max="12301" width="14.28515625" style="2111" customWidth="1"/>
    <col min="12302" max="12302" width="12" style="2111" customWidth="1"/>
    <col min="12303" max="12303" width="19.42578125" style="2111" bestFit="1" customWidth="1"/>
    <col min="12304" max="12304" width="11.85546875" style="2111" customWidth="1"/>
    <col min="12305" max="12305" width="12" style="2111" customWidth="1"/>
    <col min="12306" max="12306" width="11.28515625" style="2111" customWidth="1"/>
    <col min="12307" max="12544" width="9.140625" style="2111"/>
    <col min="12545" max="12545" width="2.85546875" style="2111" customWidth="1"/>
    <col min="12546" max="12546" width="19" style="2111" customWidth="1"/>
    <col min="12547" max="12547" width="21.140625" style="2111" customWidth="1"/>
    <col min="12548" max="12548" width="15.5703125" style="2111" customWidth="1"/>
    <col min="12549" max="12549" width="14.5703125" style="2111" customWidth="1"/>
    <col min="12550" max="12550" width="16" style="2111" customWidth="1"/>
    <col min="12551" max="12551" width="16.28515625" style="2111" bestFit="1" customWidth="1"/>
    <col min="12552" max="12552" width="16.5703125" style="2111" bestFit="1" customWidth="1"/>
    <col min="12553" max="12553" width="14.5703125" style="2111" customWidth="1"/>
    <col min="12554" max="12554" width="13.42578125" style="2111" bestFit="1" customWidth="1"/>
    <col min="12555" max="12555" width="12.7109375" style="2111" customWidth="1"/>
    <col min="12556" max="12556" width="13.28515625" style="2111" bestFit="1" customWidth="1"/>
    <col min="12557" max="12557" width="14.28515625" style="2111" customWidth="1"/>
    <col min="12558" max="12558" width="12" style="2111" customWidth="1"/>
    <col min="12559" max="12559" width="19.42578125" style="2111" bestFit="1" customWidth="1"/>
    <col min="12560" max="12560" width="11.85546875" style="2111" customWidth="1"/>
    <col min="12561" max="12561" width="12" style="2111" customWidth="1"/>
    <col min="12562" max="12562" width="11.28515625" style="2111" customWidth="1"/>
    <col min="12563" max="12800" width="9.140625" style="2111"/>
    <col min="12801" max="12801" width="2.85546875" style="2111" customWidth="1"/>
    <col min="12802" max="12802" width="19" style="2111" customWidth="1"/>
    <col min="12803" max="12803" width="21.140625" style="2111" customWidth="1"/>
    <col min="12804" max="12804" width="15.5703125" style="2111" customWidth="1"/>
    <col min="12805" max="12805" width="14.5703125" style="2111" customWidth="1"/>
    <col min="12806" max="12806" width="16" style="2111" customWidth="1"/>
    <col min="12807" max="12807" width="16.28515625" style="2111" bestFit="1" customWidth="1"/>
    <col min="12808" max="12808" width="16.5703125" style="2111" bestFit="1" customWidth="1"/>
    <col min="12809" max="12809" width="14.5703125" style="2111" customWidth="1"/>
    <col min="12810" max="12810" width="13.42578125" style="2111" bestFit="1" customWidth="1"/>
    <col min="12811" max="12811" width="12.7109375" style="2111" customWidth="1"/>
    <col min="12812" max="12812" width="13.28515625" style="2111" bestFit="1" customWidth="1"/>
    <col min="12813" max="12813" width="14.28515625" style="2111" customWidth="1"/>
    <col min="12814" max="12814" width="12" style="2111" customWidth="1"/>
    <col min="12815" max="12815" width="19.42578125" style="2111" bestFit="1" customWidth="1"/>
    <col min="12816" max="12816" width="11.85546875" style="2111" customWidth="1"/>
    <col min="12817" max="12817" width="12" style="2111" customWidth="1"/>
    <col min="12818" max="12818" width="11.28515625" style="2111" customWidth="1"/>
    <col min="12819" max="13056" width="9.140625" style="2111"/>
    <col min="13057" max="13057" width="2.85546875" style="2111" customWidth="1"/>
    <col min="13058" max="13058" width="19" style="2111" customWidth="1"/>
    <col min="13059" max="13059" width="21.140625" style="2111" customWidth="1"/>
    <col min="13060" max="13060" width="15.5703125" style="2111" customWidth="1"/>
    <col min="13061" max="13061" width="14.5703125" style="2111" customWidth="1"/>
    <col min="13062" max="13062" width="16" style="2111" customWidth="1"/>
    <col min="13063" max="13063" width="16.28515625" style="2111" bestFit="1" customWidth="1"/>
    <col min="13064" max="13064" width="16.5703125" style="2111" bestFit="1" customWidth="1"/>
    <col min="13065" max="13065" width="14.5703125" style="2111" customWidth="1"/>
    <col min="13066" max="13066" width="13.42578125" style="2111" bestFit="1" customWidth="1"/>
    <col min="13067" max="13067" width="12.7109375" style="2111" customWidth="1"/>
    <col min="13068" max="13068" width="13.28515625" style="2111" bestFit="1" customWidth="1"/>
    <col min="13069" max="13069" width="14.28515625" style="2111" customWidth="1"/>
    <col min="13070" max="13070" width="12" style="2111" customWidth="1"/>
    <col min="13071" max="13071" width="19.42578125" style="2111" bestFit="1" customWidth="1"/>
    <col min="13072" max="13072" width="11.85546875" style="2111" customWidth="1"/>
    <col min="13073" max="13073" width="12" style="2111" customWidth="1"/>
    <col min="13074" max="13074" width="11.28515625" style="2111" customWidth="1"/>
    <col min="13075" max="13312" width="9.140625" style="2111"/>
    <col min="13313" max="13313" width="2.85546875" style="2111" customWidth="1"/>
    <col min="13314" max="13314" width="19" style="2111" customWidth="1"/>
    <col min="13315" max="13315" width="21.140625" style="2111" customWidth="1"/>
    <col min="13316" max="13316" width="15.5703125" style="2111" customWidth="1"/>
    <col min="13317" max="13317" width="14.5703125" style="2111" customWidth="1"/>
    <col min="13318" max="13318" width="16" style="2111" customWidth="1"/>
    <col min="13319" max="13319" width="16.28515625" style="2111" bestFit="1" customWidth="1"/>
    <col min="13320" max="13320" width="16.5703125" style="2111" bestFit="1" customWidth="1"/>
    <col min="13321" max="13321" width="14.5703125" style="2111" customWidth="1"/>
    <col min="13322" max="13322" width="13.42578125" style="2111" bestFit="1" customWidth="1"/>
    <col min="13323" max="13323" width="12.7109375" style="2111" customWidth="1"/>
    <col min="13324" max="13324" width="13.28515625" style="2111" bestFit="1" customWidth="1"/>
    <col min="13325" max="13325" width="14.28515625" style="2111" customWidth="1"/>
    <col min="13326" max="13326" width="12" style="2111" customWidth="1"/>
    <col min="13327" max="13327" width="19.42578125" style="2111" bestFit="1" customWidth="1"/>
    <col min="13328" max="13328" width="11.85546875" style="2111" customWidth="1"/>
    <col min="13329" max="13329" width="12" style="2111" customWidth="1"/>
    <col min="13330" max="13330" width="11.28515625" style="2111" customWidth="1"/>
    <col min="13331" max="13568" width="9.140625" style="2111"/>
    <col min="13569" max="13569" width="2.85546875" style="2111" customWidth="1"/>
    <col min="13570" max="13570" width="19" style="2111" customWidth="1"/>
    <col min="13571" max="13571" width="21.140625" style="2111" customWidth="1"/>
    <col min="13572" max="13572" width="15.5703125" style="2111" customWidth="1"/>
    <col min="13573" max="13573" width="14.5703125" style="2111" customWidth="1"/>
    <col min="13574" max="13574" width="16" style="2111" customWidth="1"/>
    <col min="13575" max="13575" width="16.28515625" style="2111" bestFit="1" customWidth="1"/>
    <col min="13576" max="13576" width="16.5703125" style="2111" bestFit="1" customWidth="1"/>
    <col min="13577" max="13577" width="14.5703125" style="2111" customWidth="1"/>
    <col min="13578" max="13578" width="13.42578125" style="2111" bestFit="1" customWidth="1"/>
    <col min="13579" max="13579" width="12.7109375" style="2111" customWidth="1"/>
    <col min="13580" max="13580" width="13.28515625" style="2111" bestFit="1" customWidth="1"/>
    <col min="13581" max="13581" width="14.28515625" style="2111" customWidth="1"/>
    <col min="13582" max="13582" width="12" style="2111" customWidth="1"/>
    <col min="13583" max="13583" width="19.42578125" style="2111" bestFit="1" customWidth="1"/>
    <col min="13584" max="13584" width="11.85546875" style="2111" customWidth="1"/>
    <col min="13585" max="13585" width="12" style="2111" customWidth="1"/>
    <col min="13586" max="13586" width="11.28515625" style="2111" customWidth="1"/>
    <col min="13587" max="13824" width="9.140625" style="2111"/>
    <col min="13825" max="13825" width="2.85546875" style="2111" customWidth="1"/>
    <col min="13826" max="13826" width="19" style="2111" customWidth="1"/>
    <col min="13827" max="13827" width="21.140625" style="2111" customWidth="1"/>
    <col min="13828" max="13828" width="15.5703125" style="2111" customWidth="1"/>
    <col min="13829" max="13829" width="14.5703125" style="2111" customWidth="1"/>
    <col min="13830" max="13830" width="16" style="2111" customWidth="1"/>
    <col min="13831" max="13831" width="16.28515625" style="2111" bestFit="1" customWidth="1"/>
    <col min="13832" max="13832" width="16.5703125" style="2111" bestFit="1" customWidth="1"/>
    <col min="13833" max="13833" width="14.5703125" style="2111" customWidth="1"/>
    <col min="13834" max="13834" width="13.42578125" style="2111" bestFit="1" customWidth="1"/>
    <col min="13835" max="13835" width="12.7109375" style="2111" customWidth="1"/>
    <col min="13836" max="13836" width="13.28515625" style="2111" bestFit="1" customWidth="1"/>
    <col min="13837" max="13837" width="14.28515625" style="2111" customWidth="1"/>
    <col min="13838" max="13838" width="12" style="2111" customWidth="1"/>
    <col min="13839" max="13839" width="19.42578125" style="2111" bestFit="1" customWidth="1"/>
    <col min="13840" max="13840" width="11.85546875" style="2111" customWidth="1"/>
    <col min="13841" max="13841" width="12" style="2111" customWidth="1"/>
    <col min="13842" max="13842" width="11.28515625" style="2111" customWidth="1"/>
    <col min="13843" max="14080" width="9.140625" style="2111"/>
    <col min="14081" max="14081" width="2.85546875" style="2111" customWidth="1"/>
    <col min="14082" max="14082" width="19" style="2111" customWidth="1"/>
    <col min="14083" max="14083" width="21.140625" style="2111" customWidth="1"/>
    <col min="14084" max="14084" width="15.5703125" style="2111" customWidth="1"/>
    <col min="14085" max="14085" width="14.5703125" style="2111" customWidth="1"/>
    <col min="14086" max="14086" width="16" style="2111" customWidth="1"/>
    <col min="14087" max="14087" width="16.28515625" style="2111" bestFit="1" customWidth="1"/>
    <col min="14088" max="14088" width="16.5703125" style="2111" bestFit="1" customWidth="1"/>
    <col min="14089" max="14089" width="14.5703125" style="2111" customWidth="1"/>
    <col min="14090" max="14090" width="13.42578125" style="2111" bestFit="1" customWidth="1"/>
    <col min="14091" max="14091" width="12.7109375" style="2111" customWidth="1"/>
    <col min="14092" max="14092" width="13.28515625" style="2111" bestFit="1" customWidth="1"/>
    <col min="14093" max="14093" width="14.28515625" style="2111" customWidth="1"/>
    <col min="14094" max="14094" width="12" style="2111" customWidth="1"/>
    <col min="14095" max="14095" width="19.42578125" style="2111" bestFit="1" customWidth="1"/>
    <col min="14096" max="14096" width="11.85546875" style="2111" customWidth="1"/>
    <col min="14097" max="14097" width="12" style="2111" customWidth="1"/>
    <col min="14098" max="14098" width="11.28515625" style="2111" customWidth="1"/>
    <col min="14099" max="14336" width="9.140625" style="2111"/>
    <col min="14337" max="14337" width="2.85546875" style="2111" customWidth="1"/>
    <col min="14338" max="14338" width="19" style="2111" customWidth="1"/>
    <col min="14339" max="14339" width="21.140625" style="2111" customWidth="1"/>
    <col min="14340" max="14340" width="15.5703125" style="2111" customWidth="1"/>
    <col min="14341" max="14341" width="14.5703125" style="2111" customWidth="1"/>
    <col min="14342" max="14342" width="16" style="2111" customWidth="1"/>
    <col min="14343" max="14343" width="16.28515625" style="2111" bestFit="1" customWidth="1"/>
    <col min="14344" max="14344" width="16.5703125" style="2111" bestFit="1" customWidth="1"/>
    <col min="14345" max="14345" width="14.5703125" style="2111" customWidth="1"/>
    <col min="14346" max="14346" width="13.42578125" style="2111" bestFit="1" customWidth="1"/>
    <col min="14347" max="14347" width="12.7109375" style="2111" customWidth="1"/>
    <col min="14348" max="14348" width="13.28515625" style="2111" bestFit="1" customWidth="1"/>
    <col min="14349" max="14349" width="14.28515625" style="2111" customWidth="1"/>
    <col min="14350" max="14350" width="12" style="2111" customWidth="1"/>
    <col min="14351" max="14351" width="19.42578125" style="2111" bestFit="1" customWidth="1"/>
    <col min="14352" max="14352" width="11.85546875" style="2111" customWidth="1"/>
    <col min="14353" max="14353" width="12" style="2111" customWidth="1"/>
    <col min="14354" max="14354" width="11.28515625" style="2111" customWidth="1"/>
    <col min="14355" max="14592" width="9.140625" style="2111"/>
    <col min="14593" max="14593" width="2.85546875" style="2111" customWidth="1"/>
    <col min="14594" max="14594" width="19" style="2111" customWidth="1"/>
    <col min="14595" max="14595" width="21.140625" style="2111" customWidth="1"/>
    <col min="14596" max="14596" width="15.5703125" style="2111" customWidth="1"/>
    <col min="14597" max="14597" width="14.5703125" style="2111" customWidth="1"/>
    <col min="14598" max="14598" width="16" style="2111" customWidth="1"/>
    <col min="14599" max="14599" width="16.28515625" style="2111" bestFit="1" customWidth="1"/>
    <col min="14600" max="14600" width="16.5703125" style="2111" bestFit="1" customWidth="1"/>
    <col min="14601" max="14601" width="14.5703125" style="2111" customWidth="1"/>
    <col min="14602" max="14602" width="13.42578125" style="2111" bestFit="1" customWidth="1"/>
    <col min="14603" max="14603" width="12.7109375" style="2111" customWidth="1"/>
    <col min="14604" max="14604" width="13.28515625" style="2111" bestFit="1" customWidth="1"/>
    <col min="14605" max="14605" width="14.28515625" style="2111" customWidth="1"/>
    <col min="14606" max="14606" width="12" style="2111" customWidth="1"/>
    <col min="14607" max="14607" width="19.42578125" style="2111" bestFit="1" customWidth="1"/>
    <col min="14608" max="14608" width="11.85546875" style="2111" customWidth="1"/>
    <col min="14609" max="14609" width="12" style="2111" customWidth="1"/>
    <col min="14610" max="14610" width="11.28515625" style="2111" customWidth="1"/>
    <col min="14611" max="14848" width="9.140625" style="2111"/>
    <col min="14849" max="14849" width="2.85546875" style="2111" customWidth="1"/>
    <col min="14850" max="14850" width="19" style="2111" customWidth="1"/>
    <col min="14851" max="14851" width="21.140625" style="2111" customWidth="1"/>
    <col min="14852" max="14852" width="15.5703125" style="2111" customWidth="1"/>
    <col min="14853" max="14853" width="14.5703125" style="2111" customWidth="1"/>
    <col min="14854" max="14854" width="16" style="2111" customWidth="1"/>
    <col min="14855" max="14855" width="16.28515625" style="2111" bestFit="1" customWidth="1"/>
    <col min="14856" max="14856" width="16.5703125" style="2111" bestFit="1" customWidth="1"/>
    <col min="14857" max="14857" width="14.5703125" style="2111" customWidth="1"/>
    <col min="14858" max="14858" width="13.42578125" style="2111" bestFit="1" customWidth="1"/>
    <col min="14859" max="14859" width="12.7109375" style="2111" customWidth="1"/>
    <col min="14860" max="14860" width="13.28515625" style="2111" bestFit="1" customWidth="1"/>
    <col min="14861" max="14861" width="14.28515625" style="2111" customWidth="1"/>
    <col min="14862" max="14862" width="12" style="2111" customWidth="1"/>
    <col min="14863" max="14863" width="19.42578125" style="2111" bestFit="1" customWidth="1"/>
    <col min="14864" max="14864" width="11.85546875" style="2111" customWidth="1"/>
    <col min="14865" max="14865" width="12" style="2111" customWidth="1"/>
    <col min="14866" max="14866" width="11.28515625" style="2111" customWidth="1"/>
    <col min="14867" max="15104" width="9.140625" style="2111"/>
    <col min="15105" max="15105" width="2.85546875" style="2111" customWidth="1"/>
    <col min="15106" max="15106" width="19" style="2111" customWidth="1"/>
    <col min="15107" max="15107" width="21.140625" style="2111" customWidth="1"/>
    <col min="15108" max="15108" width="15.5703125" style="2111" customWidth="1"/>
    <col min="15109" max="15109" width="14.5703125" style="2111" customWidth="1"/>
    <col min="15110" max="15110" width="16" style="2111" customWidth="1"/>
    <col min="15111" max="15111" width="16.28515625" style="2111" bestFit="1" customWidth="1"/>
    <col min="15112" max="15112" width="16.5703125" style="2111" bestFit="1" customWidth="1"/>
    <col min="15113" max="15113" width="14.5703125" style="2111" customWidth="1"/>
    <col min="15114" max="15114" width="13.42578125" style="2111" bestFit="1" customWidth="1"/>
    <col min="15115" max="15115" width="12.7109375" style="2111" customWidth="1"/>
    <col min="15116" max="15116" width="13.28515625" style="2111" bestFit="1" customWidth="1"/>
    <col min="15117" max="15117" width="14.28515625" style="2111" customWidth="1"/>
    <col min="15118" max="15118" width="12" style="2111" customWidth="1"/>
    <col min="15119" max="15119" width="19.42578125" style="2111" bestFit="1" customWidth="1"/>
    <col min="15120" max="15120" width="11.85546875" style="2111" customWidth="1"/>
    <col min="15121" max="15121" width="12" style="2111" customWidth="1"/>
    <col min="15122" max="15122" width="11.28515625" style="2111" customWidth="1"/>
    <col min="15123" max="15360" width="9.140625" style="2111"/>
    <col min="15361" max="15361" width="2.85546875" style="2111" customWidth="1"/>
    <col min="15362" max="15362" width="19" style="2111" customWidth="1"/>
    <col min="15363" max="15363" width="21.140625" style="2111" customWidth="1"/>
    <col min="15364" max="15364" width="15.5703125" style="2111" customWidth="1"/>
    <col min="15365" max="15365" width="14.5703125" style="2111" customWidth="1"/>
    <col min="15366" max="15366" width="16" style="2111" customWidth="1"/>
    <col min="15367" max="15367" width="16.28515625" style="2111" bestFit="1" customWidth="1"/>
    <col min="15368" max="15368" width="16.5703125" style="2111" bestFit="1" customWidth="1"/>
    <col min="15369" max="15369" width="14.5703125" style="2111" customWidth="1"/>
    <col min="15370" max="15370" width="13.42578125" style="2111" bestFit="1" customWidth="1"/>
    <col min="15371" max="15371" width="12.7109375" style="2111" customWidth="1"/>
    <col min="15372" max="15372" width="13.28515625" style="2111" bestFit="1" customWidth="1"/>
    <col min="15373" max="15373" width="14.28515625" style="2111" customWidth="1"/>
    <col min="15374" max="15374" width="12" style="2111" customWidth="1"/>
    <col min="15375" max="15375" width="19.42578125" style="2111" bestFit="1" customWidth="1"/>
    <col min="15376" max="15376" width="11.85546875" style="2111" customWidth="1"/>
    <col min="15377" max="15377" width="12" style="2111" customWidth="1"/>
    <col min="15378" max="15378" width="11.28515625" style="2111" customWidth="1"/>
    <col min="15379" max="15616" width="9.140625" style="2111"/>
    <col min="15617" max="15617" width="2.85546875" style="2111" customWidth="1"/>
    <col min="15618" max="15618" width="19" style="2111" customWidth="1"/>
    <col min="15619" max="15619" width="21.140625" style="2111" customWidth="1"/>
    <col min="15620" max="15620" width="15.5703125" style="2111" customWidth="1"/>
    <col min="15621" max="15621" width="14.5703125" style="2111" customWidth="1"/>
    <col min="15622" max="15622" width="16" style="2111" customWidth="1"/>
    <col min="15623" max="15623" width="16.28515625" style="2111" bestFit="1" customWidth="1"/>
    <col min="15624" max="15624" width="16.5703125" style="2111" bestFit="1" customWidth="1"/>
    <col min="15625" max="15625" width="14.5703125" style="2111" customWidth="1"/>
    <col min="15626" max="15626" width="13.42578125" style="2111" bestFit="1" customWidth="1"/>
    <col min="15627" max="15627" width="12.7109375" style="2111" customWidth="1"/>
    <col min="15628" max="15628" width="13.28515625" style="2111" bestFit="1" customWidth="1"/>
    <col min="15629" max="15629" width="14.28515625" style="2111" customWidth="1"/>
    <col min="15630" max="15630" width="12" style="2111" customWidth="1"/>
    <col min="15631" max="15631" width="19.42578125" style="2111" bestFit="1" customWidth="1"/>
    <col min="15632" max="15632" width="11.85546875" style="2111" customWidth="1"/>
    <col min="15633" max="15633" width="12" style="2111" customWidth="1"/>
    <col min="15634" max="15634" width="11.28515625" style="2111" customWidth="1"/>
    <col min="15635" max="15872" width="9.140625" style="2111"/>
    <col min="15873" max="15873" width="2.85546875" style="2111" customWidth="1"/>
    <col min="15874" max="15874" width="19" style="2111" customWidth="1"/>
    <col min="15875" max="15875" width="21.140625" style="2111" customWidth="1"/>
    <col min="15876" max="15876" width="15.5703125" style="2111" customWidth="1"/>
    <col min="15877" max="15877" width="14.5703125" style="2111" customWidth="1"/>
    <col min="15878" max="15878" width="16" style="2111" customWidth="1"/>
    <col min="15879" max="15879" width="16.28515625" style="2111" bestFit="1" customWidth="1"/>
    <col min="15880" max="15880" width="16.5703125" style="2111" bestFit="1" customWidth="1"/>
    <col min="15881" max="15881" width="14.5703125" style="2111" customWidth="1"/>
    <col min="15882" max="15882" width="13.42578125" style="2111" bestFit="1" customWidth="1"/>
    <col min="15883" max="15883" width="12.7109375" style="2111" customWidth="1"/>
    <col min="15884" max="15884" width="13.28515625" style="2111" bestFit="1" customWidth="1"/>
    <col min="15885" max="15885" width="14.28515625" style="2111" customWidth="1"/>
    <col min="15886" max="15886" width="12" style="2111" customWidth="1"/>
    <col min="15887" max="15887" width="19.42578125" style="2111" bestFit="1" customWidth="1"/>
    <col min="15888" max="15888" width="11.85546875" style="2111" customWidth="1"/>
    <col min="15889" max="15889" width="12" style="2111" customWidth="1"/>
    <col min="15890" max="15890" width="11.28515625" style="2111" customWidth="1"/>
    <col min="15891" max="16128" width="9.140625" style="2111"/>
    <col min="16129" max="16129" width="2.85546875" style="2111" customWidth="1"/>
    <col min="16130" max="16130" width="19" style="2111" customWidth="1"/>
    <col min="16131" max="16131" width="21.140625" style="2111" customWidth="1"/>
    <col min="16132" max="16132" width="15.5703125" style="2111" customWidth="1"/>
    <col min="16133" max="16133" width="14.5703125" style="2111" customWidth="1"/>
    <col min="16134" max="16134" width="16" style="2111" customWidth="1"/>
    <col min="16135" max="16135" width="16.28515625" style="2111" bestFit="1" customWidth="1"/>
    <col min="16136" max="16136" width="16.5703125" style="2111" bestFit="1" customWidth="1"/>
    <col min="16137" max="16137" width="14.5703125" style="2111" customWidth="1"/>
    <col min="16138" max="16138" width="13.42578125" style="2111" bestFit="1" customWidth="1"/>
    <col min="16139" max="16139" width="12.7109375" style="2111" customWidth="1"/>
    <col min="16140" max="16140" width="13.28515625" style="2111" bestFit="1" customWidth="1"/>
    <col min="16141" max="16141" width="14.28515625" style="2111" customWidth="1"/>
    <col min="16142" max="16142" width="12" style="2111" customWidth="1"/>
    <col min="16143" max="16143" width="19.42578125" style="2111" bestFit="1" customWidth="1"/>
    <col min="16144" max="16144" width="11.85546875" style="2111" customWidth="1"/>
    <col min="16145" max="16145" width="12" style="2111" customWidth="1"/>
    <col min="16146" max="16146" width="11.28515625" style="2111" customWidth="1"/>
    <col min="16147" max="16384" width="9.140625" style="2111"/>
  </cols>
  <sheetData>
    <row r="1" spans="2:30" ht="13.5" thickBot="1"/>
    <row r="2" spans="2:30">
      <c r="B2" s="2298" t="s">
        <v>192</v>
      </c>
      <c r="C2" s="2299"/>
      <c r="D2" s="2299"/>
      <c r="E2" s="2299"/>
      <c r="F2" s="2299"/>
      <c r="G2" s="2299"/>
      <c r="H2" s="2299"/>
      <c r="I2" s="2299"/>
      <c r="J2" s="2299"/>
      <c r="K2" s="2299"/>
      <c r="L2" s="2300"/>
      <c r="N2" s="2301" t="s">
        <v>596</v>
      </c>
      <c r="O2" s="2299"/>
      <c r="P2" s="2299"/>
      <c r="Q2" s="2299"/>
      <c r="R2" s="2299"/>
      <c r="S2" s="2299"/>
      <c r="T2" s="2299"/>
      <c r="U2" s="2299"/>
      <c r="V2" s="2299"/>
      <c r="W2" s="2299"/>
      <c r="X2" s="2299"/>
      <c r="Y2" s="2299"/>
      <c r="Z2" s="2299"/>
      <c r="AA2" s="2299"/>
      <c r="AB2" s="2300"/>
      <c r="AC2" s="2302" t="s">
        <v>599</v>
      </c>
      <c r="AD2" s="2303" t="s">
        <v>603</v>
      </c>
    </row>
    <row r="3" spans="2:30">
      <c r="B3" s="2304" t="s">
        <v>193</v>
      </c>
      <c r="C3" s="2305" t="s">
        <v>194</v>
      </c>
      <c r="D3" s="2305" t="s">
        <v>147</v>
      </c>
      <c r="E3" s="2306" t="s">
        <v>26</v>
      </c>
      <c r="F3" s="2306" t="s">
        <v>195</v>
      </c>
      <c r="G3" s="2307" t="s">
        <v>184</v>
      </c>
      <c r="H3" s="2308" t="s">
        <v>623</v>
      </c>
      <c r="I3" s="2308" t="s">
        <v>624</v>
      </c>
      <c r="J3" s="2309" t="s">
        <v>264</v>
      </c>
      <c r="L3" s="2310" t="s">
        <v>87</v>
      </c>
      <c r="N3" s="2311"/>
      <c r="R3" s="2312"/>
      <c r="AB3" s="2112"/>
      <c r="AC3" s="2313">
        <v>5000</v>
      </c>
      <c r="AD3" s="2314">
        <v>5395</v>
      </c>
    </row>
    <row r="4" spans="2:30">
      <c r="B4" s="2315" t="s">
        <v>196</v>
      </c>
      <c r="C4" s="2316" t="s">
        <v>214</v>
      </c>
      <c r="D4" s="2317">
        <v>1</v>
      </c>
      <c r="E4" s="2306">
        <v>1</v>
      </c>
      <c r="F4" s="2318">
        <v>1</v>
      </c>
      <c r="G4" s="2319" t="s">
        <v>197</v>
      </c>
      <c r="H4" s="2111">
        <v>1</v>
      </c>
      <c r="I4" s="2111">
        <v>11</v>
      </c>
      <c r="J4" s="2111">
        <v>0</v>
      </c>
      <c r="K4" s="2111" t="s">
        <v>625</v>
      </c>
      <c r="L4" s="2112">
        <f>H4+I4+J4</f>
        <v>12</v>
      </c>
      <c r="N4" s="2320" t="s">
        <v>597</v>
      </c>
      <c r="O4" s="2321" t="s">
        <v>585</v>
      </c>
      <c r="P4" s="2322" t="s">
        <v>601</v>
      </c>
      <c r="Q4" s="2322" t="s">
        <v>26</v>
      </c>
      <c r="R4" s="2323">
        <v>2023</v>
      </c>
      <c r="S4" s="2324">
        <f t="shared" ref="S4:Y4" si="0">F58</f>
        <v>2024</v>
      </c>
      <c r="T4" s="2324">
        <f t="shared" si="0"/>
        <v>2025</v>
      </c>
      <c r="U4" s="2324">
        <f t="shared" si="0"/>
        <v>2026</v>
      </c>
      <c r="V4" s="2324">
        <f t="shared" si="0"/>
        <v>2027</v>
      </c>
      <c r="W4" s="2324">
        <f t="shared" si="0"/>
        <v>2028</v>
      </c>
      <c r="X4" s="2324">
        <f t="shared" si="0"/>
        <v>2029</v>
      </c>
      <c r="Y4" s="2324">
        <f t="shared" si="0"/>
        <v>2030</v>
      </c>
      <c r="AA4" s="2308" t="s">
        <v>605</v>
      </c>
      <c r="AB4" s="2112"/>
      <c r="AC4" s="2313">
        <v>10000</v>
      </c>
      <c r="AD4" s="2314">
        <v>9500</v>
      </c>
    </row>
    <row r="5" spans="2:30">
      <c r="B5" s="2325" t="s">
        <v>198</v>
      </c>
      <c r="C5" s="2326" t="s">
        <v>199</v>
      </c>
      <c r="D5" s="2327">
        <v>0.3</v>
      </c>
      <c r="E5" s="2328"/>
      <c r="F5" s="2954">
        <v>1</v>
      </c>
      <c r="G5" s="2956" t="s">
        <v>197</v>
      </c>
      <c r="H5" s="2111">
        <v>1</v>
      </c>
      <c r="I5" s="2111">
        <v>11</v>
      </c>
      <c r="J5" s="2111">
        <v>0</v>
      </c>
      <c r="K5" s="2111" t="s">
        <v>625</v>
      </c>
      <c r="L5" s="2112">
        <f t="shared" ref="L5:L18" si="1">H5+I5+J5</f>
        <v>12</v>
      </c>
      <c r="N5" s="2951" t="str">
        <f>B66</f>
        <v>Merlot</v>
      </c>
      <c r="O5" s="2329">
        <v>2</v>
      </c>
      <c r="P5" s="2330">
        <v>15000</v>
      </c>
      <c r="Q5" s="2331"/>
      <c r="R5" s="2332"/>
      <c r="S5" s="2332"/>
      <c r="T5" s="2332"/>
      <c r="U5" s="2332"/>
      <c r="V5" s="2332"/>
      <c r="W5" s="2332"/>
      <c r="X5" s="2332"/>
      <c r="Y5" s="2332"/>
      <c r="AA5" s="2111">
        <f>X4</f>
        <v>2029</v>
      </c>
      <c r="AB5" s="2112"/>
      <c r="AC5" s="2313">
        <v>15000</v>
      </c>
      <c r="AD5" s="2314">
        <v>12500</v>
      </c>
    </row>
    <row r="6" spans="2:30">
      <c r="B6" s="2333"/>
      <c r="C6" s="2334" t="s">
        <v>200</v>
      </c>
      <c r="D6" s="2335">
        <v>0.7</v>
      </c>
      <c r="E6" s="2336">
        <f>SUM(D5:D6)</f>
        <v>1</v>
      </c>
      <c r="F6" s="2955"/>
      <c r="G6" s="2957"/>
      <c r="H6" s="2111">
        <v>1</v>
      </c>
      <c r="I6" s="2111">
        <v>11</v>
      </c>
      <c r="J6" s="2111">
        <v>0</v>
      </c>
      <c r="K6" s="2111" t="s">
        <v>625</v>
      </c>
      <c r="L6" s="2112">
        <f t="shared" si="1"/>
        <v>12</v>
      </c>
      <c r="N6" s="2952"/>
      <c r="O6" s="2308">
        <v>1</v>
      </c>
      <c r="P6" s="2337">
        <v>5000</v>
      </c>
      <c r="R6" s="2338"/>
      <c r="S6" s="2338"/>
      <c r="T6" s="2338"/>
      <c r="U6" s="2338"/>
      <c r="V6" s="2338"/>
      <c r="W6" s="2338"/>
      <c r="X6" s="2338"/>
      <c r="Y6" s="2338"/>
      <c r="AA6" s="2111">
        <f>X4</f>
        <v>2029</v>
      </c>
      <c r="AB6" s="2112"/>
      <c r="AC6" s="2311"/>
      <c r="AD6" s="2112"/>
    </row>
    <row r="7" spans="2:30">
      <c r="B7" s="2325" t="s">
        <v>201</v>
      </c>
      <c r="C7" s="2326" t="s">
        <v>200</v>
      </c>
      <c r="D7" s="2327">
        <v>0.5</v>
      </c>
      <c r="E7" s="2328"/>
      <c r="F7" s="2954">
        <v>2</v>
      </c>
      <c r="G7" s="2956" t="s">
        <v>202</v>
      </c>
      <c r="H7" s="2111">
        <v>1</v>
      </c>
      <c r="I7" s="2111">
        <v>11</v>
      </c>
      <c r="J7" s="2339">
        <v>10</v>
      </c>
      <c r="K7" s="2111" t="s">
        <v>625</v>
      </c>
      <c r="L7" s="2112">
        <f t="shared" si="1"/>
        <v>22</v>
      </c>
      <c r="N7" s="2953"/>
      <c r="O7" s="2324">
        <v>5</v>
      </c>
      <c r="P7" s="2340">
        <v>10000</v>
      </c>
      <c r="Q7" s="2341">
        <f>P5+P7+P6</f>
        <v>30000</v>
      </c>
      <c r="R7" s="2342">
        <f t="shared" ref="R7:Y11" si="2">E82</f>
        <v>18890.545569667196</v>
      </c>
      <c r="S7" s="2342">
        <f t="shared" si="2"/>
        <v>27473.232758400001</v>
      </c>
      <c r="T7" s="2342">
        <f t="shared" si="2"/>
        <v>31594.217672160001</v>
      </c>
      <c r="U7" s="2342">
        <f t="shared" si="2"/>
        <v>31752.188760520796</v>
      </c>
      <c r="V7" s="2342">
        <f t="shared" si="2"/>
        <v>31752.188760520796</v>
      </c>
      <c r="W7" s="2342">
        <f t="shared" si="2"/>
        <v>31752.188760520796</v>
      </c>
      <c r="X7" s="2342">
        <f t="shared" si="2"/>
        <v>31752.188760520796</v>
      </c>
      <c r="Y7" s="2342">
        <f t="shared" si="2"/>
        <v>31752.188760520796</v>
      </c>
      <c r="AA7" s="2111">
        <f>AA5</f>
        <v>2029</v>
      </c>
      <c r="AB7" s="2112"/>
      <c r="AC7" s="2311" t="s">
        <v>651</v>
      </c>
      <c r="AD7" s="2112"/>
    </row>
    <row r="8" spans="2:30">
      <c r="B8" s="2343"/>
      <c r="C8" s="2344" t="s">
        <v>204</v>
      </c>
      <c r="D8" s="2345">
        <v>0.15</v>
      </c>
      <c r="E8" s="2346">
        <f>SUM(D7:D10)</f>
        <v>1</v>
      </c>
      <c r="F8" s="2958"/>
      <c r="G8" s="2959"/>
      <c r="H8" s="2111">
        <v>1</v>
      </c>
      <c r="I8" s="2111">
        <v>11</v>
      </c>
      <c r="J8" s="2339">
        <v>10</v>
      </c>
      <c r="K8" s="2111" t="s">
        <v>625</v>
      </c>
      <c r="L8" s="2112">
        <f t="shared" si="1"/>
        <v>22</v>
      </c>
      <c r="N8" s="2347" t="str">
        <f>B67</f>
        <v>Mavrud</v>
      </c>
      <c r="O8" s="2348">
        <v>2</v>
      </c>
      <c r="P8" s="2349">
        <v>15000</v>
      </c>
      <c r="Q8" s="2350">
        <f>P8</f>
        <v>15000</v>
      </c>
      <c r="R8" s="2351">
        <f t="shared" si="2"/>
        <v>5221.5087443904004</v>
      </c>
      <c r="S8" s="2351">
        <f t="shared" si="2"/>
        <v>8693.01319788</v>
      </c>
      <c r="T8" s="2351">
        <f t="shared" si="2"/>
        <v>9996.9651775619986</v>
      </c>
      <c r="U8" s="2351">
        <f t="shared" si="2"/>
        <v>10046.950003449811</v>
      </c>
      <c r="V8" s="2351">
        <f t="shared" si="2"/>
        <v>10046.950003449811</v>
      </c>
      <c r="W8" s="2351">
        <f t="shared" si="2"/>
        <v>10046.950003449811</v>
      </c>
      <c r="X8" s="2351">
        <f t="shared" si="2"/>
        <v>10046.950003449811</v>
      </c>
      <c r="Y8" s="2351">
        <f t="shared" si="2"/>
        <v>10046.950003449811</v>
      </c>
      <c r="AA8" s="2111">
        <f>W4</f>
        <v>2028</v>
      </c>
      <c r="AB8" s="2112"/>
      <c r="AC8" s="2313">
        <v>500</v>
      </c>
      <c r="AD8" s="2352">
        <v>2500</v>
      </c>
    </row>
    <row r="9" spans="2:30">
      <c r="B9" s="2343"/>
      <c r="C9" s="2344" t="s">
        <v>199</v>
      </c>
      <c r="D9" s="2345">
        <v>0.2</v>
      </c>
      <c r="E9" s="2346"/>
      <c r="F9" s="2958"/>
      <c r="G9" s="2959"/>
      <c r="H9" s="2111">
        <v>1</v>
      </c>
      <c r="I9" s="2111">
        <v>11</v>
      </c>
      <c r="J9" s="2339">
        <v>10</v>
      </c>
      <c r="K9" s="2111" t="s">
        <v>625</v>
      </c>
      <c r="L9" s="2112">
        <f t="shared" si="1"/>
        <v>22</v>
      </c>
      <c r="N9" s="2347" t="str">
        <f>B68</f>
        <v>Cabernet sauvignon</v>
      </c>
      <c r="O9" s="2348">
        <v>3</v>
      </c>
      <c r="P9" s="2349">
        <v>15000</v>
      </c>
      <c r="Q9" s="2350">
        <f>P9</f>
        <v>15000</v>
      </c>
      <c r="R9" s="2351">
        <f t="shared" si="2"/>
        <v>8084.3153846399991</v>
      </c>
      <c r="S9" s="2351">
        <f t="shared" si="2"/>
        <v>9301.3789314600017</v>
      </c>
      <c r="T9" s="2351">
        <f t="shared" si="2"/>
        <v>11161.654717752001</v>
      </c>
      <c r="U9" s="2351">
        <f t="shared" si="2"/>
        <v>11217.462991340757</v>
      </c>
      <c r="V9" s="2351">
        <f t="shared" si="2"/>
        <v>11217.462991340757</v>
      </c>
      <c r="W9" s="2351">
        <f t="shared" si="2"/>
        <v>11217.462991340757</v>
      </c>
      <c r="X9" s="2351">
        <f t="shared" si="2"/>
        <v>11217.462991340757</v>
      </c>
      <c r="Y9" s="2351">
        <f t="shared" si="2"/>
        <v>11217.462991340757</v>
      </c>
      <c r="AA9" s="2111">
        <f>Y4</f>
        <v>2030</v>
      </c>
      <c r="AB9" s="2112"/>
      <c r="AC9" s="2313">
        <v>2000</v>
      </c>
      <c r="AD9" s="2352">
        <v>5600</v>
      </c>
    </row>
    <row r="10" spans="2:30">
      <c r="B10" s="2333"/>
      <c r="C10" s="2344" t="s">
        <v>203</v>
      </c>
      <c r="D10" s="2345">
        <v>0.15</v>
      </c>
      <c r="E10" s="2346"/>
      <c r="F10" s="2955"/>
      <c r="G10" s="2957"/>
      <c r="H10" s="2111">
        <v>1</v>
      </c>
      <c r="I10" s="2111">
        <v>11</v>
      </c>
      <c r="J10" s="2339">
        <v>10</v>
      </c>
      <c r="K10" s="2111" t="s">
        <v>625</v>
      </c>
      <c r="L10" s="2112">
        <f t="shared" si="1"/>
        <v>22</v>
      </c>
      <c r="N10" s="2354" t="str">
        <f>B69</f>
        <v>Cabernet franc</v>
      </c>
      <c r="O10" s="2324">
        <v>7</v>
      </c>
      <c r="P10" s="2340">
        <v>15000</v>
      </c>
      <c r="Q10" s="2341">
        <f>P6+P10</f>
        <v>20000</v>
      </c>
      <c r="R10" s="2342">
        <f t="shared" si="2"/>
        <v>3880.1118003120005</v>
      </c>
      <c r="S10" s="2342">
        <f t="shared" si="2"/>
        <v>5641.8746907600007</v>
      </c>
      <c r="T10" s="2342">
        <f t="shared" si="2"/>
        <v>6770.2496289120018</v>
      </c>
      <c r="U10" s="2342">
        <f t="shared" si="2"/>
        <v>6804.1008770565613</v>
      </c>
      <c r="V10" s="2342">
        <f t="shared" si="2"/>
        <v>6804.1008770565613</v>
      </c>
      <c r="W10" s="2342">
        <f t="shared" si="2"/>
        <v>6804.1008770565613</v>
      </c>
      <c r="X10" s="2342">
        <f t="shared" si="2"/>
        <v>6804.1008770565613</v>
      </c>
      <c r="Y10" s="2342">
        <f t="shared" si="2"/>
        <v>6804.1008770565613</v>
      </c>
      <c r="AA10" s="2111">
        <f>W4</f>
        <v>2028</v>
      </c>
      <c r="AB10" s="2112"/>
      <c r="AC10" s="2313">
        <v>5500</v>
      </c>
      <c r="AD10" s="2352">
        <v>12500</v>
      </c>
    </row>
    <row r="11" spans="2:30" ht="13.5" thickBot="1">
      <c r="B11" s="2325" t="s">
        <v>205</v>
      </c>
      <c r="C11" s="2326" t="s">
        <v>200</v>
      </c>
      <c r="D11" s="2355">
        <v>0.52</v>
      </c>
      <c r="E11" s="2328"/>
      <c r="F11" s="2954">
        <v>4</v>
      </c>
      <c r="G11" s="2956" t="s">
        <v>202</v>
      </c>
      <c r="H11" s="2111">
        <v>1</v>
      </c>
      <c r="I11" s="2111">
        <v>11</v>
      </c>
      <c r="J11" s="2339">
        <v>12</v>
      </c>
      <c r="K11" s="2111" t="s">
        <v>625</v>
      </c>
      <c r="L11" s="2112">
        <f t="shared" si="1"/>
        <v>24</v>
      </c>
      <c r="N11" s="2347" t="str">
        <f>B70</f>
        <v>Muscat petit grain</v>
      </c>
      <c r="O11" s="2348">
        <v>6</v>
      </c>
      <c r="P11" s="2349">
        <v>5000</v>
      </c>
      <c r="Q11" s="2350">
        <f>P11</f>
        <v>5000</v>
      </c>
      <c r="R11" s="2351">
        <f t="shared" si="2"/>
        <v>1699.88544</v>
      </c>
      <c r="S11" s="2351">
        <f t="shared" si="2"/>
        <v>2804.8109760000002</v>
      </c>
      <c r="T11" s="2351">
        <f t="shared" si="2"/>
        <v>3295.6528968000002</v>
      </c>
      <c r="U11" s="2351">
        <f t="shared" si="2"/>
        <v>3312.1311612839995</v>
      </c>
      <c r="V11" s="2351">
        <f t="shared" si="2"/>
        <v>3312.1311612839995</v>
      </c>
      <c r="W11" s="2351">
        <f t="shared" si="2"/>
        <v>3312.1311612839995</v>
      </c>
      <c r="X11" s="2351">
        <f t="shared" si="2"/>
        <v>3312.1311612839995</v>
      </c>
      <c r="Y11" s="2351">
        <f t="shared" si="2"/>
        <v>3312.1311612839995</v>
      </c>
      <c r="AA11" s="2111">
        <f>Y4</f>
        <v>2030</v>
      </c>
      <c r="AB11" s="2112"/>
      <c r="AC11" s="2356">
        <v>10000</v>
      </c>
      <c r="AD11" s="2357">
        <v>38500</v>
      </c>
    </row>
    <row r="12" spans="2:30">
      <c r="B12" s="2343"/>
      <c r="C12" s="2344" t="s">
        <v>211</v>
      </c>
      <c r="D12" s="2345">
        <v>0.16</v>
      </c>
      <c r="E12" s="2346"/>
      <c r="F12" s="2958"/>
      <c r="G12" s="2959"/>
      <c r="H12" s="2111">
        <v>1</v>
      </c>
      <c r="I12" s="2111">
        <v>11</v>
      </c>
      <c r="J12" s="2339">
        <v>12</v>
      </c>
      <c r="K12" s="2111" t="s">
        <v>625</v>
      </c>
      <c r="L12" s="2470">
        <f>H12+I12+J12</f>
        <v>24</v>
      </c>
      <c r="N12" s="2311"/>
      <c r="AB12" s="2112"/>
    </row>
    <row r="13" spans="2:30">
      <c r="B13" s="2343"/>
      <c r="C13" s="2344" t="s">
        <v>199</v>
      </c>
      <c r="D13" s="2345">
        <v>0.17</v>
      </c>
      <c r="E13" s="2346"/>
      <c r="F13" s="2958"/>
      <c r="G13" s="2959"/>
      <c r="H13" s="2111">
        <v>1</v>
      </c>
      <c r="I13" s="2111">
        <v>11</v>
      </c>
      <c r="J13" s="2339">
        <v>12</v>
      </c>
      <c r="K13" s="2111" t="s">
        <v>625</v>
      </c>
      <c r="L13" s="2112">
        <f t="shared" si="1"/>
        <v>24</v>
      </c>
      <c r="N13" s="2358" t="s">
        <v>598</v>
      </c>
      <c r="AB13" s="2112"/>
    </row>
    <row r="14" spans="2:30">
      <c r="B14" s="2333"/>
      <c r="C14" s="2334" t="s">
        <v>203</v>
      </c>
      <c r="D14" s="2353">
        <v>0.15</v>
      </c>
      <c r="E14" s="2336">
        <f>SUM(D11:D14)</f>
        <v>1</v>
      </c>
      <c r="F14" s="2955"/>
      <c r="G14" s="2957"/>
      <c r="H14" s="2111">
        <v>1</v>
      </c>
      <c r="I14" s="2111">
        <v>11</v>
      </c>
      <c r="J14" s="2339">
        <v>12</v>
      </c>
      <c r="K14" s="2111" t="s">
        <v>625</v>
      </c>
      <c r="L14" s="2112">
        <f t="shared" si="1"/>
        <v>24</v>
      </c>
      <c r="N14" s="2359" t="str">
        <f>N5</f>
        <v>Merlot</v>
      </c>
      <c r="O14" s="2360"/>
      <c r="P14" s="2361">
        <f>LARGE(R14:Y14,1)</f>
        <v>1752.1887605207958</v>
      </c>
      <c r="Q14" s="2362"/>
      <c r="R14" s="2363">
        <f t="shared" ref="R14:Y14" si="3">IF(R7&gt;$Q$29,R7-$Q$29,0)</f>
        <v>0</v>
      </c>
      <c r="S14" s="2363">
        <f t="shared" si="3"/>
        <v>0</v>
      </c>
      <c r="T14" s="2363">
        <f t="shared" si="3"/>
        <v>1594.2176721600008</v>
      </c>
      <c r="U14" s="2363">
        <f t="shared" si="3"/>
        <v>1752.1887605207958</v>
      </c>
      <c r="V14" s="2363">
        <f t="shared" si="3"/>
        <v>1752.1887605207958</v>
      </c>
      <c r="W14" s="2363">
        <f t="shared" si="3"/>
        <v>1752.1887605207958</v>
      </c>
      <c r="X14" s="2363">
        <f t="shared" si="3"/>
        <v>1752.1887605207958</v>
      </c>
      <c r="Y14" s="2363">
        <f t="shared" si="3"/>
        <v>1752.1887605207958</v>
      </c>
      <c r="AB14" s="2112"/>
    </row>
    <row r="15" spans="2:30">
      <c r="B15" s="2325" t="s">
        <v>206</v>
      </c>
      <c r="C15" s="2326" t="s">
        <v>200</v>
      </c>
      <c r="D15" s="2355">
        <v>0.3</v>
      </c>
      <c r="E15" s="2328"/>
      <c r="F15" s="2954">
        <v>4</v>
      </c>
      <c r="G15" s="2956" t="s">
        <v>202</v>
      </c>
      <c r="H15" s="2111">
        <v>1</v>
      </c>
      <c r="I15" s="2111">
        <v>11</v>
      </c>
      <c r="J15" s="2339">
        <v>12</v>
      </c>
      <c r="K15" s="2111" t="s">
        <v>625</v>
      </c>
      <c r="L15" s="2112">
        <f t="shared" si="1"/>
        <v>24</v>
      </c>
      <c r="N15" s="2364" t="str">
        <f>N8</f>
        <v>Mavrud</v>
      </c>
      <c r="O15" s="2365"/>
      <c r="P15" s="2366">
        <f>LARGE(R15:Y15,1)</f>
        <v>0</v>
      </c>
      <c r="Q15" s="2367"/>
      <c r="R15" s="2368">
        <f>IF(R8&gt;$Q8,1,0)</f>
        <v>0</v>
      </c>
      <c r="S15" s="2368">
        <f t="shared" ref="S15:Y15" si="4">IF(S8&gt;$R30,S8-$R30,0)</f>
        <v>0</v>
      </c>
      <c r="T15" s="2368">
        <f t="shared" si="4"/>
        <v>0</v>
      </c>
      <c r="U15" s="2368">
        <f t="shared" si="4"/>
        <v>0</v>
      </c>
      <c r="V15" s="2368">
        <f t="shared" si="4"/>
        <v>0</v>
      </c>
      <c r="W15" s="2368">
        <f t="shared" si="4"/>
        <v>0</v>
      </c>
      <c r="X15" s="2368">
        <f t="shared" si="4"/>
        <v>0</v>
      </c>
      <c r="Y15" s="2368">
        <f t="shared" si="4"/>
        <v>0</v>
      </c>
      <c r="AB15" s="2112"/>
    </row>
    <row r="16" spans="2:30">
      <c r="B16" s="2343"/>
      <c r="C16" s="2344" t="str">
        <f>C12</f>
        <v>Mavrud</v>
      </c>
      <c r="D16" s="2345">
        <v>0</v>
      </c>
      <c r="E16" s="2346"/>
      <c r="F16" s="2958"/>
      <c r="G16" s="2959"/>
      <c r="H16" s="2111">
        <v>1</v>
      </c>
      <c r="I16" s="2111">
        <v>11</v>
      </c>
      <c r="J16" s="2339">
        <v>36</v>
      </c>
      <c r="K16" s="2111" t="s">
        <v>625</v>
      </c>
      <c r="L16" s="2112">
        <f>H16+I16+J16</f>
        <v>48</v>
      </c>
      <c r="N16" s="2364" t="str">
        <f>N9</f>
        <v>Cabernet sauvignon</v>
      </c>
      <c r="O16" s="2365"/>
      <c r="P16" s="2366">
        <f>LARGE(R16:Y16,1)</f>
        <v>0</v>
      </c>
      <c r="Q16" s="2367"/>
      <c r="R16" s="2368">
        <f>IF(R9&gt;$Q9,1,0)</f>
        <v>0</v>
      </c>
      <c r="S16" s="2368">
        <f t="shared" ref="S16:Y16" si="5">IF(S9&gt;$R30,S9-$Q9,0)</f>
        <v>0</v>
      </c>
      <c r="T16" s="2368">
        <f t="shared" si="5"/>
        <v>0</v>
      </c>
      <c r="U16" s="2368">
        <f t="shared" si="5"/>
        <v>0</v>
      </c>
      <c r="V16" s="2368">
        <f t="shared" si="5"/>
        <v>0</v>
      </c>
      <c r="W16" s="2368">
        <f t="shared" si="5"/>
        <v>0</v>
      </c>
      <c r="X16" s="2368">
        <f t="shared" si="5"/>
        <v>0</v>
      </c>
      <c r="Y16" s="2368">
        <f t="shared" si="5"/>
        <v>0</v>
      </c>
      <c r="AB16" s="2112"/>
    </row>
    <row r="17" spans="2:28">
      <c r="B17" s="2343"/>
      <c r="C17" s="2344" t="s">
        <v>199</v>
      </c>
      <c r="D17" s="2345">
        <v>0.5</v>
      </c>
      <c r="E17" s="2346"/>
      <c r="F17" s="2958"/>
      <c r="G17" s="2959"/>
      <c r="H17" s="2111">
        <v>1</v>
      </c>
      <c r="I17" s="2111">
        <v>11</v>
      </c>
      <c r="J17" s="2339">
        <f>F15*12-I17-H17</f>
        <v>36</v>
      </c>
      <c r="K17" s="2111" t="s">
        <v>625</v>
      </c>
      <c r="L17" s="2112">
        <f t="shared" si="1"/>
        <v>48</v>
      </c>
      <c r="N17" s="2376" t="str">
        <f>N10</f>
        <v>Cabernet franc</v>
      </c>
      <c r="O17" s="2365"/>
      <c r="P17" s="2366">
        <f>LARGE(R17:Y17,1)</f>
        <v>0</v>
      </c>
      <c r="Q17" s="2367"/>
      <c r="R17" s="2368">
        <f>IF(R10&gt;$Q10,1,0)</f>
        <v>0</v>
      </c>
      <c r="S17" s="2368">
        <f t="shared" ref="S17:Y18" si="6">IF(S10&gt;$Q10,S10-$Q10,0)</f>
        <v>0</v>
      </c>
      <c r="T17" s="2368">
        <f t="shared" si="6"/>
        <v>0</v>
      </c>
      <c r="U17" s="2368">
        <f t="shared" si="6"/>
        <v>0</v>
      </c>
      <c r="V17" s="2368">
        <f t="shared" si="6"/>
        <v>0</v>
      </c>
      <c r="W17" s="2368">
        <f t="shared" si="6"/>
        <v>0</v>
      </c>
      <c r="X17" s="2368">
        <f t="shared" si="6"/>
        <v>0</v>
      </c>
      <c r="Y17" s="2368">
        <f t="shared" si="6"/>
        <v>0</v>
      </c>
      <c r="AB17" s="2112"/>
    </row>
    <row r="18" spans="2:28" ht="13.5" thickBot="1">
      <c r="B18" s="2369"/>
      <c r="C18" s="2370" t="s">
        <v>203</v>
      </c>
      <c r="D18" s="2371">
        <v>0.2</v>
      </c>
      <c r="E18" s="2372">
        <f>SUM(D15:D18)</f>
        <v>1</v>
      </c>
      <c r="F18" s="2960"/>
      <c r="G18" s="2961"/>
      <c r="H18" s="2373">
        <v>1</v>
      </c>
      <c r="I18" s="2373">
        <v>11</v>
      </c>
      <c r="J18" s="2374">
        <f>F15*12-I18-H18</f>
        <v>36</v>
      </c>
      <c r="K18" s="2373" t="s">
        <v>625</v>
      </c>
      <c r="L18" s="2375">
        <f t="shared" si="1"/>
        <v>48</v>
      </c>
      <c r="N18" s="2378" t="str">
        <f>N11</f>
        <v>Muscat petit grain</v>
      </c>
      <c r="O18" s="2379"/>
      <c r="P18" s="2380">
        <f>LARGE(R18:Y18,1)</f>
        <v>0</v>
      </c>
      <c r="Q18" s="2381"/>
      <c r="R18" s="2382">
        <f>IF(R11&gt;$Q11,R11-$Q11,0)</f>
        <v>0</v>
      </c>
      <c r="S18" s="2382">
        <f t="shared" si="6"/>
        <v>0</v>
      </c>
      <c r="T18" s="2382">
        <f t="shared" si="6"/>
        <v>0</v>
      </c>
      <c r="U18" s="2382">
        <f t="shared" si="6"/>
        <v>0</v>
      </c>
      <c r="V18" s="2382">
        <f t="shared" si="6"/>
        <v>0</v>
      </c>
      <c r="W18" s="2382">
        <f t="shared" si="6"/>
        <v>0</v>
      </c>
      <c r="X18" s="2382">
        <f t="shared" si="6"/>
        <v>0</v>
      </c>
      <c r="Y18" s="2382">
        <f t="shared" si="6"/>
        <v>0</v>
      </c>
      <c r="AB18" s="2112"/>
    </row>
    <row r="19" spans="2:28" ht="13.5" thickBot="1">
      <c r="N19" s="2311"/>
      <c r="AB19" s="2112"/>
    </row>
    <row r="20" spans="2:28">
      <c r="B20" s="2298" t="s">
        <v>207</v>
      </c>
      <c r="C20" s="2299"/>
      <c r="D20" s="2299"/>
      <c r="E20" s="2299"/>
      <c r="F20" s="2299"/>
      <c r="G20" s="2299"/>
      <c r="H20" s="2299"/>
      <c r="I20" s="2299"/>
      <c r="J20" s="2299"/>
      <c r="K20" s="2377"/>
      <c r="L20" s="2300"/>
      <c r="N20" s="2358" t="s">
        <v>602</v>
      </c>
      <c r="O20" s="2337"/>
      <c r="S20" s="2383"/>
      <c r="AA20" s="2308" t="s">
        <v>654</v>
      </c>
      <c r="AB20" s="2112"/>
    </row>
    <row r="21" spans="2:28" ht="15" customHeight="1">
      <c r="B21" s="2945" t="s">
        <v>208</v>
      </c>
      <c r="C21" s="2947" t="s">
        <v>209</v>
      </c>
      <c r="D21" s="2949" t="s">
        <v>1192</v>
      </c>
      <c r="E21" s="2949" t="s">
        <v>593</v>
      </c>
      <c r="F21" s="2949" t="s">
        <v>1209</v>
      </c>
      <c r="G21" s="2949" t="s">
        <v>217</v>
      </c>
      <c r="L21" s="2112"/>
      <c r="N21" s="2364" t="s">
        <v>210</v>
      </c>
      <c r="O21" s="2365">
        <v>8</v>
      </c>
      <c r="P21" s="2365">
        <f>IF(P14&gt;=$AC$4,$AC$5,IF(P14&lt;=$AC$3,$AC$3,$AC$4))</f>
        <v>5000</v>
      </c>
      <c r="Q21" s="2367"/>
      <c r="R21" s="2390">
        <f>IF(SUM($Q21:Q21)+$Q$7-R7&lt;0,P21,0)</f>
        <v>0</v>
      </c>
      <c r="S21" s="2390">
        <f>IF(SUM($Q21:R21)+$Q$7-S7&lt;0,P21,0)</f>
        <v>0</v>
      </c>
      <c r="T21" s="2390">
        <f>IF(SUM($Q21:S22)+$Q$7-T7&lt;0,Q21,0)</f>
        <v>0</v>
      </c>
      <c r="U21" s="2390">
        <f>IF(SUM($Q21:T22)+$Q$7-U7&lt;0,R21,0)</f>
        <v>0</v>
      </c>
      <c r="V21" s="2390">
        <f>IF(SUM($Q21:U22)+$Q$7-V7&lt;0,S21,0)</f>
        <v>0</v>
      </c>
      <c r="W21" s="2390">
        <f>IF(SUM($Q21:V22)+$Q$7-W7&lt;0,T21,0)</f>
        <v>0</v>
      </c>
      <c r="X21" s="2390">
        <f>IF(SUM($Q21:W22)+$Q$7-X7&lt;0,U21,0)</f>
        <v>0</v>
      </c>
      <c r="Y21" s="2390">
        <f>IF(SUM($Q21:X22)+$Q$7-Y7&lt;0,V21,0)</f>
        <v>0</v>
      </c>
      <c r="AA21" s="2111">
        <f t="shared" ref="AA21:AA26" si="7">SUMIF(R21:Y21,"&gt;0",$R$4:$Y$4)</f>
        <v>0</v>
      </c>
      <c r="AB21" s="2112"/>
    </row>
    <row r="22" spans="2:28" ht="23.25" customHeight="1">
      <c r="B22" s="2946"/>
      <c r="C22" s="2948"/>
      <c r="D22" s="2950"/>
      <c r="E22" s="2950"/>
      <c r="F22" s="2950"/>
      <c r="G22" s="2950"/>
      <c r="L22" s="2112"/>
      <c r="N22" s="2364" t="s">
        <v>210</v>
      </c>
      <c r="O22" s="2365">
        <v>9</v>
      </c>
      <c r="P22" s="2365">
        <f>IF(P15&gt;=$AC$4,$AC$5,IF(P15&lt;=$AC$3,$AC$3,$AC$4))</f>
        <v>5000</v>
      </c>
      <c r="Q22" s="2367"/>
      <c r="R22" s="2390">
        <f>IF(SUM($Q21:Q22)+$Q$7+R21-R7&lt;0,$P$22,0)</f>
        <v>0</v>
      </c>
      <c r="S22" s="2390">
        <f>IF(SUM($Q21:R22)+$Q$7+S21-S7&lt;0,$P$22,0)</f>
        <v>0</v>
      </c>
      <c r="T22" s="2390">
        <f>IF(SUM($Q21:S22)+$Q$7+T21-T7&lt;0,$P$22,0)</f>
        <v>5000</v>
      </c>
      <c r="U22" s="2390">
        <f>IF(SUM($Q21:T22)+$Q$7+U21-U7&lt;0,$P$22,0)</f>
        <v>0</v>
      </c>
      <c r="V22" s="2390">
        <f>IF(SUM($Q21:U22)+$Q$7+V21-V7&lt;0,$P$22,0)</f>
        <v>0</v>
      </c>
      <c r="W22" s="2390">
        <f>IF(SUM($Q21:V22)+$Q$7+W21-W7&lt;0,$P$22,0)</f>
        <v>0</v>
      </c>
      <c r="X22" s="2390">
        <f>IF(SUM($Q21:W22)+$Q$7+X21-X7&lt;0,$P$22,0)</f>
        <v>0</v>
      </c>
      <c r="Y22" s="2390">
        <f>IF(SUM($Q21:X22)+$Q$7+Y21-Y7&lt;0,$P$22,0)</f>
        <v>0</v>
      </c>
      <c r="AA22" s="2111">
        <f t="shared" si="7"/>
        <v>2025</v>
      </c>
      <c r="AB22" s="2112"/>
    </row>
    <row r="23" spans="2:28">
      <c r="B23" s="2384" t="s">
        <v>210</v>
      </c>
      <c r="C23" s="2385">
        <v>8.6639999999999997</v>
      </c>
      <c r="D23" s="2386">
        <v>47000</v>
      </c>
      <c r="E23" s="2387">
        <v>0.15</v>
      </c>
      <c r="F23" s="2388">
        <f>D23*E23+D23</f>
        <v>54050</v>
      </c>
      <c r="G23" s="2389">
        <v>0.60995999999999995</v>
      </c>
      <c r="L23" s="2112"/>
      <c r="N23" s="2364" t="s">
        <v>211</v>
      </c>
      <c r="O23" s="2365">
        <v>10</v>
      </c>
      <c r="P23" s="2365">
        <f>IF(P15&gt;=$AC$4,$AC$5,IF(P15&lt;=$AC$3,$AC$3,$AC$4))</f>
        <v>5000</v>
      </c>
      <c r="Q23" s="2367"/>
      <c r="R23" s="2390">
        <f>IF(R15&gt;0,$P23,0)</f>
        <v>0</v>
      </c>
      <c r="S23" s="2390">
        <f>IF(SUM($R23:R23)&gt;0,0,IF(S15&gt;0,$P$23,0))</f>
        <v>0</v>
      </c>
      <c r="T23" s="2390">
        <f>IF(SUM($R23:S23)&gt;0,0,IF(T15&gt;0,$P$23,0))</f>
        <v>0</v>
      </c>
      <c r="U23" s="2390">
        <f>IF(SUM($R23:T23)&gt;0,0,IF(U15&gt;0,$P$23,0))</f>
        <v>0</v>
      </c>
      <c r="V23" s="2390">
        <f>IF(SUM($R23:U23)&gt;0,0,IF(V15&gt;0,$P$23,0))</f>
        <v>0</v>
      </c>
      <c r="W23" s="2390">
        <f>IF(SUM($R23:V23)&gt;0,0,IF(W15&gt;0,$P$23,0))</f>
        <v>0</v>
      </c>
      <c r="X23" s="2390">
        <f>IF(SUM($R23:W23)&gt;0,0,IF(X15&gt;0,$P$23,0))</f>
        <v>0</v>
      </c>
      <c r="Y23" s="2390">
        <f>IF(SUM($R23:X23)&gt;0,0,IF(Y15&gt;0,$P$23,0))</f>
        <v>0</v>
      </c>
      <c r="AA23" s="2111">
        <f t="shared" si="7"/>
        <v>0</v>
      </c>
      <c r="AB23" s="2112"/>
    </row>
    <row r="24" spans="2:28">
      <c r="B24" s="2384" t="s">
        <v>211</v>
      </c>
      <c r="C24" s="2385">
        <v>3.6459999999999999</v>
      </c>
      <c r="D24" s="2386">
        <v>15410</v>
      </c>
      <c r="E24" s="2387">
        <v>0.15</v>
      </c>
      <c r="F24" s="2391">
        <f>D24*E24+D24</f>
        <v>17721.5</v>
      </c>
      <c r="G24" s="2389">
        <v>0.58865000000000001</v>
      </c>
      <c r="H24" s="2383"/>
      <c r="L24" s="2112"/>
      <c r="N24" s="2364" t="s">
        <v>212</v>
      </c>
      <c r="O24" s="2365">
        <v>11</v>
      </c>
      <c r="P24" s="2365">
        <f>IF(P16&gt;=$AC$4,$AC$5,IF(P16&lt;=$AC$3,$AC$3,$AC$4))</f>
        <v>5000</v>
      </c>
      <c r="Q24" s="2367"/>
      <c r="R24" s="2390">
        <f>IF(R16&gt;0,$P24,0)</f>
        <v>0</v>
      </c>
      <c r="S24" s="2390">
        <f>IF(SUM($R24:R24)&gt;0,0,IF(S16&gt;0,$P$24,0))</f>
        <v>0</v>
      </c>
      <c r="T24" s="2390">
        <f>IF(SUM($R24:S24)&gt;0,0,IF(T16&gt;0,$P$24,0))</f>
        <v>0</v>
      </c>
      <c r="U24" s="2390">
        <f>IF(SUM($R24:T24)&gt;0,0,IF(U16&gt;0,$P$24,0))</f>
        <v>0</v>
      </c>
      <c r="V24" s="2390">
        <f>IF(SUM($R24:U24)&gt;0,0,IF(V16&gt;0,$P$24,0))</f>
        <v>0</v>
      </c>
      <c r="W24" s="2390">
        <f>IF(SUM($R24:V24)&gt;0,0,IF(W16&gt;0,$P$24,0))</f>
        <v>0</v>
      </c>
      <c r="X24" s="2390">
        <f>IF(SUM($R24:W24)&gt;0,0,IF(X16&gt;0,$P$24,0))</f>
        <v>0</v>
      </c>
      <c r="Y24" s="2390">
        <f>IF(SUM($R24:X24)&gt;0,0,IF(Y16&gt;0,$P$24,0))</f>
        <v>0</v>
      </c>
      <c r="AA24" s="2111">
        <f t="shared" si="7"/>
        <v>0</v>
      </c>
      <c r="AB24" s="2112"/>
    </row>
    <row r="25" spans="2:28">
      <c r="B25" s="2384" t="s">
        <v>212</v>
      </c>
      <c r="C25" s="2385">
        <v>3.4209999999999998</v>
      </c>
      <c r="D25" s="2386">
        <v>16275</v>
      </c>
      <c r="E25" s="2387">
        <v>0.2</v>
      </c>
      <c r="F25" s="2391">
        <f>D25*E25+D25</f>
        <v>19530</v>
      </c>
      <c r="G25" s="2389">
        <v>0.59636999999999996</v>
      </c>
      <c r="I25" s="2383"/>
      <c r="L25" s="2112"/>
      <c r="N25" s="2376" t="s">
        <v>213</v>
      </c>
      <c r="O25" s="2365">
        <v>12</v>
      </c>
      <c r="P25" s="2365">
        <f>IF(P17&gt;=$AC$4,$AC$5,IF(P17&lt;=$AC$3,$AC$3,$AC$4))</f>
        <v>5000</v>
      </c>
      <c r="Q25" s="2367"/>
      <c r="R25" s="2390">
        <f>IF(R17&gt;0,$P25,0)</f>
        <v>0</v>
      </c>
      <c r="S25" s="2390">
        <f>IF(SUM($R25:R25)&gt;0,0,IF(S17&gt;0,$P$25,0))</f>
        <v>0</v>
      </c>
      <c r="T25" s="2390">
        <f>IF(SUM($R25:S25)&gt;0,0,IF(T17&gt;0,$P$25,0))</f>
        <v>0</v>
      </c>
      <c r="U25" s="2390">
        <f>IF(SUM($R25:T25)&gt;0,0,IF(U17&gt;0,$P$25,0))</f>
        <v>0</v>
      </c>
      <c r="V25" s="2390">
        <f>IF(SUM($R25:U25)&gt;0,0,IF(V17&gt;0,$P$25,0))</f>
        <v>0</v>
      </c>
      <c r="W25" s="2390">
        <f>IF(SUM($R25:V25)&gt;0,0,IF(W17&gt;0,$P$25,0))</f>
        <v>0</v>
      </c>
      <c r="X25" s="2390">
        <f>IF(SUM($R25:W25)&gt;0,0,IF(X17&gt;0,$P$25,0))</f>
        <v>0</v>
      </c>
      <c r="Y25" s="2390">
        <f>IF(SUM($R25:X25)&gt;0,0,IF(Y17&gt;0,$P$25,0))</f>
        <v>0</v>
      </c>
      <c r="AA25" s="2111">
        <f t="shared" si="7"/>
        <v>0</v>
      </c>
      <c r="AB25" s="2112"/>
    </row>
    <row r="26" spans="2:28">
      <c r="B26" s="2384" t="s">
        <v>213</v>
      </c>
      <c r="C26" s="2385">
        <v>2.6360000000000001</v>
      </c>
      <c r="D26" s="2386">
        <v>9450</v>
      </c>
      <c r="E26" s="2387">
        <v>0.2</v>
      </c>
      <c r="F26" s="2391">
        <f>D26*E26+D26</f>
        <v>11340</v>
      </c>
      <c r="G26" s="2389">
        <v>0.62299000000000004</v>
      </c>
      <c r="L26" s="2112"/>
      <c r="N26" s="2378" t="s">
        <v>214</v>
      </c>
      <c r="O26" s="2379">
        <v>13</v>
      </c>
      <c r="P26" s="2379">
        <f>IF(P18&gt;=$AC$4,$AC$5,IF(P18&lt;=$AC$3,$AC$3,$AC$4))</f>
        <v>5000</v>
      </c>
      <c r="Q26" s="2381"/>
      <c r="R26" s="2400">
        <f>IF(R18&gt;0,$P26,0)</f>
        <v>0</v>
      </c>
      <c r="S26" s="2400">
        <f>IF(SUM($R26:R26)&gt;0,0,IF(S18&gt;0,$P$26,0))</f>
        <v>0</v>
      </c>
      <c r="T26" s="2400">
        <f>IF(SUM($R26:S26)&gt;0,0,IF(T18&gt;0,$P$26,0))</f>
        <v>0</v>
      </c>
      <c r="U26" s="2400">
        <f>IF(SUM($R26:T26)&gt;0,0,IF(U18&gt;0,$P$26,0))</f>
        <v>0</v>
      </c>
      <c r="V26" s="2400">
        <f>IF(SUM($R26:U26)&gt;0,0,IF(V18&gt;0,$P$26,0))</f>
        <v>0</v>
      </c>
      <c r="W26" s="2400">
        <f>IF(SUM($R26:V26)&gt;0,0,IF(W18&gt;0,$P$26,0))</f>
        <v>0</v>
      </c>
      <c r="X26" s="2400">
        <f>IF(SUM($R26:W26)&gt;0,0,IF(X18&gt;0,$P$26,0))</f>
        <v>0</v>
      </c>
      <c r="Y26" s="2400">
        <f>IF(SUM($R26:X26)&gt;0,0,IF(Y18&gt;0,$P$26,0))</f>
        <v>0</v>
      </c>
      <c r="AA26" s="2111">
        <f t="shared" si="7"/>
        <v>0</v>
      </c>
      <c r="AB26" s="2112"/>
    </row>
    <row r="27" spans="2:28">
      <c r="B27" s="2392" t="s">
        <v>214</v>
      </c>
      <c r="C27" s="2393">
        <v>1.08</v>
      </c>
      <c r="D27" s="2394">
        <v>6750</v>
      </c>
      <c r="E27" s="2387">
        <v>0.17499999999999999</v>
      </c>
      <c r="F27" s="2395">
        <f>D27*E27+D27</f>
        <v>7931.25</v>
      </c>
      <c r="G27" s="2396">
        <v>0.43359999999999999</v>
      </c>
      <c r="L27" s="2112"/>
      <c r="N27" s="2311"/>
      <c r="AB27" s="2112"/>
    </row>
    <row r="28" spans="2:28" ht="13.5" thickBot="1">
      <c r="B28" s="2397"/>
      <c r="C28" s="2398">
        <f>SUM(C23:C27)</f>
        <v>19.446999999999996</v>
      </c>
      <c r="D28" s="2399">
        <f>SUM(D23:D27)</f>
        <v>94885</v>
      </c>
      <c r="E28" s="2399"/>
      <c r="F28" s="2399">
        <f>SUM(F23:F27)</f>
        <v>110572.75</v>
      </c>
      <c r="L28" s="2112"/>
      <c r="N28" s="2358" t="s">
        <v>594</v>
      </c>
      <c r="Q28" s="2308" t="s">
        <v>600</v>
      </c>
      <c r="R28" s="2308">
        <f t="shared" ref="R28:Y28" si="8">R4</f>
        <v>2023</v>
      </c>
      <c r="S28" s="2308">
        <f t="shared" si="8"/>
        <v>2024</v>
      </c>
      <c r="T28" s="2308">
        <f t="shared" si="8"/>
        <v>2025</v>
      </c>
      <c r="U28" s="2308">
        <f t="shared" si="8"/>
        <v>2026</v>
      </c>
      <c r="V28" s="2308">
        <f t="shared" si="8"/>
        <v>2027</v>
      </c>
      <c r="W28" s="2308">
        <f t="shared" si="8"/>
        <v>2028</v>
      </c>
      <c r="X28" s="2308">
        <f t="shared" si="8"/>
        <v>2029</v>
      </c>
      <c r="Y28" s="2308">
        <f t="shared" si="8"/>
        <v>2030</v>
      </c>
      <c r="AB28" s="2112"/>
    </row>
    <row r="29" spans="2:28">
      <c r="B29" s="2311"/>
      <c r="L29" s="2112"/>
      <c r="N29" s="2359" t="str">
        <f>N5</f>
        <v>Merlot</v>
      </c>
      <c r="O29" s="2360"/>
      <c r="P29" s="2360"/>
      <c r="Q29" s="2407">
        <f>Q7</f>
        <v>30000</v>
      </c>
      <c r="R29" s="2407">
        <f t="shared" ref="R29:W29" si="9">Q29+R21+R22</f>
        <v>30000</v>
      </c>
      <c r="S29" s="2407">
        <f t="shared" si="9"/>
        <v>30000</v>
      </c>
      <c r="T29" s="2407">
        <f t="shared" si="9"/>
        <v>35000</v>
      </c>
      <c r="U29" s="2407">
        <f t="shared" si="9"/>
        <v>35000</v>
      </c>
      <c r="V29" s="2407">
        <f t="shared" si="9"/>
        <v>35000</v>
      </c>
      <c r="W29" s="2407">
        <f t="shared" si="9"/>
        <v>35000</v>
      </c>
      <c r="X29" s="2407">
        <f>W29+X21</f>
        <v>35000</v>
      </c>
      <c r="Y29" s="2407">
        <f>X29+Y21</f>
        <v>35000</v>
      </c>
      <c r="AB29" s="2112"/>
    </row>
    <row r="30" spans="2:28">
      <c r="B30" s="2401" t="s">
        <v>218</v>
      </c>
      <c r="L30" s="2112"/>
      <c r="N30" s="2416" t="str">
        <f>N8</f>
        <v>Mavrud</v>
      </c>
      <c r="O30" s="2365"/>
      <c r="P30" s="2365"/>
      <c r="Q30" s="2417">
        <f>Q8</f>
        <v>15000</v>
      </c>
      <c r="R30" s="2417">
        <f t="shared" ref="R30:Y33" si="10">Q30+R23</f>
        <v>15000</v>
      </c>
      <c r="S30" s="2417">
        <f>R30+S23</f>
        <v>15000</v>
      </c>
      <c r="T30" s="2417">
        <f t="shared" si="10"/>
        <v>15000</v>
      </c>
      <c r="U30" s="2417">
        <f t="shared" si="10"/>
        <v>15000</v>
      </c>
      <c r="V30" s="2417">
        <f t="shared" si="10"/>
        <v>15000</v>
      </c>
      <c r="W30" s="2417">
        <f t="shared" si="10"/>
        <v>15000</v>
      </c>
      <c r="X30" s="2417">
        <f t="shared" si="10"/>
        <v>15000</v>
      </c>
      <c r="Y30" s="2417">
        <f t="shared" si="10"/>
        <v>15000</v>
      </c>
      <c r="AB30" s="2112"/>
    </row>
    <row r="31" spans="2:28" ht="38.25">
      <c r="B31" s="2402" t="s">
        <v>215</v>
      </c>
      <c r="C31" s="2403" t="s">
        <v>219</v>
      </c>
      <c r="D31" s="2404" t="s">
        <v>220</v>
      </c>
      <c r="E31" s="2405" t="s">
        <v>221</v>
      </c>
      <c r="F31" s="2405" t="s">
        <v>222</v>
      </c>
      <c r="G31" s="2405" t="s">
        <v>223</v>
      </c>
      <c r="H31" s="2405" t="s">
        <v>224</v>
      </c>
      <c r="I31" s="2405" t="s">
        <v>225</v>
      </c>
      <c r="J31" s="2405" t="s">
        <v>226</v>
      </c>
      <c r="K31" s="2405" t="s">
        <v>227</v>
      </c>
      <c r="L31" s="2406" t="s">
        <v>228</v>
      </c>
      <c r="N31" s="2364" t="str">
        <f>N9</f>
        <v>Cabernet sauvignon</v>
      </c>
      <c r="O31" s="2365"/>
      <c r="P31" s="2365"/>
      <c r="Q31" s="2424">
        <f>Q9</f>
        <v>15000</v>
      </c>
      <c r="R31" s="2424">
        <f t="shared" si="10"/>
        <v>15000</v>
      </c>
      <c r="S31" s="2424">
        <f>R31+S24</f>
        <v>15000</v>
      </c>
      <c r="T31" s="2424">
        <f t="shared" si="10"/>
        <v>15000</v>
      </c>
      <c r="U31" s="2424">
        <f t="shared" si="10"/>
        <v>15000</v>
      </c>
      <c r="V31" s="2424">
        <f t="shared" si="10"/>
        <v>15000</v>
      </c>
      <c r="W31" s="2424">
        <f t="shared" si="10"/>
        <v>15000</v>
      </c>
      <c r="X31" s="2424">
        <f t="shared" si="10"/>
        <v>15000</v>
      </c>
      <c r="Y31" s="2424">
        <f t="shared" si="10"/>
        <v>15000</v>
      </c>
      <c r="AB31" s="2112"/>
    </row>
    <row r="32" spans="2:28">
      <c r="B32" s="2408" t="s">
        <v>200</v>
      </c>
      <c r="C32" s="2409">
        <v>8.6636000000000006</v>
      </c>
      <c r="D32" s="2410">
        <v>47000</v>
      </c>
      <c r="E32" s="2411">
        <v>1</v>
      </c>
      <c r="F32" s="2410">
        <f>D32*E32</f>
        <v>47000</v>
      </c>
      <c r="G32" s="2412">
        <v>0.01</v>
      </c>
      <c r="H32" s="2413">
        <f>G32*F32</f>
        <v>470</v>
      </c>
      <c r="I32" s="2412">
        <v>0.12</v>
      </c>
      <c r="J32" s="2413">
        <f>(F32-H32)*I32</f>
        <v>5583.5999999999995</v>
      </c>
      <c r="K32" s="2414">
        <f>F32-H32-J32</f>
        <v>40946.400000000001</v>
      </c>
      <c r="L32" s="2415">
        <f>1-K32/F32</f>
        <v>0.12879999999999991</v>
      </c>
      <c r="N32" s="2376" t="str">
        <f>N10</f>
        <v>Cabernet franc</v>
      </c>
      <c r="O32" s="2365"/>
      <c r="P32" s="2365"/>
      <c r="Q32" s="2424">
        <f>Q10</f>
        <v>20000</v>
      </c>
      <c r="R32" s="2424">
        <f t="shared" si="10"/>
        <v>20000</v>
      </c>
      <c r="S32" s="2424">
        <f t="shared" si="10"/>
        <v>20000</v>
      </c>
      <c r="T32" s="2424">
        <f t="shared" si="10"/>
        <v>20000</v>
      </c>
      <c r="U32" s="2424">
        <f t="shared" si="10"/>
        <v>20000</v>
      </c>
      <c r="V32" s="2424">
        <f t="shared" si="10"/>
        <v>20000</v>
      </c>
      <c r="W32" s="2424">
        <f t="shared" si="10"/>
        <v>20000</v>
      </c>
      <c r="X32" s="2424">
        <f t="shared" si="10"/>
        <v>20000</v>
      </c>
      <c r="Y32" s="2424">
        <f t="shared" si="10"/>
        <v>20000</v>
      </c>
      <c r="AB32" s="2112"/>
    </row>
    <row r="33" spans="2:30">
      <c r="B33" s="2418" t="s">
        <v>204</v>
      </c>
      <c r="C33" s="2419">
        <v>3.6459000000000001</v>
      </c>
      <c r="D33" s="2420">
        <v>13400</v>
      </c>
      <c r="E33" s="2411">
        <v>1.1499999999999999</v>
      </c>
      <c r="F33" s="2420">
        <f>D33*E33</f>
        <v>15409.999999999998</v>
      </c>
      <c r="G33" s="2389">
        <v>0.01</v>
      </c>
      <c r="H33" s="2421">
        <f>G33*F33</f>
        <v>154.1</v>
      </c>
      <c r="I33" s="2389">
        <v>0.12</v>
      </c>
      <c r="J33" s="2421">
        <f>(F33-H33)*I33</f>
        <v>1830.7079999999996</v>
      </c>
      <c r="K33" s="2422">
        <f>F33-H33-J33</f>
        <v>13425.191999999999</v>
      </c>
      <c r="L33" s="2423">
        <f>1-K33/F33</f>
        <v>0.12879999999999991</v>
      </c>
      <c r="N33" s="2378" t="str">
        <f>N11</f>
        <v>Muscat petit grain</v>
      </c>
      <c r="O33" s="2379"/>
      <c r="P33" s="2379"/>
      <c r="Q33" s="2425">
        <f>Q11</f>
        <v>5000</v>
      </c>
      <c r="R33" s="2425">
        <f t="shared" si="10"/>
        <v>5000</v>
      </c>
      <c r="S33" s="2425">
        <f t="shared" si="10"/>
        <v>5000</v>
      </c>
      <c r="T33" s="2425">
        <f t="shared" si="10"/>
        <v>5000</v>
      </c>
      <c r="U33" s="2425">
        <f t="shared" si="10"/>
        <v>5000</v>
      </c>
      <c r="V33" s="2425">
        <f t="shared" si="10"/>
        <v>5000</v>
      </c>
      <c r="W33" s="2425">
        <f t="shared" si="10"/>
        <v>5000</v>
      </c>
      <c r="X33" s="2425">
        <f t="shared" si="10"/>
        <v>5000</v>
      </c>
      <c r="Y33" s="2425">
        <f t="shared" si="10"/>
        <v>5000</v>
      </c>
      <c r="AB33" s="2112"/>
    </row>
    <row r="34" spans="2:30">
      <c r="B34" s="2418" t="s">
        <v>199</v>
      </c>
      <c r="C34" s="2419">
        <v>3.4204999999999992</v>
      </c>
      <c r="D34" s="2420">
        <v>15500</v>
      </c>
      <c r="E34" s="2411">
        <v>1.05</v>
      </c>
      <c r="F34" s="2420">
        <f>D34*E34</f>
        <v>16275</v>
      </c>
      <c r="G34" s="2389">
        <v>0.01</v>
      </c>
      <c r="H34" s="2421">
        <f>G34*F34</f>
        <v>162.75</v>
      </c>
      <c r="I34" s="2389">
        <v>0.12</v>
      </c>
      <c r="J34" s="2421">
        <f>(F34-H34)*I34</f>
        <v>1933.47</v>
      </c>
      <c r="K34" s="2422">
        <f>F34-H34-J34</f>
        <v>14178.78</v>
      </c>
      <c r="L34" s="2423">
        <f>1-K34/F34</f>
        <v>0.12879999999999991</v>
      </c>
      <c r="N34" s="2311"/>
      <c r="AB34" s="2112"/>
    </row>
    <row r="35" spans="2:30">
      <c r="B35" s="2418" t="s">
        <v>203</v>
      </c>
      <c r="C35" s="2419">
        <v>2.6360000000000001</v>
      </c>
      <c r="D35" s="2420">
        <v>13500</v>
      </c>
      <c r="E35" s="2411">
        <v>0.7</v>
      </c>
      <c r="F35" s="2420">
        <f>D35*E35</f>
        <v>9450</v>
      </c>
      <c r="G35" s="2389">
        <v>0.01</v>
      </c>
      <c r="H35" s="2421">
        <f>G35*F35</f>
        <v>94.5</v>
      </c>
      <c r="I35" s="2389">
        <v>0.12</v>
      </c>
      <c r="J35" s="2421">
        <f>(F35-H35)*I35</f>
        <v>1122.6599999999999</v>
      </c>
      <c r="K35" s="2422">
        <f>F35-H35-J35</f>
        <v>8232.84</v>
      </c>
      <c r="L35" s="2423">
        <f>1-K35/F35</f>
        <v>0.12880000000000003</v>
      </c>
      <c r="N35" s="2358" t="s">
        <v>142</v>
      </c>
      <c r="AB35" s="2112"/>
    </row>
    <row r="36" spans="2:30">
      <c r="B36" s="2426" t="str">
        <f>B27</f>
        <v>Muscat petit grain</v>
      </c>
      <c r="C36" s="2427">
        <v>1.0879000000000001</v>
      </c>
      <c r="D36" s="2428">
        <v>4500</v>
      </c>
      <c r="E36" s="2429">
        <v>1.5</v>
      </c>
      <c r="F36" s="2428">
        <f>D36*E36</f>
        <v>6750</v>
      </c>
      <c r="G36" s="2396">
        <v>0.01</v>
      </c>
      <c r="H36" s="2430">
        <f>G36*F36</f>
        <v>67.5</v>
      </c>
      <c r="I36" s="2396">
        <v>0.12</v>
      </c>
      <c r="J36" s="2430">
        <f>(F36-H36)*I36</f>
        <v>801.9</v>
      </c>
      <c r="K36" s="2431">
        <f>F36-H36-J36</f>
        <v>5880.6</v>
      </c>
      <c r="L36" s="2432">
        <f>1-K36/F36</f>
        <v>0.12879999999999991</v>
      </c>
      <c r="N36" s="2359" t="str">
        <f>N5</f>
        <v>Merlot</v>
      </c>
      <c r="O36" s="2360"/>
      <c r="P36" s="2360"/>
      <c r="Q36" s="2407"/>
      <c r="R36" s="2363">
        <f t="shared" ref="R36:Y40" si="11">R29-R7</f>
        <v>11109.454430332804</v>
      </c>
      <c r="S36" s="2363">
        <f t="shared" si="11"/>
        <v>2526.7672415999987</v>
      </c>
      <c r="T36" s="2363">
        <f t="shared" si="11"/>
        <v>3405.7823278399992</v>
      </c>
      <c r="U36" s="2363">
        <f t="shared" si="11"/>
        <v>3247.8112394792042</v>
      </c>
      <c r="V36" s="2363">
        <f t="shared" si="11"/>
        <v>3247.8112394792042</v>
      </c>
      <c r="W36" s="2363">
        <f t="shared" si="11"/>
        <v>3247.8112394792042</v>
      </c>
      <c r="X36" s="2363">
        <f t="shared" si="11"/>
        <v>3247.8112394792042</v>
      </c>
      <c r="Y36" s="2363">
        <f t="shared" si="11"/>
        <v>3247.8112394792042</v>
      </c>
      <c r="AB36" s="2112"/>
    </row>
    <row r="37" spans="2:30">
      <c r="B37" s="2311"/>
      <c r="L37" s="2112"/>
      <c r="N37" s="2364" t="str">
        <f>N8</f>
        <v>Mavrud</v>
      </c>
      <c r="O37" s="2365"/>
      <c r="P37" s="2365"/>
      <c r="Q37" s="2417"/>
      <c r="R37" s="2368">
        <f t="shared" si="11"/>
        <v>9778.4912556095987</v>
      </c>
      <c r="S37" s="2368">
        <f t="shared" si="11"/>
        <v>6306.98680212</v>
      </c>
      <c r="T37" s="2368">
        <f t="shared" si="11"/>
        <v>5003.0348224380014</v>
      </c>
      <c r="U37" s="2368">
        <f t="shared" si="11"/>
        <v>4953.0499965501895</v>
      </c>
      <c r="V37" s="2368">
        <f t="shared" si="11"/>
        <v>4953.0499965501895</v>
      </c>
      <c r="W37" s="2368">
        <f t="shared" si="11"/>
        <v>4953.0499965501895</v>
      </c>
      <c r="X37" s="2368">
        <f t="shared" si="11"/>
        <v>4953.0499965501895</v>
      </c>
      <c r="Y37" s="2368">
        <f t="shared" si="11"/>
        <v>4953.0499965501895</v>
      </c>
      <c r="AB37" s="2112"/>
    </row>
    <row r="38" spans="2:30" ht="13.5" thickBot="1">
      <c r="B38" s="2311"/>
      <c r="C38" s="2433">
        <f>SUM(C32:C36)</f>
        <v>19.453900000000001</v>
      </c>
      <c r="D38" s="2434">
        <f>SUM(D32:D36)</f>
        <v>93900</v>
      </c>
      <c r="E38" s="2434"/>
      <c r="F38" s="2434">
        <f>SUM(F32:F36)</f>
        <v>94885</v>
      </c>
      <c r="G38" s="2434"/>
      <c r="H38" s="2434"/>
      <c r="I38" s="2434"/>
      <c r="J38" s="2434">
        <f>SUM(J32:J36)</f>
        <v>11272.337999999998</v>
      </c>
      <c r="K38" s="2434">
        <f>SUM(K32:K36)</f>
        <v>82663.812000000005</v>
      </c>
      <c r="L38" s="2435">
        <f>1-K38/F38</f>
        <v>0.12879999999999991</v>
      </c>
      <c r="N38" s="2364" t="str">
        <f>N9</f>
        <v>Cabernet sauvignon</v>
      </c>
      <c r="O38" s="2365"/>
      <c r="P38" s="2365"/>
      <c r="Q38" s="2424"/>
      <c r="R38" s="2368">
        <f t="shared" si="11"/>
        <v>6915.6846153600009</v>
      </c>
      <c r="S38" s="2368">
        <f t="shared" si="11"/>
        <v>5698.6210685399983</v>
      </c>
      <c r="T38" s="2368">
        <f t="shared" si="11"/>
        <v>3838.3452822479994</v>
      </c>
      <c r="U38" s="2368">
        <f t="shared" si="11"/>
        <v>3782.5370086592429</v>
      </c>
      <c r="V38" s="2368">
        <f t="shared" si="11"/>
        <v>3782.5370086592429</v>
      </c>
      <c r="W38" s="2368">
        <f t="shared" si="11"/>
        <v>3782.5370086592429</v>
      </c>
      <c r="X38" s="2368">
        <f t="shared" si="11"/>
        <v>3782.5370086592429</v>
      </c>
      <c r="Y38" s="2368">
        <f t="shared" si="11"/>
        <v>3782.5370086592429</v>
      </c>
      <c r="AB38" s="2112"/>
    </row>
    <row r="39" spans="2:30">
      <c r="B39" s="2311"/>
      <c r="L39" s="2112"/>
      <c r="N39" s="2376" t="str">
        <f>N10</f>
        <v>Cabernet franc</v>
      </c>
      <c r="O39" s="2365"/>
      <c r="P39" s="2365"/>
      <c r="Q39" s="2424"/>
      <c r="R39" s="2368">
        <f t="shared" si="11"/>
        <v>16119.888199687999</v>
      </c>
      <c r="S39" s="2368">
        <f t="shared" si="11"/>
        <v>14358.12530924</v>
      </c>
      <c r="T39" s="2368">
        <f t="shared" si="11"/>
        <v>13229.750371087997</v>
      </c>
      <c r="U39" s="2368">
        <f t="shared" si="11"/>
        <v>13195.89912294344</v>
      </c>
      <c r="V39" s="2368">
        <f t="shared" si="11"/>
        <v>13195.89912294344</v>
      </c>
      <c r="W39" s="2368">
        <f t="shared" si="11"/>
        <v>13195.89912294344</v>
      </c>
      <c r="X39" s="2368">
        <f t="shared" si="11"/>
        <v>13195.89912294344</v>
      </c>
      <c r="Y39" s="2368">
        <f t="shared" si="11"/>
        <v>13195.89912294344</v>
      </c>
      <c r="AB39" s="2112"/>
    </row>
    <row r="40" spans="2:30" ht="13.5" thickBot="1">
      <c r="B40" s="2436" t="s">
        <v>229</v>
      </c>
      <c r="C40" s="2373"/>
      <c r="D40" s="2373"/>
      <c r="E40" s="2373"/>
      <c r="F40" s="2373"/>
      <c r="G40" s="2373"/>
      <c r="H40" s="2373"/>
      <c r="I40" s="2373"/>
      <c r="J40" s="2373"/>
      <c r="K40" s="2373"/>
      <c r="L40" s="2437"/>
      <c r="N40" s="2438" t="str">
        <f>N11</f>
        <v>Muscat petit grain</v>
      </c>
      <c r="O40" s="2439"/>
      <c r="P40" s="2439"/>
      <c r="Q40" s="2440"/>
      <c r="R40" s="2441">
        <f t="shared" si="11"/>
        <v>3300.11456</v>
      </c>
      <c r="S40" s="2441">
        <f t="shared" si="11"/>
        <v>2195.1890239999998</v>
      </c>
      <c r="T40" s="2441">
        <f t="shared" si="11"/>
        <v>1704.3471031999998</v>
      </c>
      <c r="U40" s="2441">
        <f t="shared" si="11"/>
        <v>1687.8688387160005</v>
      </c>
      <c r="V40" s="2441">
        <f t="shared" si="11"/>
        <v>1687.8688387160005</v>
      </c>
      <c r="W40" s="2441">
        <f t="shared" si="11"/>
        <v>1687.8688387160005</v>
      </c>
      <c r="X40" s="2441">
        <f t="shared" si="11"/>
        <v>1687.8688387160005</v>
      </c>
      <c r="Y40" s="2441">
        <f t="shared" si="11"/>
        <v>1687.8688387160005</v>
      </c>
      <c r="Z40" s="2373"/>
      <c r="AA40" s="2373"/>
      <c r="AB40" s="2375"/>
    </row>
    <row r="41" spans="2:30" ht="13.5" thickBot="1">
      <c r="Q41" s="2339"/>
      <c r="U41" s="2339"/>
      <c r="V41" s="2339"/>
      <c r="W41" s="2339"/>
      <c r="X41" s="2339"/>
      <c r="Y41" s="2339"/>
      <c r="Z41" s="2339"/>
      <c r="AA41" s="2339"/>
      <c r="AB41" s="2339"/>
    </row>
    <row r="42" spans="2:30">
      <c r="B42" s="2298" t="s">
        <v>230</v>
      </c>
      <c r="C42" s="2299"/>
      <c r="D42" s="2299"/>
      <c r="E42" s="2299"/>
      <c r="F42" s="2299"/>
      <c r="G42" s="2299"/>
      <c r="H42" s="2299"/>
      <c r="I42" s="2299"/>
      <c r="J42" s="2299"/>
      <c r="K42" s="2299"/>
      <c r="L42" s="2300"/>
      <c r="N42" s="2301" t="s">
        <v>604</v>
      </c>
      <c r="O42" s="2299"/>
      <c r="P42" s="2299"/>
      <c r="Q42" s="2299"/>
      <c r="R42" s="2443"/>
      <c r="S42" s="2443"/>
      <c r="T42" s="2443"/>
      <c r="U42" s="2443"/>
      <c r="V42" s="2443"/>
      <c r="W42" s="2443"/>
      <c r="X42" s="2443"/>
      <c r="Y42" s="2299"/>
      <c r="Z42" s="2299"/>
      <c r="AA42" s="2299"/>
      <c r="AB42" s="2300"/>
    </row>
    <row r="43" spans="2:30" ht="13.5" thickBot="1">
      <c r="B43" s="2311"/>
      <c r="C43" s="2776"/>
      <c r="D43" s="2776"/>
      <c r="E43" s="2324">
        <f>EN!D3</f>
        <v>2023</v>
      </c>
      <c r="F43" s="2324">
        <f>EN!E3</f>
        <v>2024</v>
      </c>
      <c r="G43" s="2324">
        <f>EN!F3</f>
        <v>2025</v>
      </c>
      <c r="H43" s="2324">
        <f>EN!G3</f>
        <v>2026</v>
      </c>
      <c r="I43" s="2324">
        <f>EN!H3</f>
        <v>2027</v>
      </c>
      <c r="J43" s="2324">
        <f>EN!I3</f>
        <v>2028</v>
      </c>
      <c r="K43" s="2324">
        <f>EN!J3</f>
        <v>2029</v>
      </c>
      <c r="L43" s="2442">
        <f>K43+1</f>
        <v>2030</v>
      </c>
      <c r="N43" s="2311"/>
      <c r="O43" s="2776"/>
      <c r="P43" s="2776"/>
      <c r="Q43" s="2776"/>
      <c r="R43" s="2776"/>
      <c r="S43" s="2776"/>
      <c r="T43" s="2776"/>
      <c r="U43" s="2776"/>
      <c r="V43" s="2776"/>
      <c r="W43" s="2776"/>
      <c r="X43" s="2776"/>
      <c r="Y43" s="2776"/>
      <c r="Z43" s="2776"/>
      <c r="AA43" s="2776"/>
      <c r="AB43" s="2112"/>
    </row>
    <row r="44" spans="2:30" ht="13.5" thickBot="1">
      <c r="B44" s="2397" t="s">
        <v>210</v>
      </c>
      <c r="C44" s="2776"/>
      <c r="D44" s="2776"/>
      <c r="E44" s="2871">
        <v>35408</v>
      </c>
      <c r="F44" s="2871">
        <f>D23</f>
        <v>47000</v>
      </c>
      <c r="G44" s="2872">
        <f>F23</f>
        <v>54050</v>
      </c>
      <c r="H44" s="2872">
        <f>G44*1.005</f>
        <v>54320.249999999993</v>
      </c>
      <c r="I44" s="2872">
        <f>H44</f>
        <v>54320.249999999993</v>
      </c>
      <c r="J44" s="2872">
        <f t="shared" ref="I44:L48" si="12">I44</f>
        <v>54320.249999999993</v>
      </c>
      <c r="K44" s="2872">
        <f t="shared" si="12"/>
        <v>54320.249999999993</v>
      </c>
      <c r="L44" s="501">
        <f t="shared" si="12"/>
        <v>54320.249999999993</v>
      </c>
      <c r="N44" s="2358" t="s">
        <v>544</v>
      </c>
      <c r="O44" s="2811" t="s">
        <v>351</v>
      </c>
      <c r="P44" s="2811" t="s">
        <v>595</v>
      </c>
      <c r="Q44" s="2811" t="s">
        <v>608</v>
      </c>
      <c r="R44" s="2811" t="s">
        <v>106</v>
      </c>
      <c r="S44" s="2812" t="s">
        <v>124</v>
      </c>
      <c r="T44" s="2776"/>
      <c r="U44" s="2324">
        <f t="shared" ref="U44:AB44" si="13">R28</f>
        <v>2023</v>
      </c>
      <c r="V44" s="2324">
        <f t="shared" si="13"/>
        <v>2024</v>
      </c>
      <c r="W44" s="2324">
        <f t="shared" si="13"/>
        <v>2025</v>
      </c>
      <c r="X44" s="2324">
        <f t="shared" si="13"/>
        <v>2026</v>
      </c>
      <c r="Y44" s="2324">
        <f t="shared" si="13"/>
        <v>2027</v>
      </c>
      <c r="Z44" s="2324">
        <f t="shared" si="13"/>
        <v>2028</v>
      </c>
      <c r="AA44" s="2324">
        <f t="shared" si="13"/>
        <v>2029</v>
      </c>
      <c r="AB44" s="2442">
        <f t="shared" si="13"/>
        <v>2030</v>
      </c>
      <c r="AC44" s="2445" t="s">
        <v>605</v>
      </c>
      <c r="AD44" s="2446" t="s">
        <v>185</v>
      </c>
    </row>
    <row r="45" spans="2:30">
      <c r="B45" s="2397" t="s">
        <v>211</v>
      </c>
      <c r="C45" s="2776"/>
      <c r="D45" s="2776"/>
      <c r="E45" s="922">
        <v>10080</v>
      </c>
      <c r="F45" s="922">
        <f>D24</f>
        <v>15410</v>
      </c>
      <c r="G45" s="499">
        <f>F24</f>
        <v>17721.5</v>
      </c>
      <c r="H45" s="499">
        <f>G45*1.005</f>
        <v>17810.107499999998</v>
      </c>
      <c r="I45" s="499">
        <f t="shared" si="12"/>
        <v>17810.107499999998</v>
      </c>
      <c r="J45" s="499">
        <f t="shared" si="12"/>
        <v>17810.107499999998</v>
      </c>
      <c r="K45" s="499">
        <f t="shared" si="12"/>
        <v>17810.107499999998</v>
      </c>
      <c r="L45" s="502">
        <f t="shared" si="12"/>
        <v>17810.107499999998</v>
      </c>
      <c r="N45" s="2311" t="s">
        <v>351</v>
      </c>
      <c r="O45" s="2813">
        <v>10</v>
      </c>
      <c r="P45" s="2814" t="s">
        <v>196</v>
      </c>
      <c r="Q45" s="2814" t="str">
        <f>B70</f>
        <v>Muscat petit grain</v>
      </c>
      <c r="R45" s="2814" t="s">
        <v>606</v>
      </c>
      <c r="S45" s="2535">
        <v>5500</v>
      </c>
      <c r="T45" s="2535">
        <f>IF(S45&gt;500,S45,500)</f>
        <v>5500</v>
      </c>
      <c r="U45" s="2170">
        <f t="shared" ref="U45:AB45" si="14">IF(SUMIF($C$171,$Q$45,E171)&gt;$S$45,$S$45,SUMIF($C$171,$Q$45,E171))</f>
        <v>1699.5</v>
      </c>
      <c r="V45" s="2170">
        <f t="shared" si="14"/>
        <v>2804.25</v>
      </c>
      <c r="W45" s="2170">
        <f t="shared" si="14"/>
        <v>3295.5</v>
      </c>
      <c r="X45" s="2170">
        <f t="shared" si="14"/>
        <v>3312</v>
      </c>
      <c r="Y45" s="2170">
        <f t="shared" si="14"/>
        <v>3312</v>
      </c>
      <c r="Z45" s="2170">
        <f t="shared" si="14"/>
        <v>3312</v>
      </c>
      <c r="AA45" s="2170">
        <f t="shared" si="14"/>
        <v>3312</v>
      </c>
      <c r="AB45" s="2171">
        <f t="shared" si="14"/>
        <v>3312</v>
      </c>
      <c r="AC45" s="2448">
        <v>2027</v>
      </c>
      <c r="AD45" s="2449">
        <f t="shared" ref="AD45:AD53" si="15">IF(AND(O45="New",U45=0,V45&gt;U45),V$44,0)+IF(AND(N45="New",T45=0,U45&gt;T45),U$44,0)+IF(AND(P45="New",V45=0,W45&gt;V45),W$44,0)+IF(AND(Q45="New",W45=0,X45&gt;W45),X$44,0)+IF(AND(R45="New",X45=0,Y45&gt;X45),Y$44,0)+IF(AND(S45="New",Y45=0,Z45&gt;Y45),Z$44,0)+IF(AND(T45="New",Z45=0,AA45&gt;Z45),AA$44,0)+IF(AND(U45="New",AA45=0,AB45&gt;AA45),AB$44,0)+IF(AND(O45="New",U45&gt;0),U$44,0)</f>
        <v>0</v>
      </c>
    </row>
    <row r="46" spans="2:30">
      <c r="B46" s="2397" t="s">
        <v>212</v>
      </c>
      <c r="C46" s="2776"/>
      <c r="D46" s="2776"/>
      <c r="E46" s="922">
        <v>15560</v>
      </c>
      <c r="F46" s="922">
        <f>D25</f>
        <v>16275</v>
      </c>
      <c r="G46" s="499">
        <f>F25</f>
        <v>19530</v>
      </c>
      <c r="H46" s="499">
        <f>G46*1.005</f>
        <v>19627.649999999998</v>
      </c>
      <c r="I46" s="499">
        <f t="shared" si="12"/>
        <v>19627.649999999998</v>
      </c>
      <c r="J46" s="499">
        <f t="shared" si="12"/>
        <v>19627.649999999998</v>
      </c>
      <c r="K46" s="499">
        <f t="shared" si="12"/>
        <v>19627.649999999998</v>
      </c>
      <c r="L46" s="502">
        <f t="shared" si="12"/>
        <v>19627.649999999998</v>
      </c>
      <c r="N46" s="2311" t="s">
        <v>351</v>
      </c>
      <c r="O46" s="2813" t="s">
        <v>354</v>
      </c>
      <c r="P46" s="2814" t="s">
        <v>196</v>
      </c>
      <c r="Q46" s="2814" t="str">
        <f>Q45</f>
        <v>Muscat petit grain</v>
      </c>
      <c r="R46" s="2814" t="s">
        <v>606</v>
      </c>
      <c r="S46" s="2535">
        <v>485</v>
      </c>
      <c r="T46" s="2535">
        <f>S46</f>
        <v>485</v>
      </c>
      <c r="U46" s="2170">
        <f t="shared" ref="U46:AB46" si="16">IF(SUMIF($C$171,$Q$45,E171)&gt;$S$45,SUMIF($C$171,$Q$45,E171)-U45,0)</f>
        <v>0</v>
      </c>
      <c r="V46" s="2170">
        <f t="shared" si="16"/>
        <v>0</v>
      </c>
      <c r="W46" s="2170">
        <f t="shared" si="16"/>
        <v>0</v>
      </c>
      <c r="X46" s="2170">
        <f t="shared" si="16"/>
        <v>0</v>
      </c>
      <c r="Y46" s="2170">
        <f t="shared" si="16"/>
        <v>0</v>
      </c>
      <c r="Z46" s="2170">
        <f t="shared" si="16"/>
        <v>0</v>
      </c>
      <c r="AA46" s="2170">
        <f t="shared" si="16"/>
        <v>0</v>
      </c>
      <c r="AB46" s="2171">
        <f t="shared" si="16"/>
        <v>0</v>
      </c>
      <c r="AC46" s="2450">
        <f t="shared" ref="AC46:AC54" si="17">IF(O46="new",AD46+10,IF(S46&lt;=5500,$U$44+5,IF(S46&gt;5500,$U$44+7,0)))</f>
        <v>2028</v>
      </c>
      <c r="AD46" s="2449">
        <f t="shared" si="15"/>
        <v>0</v>
      </c>
    </row>
    <row r="47" spans="2:30">
      <c r="B47" s="2397" t="s">
        <v>213</v>
      </c>
      <c r="C47" s="2776"/>
      <c r="D47" s="2776"/>
      <c r="E47" s="922">
        <v>7149</v>
      </c>
      <c r="F47" s="922">
        <f>D26</f>
        <v>9450</v>
      </c>
      <c r="G47" s="499">
        <f>F26</f>
        <v>11340</v>
      </c>
      <c r="H47" s="499">
        <f>G47*1.005</f>
        <v>11396.699999999999</v>
      </c>
      <c r="I47" s="499">
        <f t="shared" si="12"/>
        <v>11396.699999999999</v>
      </c>
      <c r="J47" s="499">
        <f t="shared" si="12"/>
        <v>11396.699999999999</v>
      </c>
      <c r="K47" s="499">
        <f t="shared" si="12"/>
        <v>11396.699999999999</v>
      </c>
      <c r="L47" s="502">
        <f t="shared" si="12"/>
        <v>11396.699999999999</v>
      </c>
      <c r="N47" s="2311" t="s">
        <v>351</v>
      </c>
      <c r="O47" s="2813">
        <v>17</v>
      </c>
      <c r="P47" s="2814" t="s">
        <v>201</v>
      </c>
      <c r="Q47" s="2814" t="s">
        <v>610</v>
      </c>
      <c r="R47" s="2814" t="s">
        <v>606</v>
      </c>
      <c r="S47" s="2535">
        <v>2000</v>
      </c>
      <c r="T47" s="2535">
        <f>IF(S47&gt;500,S47,500)</f>
        <v>2000</v>
      </c>
      <c r="U47" s="2170">
        <f t="shared" ref="U47:AB47" si="18">E177</f>
        <v>0</v>
      </c>
      <c r="V47" s="2170">
        <f t="shared" si="18"/>
        <v>0</v>
      </c>
      <c r="W47" s="2170">
        <f t="shared" si="18"/>
        <v>0</v>
      </c>
      <c r="X47" s="2170">
        <f t="shared" si="18"/>
        <v>0</v>
      </c>
      <c r="Y47" s="2170">
        <f t="shared" si="18"/>
        <v>0</v>
      </c>
      <c r="Z47" s="2170">
        <f t="shared" si="18"/>
        <v>0</v>
      </c>
      <c r="AA47" s="2170">
        <f t="shared" si="18"/>
        <v>0</v>
      </c>
      <c r="AB47" s="2171">
        <f t="shared" si="18"/>
        <v>0</v>
      </c>
      <c r="AC47" s="2450">
        <f t="shared" si="17"/>
        <v>2028</v>
      </c>
      <c r="AD47" s="2449">
        <f t="shared" si="15"/>
        <v>0</v>
      </c>
    </row>
    <row r="48" spans="2:30">
      <c r="B48" s="2397" t="s">
        <v>214</v>
      </c>
      <c r="C48" s="2776"/>
      <c r="D48" s="2776"/>
      <c r="E48" s="923">
        <v>4500</v>
      </c>
      <c r="F48" s="923">
        <f>D27</f>
        <v>6750</v>
      </c>
      <c r="G48" s="500">
        <f>F27</f>
        <v>7931.25</v>
      </c>
      <c r="H48" s="500">
        <f>G48*1.005</f>
        <v>7970.9062499999991</v>
      </c>
      <c r="I48" s="500">
        <f t="shared" si="12"/>
        <v>7970.9062499999991</v>
      </c>
      <c r="J48" s="500">
        <f t="shared" si="12"/>
        <v>7970.9062499999991</v>
      </c>
      <c r="K48" s="500">
        <f t="shared" si="12"/>
        <v>7970.9062499999991</v>
      </c>
      <c r="L48" s="503">
        <f t="shared" si="12"/>
        <v>7970.9062499999991</v>
      </c>
      <c r="N48" s="2311" t="s">
        <v>351</v>
      </c>
      <c r="O48" s="2813">
        <v>4</v>
      </c>
      <c r="P48" s="2814" t="s">
        <v>205</v>
      </c>
      <c r="Q48" s="2814" t="str">
        <f>C160</f>
        <v xml:space="preserve">Merlot </v>
      </c>
      <c r="R48" s="2814" t="s">
        <v>606</v>
      </c>
      <c r="S48" s="2535">
        <v>10000</v>
      </c>
      <c r="T48" s="2535">
        <v>10000</v>
      </c>
      <c r="U48" s="2170">
        <f t="shared" ref="U48:AB48" si="19">IF(SUMIF($C$160:$C$163,$Q$48,E178:E181)&gt;$S$48,$S$48,SUMIF($C$160:$C$163,$Q$48,E178:E181))</f>
        <v>10000</v>
      </c>
      <c r="V48" s="2170">
        <f t="shared" si="19"/>
        <v>10000</v>
      </c>
      <c r="W48" s="2170">
        <f t="shared" si="19"/>
        <v>10000</v>
      </c>
      <c r="X48" s="2170">
        <f t="shared" si="19"/>
        <v>10000</v>
      </c>
      <c r="Y48" s="2170">
        <f t="shared" si="19"/>
        <v>10000</v>
      </c>
      <c r="Z48" s="2170">
        <f t="shared" si="19"/>
        <v>10000</v>
      </c>
      <c r="AA48" s="2170">
        <f t="shared" si="19"/>
        <v>10000</v>
      </c>
      <c r="AB48" s="2171">
        <f t="shared" si="19"/>
        <v>10000</v>
      </c>
      <c r="AC48" s="2450">
        <v>2026</v>
      </c>
      <c r="AD48" s="2449">
        <f t="shared" si="15"/>
        <v>0</v>
      </c>
    </row>
    <row r="49" spans="2:34">
      <c r="B49" s="2311"/>
      <c r="C49" s="2776"/>
      <c r="D49" s="2776"/>
      <c r="E49" s="2775">
        <f t="shared" ref="E49:L49" si="20">SUM(E44:E48)</f>
        <v>72697</v>
      </c>
      <c r="F49" s="2775">
        <f t="shared" si="20"/>
        <v>94885</v>
      </c>
      <c r="G49" s="2775">
        <f t="shared" si="20"/>
        <v>110572.75</v>
      </c>
      <c r="H49" s="2775">
        <f t="shared" si="20"/>
        <v>111125.61374999997</v>
      </c>
      <c r="I49" s="2775">
        <f t="shared" si="20"/>
        <v>111125.61374999997</v>
      </c>
      <c r="J49" s="2775">
        <f t="shared" si="20"/>
        <v>111125.61374999997</v>
      </c>
      <c r="K49" s="2775">
        <f t="shared" si="20"/>
        <v>111125.61374999997</v>
      </c>
      <c r="L49" s="2458">
        <f t="shared" si="20"/>
        <v>111125.61374999997</v>
      </c>
      <c r="N49" s="2311" t="s">
        <v>352</v>
      </c>
      <c r="O49" s="2813">
        <v>5</v>
      </c>
      <c r="P49" s="2814" t="s">
        <v>205</v>
      </c>
      <c r="Q49" s="2814" t="str">
        <f>Q48</f>
        <v xml:space="preserve">Merlot </v>
      </c>
      <c r="R49" s="2814" t="s">
        <v>606</v>
      </c>
      <c r="S49" s="2535">
        <v>10000</v>
      </c>
      <c r="T49" s="2535">
        <v>10000</v>
      </c>
      <c r="U49" s="2170">
        <f t="shared" ref="U49:AB49" si="21">IF(SUMIF($C$160:$C$163,$Q$49,E178:E181)&gt;$S$48+S49,$S$49,SUMIF($C$160:$C$163,$Q$49,E178:E181)-U48)</f>
        <v>7325</v>
      </c>
      <c r="V49" s="2170">
        <f t="shared" si="21"/>
        <v>10000</v>
      </c>
      <c r="W49" s="2170">
        <f t="shared" si="21"/>
        <v>10000</v>
      </c>
      <c r="X49" s="2170">
        <f t="shared" si="21"/>
        <v>10000</v>
      </c>
      <c r="Y49" s="2170">
        <f t="shared" si="21"/>
        <v>10000</v>
      </c>
      <c r="Z49" s="2170">
        <f t="shared" si="21"/>
        <v>10000</v>
      </c>
      <c r="AA49" s="2170">
        <f t="shared" si="21"/>
        <v>10000</v>
      </c>
      <c r="AB49" s="2171">
        <f t="shared" si="21"/>
        <v>10000</v>
      </c>
      <c r="AC49" s="2450">
        <v>2026</v>
      </c>
      <c r="AD49" s="2449">
        <f t="shared" si="15"/>
        <v>0</v>
      </c>
    </row>
    <row r="50" spans="2:34">
      <c r="B50" s="2311"/>
      <c r="C50" s="2776"/>
      <c r="D50" s="2776"/>
      <c r="E50" s="2775"/>
      <c r="F50" s="2775"/>
      <c r="G50" s="2775"/>
      <c r="H50" s="2775"/>
      <c r="I50" s="2775"/>
      <c r="J50" s="2775"/>
      <c r="K50" s="2775"/>
      <c r="L50" s="2458"/>
      <c r="N50" s="2311" t="s">
        <v>351</v>
      </c>
      <c r="O50" s="2813">
        <v>15</v>
      </c>
      <c r="P50" s="2814" t="s">
        <v>205</v>
      </c>
      <c r="Q50" s="2814" t="str">
        <f>Q49</f>
        <v xml:space="preserve">Merlot </v>
      </c>
      <c r="R50" s="2814" t="s">
        <v>606</v>
      </c>
      <c r="S50" s="2535">
        <v>5500</v>
      </c>
      <c r="T50" s="2535">
        <v>5500</v>
      </c>
      <c r="U50" s="2170">
        <f>IF(SUMIF($C$160:$C$163,$Q$49,E178:E181)&gt;$S$48+$S$49,SUMIF($C$160:$C$163,$Q$49,E178:E181)-U48-U49,0)</f>
        <v>0</v>
      </c>
      <c r="V50" s="2170">
        <f t="shared" ref="V50:AB50" si="22">IF(SUMIF($C$160:$C$163,$Q$49,F178:F181)&gt;$S$48+$S$49+$T$50,$S$50,SUMIF($C$160:$C$163,$Q$49,F178:F181)-V48-V49)</f>
        <v>5425</v>
      </c>
      <c r="W50" s="2170">
        <f t="shared" si="22"/>
        <v>5500</v>
      </c>
      <c r="X50" s="2170">
        <f t="shared" si="22"/>
        <v>5500</v>
      </c>
      <c r="Y50" s="2170">
        <f t="shared" si="22"/>
        <v>5500</v>
      </c>
      <c r="Z50" s="2170">
        <f t="shared" si="22"/>
        <v>5500</v>
      </c>
      <c r="AA50" s="2170">
        <f t="shared" si="22"/>
        <v>5500</v>
      </c>
      <c r="AB50" s="2171">
        <f t="shared" si="22"/>
        <v>5500</v>
      </c>
      <c r="AC50" s="2450">
        <f t="shared" si="17"/>
        <v>2028</v>
      </c>
      <c r="AD50" s="2449">
        <f t="shared" si="15"/>
        <v>0</v>
      </c>
    </row>
    <row r="51" spans="2:34">
      <c r="B51" s="2401" t="s">
        <v>231</v>
      </c>
      <c r="C51" s="2776"/>
      <c r="D51" s="2776"/>
      <c r="E51" s="2324">
        <f t="shared" ref="E51:L51" si="23">E43</f>
        <v>2023</v>
      </c>
      <c r="F51" s="2324">
        <f t="shared" si="23"/>
        <v>2024</v>
      </c>
      <c r="G51" s="2324">
        <f t="shared" si="23"/>
        <v>2025</v>
      </c>
      <c r="H51" s="2324">
        <f t="shared" si="23"/>
        <v>2026</v>
      </c>
      <c r="I51" s="2324">
        <f t="shared" si="23"/>
        <v>2027</v>
      </c>
      <c r="J51" s="2324">
        <f t="shared" si="23"/>
        <v>2028</v>
      </c>
      <c r="K51" s="2324">
        <f t="shared" si="23"/>
        <v>2029</v>
      </c>
      <c r="L51" s="2442">
        <f t="shared" si="23"/>
        <v>2030</v>
      </c>
      <c r="N51" s="2311" t="s">
        <v>351</v>
      </c>
      <c r="O51" s="2813">
        <v>14</v>
      </c>
      <c r="P51" s="2814" t="s">
        <v>205</v>
      </c>
      <c r="Q51" s="2814" t="s">
        <v>200</v>
      </c>
      <c r="R51" s="2814" t="s">
        <v>606</v>
      </c>
      <c r="S51" s="2535">
        <v>5500</v>
      </c>
      <c r="T51" s="2535">
        <f>IF(S51&gt;500,S51,500)</f>
        <v>5500</v>
      </c>
      <c r="U51" s="2170">
        <f>IF(SUMIF($C$160:$C$163,$Q$49,E178:E181)&gt;$S$48+$S$49+$S$50,SUMIF($C$160:$C$163,$Q$49,E178:E181)-U48-U49-U50,0)</f>
        <v>0</v>
      </c>
      <c r="V51" s="2170">
        <f>IF(SUMIF($C$160:$C$163,$Q$49,F178:F181)&gt;$S$48+$S$49+$S$50,SUMIF($C$160:$C$163,$Q$49,F178:F181)-V48-V49-V50,0)</f>
        <v>0</v>
      </c>
      <c r="W51" s="2170">
        <f t="shared" ref="W51:AB51" si="24">IF(SUMIF($C$160:$C$163,$Q$49,G178:G181)&gt;$S$48+$S$49+$S$50,SUMIF($C$160:$C$163,$Q$49,G178:G181)-W48-W49-W50,0)</f>
        <v>3750</v>
      </c>
      <c r="X51" s="2170">
        <f t="shared" si="24"/>
        <v>3750</v>
      </c>
      <c r="Y51" s="2170">
        <f t="shared" si="24"/>
        <v>3750</v>
      </c>
      <c r="Z51" s="2170">
        <f t="shared" si="24"/>
        <v>3750</v>
      </c>
      <c r="AA51" s="2170">
        <f t="shared" si="24"/>
        <v>3750</v>
      </c>
      <c r="AB51" s="2171">
        <f t="shared" si="24"/>
        <v>3750</v>
      </c>
      <c r="AC51" s="2450">
        <v>2025</v>
      </c>
      <c r="AD51" s="2449">
        <f>IF(AND(O51="New",U51=0,V51&gt;U51),V$44,0)+IF(AND(N51="New",T51=0,U51&gt;T51),U$44,0)+IF(AND(P51="New",V51=0,W51&gt;V51),W$44,0)+IF(AND(Q51="New",W51=0,X51&gt;W51),X$44,0)+IF(AND(R51="New",X51=0,Y51&gt;X51),Y$44,0)+IF(AND(S51="New",Y51=0,Z51&gt;Y51),Z$44,0)+IF(AND(T51="New",Z51=0,AA51&gt;Z51),AA$44,0)+IF(AND(U51="New",AA51=0,AB51&gt;AA51),AB$44,0)+IF(AND(O51="New",U51&gt;0),U$44,0)</f>
        <v>0</v>
      </c>
      <c r="AF51" s="2111"/>
      <c r="AG51" s="2111"/>
    </row>
    <row r="52" spans="2:34">
      <c r="B52" s="2397" t="s">
        <v>210</v>
      </c>
      <c r="C52" s="2776"/>
      <c r="D52" s="2776"/>
      <c r="E52" s="2459">
        <v>0.01</v>
      </c>
      <c r="F52" s="2459">
        <v>0.01</v>
      </c>
      <c r="G52" s="2459">
        <v>0.01</v>
      </c>
      <c r="H52" s="2459">
        <v>0.01</v>
      </c>
      <c r="I52" s="2459">
        <v>0.01</v>
      </c>
      <c r="J52" s="2459">
        <v>0.01</v>
      </c>
      <c r="K52" s="2459">
        <v>0.01</v>
      </c>
      <c r="L52" s="2460">
        <v>0.01</v>
      </c>
      <c r="N52" s="2311" t="s">
        <v>351</v>
      </c>
      <c r="O52" s="2813">
        <v>6</v>
      </c>
      <c r="P52" s="2814" t="s">
        <v>205</v>
      </c>
      <c r="Q52" s="2814" t="s">
        <v>609</v>
      </c>
      <c r="R52" s="2814" t="s">
        <v>606</v>
      </c>
      <c r="S52" s="2535">
        <v>10000</v>
      </c>
      <c r="T52" s="2535">
        <v>10000</v>
      </c>
      <c r="U52" s="2170">
        <f t="shared" ref="U52:AB52" ca="1" si="25">IF(SUMIF($B$160:$B$163,$P$52,E179:E181)&gt;$S$52,$S$52,SUMIF($B$160:$B$163,$P$52,E179:E181))</f>
        <v>10000</v>
      </c>
      <c r="V52" s="2170">
        <f t="shared" ca="1" si="25"/>
        <v>10000</v>
      </c>
      <c r="W52" s="2170">
        <f t="shared" ca="1" si="25"/>
        <v>10000</v>
      </c>
      <c r="X52" s="2170">
        <f t="shared" ca="1" si="25"/>
        <v>10000</v>
      </c>
      <c r="Y52" s="2170">
        <f t="shared" ca="1" si="25"/>
        <v>10000</v>
      </c>
      <c r="Z52" s="2170">
        <f t="shared" ca="1" si="25"/>
        <v>10000</v>
      </c>
      <c r="AA52" s="2170">
        <f t="shared" ca="1" si="25"/>
        <v>10000</v>
      </c>
      <c r="AB52" s="2171">
        <f t="shared" ca="1" si="25"/>
        <v>10000</v>
      </c>
      <c r="AC52" s="2450">
        <f t="shared" si="17"/>
        <v>2030</v>
      </c>
      <c r="AD52" s="2449">
        <f t="shared" ca="1" si="15"/>
        <v>0</v>
      </c>
      <c r="AH52" s="2111"/>
    </row>
    <row r="53" spans="2:34">
      <c r="B53" s="2397" t="s">
        <v>211</v>
      </c>
      <c r="C53" s="2776"/>
      <c r="D53" s="2776"/>
      <c r="E53" s="2459">
        <v>0.01</v>
      </c>
      <c r="F53" s="2459">
        <v>0.01</v>
      </c>
      <c r="G53" s="2459">
        <v>0.01</v>
      </c>
      <c r="H53" s="2459">
        <v>0.01</v>
      </c>
      <c r="I53" s="2459">
        <v>0.01</v>
      </c>
      <c r="J53" s="2459">
        <v>0.01</v>
      </c>
      <c r="K53" s="2459">
        <v>0.01</v>
      </c>
      <c r="L53" s="2460">
        <v>0.01</v>
      </c>
      <c r="N53" s="2311" t="s">
        <v>351</v>
      </c>
      <c r="O53" s="2813">
        <v>16</v>
      </c>
      <c r="P53" s="2814" t="s">
        <v>205</v>
      </c>
      <c r="Q53" s="2814" t="str">
        <f>Q52</f>
        <v>CS/Merlot/Mavrud</v>
      </c>
      <c r="R53" s="2814" t="s">
        <v>606</v>
      </c>
      <c r="S53" s="2535">
        <v>5500</v>
      </c>
      <c r="T53" s="2535">
        <f>IF(S53&gt;500,S53,500)</f>
        <v>5500</v>
      </c>
      <c r="U53" s="2170">
        <f t="shared" ref="U53:AB53" ca="1" si="26">IF(SUMIF($B$161:$B$163,$P$53,E179:E181)&gt;$S$52+S53,$S$53,SUMIF($B$161:$B$163,$P$53,E179:E181)-U52)</f>
        <v>3996</v>
      </c>
      <c r="V53" s="2170">
        <f t="shared" si="26"/>
        <v>5500</v>
      </c>
      <c r="W53" s="2170">
        <f t="shared" ca="1" si="26"/>
        <v>5500</v>
      </c>
      <c r="X53" s="2170">
        <f t="shared" si="26"/>
        <v>5500</v>
      </c>
      <c r="Y53" s="2170">
        <f t="shared" ca="1" si="26"/>
        <v>5500</v>
      </c>
      <c r="Z53" s="2170">
        <f t="shared" si="26"/>
        <v>5500</v>
      </c>
      <c r="AA53" s="2170">
        <f t="shared" ca="1" si="26"/>
        <v>5500</v>
      </c>
      <c r="AB53" s="2171">
        <f t="shared" si="26"/>
        <v>5500</v>
      </c>
      <c r="AC53" s="2450">
        <f t="shared" si="17"/>
        <v>2028</v>
      </c>
      <c r="AD53" s="2449">
        <f t="shared" ca="1" si="15"/>
        <v>0</v>
      </c>
    </row>
    <row r="54" spans="2:34">
      <c r="B54" s="2397" t="s">
        <v>212</v>
      </c>
      <c r="C54" s="2776"/>
      <c r="D54" s="2776"/>
      <c r="E54" s="2459">
        <v>0.01</v>
      </c>
      <c r="F54" s="2459">
        <v>0.01</v>
      </c>
      <c r="G54" s="2459">
        <v>0.01</v>
      </c>
      <c r="H54" s="2459">
        <v>0.01</v>
      </c>
      <c r="I54" s="2459">
        <v>0.01</v>
      </c>
      <c r="J54" s="2459">
        <v>0.01</v>
      </c>
      <c r="K54" s="2459">
        <v>0.01</v>
      </c>
      <c r="L54" s="2460">
        <v>0.01</v>
      </c>
      <c r="N54" s="2311" t="s">
        <v>351</v>
      </c>
      <c r="O54" s="2813">
        <v>11</v>
      </c>
      <c r="P54" s="2814" t="s">
        <v>205</v>
      </c>
      <c r="Q54" s="2814" t="str">
        <f>Q53</f>
        <v>CS/Merlot/Mavrud</v>
      </c>
      <c r="R54" s="2814" t="s">
        <v>606</v>
      </c>
      <c r="S54" s="2535">
        <v>5500</v>
      </c>
      <c r="T54" s="2535">
        <v>5500</v>
      </c>
      <c r="U54" s="2170">
        <f t="shared" ref="U54:AB54" ca="1" si="27">IF(SUMIF($B$161:$B$163,$P$53,E179:E181)&gt;$S$52+$S$54+$S$53,$S$54,SUMIF($B$161:$B$163,$P$53,E179:E181)-U52-U53)</f>
        <v>0</v>
      </c>
      <c r="V54" s="2170">
        <f t="shared" ca="1" si="27"/>
        <v>4443</v>
      </c>
      <c r="W54" s="2170">
        <f t="shared" si="27"/>
        <v>5500</v>
      </c>
      <c r="X54" s="2170">
        <f t="shared" si="27"/>
        <v>5500</v>
      </c>
      <c r="Y54" s="2170">
        <f t="shared" si="27"/>
        <v>5500</v>
      </c>
      <c r="Z54" s="2170">
        <f t="shared" si="27"/>
        <v>5500</v>
      </c>
      <c r="AA54" s="2170">
        <f t="shared" si="27"/>
        <v>5500</v>
      </c>
      <c r="AB54" s="2171">
        <f t="shared" si="27"/>
        <v>5500</v>
      </c>
      <c r="AC54" s="2450">
        <f t="shared" si="17"/>
        <v>2028</v>
      </c>
      <c r="AD54" s="2449">
        <f t="shared" ref="AD54:AD60" ca="1" si="28">IF(AND(O54="New",U54=0,V54&gt;U54),V$44,0)+IF(AND(N54="New",T54=0,U54&gt;T54),U$44,0)+IF(AND(P54="New",V54=0,W54&gt;V54),W$44,0)+IF(AND(Q54="New",W54=0,X54&gt;W54),X$44,0)+IF(AND(R54="New",X54=0,Y54&gt;X54),Y$44,0)+IF(AND(S54="New",Y54=0,Z54&gt;Y54),Z$44,0)+IF(AND(T54="New",Z54=0,AA54&gt;Z54),AA$44,0)+IF(AND(U54="New",AA54=0,AB54&gt;AA54),AB$44,0)+IF(AND(O54="New",U54&gt;0),U$44,0)</f>
        <v>0</v>
      </c>
    </row>
    <row r="55" spans="2:34">
      <c r="B55" s="2397" t="s">
        <v>213</v>
      </c>
      <c r="C55" s="2776"/>
      <c r="D55" s="2776"/>
      <c r="E55" s="2459">
        <v>0.01</v>
      </c>
      <c r="F55" s="2459">
        <v>0.01</v>
      </c>
      <c r="G55" s="2459">
        <v>0.01</v>
      </c>
      <c r="H55" s="2459">
        <v>0.01</v>
      </c>
      <c r="I55" s="2459">
        <v>0.01</v>
      </c>
      <c r="J55" s="2459">
        <v>0.01</v>
      </c>
      <c r="K55" s="2459">
        <v>0.01</v>
      </c>
      <c r="L55" s="2460">
        <v>0.01</v>
      </c>
      <c r="N55" s="2311" t="s">
        <v>351</v>
      </c>
      <c r="O55" s="2813">
        <v>12</v>
      </c>
      <c r="P55" s="2814" t="s">
        <v>205</v>
      </c>
      <c r="Q55" s="2814" t="str">
        <f>Q54</f>
        <v>CS/Merlot/Mavrud</v>
      </c>
      <c r="R55" s="2814" t="s">
        <v>606</v>
      </c>
      <c r="S55" s="2535">
        <v>5500</v>
      </c>
      <c r="T55" s="2535">
        <v>5500</v>
      </c>
      <c r="U55" s="2170">
        <f ca="1">IF(SUMIF($B$161:$B$163,$P$53,E179:E181)&gt;$S$52+$S$54+$S$53+$S$55,$S$55,SUMIF($B$161:$B$163,$P$53,E179:E181)-U52-U53-U54)</f>
        <v>0</v>
      </c>
      <c r="V55" s="2170">
        <f t="shared" ref="V55:AB55" ca="1" si="29">IF(SUMIF($B$161:$B$163,$P$53,F179:F181)&gt;$S$52+$S$54+$S$53+$S$55,$S$55,SUMIF($B$161:$B$163,$P$53,F179:F181)-V52-V53-V54)</f>
        <v>0</v>
      </c>
      <c r="W55" s="2170">
        <f t="shared" ca="1" si="29"/>
        <v>2496</v>
      </c>
      <c r="X55" s="2170">
        <f t="shared" ca="1" si="29"/>
        <v>2546</v>
      </c>
      <c r="Y55" s="2170">
        <f t="shared" ca="1" si="29"/>
        <v>2546</v>
      </c>
      <c r="Z55" s="2170">
        <f t="shared" ca="1" si="29"/>
        <v>2546</v>
      </c>
      <c r="AA55" s="2170">
        <f t="shared" ca="1" si="29"/>
        <v>2546</v>
      </c>
      <c r="AB55" s="2170">
        <f t="shared" ca="1" si="29"/>
        <v>2546</v>
      </c>
      <c r="AC55" s="2450">
        <f>IF(O55="new",AD55+10,IF(S55&lt;=5500,$U$44+6,IF(S55&gt;5500,$U$44+7,0)))</f>
        <v>2029</v>
      </c>
      <c r="AD55" s="2449">
        <f ca="1">IF(AND(O55="New",U55=0,V55&gt;U55),V$44,0)+IF(AND(N55="New",T55=0,U55&gt;T55),U$44,0)+IF(AND(P55="New",V55=0,W55&gt;V55),W$44,0)+IF(AND(Q55="New",W55=0,X55&gt;W55),X$44,0)+IF(AND(R55="New",X55=0,Y55&gt;X55),Y$44,0)+IF(AND(S55="New",Y55=0,Z55&gt;Y55),Z$44,0)+IF(AND(T55="New",Z55=0,AA55&gt;Z55),AA$44,0)+IF(AND(U55="New",AA55=0,AB55&gt;AA55),AB$44,0)+IF(AND(O55="New",U55&gt;0),U$44,0)</f>
        <v>0</v>
      </c>
    </row>
    <row r="56" spans="2:34">
      <c r="B56" s="2397" t="s">
        <v>214</v>
      </c>
      <c r="C56" s="2776"/>
      <c r="D56" s="2776"/>
      <c r="E56" s="2461">
        <v>0.01</v>
      </c>
      <c r="F56" s="2461">
        <v>0.01</v>
      </c>
      <c r="G56" s="2461">
        <v>0.01</v>
      </c>
      <c r="H56" s="2461">
        <v>0.01</v>
      </c>
      <c r="I56" s="2461">
        <v>0.01</v>
      </c>
      <c r="J56" s="2461">
        <v>0.01</v>
      </c>
      <c r="K56" s="2461">
        <v>0.01</v>
      </c>
      <c r="L56" s="2462">
        <v>0.01</v>
      </c>
      <c r="N56" s="2311" t="s">
        <v>351</v>
      </c>
      <c r="O56" s="2813">
        <v>13</v>
      </c>
      <c r="P56" s="2814" t="str">
        <f>P57</f>
        <v>Selection individuelle</v>
      </c>
      <c r="Q56" s="2814" t="s">
        <v>613</v>
      </c>
      <c r="R56" s="2814" t="s">
        <v>606</v>
      </c>
      <c r="S56" s="2535">
        <v>5500</v>
      </c>
      <c r="T56" s="2535">
        <v>5500</v>
      </c>
      <c r="U56" s="2170">
        <f t="shared" ref="U56:AB56" si="30">IF(SUMIF($B$166:$B$167,$P$56,E184:E185)&gt;$S$56,$S$56,SUMIF($B$166:$B$167,$P$56,E184:E185))</f>
        <v>2925</v>
      </c>
      <c r="V56" s="2170">
        <f t="shared" si="30"/>
        <v>3600</v>
      </c>
      <c r="W56" s="2170">
        <f t="shared" si="30"/>
        <v>4275</v>
      </c>
      <c r="X56" s="2170">
        <f t="shared" si="30"/>
        <v>4275</v>
      </c>
      <c r="Y56" s="2170">
        <f t="shared" si="30"/>
        <v>4275</v>
      </c>
      <c r="Z56" s="2170">
        <f t="shared" si="30"/>
        <v>4275</v>
      </c>
      <c r="AA56" s="2170">
        <f t="shared" si="30"/>
        <v>4275</v>
      </c>
      <c r="AB56" s="2171">
        <f t="shared" si="30"/>
        <v>4275</v>
      </c>
      <c r="AC56" s="2450">
        <f>IF(O56="new",AD56+10,IF(S56&lt;=5500,$U$44+6,IF(S56&gt;5500,$U$44+7,0)))</f>
        <v>2029</v>
      </c>
      <c r="AD56" s="2449">
        <f t="shared" si="28"/>
        <v>0</v>
      </c>
    </row>
    <row r="57" spans="2:34">
      <c r="B57" s="2311"/>
      <c r="C57" s="2776"/>
      <c r="D57" s="2776"/>
      <c r="E57" s="2776"/>
      <c r="F57" s="2776"/>
      <c r="G57" s="2776"/>
      <c r="H57" s="2776"/>
      <c r="I57" s="2776"/>
      <c r="J57" s="2776"/>
      <c r="K57" s="2776"/>
      <c r="L57" s="2112"/>
      <c r="N57" s="2311" t="s">
        <v>351</v>
      </c>
      <c r="O57" s="2813">
        <v>19</v>
      </c>
      <c r="P57" s="2814" t="str">
        <f>B164</f>
        <v>Selection individuelle</v>
      </c>
      <c r="Q57" s="2814" t="str">
        <f>Q56</f>
        <v>CF/CS</v>
      </c>
      <c r="R57" s="2814" t="s">
        <v>606</v>
      </c>
      <c r="S57" s="2535">
        <v>1000</v>
      </c>
      <c r="T57" s="2535">
        <f>IF(S57&gt;500,S57,500)</f>
        <v>1000</v>
      </c>
      <c r="U57" s="2170">
        <f t="shared" ref="U57:AB57" si="31">IF(SUMIF($B$166:$B$167,$P$57,E184:E185)&gt;$S$56,SUMIF($B$166:$B$167,$P$57,E184:E185)-U56,0)</f>
        <v>0</v>
      </c>
      <c r="V57" s="2170">
        <f t="shared" si="31"/>
        <v>0</v>
      </c>
      <c r="W57" s="2170">
        <f t="shared" si="31"/>
        <v>0</v>
      </c>
      <c r="X57" s="2170">
        <f t="shared" si="31"/>
        <v>0</v>
      </c>
      <c r="Y57" s="2170">
        <f t="shared" si="31"/>
        <v>0</v>
      </c>
      <c r="Z57" s="2170">
        <f t="shared" si="31"/>
        <v>0</v>
      </c>
      <c r="AA57" s="2170">
        <f t="shared" si="31"/>
        <v>0</v>
      </c>
      <c r="AB57" s="2171">
        <f t="shared" si="31"/>
        <v>0</v>
      </c>
      <c r="AC57" s="2450">
        <f>IF(O57="new",AD57+10,IF(S57&lt;=5500,$U$44+6,IF(S57&gt;5500,$U$44+7,0)))</f>
        <v>2029</v>
      </c>
      <c r="AD57" s="2449">
        <f t="shared" si="28"/>
        <v>0</v>
      </c>
    </row>
    <row r="58" spans="2:34">
      <c r="B58" s="2401" t="s">
        <v>232</v>
      </c>
      <c r="C58" s="2776"/>
      <c r="D58" s="2776"/>
      <c r="E58" s="2324">
        <f t="shared" ref="E58:L58" si="32">E51</f>
        <v>2023</v>
      </c>
      <c r="F58" s="2324">
        <f t="shared" si="32"/>
        <v>2024</v>
      </c>
      <c r="G58" s="2324">
        <f t="shared" si="32"/>
        <v>2025</v>
      </c>
      <c r="H58" s="2324">
        <f t="shared" si="32"/>
        <v>2026</v>
      </c>
      <c r="I58" s="2324">
        <f t="shared" si="32"/>
        <v>2027</v>
      </c>
      <c r="J58" s="2324">
        <f t="shared" si="32"/>
        <v>2028</v>
      </c>
      <c r="K58" s="2324">
        <f t="shared" si="32"/>
        <v>2029</v>
      </c>
      <c r="L58" s="2442">
        <f t="shared" si="32"/>
        <v>2030</v>
      </c>
      <c r="N58" s="2311" t="s">
        <v>351</v>
      </c>
      <c r="O58" s="2813">
        <v>18</v>
      </c>
      <c r="P58" s="2814" t="str">
        <f>P57</f>
        <v>Selection individuelle</v>
      </c>
      <c r="Q58" s="2814" t="str">
        <f>Q49</f>
        <v xml:space="preserve">Merlot </v>
      </c>
      <c r="R58" s="2814" t="s">
        <v>606</v>
      </c>
      <c r="S58" s="2535">
        <v>2000</v>
      </c>
      <c r="T58" s="2535">
        <v>2000</v>
      </c>
      <c r="U58" s="2170">
        <f t="shared" ref="U58:AB58" si="33">IF(SUMIF($C$164:$C$167,$Q$58,E182:E185)&gt;$S$58,$S$58,SUMIF($C$164:$C$167,$Q$58,E182:E185))</f>
        <v>1350</v>
      </c>
      <c r="V58" s="2170">
        <f t="shared" si="33"/>
        <v>2000</v>
      </c>
      <c r="W58" s="2170">
        <f t="shared" si="33"/>
        <v>2000</v>
      </c>
      <c r="X58" s="2170">
        <f t="shared" si="33"/>
        <v>2000</v>
      </c>
      <c r="Y58" s="2170">
        <f t="shared" si="33"/>
        <v>2000</v>
      </c>
      <c r="Z58" s="2170">
        <f t="shared" si="33"/>
        <v>2000</v>
      </c>
      <c r="AA58" s="2170">
        <f t="shared" si="33"/>
        <v>2000</v>
      </c>
      <c r="AB58" s="2171">
        <f t="shared" si="33"/>
        <v>2000</v>
      </c>
      <c r="AC58" s="2450">
        <f>IF(O58="new",AD58+10,IF(S58&lt;=5500,$U$44+6,IF(S58&gt;5500,$U$44+7,0)))</f>
        <v>2029</v>
      </c>
      <c r="AD58" s="2449">
        <f t="shared" si="28"/>
        <v>0</v>
      </c>
    </row>
    <row r="59" spans="2:34">
      <c r="B59" s="2397" t="s">
        <v>210</v>
      </c>
      <c r="C59" s="2776"/>
      <c r="D59" s="2776"/>
      <c r="E59" s="2459">
        <v>0.11650000000000001</v>
      </c>
      <c r="F59" s="2459">
        <v>0.12</v>
      </c>
      <c r="G59" s="2459">
        <v>0.12</v>
      </c>
      <c r="H59" s="2459">
        <v>0.12</v>
      </c>
      <c r="I59" s="2459">
        <v>0.12</v>
      </c>
      <c r="J59" s="2459">
        <v>0.12</v>
      </c>
      <c r="K59" s="2459">
        <v>0.12</v>
      </c>
      <c r="L59" s="2460">
        <v>0.12</v>
      </c>
      <c r="N59" s="2311" t="s">
        <v>351</v>
      </c>
      <c r="O59" s="2813" t="s">
        <v>355</v>
      </c>
      <c r="P59" s="2814" t="str">
        <f>P58</f>
        <v>Selection individuelle</v>
      </c>
      <c r="Q59" s="2814" t="str">
        <f>Q50</f>
        <v xml:space="preserve">Merlot </v>
      </c>
      <c r="R59" s="2814" t="s">
        <v>606</v>
      </c>
      <c r="S59" s="2535">
        <v>390</v>
      </c>
      <c r="T59" s="2535">
        <f>S59</f>
        <v>390</v>
      </c>
      <c r="U59" s="2170">
        <f t="shared" ref="U59:AB59" si="34">IF(SUMIF($C$164:$C$167,$Q$59,E182:E185)&gt;$S$58+$S$59,$S$59,SUMIF($C$164:$C$167,$Q$59,E182:E185)-U58)</f>
        <v>0</v>
      </c>
      <c r="V59" s="2170">
        <f t="shared" si="34"/>
        <v>25</v>
      </c>
      <c r="W59" s="2170">
        <f t="shared" si="34"/>
        <v>250</v>
      </c>
      <c r="X59" s="2170">
        <f t="shared" si="34"/>
        <v>250</v>
      </c>
      <c r="Y59" s="2170">
        <f t="shared" si="34"/>
        <v>250</v>
      </c>
      <c r="Z59" s="2170">
        <f t="shared" si="34"/>
        <v>250</v>
      </c>
      <c r="AA59" s="2170">
        <f t="shared" si="34"/>
        <v>250</v>
      </c>
      <c r="AB59" s="2170">
        <f t="shared" si="34"/>
        <v>250</v>
      </c>
      <c r="AC59" s="2450">
        <f t="shared" ref="AC59:AC64" si="35">IF(O59="new",AD59+10,IF(S59&lt;=5500,$U$44+5,IF(S59&gt;5500,$U$44+7,0)))</f>
        <v>2028</v>
      </c>
      <c r="AD59" s="2449">
        <f>IF(AND(O59="New",U59=0,V59&gt;U59),V$44,0)+IF(AND(N59="New",T59=0,U59&gt;T59),U$44,0)+IF(AND(P59="New",V59=0,W59&gt;V59),W$44,0)+IF(AND(Q59="New",W59=0,X59&gt;W59),X$44,0)+IF(AND(R59="New",X59=0,Y59&gt;X59),Y$44,0)+IF(AND(S59="New",Y59=0,Z59&gt;Y59),Z$44,0)+IF(AND(T59="New",Z59=0,AA59&gt;Z59),AA$44,0)+IF(AND(U59="New",AA59=0,AB59&gt;AA59),AB$44,0)+IF(AND(O59="New",U59&gt;0),U$44,0)</f>
        <v>0</v>
      </c>
    </row>
    <row r="60" spans="2:34">
      <c r="B60" s="2397" t="s">
        <v>211</v>
      </c>
      <c r="C60" s="2776"/>
      <c r="D60" s="2776"/>
      <c r="E60" s="2459">
        <v>0.11112</v>
      </c>
      <c r="F60" s="2459">
        <v>0.12</v>
      </c>
      <c r="G60" s="2459">
        <v>0.12</v>
      </c>
      <c r="H60" s="2459">
        <v>0.12</v>
      </c>
      <c r="I60" s="2459">
        <v>0.12</v>
      </c>
      <c r="J60" s="2459">
        <v>0.12</v>
      </c>
      <c r="K60" s="2459">
        <v>0.12</v>
      </c>
      <c r="L60" s="2460">
        <v>0.12</v>
      </c>
      <c r="N60" s="2311" t="s">
        <v>351</v>
      </c>
      <c r="O60" s="2813">
        <v>20</v>
      </c>
      <c r="P60" s="2814"/>
      <c r="Q60" s="2814"/>
      <c r="R60" s="2814" t="s">
        <v>429</v>
      </c>
      <c r="S60" s="2535">
        <v>1000</v>
      </c>
      <c r="T60" s="2535">
        <v>1000</v>
      </c>
      <c r="U60" s="2170"/>
      <c r="V60" s="2170"/>
      <c r="W60" s="2170"/>
      <c r="X60" s="2170"/>
      <c r="Y60" s="2170"/>
      <c r="Z60" s="2170"/>
      <c r="AA60" s="2170"/>
      <c r="AB60" s="2171"/>
      <c r="AC60" s="2450">
        <f t="shared" si="35"/>
        <v>2028</v>
      </c>
      <c r="AD60" s="2449">
        <f t="shared" si="28"/>
        <v>0</v>
      </c>
    </row>
    <row r="61" spans="2:34">
      <c r="B61" s="2397" t="s">
        <v>212</v>
      </c>
      <c r="C61" s="2776"/>
      <c r="D61" s="2776"/>
      <c r="E61" s="2459">
        <v>0.12</v>
      </c>
      <c r="F61" s="2459">
        <v>0.12</v>
      </c>
      <c r="G61" s="2459">
        <v>0.12</v>
      </c>
      <c r="H61" s="2459">
        <v>0.12</v>
      </c>
      <c r="I61" s="2459">
        <v>0.12</v>
      </c>
      <c r="J61" s="2459">
        <v>0.12</v>
      </c>
      <c r="K61" s="2459">
        <v>0.12</v>
      </c>
      <c r="L61" s="2460">
        <v>0.12</v>
      </c>
      <c r="N61" s="2311" t="s">
        <v>351</v>
      </c>
      <c r="O61" s="2813" t="s">
        <v>614</v>
      </c>
      <c r="P61" s="2814"/>
      <c r="Q61" s="2814"/>
      <c r="R61" s="2814" t="s">
        <v>429</v>
      </c>
      <c r="S61" s="2535">
        <v>235</v>
      </c>
      <c r="T61" s="2535">
        <f>S61</f>
        <v>235</v>
      </c>
      <c r="U61" s="1139"/>
      <c r="V61" s="1139"/>
      <c r="W61" s="1139"/>
      <c r="X61" s="1139"/>
      <c r="Y61" s="1139"/>
      <c r="Z61" s="1139"/>
      <c r="AA61" s="1139"/>
      <c r="AB61" s="1746"/>
      <c r="AC61" s="2450">
        <f t="shared" si="35"/>
        <v>2028</v>
      </c>
      <c r="AD61" s="2449">
        <f>IF(AND(O61="New",U61=0,V61&gt;U61),V$44,0)+IF(AND(N61="New",T61=0,U61&gt;T61),U$44,0)+IF(AND(P61="New",V61=0,W61&gt;V61),W$44,0)+IF(AND(Q61="New",W61=0,X61&gt;W61),X$44,0)+IF(AND(R61="New",X61=0,Y61&gt;X61),Y$44,0)+IF(AND(S61="New",Y61=0,Z61&gt;Y61),Z$44,0)+IF(AND(T61="New",Z61=0,AA61&gt;Z61),AA$44,0)+IF(AND(U61="New",AA61=0,AB61&gt;AA61),AB$44,0)+IF(AND(O61="New",U61&gt;0),U$44,0)</f>
        <v>0</v>
      </c>
    </row>
    <row r="62" spans="2:34">
      <c r="B62" s="2397" t="s">
        <v>213</v>
      </c>
      <c r="C62" s="2776"/>
      <c r="D62" s="2776"/>
      <c r="E62" s="2459">
        <v>0.12</v>
      </c>
      <c r="F62" s="2459">
        <v>0.12</v>
      </c>
      <c r="G62" s="2459">
        <v>0.12</v>
      </c>
      <c r="H62" s="2459">
        <v>0.12</v>
      </c>
      <c r="I62" s="2459">
        <v>0.12</v>
      </c>
      <c r="J62" s="2459">
        <v>0.12</v>
      </c>
      <c r="K62" s="2459">
        <v>0.12</v>
      </c>
      <c r="L62" s="2460">
        <v>0.12</v>
      </c>
      <c r="N62" s="2311" t="s">
        <v>351</v>
      </c>
      <c r="O62" s="2813" t="s">
        <v>611</v>
      </c>
      <c r="P62" s="2814"/>
      <c r="Q62" s="2814"/>
      <c r="R62" s="2814" t="s">
        <v>429</v>
      </c>
      <c r="S62" s="2535">
        <v>235</v>
      </c>
      <c r="T62" s="2535">
        <f>S62</f>
        <v>235</v>
      </c>
      <c r="U62" s="1139"/>
      <c r="V62" s="1139"/>
      <c r="W62" s="1139"/>
      <c r="X62" s="1139"/>
      <c r="Y62" s="1139"/>
      <c r="Z62" s="1139"/>
      <c r="AA62" s="1139"/>
      <c r="AB62" s="1746"/>
      <c r="AC62" s="2450">
        <f t="shared" si="35"/>
        <v>2028</v>
      </c>
      <c r="AD62" s="2449">
        <f>IF(AND(O62="New",U62=0,V62&gt;U62),V$44,0)+IF(AND(N62="New",T62=0,U62&gt;T62),U$44,0)+IF(AND(P62="New",V62=0,W62&gt;V62),W$44,0)+IF(AND(Q62="New",W62=0,X62&gt;W62),X$44,0)+IF(AND(R62="New",X62=0,Y62&gt;X62),Y$44,0)+IF(AND(S62="New",Y62=0,Z62&gt;Y62),Z$44,0)+IF(AND(T62="New",Z62=0,AA62&gt;Z62),AA$44,0)+IF(AND(U62="New",AA62=0,AB62&gt;AA62),AB$44,0)+IF(AND(O62="New",U62&gt;0),U$44,0)</f>
        <v>0</v>
      </c>
    </row>
    <row r="63" spans="2:34" ht="13.5" thickBot="1">
      <c r="B63" s="2397" t="s">
        <v>214</v>
      </c>
      <c r="C63" s="2776"/>
      <c r="D63" s="2776"/>
      <c r="E63" s="2461">
        <v>0.12</v>
      </c>
      <c r="F63" s="2461">
        <v>0.12</v>
      </c>
      <c r="G63" s="2461">
        <v>0.12</v>
      </c>
      <c r="H63" s="2461">
        <v>0.12</v>
      </c>
      <c r="I63" s="2461">
        <v>0.12</v>
      </c>
      <c r="J63" s="2461">
        <v>0.12</v>
      </c>
      <c r="K63" s="2461">
        <v>0.12</v>
      </c>
      <c r="L63" s="2462">
        <v>0.12</v>
      </c>
      <c r="N63" s="2311" t="s">
        <v>351</v>
      </c>
      <c r="O63" s="2813" t="s">
        <v>353</v>
      </c>
      <c r="P63" s="2814"/>
      <c r="Q63" s="2814"/>
      <c r="R63" s="2814" t="s">
        <v>429</v>
      </c>
      <c r="S63" s="2535">
        <v>485</v>
      </c>
      <c r="T63" s="2535">
        <f>S63</f>
        <v>485</v>
      </c>
      <c r="U63" s="1139"/>
      <c r="V63" s="1139"/>
      <c r="W63" s="1139"/>
      <c r="X63" s="1139"/>
      <c r="Y63" s="1139"/>
      <c r="Z63" s="1139"/>
      <c r="AA63" s="1139"/>
      <c r="AB63" s="1746"/>
      <c r="AC63" s="2450">
        <f t="shared" si="35"/>
        <v>2028</v>
      </c>
      <c r="AD63" s="2449">
        <f>IF(AND(O63="New",U63=0,V63&gt;U63),V$44,0)+IF(AND(N63="New",T63=0,U63&gt;T63),U$44,0)+IF(AND(P63="New",V63=0,W63&gt;V63),W$44,0)+IF(AND(Q63="New",W63=0,X63&gt;W63),X$44,0)+IF(AND(R63="New",X63=0,Y63&gt;X63),Y$44,0)+IF(AND(S63="New",Y63=0,Z63&gt;Y63),Z$44,0)+IF(AND(T63="New",Z63=0,AA63&gt;Z63),AA$44,0)+IF(AND(U63="New",AA63=0,AB63&gt;AA63),AB$44,0)+IF(AND(O63="New",U63&gt;0),U$44,0)</f>
        <v>0</v>
      </c>
    </row>
    <row r="64" spans="2:34" ht="13.5" thickBot="1">
      <c r="B64" s="2311"/>
      <c r="C64" s="2776"/>
      <c r="D64" s="2776"/>
      <c r="E64" s="2776"/>
      <c r="F64" s="2776"/>
      <c r="G64" s="2776"/>
      <c r="H64" s="2776"/>
      <c r="I64" s="2776"/>
      <c r="J64" s="2776"/>
      <c r="K64" s="2776"/>
      <c r="L64" s="2112"/>
      <c r="N64" s="2311" t="s">
        <v>351</v>
      </c>
      <c r="O64" s="2813" t="s">
        <v>612</v>
      </c>
      <c r="P64" s="2814"/>
      <c r="Q64" s="2814"/>
      <c r="R64" s="2814" t="s">
        <v>429</v>
      </c>
      <c r="S64" s="2535">
        <v>485</v>
      </c>
      <c r="T64" s="2535">
        <f>S64</f>
        <v>485</v>
      </c>
      <c r="U64" s="1139"/>
      <c r="V64" s="1139"/>
      <c r="W64" s="1139"/>
      <c r="X64" s="1139"/>
      <c r="Y64" s="1139"/>
      <c r="Z64" s="1139"/>
      <c r="AA64" s="1139"/>
      <c r="AB64" s="1746"/>
      <c r="AC64" s="2809">
        <f t="shared" si="35"/>
        <v>2028</v>
      </c>
      <c r="AD64" s="2810">
        <f>IF(AND(O64="New",U64=0,V64&gt;U64),V$44,0)+IF(AND(N64="New",T64=0,U64&gt;T64),U$44,0)+IF(AND(P64="New",V64=0,W64&gt;V64),W$44,0)+IF(AND(Q64="New",W64=0,X64&gt;W64),X$44,0)+IF(AND(R64="New",X64=0,Y64&gt;X64),Y$44,0)+IF(AND(S64="New",Y64=0,Z64&gt;Y64),Z$44,0)+IF(AND(T64="New",Z64=0,AA64&gt;Z64),AA$44,0)+IF(AND(U64="New",AA64=0,AB64&gt;AA64),AB$44,0)+IF(AND(O64="New",U64&gt;0),U$44,0)</f>
        <v>0</v>
      </c>
    </row>
    <row r="65" spans="2:28" ht="13.5" thickBot="1">
      <c r="B65" s="2358" t="s">
        <v>233</v>
      </c>
      <c r="C65" s="2776"/>
      <c r="D65" s="2776"/>
      <c r="E65" s="2324">
        <f t="shared" ref="E65:L65" si="36">E58</f>
        <v>2023</v>
      </c>
      <c r="F65" s="2324">
        <f t="shared" si="36"/>
        <v>2024</v>
      </c>
      <c r="G65" s="2324">
        <f t="shared" si="36"/>
        <v>2025</v>
      </c>
      <c r="H65" s="2324">
        <f t="shared" si="36"/>
        <v>2026</v>
      </c>
      <c r="I65" s="2324">
        <f t="shared" si="36"/>
        <v>2027</v>
      </c>
      <c r="J65" s="2324">
        <f t="shared" si="36"/>
        <v>2028</v>
      </c>
      <c r="K65" s="2324">
        <f t="shared" si="36"/>
        <v>2029</v>
      </c>
      <c r="L65" s="2442">
        <f t="shared" si="36"/>
        <v>2030</v>
      </c>
      <c r="N65" s="2436"/>
      <c r="O65" s="2373"/>
      <c r="P65" s="2373"/>
      <c r="Q65" s="2373"/>
      <c r="R65" s="2373"/>
      <c r="S65" s="2373"/>
      <c r="T65" s="2373"/>
      <c r="U65" s="2794">
        <f t="shared" ref="U65:AB65" ca="1" si="37">SUM(U45:U64)</f>
        <v>37295.5</v>
      </c>
      <c r="V65" s="2794">
        <f t="shared" ca="1" si="37"/>
        <v>53797.25</v>
      </c>
      <c r="W65" s="2794">
        <f t="shared" ca="1" si="37"/>
        <v>62566.5</v>
      </c>
      <c r="X65" s="2794">
        <f t="shared" ca="1" si="37"/>
        <v>62633</v>
      </c>
      <c r="Y65" s="2794">
        <f t="shared" ca="1" si="37"/>
        <v>62633</v>
      </c>
      <c r="Z65" s="2794">
        <f t="shared" ca="1" si="37"/>
        <v>62633</v>
      </c>
      <c r="AA65" s="2794">
        <f t="shared" ca="1" si="37"/>
        <v>62633</v>
      </c>
      <c r="AB65" s="2795">
        <f t="shared" ca="1" si="37"/>
        <v>62633</v>
      </c>
    </row>
    <row r="66" spans="2:28">
      <c r="B66" s="2311" t="str">
        <f>B52</f>
        <v>Merlot</v>
      </c>
      <c r="C66" s="2776"/>
      <c r="D66" s="2776"/>
      <c r="E66" s="2466">
        <f>(E44-(E44*E52))*(1-E59)</f>
        <v>30970.138319999998</v>
      </c>
      <c r="F66" s="2466">
        <f t="shared" ref="E66:L70" si="38">(F44-(F44*F52))*(1-F59)</f>
        <v>40946.400000000001</v>
      </c>
      <c r="G66" s="2466">
        <f t="shared" si="38"/>
        <v>47088.36</v>
      </c>
      <c r="H66" s="2466">
        <f t="shared" si="38"/>
        <v>47323.801799999994</v>
      </c>
      <c r="I66" s="2466">
        <f t="shared" si="38"/>
        <v>47323.801799999994</v>
      </c>
      <c r="J66" s="2466">
        <f t="shared" si="38"/>
        <v>47323.801799999994</v>
      </c>
      <c r="K66" s="2466">
        <f t="shared" si="38"/>
        <v>47323.801799999994</v>
      </c>
      <c r="L66" s="2467">
        <f t="shared" si="38"/>
        <v>47323.801799999994</v>
      </c>
      <c r="N66" s="2311"/>
    </row>
    <row r="67" spans="2:28">
      <c r="B67" s="2311" t="str">
        <f>B53</f>
        <v>Mavrud</v>
      </c>
      <c r="C67" s="2776"/>
      <c r="D67" s="2776"/>
      <c r="E67" s="2466">
        <f>(E45-(E45*E53))*(1-E60)</f>
        <v>8870.3112959999999</v>
      </c>
      <c r="F67" s="2466">
        <f t="shared" si="38"/>
        <v>13425.191999999999</v>
      </c>
      <c r="G67" s="2466">
        <f t="shared" si="38"/>
        <v>15438.970799999999</v>
      </c>
      <c r="H67" s="2466">
        <f t="shared" si="38"/>
        <v>15516.165654</v>
      </c>
      <c r="I67" s="2466">
        <f t="shared" si="38"/>
        <v>15516.165654</v>
      </c>
      <c r="J67" s="2466">
        <f t="shared" si="38"/>
        <v>15516.165654</v>
      </c>
      <c r="K67" s="2466">
        <f t="shared" si="38"/>
        <v>15516.165654</v>
      </c>
      <c r="L67" s="2467">
        <f t="shared" si="38"/>
        <v>15516.165654</v>
      </c>
    </row>
    <row r="68" spans="2:28" ht="13.5" thickBot="1">
      <c r="B68" s="2311" t="str">
        <f>B54</f>
        <v>Cabernet sauvignon</v>
      </c>
      <c r="C68" s="2776"/>
      <c r="D68" s="2776"/>
      <c r="E68" s="2466">
        <f t="shared" si="38"/>
        <v>13555.871999999999</v>
      </c>
      <c r="F68" s="2466">
        <f t="shared" si="38"/>
        <v>14178.78</v>
      </c>
      <c r="G68" s="2466">
        <f t="shared" si="38"/>
        <v>17014.536</v>
      </c>
      <c r="H68" s="2466">
        <f t="shared" si="38"/>
        <v>17099.608679999998</v>
      </c>
      <c r="I68" s="2466">
        <f t="shared" si="38"/>
        <v>17099.608679999998</v>
      </c>
      <c r="J68" s="2466">
        <f t="shared" si="38"/>
        <v>17099.608679999998</v>
      </c>
      <c r="K68" s="2466">
        <f t="shared" si="38"/>
        <v>17099.608679999998</v>
      </c>
      <c r="L68" s="2467">
        <f t="shared" si="38"/>
        <v>17099.608679999998</v>
      </c>
    </row>
    <row r="69" spans="2:28">
      <c r="B69" s="2311" t="str">
        <f>B55</f>
        <v>Cabernet franc</v>
      </c>
      <c r="C69" s="2776"/>
      <c r="D69" s="2776"/>
      <c r="E69" s="2466">
        <f t="shared" si="38"/>
        <v>6228.2088000000003</v>
      </c>
      <c r="F69" s="2466">
        <f t="shared" si="38"/>
        <v>8232.84</v>
      </c>
      <c r="G69" s="2466">
        <f t="shared" si="38"/>
        <v>9879.4080000000013</v>
      </c>
      <c r="H69" s="2466">
        <f t="shared" si="38"/>
        <v>9928.8050399999993</v>
      </c>
      <c r="I69" s="2466">
        <f t="shared" si="38"/>
        <v>9928.8050399999993</v>
      </c>
      <c r="J69" s="2466">
        <f t="shared" si="38"/>
        <v>9928.8050399999993</v>
      </c>
      <c r="K69" s="2466">
        <f t="shared" si="38"/>
        <v>9928.8050399999993</v>
      </c>
      <c r="L69" s="2467">
        <f t="shared" si="38"/>
        <v>9928.8050399999993</v>
      </c>
      <c r="N69" s="2301" t="s">
        <v>920</v>
      </c>
      <c r="O69" s="2299"/>
      <c r="P69" s="2463" t="s">
        <v>595</v>
      </c>
      <c r="Q69" s="2299"/>
      <c r="R69" s="2463" t="str">
        <f>R44</f>
        <v>Type</v>
      </c>
      <c r="S69" s="2299"/>
      <c r="T69" s="2299"/>
      <c r="U69" s="2464">
        <f t="shared" ref="U69:AB69" si="39">U44</f>
        <v>2023</v>
      </c>
      <c r="V69" s="2464">
        <f t="shared" si="39"/>
        <v>2024</v>
      </c>
      <c r="W69" s="2464">
        <f t="shared" si="39"/>
        <v>2025</v>
      </c>
      <c r="X69" s="2464">
        <f t="shared" si="39"/>
        <v>2026</v>
      </c>
      <c r="Y69" s="2464">
        <f t="shared" si="39"/>
        <v>2027</v>
      </c>
      <c r="Z69" s="2464">
        <f t="shared" si="39"/>
        <v>2028</v>
      </c>
      <c r="AA69" s="2464">
        <f t="shared" si="39"/>
        <v>2029</v>
      </c>
      <c r="AB69" s="2465">
        <f t="shared" si="39"/>
        <v>2030</v>
      </c>
    </row>
    <row r="70" spans="2:28">
      <c r="B70" s="2311" t="str">
        <f>B56</f>
        <v>Muscat petit grain</v>
      </c>
      <c r="C70" s="2776"/>
      <c r="D70" s="2776"/>
      <c r="E70" s="2468">
        <f t="shared" si="38"/>
        <v>3920.4</v>
      </c>
      <c r="F70" s="2468">
        <f t="shared" si="38"/>
        <v>5880.6</v>
      </c>
      <c r="G70" s="2468">
        <f t="shared" si="38"/>
        <v>6909.7049999999999</v>
      </c>
      <c r="H70" s="2468">
        <f t="shared" si="38"/>
        <v>6944.2535249999992</v>
      </c>
      <c r="I70" s="2468">
        <f t="shared" si="38"/>
        <v>6944.2535249999992</v>
      </c>
      <c r="J70" s="2468">
        <f t="shared" si="38"/>
        <v>6944.2535249999992</v>
      </c>
      <c r="K70" s="2468">
        <f t="shared" si="38"/>
        <v>6944.2535249999992</v>
      </c>
      <c r="L70" s="2469">
        <f t="shared" si="38"/>
        <v>6944.2535249999992</v>
      </c>
      <c r="N70" s="2311" t="str">
        <f>N60</f>
        <v>Reservoir</v>
      </c>
      <c r="O70" s="2776"/>
      <c r="P70" s="2776" t="s">
        <v>196</v>
      </c>
      <c r="Q70" s="2776"/>
      <c r="R70" s="2776" t="str">
        <f>R53</f>
        <v>process</v>
      </c>
      <c r="S70" s="2776"/>
      <c r="T70" s="2776"/>
      <c r="U70" s="2775">
        <f t="shared" ref="U70:AB70" si="40">SUM(U45:U46)</f>
        <v>1699.5</v>
      </c>
      <c r="V70" s="2775">
        <f t="shared" si="40"/>
        <v>2804.25</v>
      </c>
      <c r="W70" s="2775">
        <f t="shared" si="40"/>
        <v>3295.5</v>
      </c>
      <c r="X70" s="2775">
        <f t="shared" si="40"/>
        <v>3312</v>
      </c>
      <c r="Y70" s="2775">
        <f t="shared" si="40"/>
        <v>3312</v>
      </c>
      <c r="Z70" s="2775">
        <f t="shared" si="40"/>
        <v>3312</v>
      </c>
      <c r="AA70" s="2775">
        <f t="shared" si="40"/>
        <v>3312</v>
      </c>
      <c r="AB70" s="2458">
        <f t="shared" si="40"/>
        <v>3312</v>
      </c>
    </row>
    <row r="71" spans="2:28">
      <c r="B71" s="2311" t="s">
        <v>234</v>
      </c>
      <c r="C71" s="2776"/>
      <c r="D71" s="2909"/>
      <c r="E71" s="2873">
        <f t="shared" ref="E71:L71" si="41">SUM(E66:E70)</f>
        <v>63544.930416000003</v>
      </c>
      <c r="F71" s="2873">
        <f t="shared" si="41"/>
        <v>82663.812000000005</v>
      </c>
      <c r="G71" s="2873">
        <f t="shared" si="41"/>
        <v>96330.979799999986</v>
      </c>
      <c r="H71" s="2873">
        <f t="shared" si="41"/>
        <v>96812.634699000002</v>
      </c>
      <c r="I71" s="2873">
        <f t="shared" si="41"/>
        <v>96812.634699000002</v>
      </c>
      <c r="J71" s="2873">
        <f t="shared" si="41"/>
        <v>96812.634699000002</v>
      </c>
      <c r="K71" s="2873">
        <f t="shared" si="41"/>
        <v>96812.634699000002</v>
      </c>
      <c r="L71" s="2472">
        <f t="shared" si="41"/>
        <v>96812.634699000002</v>
      </c>
      <c r="N71" s="2311" t="str">
        <f>N70</f>
        <v>Reservoir</v>
      </c>
      <c r="O71" s="2776"/>
      <c r="P71" s="2776" t="s">
        <v>198</v>
      </c>
      <c r="Q71" s="2776"/>
      <c r="R71" s="2776" t="str">
        <f>R54</f>
        <v>process</v>
      </c>
      <c r="S71" s="2776"/>
      <c r="T71" s="2776"/>
      <c r="U71" s="2775">
        <f>U64+U63</f>
        <v>0</v>
      </c>
      <c r="V71" s="2775">
        <f>V64+V63</f>
        <v>0</v>
      </c>
      <c r="W71" s="2775">
        <f t="shared" ref="W71:AB71" si="42">W64+W63</f>
        <v>0</v>
      </c>
      <c r="X71" s="2775">
        <f t="shared" si="42"/>
        <v>0</v>
      </c>
      <c r="Y71" s="2775">
        <f t="shared" si="42"/>
        <v>0</v>
      </c>
      <c r="Z71" s="2775">
        <f t="shared" si="42"/>
        <v>0</v>
      </c>
      <c r="AA71" s="2775">
        <f t="shared" si="42"/>
        <v>0</v>
      </c>
      <c r="AB71" s="2458">
        <f t="shared" si="42"/>
        <v>0</v>
      </c>
    </row>
    <row r="72" spans="2:28">
      <c r="B72" s="2311"/>
      <c r="C72" s="2776"/>
      <c r="D72" s="2776"/>
      <c r="E72" s="2776"/>
      <c r="F72" s="2776"/>
      <c r="G72" s="2776"/>
      <c r="H72" s="2776"/>
      <c r="I72" s="2776"/>
      <c r="J72" s="2776"/>
      <c r="K72" s="2776"/>
      <c r="L72" s="2112"/>
      <c r="N72" s="2311" t="str">
        <f>N71</f>
        <v>Reservoir</v>
      </c>
      <c r="O72" s="2776"/>
      <c r="P72" s="2776" t="s">
        <v>201</v>
      </c>
      <c r="Q72" s="2776" t="str">
        <f>Q53</f>
        <v>CS/Merlot/Mavrud</v>
      </c>
      <c r="R72" s="2776" t="str">
        <f>R56</f>
        <v>process</v>
      </c>
      <c r="S72" s="2776"/>
      <c r="T72" s="2776"/>
      <c r="U72" s="2775">
        <f>U47</f>
        <v>0</v>
      </c>
      <c r="V72" s="2775">
        <f>V47</f>
        <v>0</v>
      </c>
      <c r="W72" s="2775">
        <f t="shared" ref="W72:AB72" si="43">W47</f>
        <v>0</v>
      </c>
      <c r="X72" s="2775">
        <f t="shared" si="43"/>
        <v>0</v>
      </c>
      <c r="Y72" s="2775">
        <f t="shared" si="43"/>
        <v>0</v>
      </c>
      <c r="Z72" s="2775">
        <f t="shared" si="43"/>
        <v>0</v>
      </c>
      <c r="AA72" s="2775">
        <f t="shared" si="43"/>
        <v>0</v>
      </c>
      <c r="AB72" s="2458">
        <f t="shared" si="43"/>
        <v>0</v>
      </c>
    </row>
    <row r="73" spans="2:28">
      <c r="B73" s="2311"/>
      <c r="C73" s="2776"/>
      <c r="D73" s="2776"/>
      <c r="E73" s="2776"/>
      <c r="F73" s="2776"/>
      <c r="G73" s="2776"/>
      <c r="H73" s="2776"/>
      <c r="I73" s="2776"/>
      <c r="J73" s="2776"/>
      <c r="K73" s="2776"/>
      <c r="L73" s="2112"/>
      <c r="N73" s="2311" t="str">
        <f>N72</f>
        <v>Reservoir</v>
      </c>
      <c r="O73" s="2776"/>
      <c r="P73" s="2776" t="s">
        <v>201</v>
      </c>
      <c r="Q73" s="2776" t="str">
        <f>Q47</f>
        <v>CF</v>
      </c>
      <c r="R73" s="2776" t="str">
        <f>R48</f>
        <v>process</v>
      </c>
      <c r="S73" s="2776"/>
      <c r="T73" s="2776"/>
      <c r="U73" s="2775">
        <f t="shared" ref="U73:AB73" si="44">U47</f>
        <v>0</v>
      </c>
      <c r="V73" s="2775">
        <f t="shared" si="44"/>
        <v>0</v>
      </c>
      <c r="W73" s="2775">
        <f t="shared" si="44"/>
        <v>0</v>
      </c>
      <c r="X73" s="2775">
        <f t="shared" si="44"/>
        <v>0</v>
      </c>
      <c r="Y73" s="2775">
        <f t="shared" si="44"/>
        <v>0</v>
      </c>
      <c r="Z73" s="2775">
        <f t="shared" si="44"/>
        <v>0</v>
      </c>
      <c r="AA73" s="2775">
        <f t="shared" si="44"/>
        <v>0</v>
      </c>
      <c r="AB73" s="2458">
        <f t="shared" si="44"/>
        <v>0</v>
      </c>
    </row>
    <row r="74" spans="2:28">
      <c r="B74" s="2401" t="s">
        <v>1193</v>
      </c>
      <c r="C74" s="2776"/>
      <c r="D74" s="2776"/>
      <c r="E74" s="2324">
        <f>E65</f>
        <v>2023</v>
      </c>
      <c r="F74" s="2324">
        <f t="shared" ref="F74:L74" si="45">F65</f>
        <v>2024</v>
      </c>
      <c r="G74" s="2324">
        <f t="shared" si="45"/>
        <v>2025</v>
      </c>
      <c r="H74" s="2324">
        <f t="shared" si="45"/>
        <v>2026</v>
      </c>
      <c r="I74" s="2324">
        <f t="shared" si="45"/>
        <v>2027</v>
      </c>
      <c r="J74" s="2324">
        <f t="shared" si="45"/>
        <v>2028</v>
      </c>
      <c r="K74" s="2324">
        <f t="shared" si="45"/>
        <v>2029</v>
      </c>
      <c r="L74" s="2442">
        <f t="shared" si="45"/>
        <v>2030</v>
      </c>
      <c r="N74" s="2311" t="str">
        <f>N73</f>
        <v>Reservoir</v>
      </c>
      <c r="O74" s="2776"/>
      <c r="P74" s="2776" t="s">
        <v>205</v>
      </c>
      <c r="Q74" s="2776"/>
      <c r="R74" s="2776" t="str">
        <f>R57</f>
        <v>process</v>
      </c>
      <c r="S74" s="2776"/>
      <c r="T74" s="2776"/>
      <c r="U74" s="2775">
        <f ca="1">SUM(U48:U55)</f>
        <v>31321</v>
      </c>
      <c r="V74" s="2775">
        <f ca="1">SUM(V48:V55)</f>
        <v>45368</v>
      </c>
      <c r="W74" s="2775">
        <f t="shared" ref="W74:AB74" ca="1" si="46">SUM(W48:W55)</f>
        <v>52746</v>
      </c>
      <c r="X74" s="2775">
        <f t="shared" ca="1" si="46"/>
        <v>52796</v>
      </c>
      <c r="Y74" s="2775">
        <f t="shared" ca="1" si="46"/>
        <v>52796</v>
      </c>
      <c r="Z74" s="2775">
        <f t="shared" ca="1" si="46"/>
        <v>52796</v>
      </c>
      <c r="AA74" s="2775">
        <f t="shared" ca="1" si="46"/>
        <v>52796</v>
      </c>
      <c r="AB74" s="2458">
        <f t="shared" ca="1" si="46"/>
        <v>52796</v>
      </c>
    </row>
    <row r="75" spans="2:28">
      <c r="B75" s="2397" t="s">
        <v>210</v>
      </c>
      <c r="C75" s="2776"/>
      <c r="D75" s="2776"/>
      <c r="E75" s="2459">
        <v>0</v>
      </c>
      <c r="F75" s="2459">
        <v>0.1</v>
      </c>
      <c r="G75" s="2459">
        <v>0.1</v>
      </c>
      <c r="H75" s="2459">
        <v>0.1</v>
      </c>
      <c r="I75" s="2459">
        <v>0.1</v>
      </c>
      <c r="J75" s="2459">
        <v>0.1</v>
      </c>
      <c r="K75" s="2459">
        <v>0.1</v>
      </c>
      <c r="L75" s="2460">
        <v>0.1</v>
      </c>
      <c r="N75" s="2311" t="str">
        <f>N74</f>
        <v>Reservoir</v>
      </c>
      <c r="O75" s="2776"/>
      <c r="P75" s="2776" t="s">
        <v>206</v>
      </c>
      <c r="Q75" s="2776"/>
      <c r="R75" s="2776" t="str">
        <f>R58</f>
        <v>process</v>
      </c>
      <c r="S75" s="2776"/>
      <c r="T75" s="2776"/>
      <c r="U75" s="2775">
        <f t="shared" ref="U75:AB75" si="47">SUM(U56:U59)</f>
        <v>4275</v>
      </c>
      <c r="V75" s="2775">
        <f t="shared" si="47"/>
        <v>5625</v>
      </c>
      <c r="W75" s="2775">
        <f t="shared" si="47"/>
        <v>6525</v>
      </c>
      <c r="X75" s="2775">
        <f t="shared" si="47"/>
        <v>6525</v>
      </c>
      <c r="Y75" s="2775">
        <f t="shared" si="47"/>
        <v>6525</v>
      </c>
      <c r="Z75" s="2775">
        <f t="shared" si="47"/>
        <v>6525</v>
      </c>
      <c r="AA75" s="2775">
        <f t="shared" si="47"/>
        <v>6525</v>
      </c>
      <c r="AB75" s="2458">
        <f t="shared" si="47"/>
        <v>6525</v>
      </c>
    </row>
    <row r="76" spans="2:28">
      <c r="B76" s="2397" t="s">
        <v>211</v>
      </c>
      <c r="C76" s="2776"/>
      <c r="D76" s="2776"/>
      <c r="E76" s="2459">
        <v>0</v>
      </c>
      <c r="F76" s="2459">
        <v>0.1</v>
      </c>
      <c r="G76" s="2459">
        <v>0.1</v>
      </c>
      <c r="H76" s="2459">
        <v>0.1</v>
      </c>
      <c r="I76" s="2459">
        <v>0.1</v>
      </c>
      <c r="J76" s="2459">
        <v>0.1</v>
      </c>
      <c r="K76" s="2459">
        <v>0.1</v>
      </c>
      <c r="L76" s="2460">
        <v>0.1</v>
      </c>
      <c r="N76" s="2311"/>
      <c r="O76" s="2776"/>
      <c r="P76" s="2776"/>
      <c r="Q76" s="2776"/>
      <c r="R76" s="2776"/>
      <c r="S76" s="2776"/>
      <c r="T76" s="2776"/>
      <c r="U76" s="2776"/>
      <c r="V76" s="2776"/>
      <c r="W76" s="2776"/>
      <c r="X76" s="2776"/>
      <c r="Y76" s="2776"/>
      <c r="Z76" s="2776"/>
      <c r="AA76" s="2566"/>
      <c r="AB76" s="2112"/>
    </row>
    <row r="77" spans="2:28">
      <c r="B77" s="2397" t="s">
        <v>212</v>
      </c>
      <c r="C77" s="2776"/>
      <c r="D77" s="2776"/>
      <c r="E77" s="2459">
        <v>0</v>
      </c>
      <c r="F77" s="2459">
        <v>0.1</v>
      </c>
      <c r="G77" s="2459">
        <v>0.1</v>
      </c>
      <c r="H77" s="2459">
        <v>0.1</v>
      </c>
      <c r="I77" s="2459">
        <v>0.1</v>
      </c>
      <c r="J77" s="2459">
        <v>0.1</v>
      </c>
      <c r="K77" s="2459">
        <v>0.1</v>
      </c>
      <c r="L77" s="2460">
        <v>0.1</v>
      </c>
      <c r="N77" s="2358" t="s">
        <v>919</v>
      </c>
      <c r="O77" s="2776"/>
      <c r="P77" s="2776"/>
      <c r="Q77" s="2776"/>
      <c r="R77" s="2776"/>
      <c r="S77" s="2776"/>
      <c r="T77" s="2776"/>
      <c r="U77" s="2776"/>
      <c r="V77" s="2776"/>
      <c r="W77" s="2776"/>
      <c r="X77" s="2776"/>
      <c r="Y77" s="2776"/>
      <c r="Z77" s="2776"/>
      <c r="AA77" s="2776"/>
      <c r="AB77" s="2112"/>
    </row>
    <row r="78" spans="2:28">
      <c r="B78" s="2397" t="s">
        <v>213</v>
      </c>
      <c r="C78" s="2776"/>
      <c r="D78" s="2776"/>
      <c r="E78" s="2459">
        <v>0</v>
      </c>
      <c r="F78" s="2459">
        <v>0.1</v>
      </c>
      <c r="G78" s="2459">
        <v>0.1</v>
      </c>
      <c r="H78" s="2459">
        <v>0.1</v>
      </c>
      <c r="I78" s="2459">
        <v>0.1</v>
      </c>
      <c r="J78" s="2459">
        <v>0.1</v>
      </c>
      <c r="K78" s="2459">
        <v>0.1</v>
      </c>
      <c r="L78" s="2460">
        <v>0.1</v>
      </c>
      <c r="N78" s="2311" t="s">
        <v>921</v>
      </c>
      <c r="O78" s="2776"/>
      <c r="P78" s="2776" t="s">
        <v>196</v>
      </c>
      <c r="Q78" s="2776"/>
      <c r="R78" s="2776"/>
      <c r="S78" s="2776"/>
      <c r="T78" s="2776"/>
      <c r="U78" s="2775">
        <f t="shared" ref="U78:AB79" si="48">E235</f>
        <v>1699.5</v>
      </c>
      <c r="V78" s="2775">
        <f t="shared" si="48"/>
        <v>2804.25</v>
      </c>
      <c r="W78" s="2775">
        <f t="shared" si="48"/>
        <v>3295.5</v>
      </c>
      <c r="X78" s="2775">
        <f t="shared" si="48"/>
        <v>3312</v>
      </c>
      <c r="Y78" s="2775">
        <f t="shared" si="48"/>
        <v>3312</v>
      </c>
      <c r="Z78" s="2775">
        <f t="shared" si="48"/>
        <v>3312</v>
      </c>
      <c r="AA78" s="2775">
        <f t="shared" si="48"/>
        <v>3312</v>
      </c>
      <c r="AB78" s="2458">
        <f t="shared" si="48"/>
        <v>3312</v>
      </c>
    </row>
    <row r="79" spans="2:28">
      <c r="B79" s="2397" t="s">
        <v>214</v>
      </c>
      <c r="C79" s="2776"/>
      <c r="D79" s="2776"/>
      <c r="E79" s="2461">
        <v>0</v>
      </c>
      <c r="F79" s="2461">
        <v>0.1</v>
      </c>
      <c r="G79" s="2461">
        <v>0.1</v>
      </c>
      <c r="H79" s="2461">
        <v>0.1</v>
      </c>
      <c r="I79" s="2461">
        <v>0.1</v>
      </c>
      <c r="J79" s="2461">
        <v>0.1</v>
      </c>
      <c r="K79" s="2461">
        <v>0.1</v>
      </c>
      <c r="L79" s="2462">
        <v>0.1</v>
      </c>
      <c r="N79" s="2311" t="s">
        <v>921</v>
      </c>
      <c r="O79" s="2776"/>
      <c r="P79" s="2776" t="s">
        <v>198</v>
      </c>
      <c r="Q79" s="2776"/>
      <c r="R79" s="2776"/>
      <c r="S79" s="2776"/>
      <c r="T79" s="2776"/>
      <c r="U79" s="2775">
        <f t="shared" si="48"/>
        <v>0</v>
      </c>
      <c r="V79" s="2775">
        <f t="shared" si="48"/>
        <v>0</v>
      </c>
      <c r="W79" s="2775">
        <f t="shared" si="48"/>
        <v>0</v>
      </c>
      <c r="X79" s="2775">
        <f t="shared" si="48"/>
        <v>0</v>
      </c>
      <c r="Y79" s="2775">
        <f t="shared" si="48"/>
        <v>0</v>
      </c>
      <c r="Z79" s="2775">
        <f t="shared" si="48"/>
        <v>0</v>
      </c>
      <c r="AA79" s="2775">
        <f t="shared" si="48"/>
        <v>0</v>
      </c>
      <c r="AB79" s="2458">
        <f t="shared" si="48"/>
        <v>0</v>
      </c>
    </row>
    <row r="80" spans="2:28">
      <c r="B80" s="2311"/>
      <c r="C80" s="2776"/>
      <c r="D80" s="2776"/>
      <c r="E80" s="2776"/>
      <c r="F80" s="2776"/>
      <c r="G80" s="2776"/>
      <c r="H80" s="2776"/>
      <c r="I80" s="2776"/>
      <c r="J80" s="2776"/>
      <c r="K80" s="2776"/>
      <c r="L80" s="2112"/>
      <c r="N80" s="2311" t="s">
        <v>921</v>
      </c>
      <c r="O80" s="2776"/>
      <c r="P80" s="2776" t="s">
        <v>201</v>
      </c>
      <c r="Q80" s="2776" t="str">
        <f>Q72</f>
        <v>CS/Merlot/Mavrud</v>
      </c>
      <c r="R80" s="2776"/>
      <c r="S80" s="2776"/>
      <c r="T80" s="2776"/>
      <c r="U80" s="2775">
        <f t="shared" ref="U80:AB80" si="49">E174+E175+E176</f>
        <v>0</v>
      </c>
      <c r="V80" s="2775">
        <f t="shared" si="49"/>
        <v>0</v>
      </c>
      <c r="W80" s="2775">
        <f t="shared" si="49"/>
        <v>0</v>
      </c>
      <c r="X80" s="2775">
        <f t="shared" si="49"/>
        <v>0</v>
      </c>
      <c r="Y80" s="2775">
        <f t="shared" si="49"/>
        <v>0</v>
      </c>
      <c r="Z80" s="2775">
        <f t="shared" si="49"/>
        <v>0</v>
      </c>
      <c r="AA80" s="2775">
        <f t="shared" si="49"/>
        <v>0</v>
      </c>
      <c r="AB80" s="2458">
        <f t="shared" si="49"/>
        <v>0</v>
      </c>
    </row>
    <row r="81" spans="2:41">
      <c r="B81" s="2358" t="s">
        <v>235</v>
      </c>
      <c r="C81" s="2776"/>
      <c r="D81" s="2776"/>
      <c r="E81" s="2324">
        <f t="shared" ref="E81:L81" si="50">E65</f>
        <v>2023</v>
      </c>
      <c r="F81" s="2324">
        <f t="shared" si="50"/>
        <v>2024</v>
      </c>
      <c r="G81" s="2324">
        <f t="shared" si="50"/>
        <v>2025</v>
      </c>
      <c r="H81" s="2324">
        <f t="shared" si="50"/>
        <v>2026</v>
      </c>
      <c r="I81" s="2324">
        <f t="shared" si="50"/>
        <v>2027</v>
      </c>
      <c r="J81" s="2324">
        <f t="shared" si="50"/>
        <v>2028</v>
      </c>
      <c r="K81" s="2324">
        <f t="shared" si="50"/>
        <v>2029</v>
      </c>
      <c r="L81" s="2442">
        <f t="shared" si="50"/>
        <v>2030</v>
      </c>
      <c r="N81" s="2311" t="str">
        <f>N80</f>
        <v>Production calculation</v>
      </c>
      <c r="O81" s="2776"/>
      <c r="P81" s="2776" t="s">
        <v>201</v>
      </c>
      <c r="Q81" s="2776" t="str">
        <f>Q73</f>
        <v>CF</v>
      </c>
      <c r="R81" s="2776"/>
      <c r="S81" s="2776"/>
      <c r="T81" s="2776"/>
      <c r="U81" s="2775">
        <f t="shared" ref="U81:AB81" si="51">E177</f>
        <v>0</v>
      </c>
      <c r="V81" s="2775">
        <f t="shared" si="51"/>
        <v>0</v>
      </c>
      <c r="W81" s="2775">
        <f t="shared" si="51"/>
        <v>0</v>
      </c>
      <c r="X81" s="2775">
        <f t="shared" si="51"/>
        <v>0</v>
      </c>
      <c r="Y81" s="2775">
        <f t="shared" si="51"/>
        <v>0</v>
      </c>
      <c r="Z81" s="2775">
        <f t="shared" si="51"/>
        <v>0</v>
      </c>
      <c r="AA81" s="2775">
        <f t="shared" si="51"/>
        <v>0</v>
      </c>
      <c r="AB81" s="2458">
        <f t="shared" si="51"/>
        <v>0</v>
      </c>
    </row>
    <row r="82" spans="2:41">
      <c r="B82" s="2311" t="str">
        <f>B66</f>
        <v>Merlot</v>
      </c>
      <c r="C82" s="2776"/>
      <c r="D82" s="2874">
        <f>E82/$D$87</f>
        <v>0.52362494303070539</v>
      </c>
      <c r="E82" s="2466">
        <f>E66*$G$23*(1+E75)</f>
        <v>18890.545569667196</v>
      </c>
      <c r="F82" s="2466">
        <f>F66*$G$23*(1+F75)</f>
        <v>27473.232758400001</v>
      </c>
      <c r="G82" s="2466">
        <f t="shared" ref="G82:L82" si="52">G66*$G$23*(1+G75)</f>
        <v>31594.217672160001</v>
      </c>
      <c r="H82" s="2466">
        <f t="shared" si="52"/>
        <v>31752.188760520796</v>
      </c>
      <c r="I82" s="2466">
        <f t="shared" si="52"/>
        <v>31752.188760520796</v>
      </c>
      <c r="J82" s="2466">
        <f t="shared" si="52"/>
        <v>31752.188760520796</v>
      </c>
      <c r="K82" s="2466">
        <f t="shared" si="52"/>
        <v>31752.188760520796</v>
      </c>
      <c r="L82" s="2467">
        <f t="shared" si="52"/>
        <v>31752.188760520796</v>
      </c>
      <c r="N82" s="2311" t="s">
        <v>921</v>
      </c>
      <c r="O82" s="2776"/>
      <c r="P82" s="2776" t="s">
        <v>205</v>
      </c>
      <c r="Q82" s="2776"/>
      <c r="R82" s="2776"/>
      <c r="S82" s="2776"/>
      <c r="T82" s="2776"/>
      <c r="U82" s="2775">
        <f t="shared" ref="U82:AB83" si="53">E238</f>
        <v>31321</v>
      </c>
      <c r="V82" s="2775">
        <f t="shared" si="53"/>
        <v>45368</v>
      </c>
      <c r="W82" s="2775">
        <f t="shared" si="53"/>
        <v>52746</v>
      </c>
      <c r="X82" s="2775">
        <f t="shared" si="53"/>
        <v>52796</v>
      </c>
      <c r="Y82" s="2775">
        <f t="shared" si="53"/>
        <v>52796</v>
      </c>
      <c r="Z82" s="2775">
        <f t="shared" si="53"/>
        <v>52796</v>
      </c>
      <c r="AA82" s="2775">
        <f t="shared" si="53"/>
        <v>52796</v>
      </c>
      <c r="AB82" s="2458">
        <f t="shared" si="53"/>
        <v>52796</v>
      </c>
    </row>
    <row r="83" spans="2:41">
      <c r="B83" s="2311" t="str">
        <f>B67</f>
        <v>Mavrud</v>
      </c>
      <c r="C83" s="2776"/>
      <c r="D83" s="2874">
        <f>E83/$D$87</f>
        <v>0.14473442329828493</v>
      </c>
      <c r="E83" s="2466">
        <f>E67*$G$24</f>
        <v>5221.5087443904004</v>
      </c>
      <c r="F83" s="2466">
        <f>F67*$G$24*(1+F76)</f>
        <v>8693.01319788</v>
      </c>
      <c r="G83" s="2466">
        <f t="shared" ref="G83:L83" si="54">G67*$G$24*(1+G76)</f>
        <v>9996.9651775619986</v>
      </c>
      <c r="H83" s="2466">
        <f t="shared" si="54"/>
        <v>10046.950003449811</v>
      </c>
      <c r="I83" s="2466">
        <f t="shared" si="54"/>
        <v>10046.950003449811</v>
      </c>
      <c r="J83" s="2466">
        <f t="shared" si="54"/>
        <v>10046.950003449811</v>
      </c>
      <c r="K83" s="2466">
        <f t="shared" si="54"/>
        <v>10046.950003449811</v>
      </c>
      <c r="L83" s="2467">
        <f t="shared" si="54"/>
        <v>10046.950003449811</v>
      </c>
      <c r="N83" s="2311" t="s">
        <v>921</v>
      </c>
      <c r="O83" s="2776"/>
      <c r="P83" s="2776" t="s">
        <v>206</v>
      </c>
      <c r="Q83" s="2776"/>
      <c r="R83" s="2776"/>
      <c r="S83" s="2776"/>
      <c r="T83" s="2776"/>
      <c r="U83" s="2775">
        <f t="shared" si="53"/>
        <v>4275</v>
      </c>
      <c r="V83" s="2775">
        <f t="shared" si="53"/>
        <v>5625</v>
      </c>
      <c r="W83" s="2775">
        <f t="shared" si="53"/>
        <v>6525</v>
      </c>
      <c r="X83" s="2775">
        <f t="shared" si="53"/>
        <v>6525</v>
      </c>
      <c r="Y83" s="2775">
        <f t="shared" si="53"/>
        <v>6525</v>
      </c>
      <c r="Z83" s="2775">
        <f t="shared" si="53"/>
        <v>6525</v>
      </c>
      <c r="AA83" s="2775">
        <f t="shared" si="53"/>
        <v>6525</v>
      </c>
      <c r="AB83" s="2458">
        <f t="shared" si="53"/>
        <v>6525</v>
      </c>
    </row>
    <row r="84" spans="2:41">
      <c r="B84" s="2311" t="str">
        <f>B68</f>
        <v>Cabernet sauvignon</v>
      </c>
      <c r="C84" s="2776"/>
      <c r="D84" s="2874">
        <f>E84/$D$87</f>
        <v>0.22408824388436929</v>
      </c>
      <c r="E84" s="2466">
        <f>E68*$G$25</f>
        <v>8084.3153846399991</v>
      </c>
      <c r="F84" s="2466">
        <f>F68*$G$25*(1+F77)</f>
        <v>9301.3789314600017</v>
      </c>
      <c r="G84" s="2466">
        <f t="shared" ref="G84:L84" si="55">G68*$G$25*(1+G77)</f>
        <v>11161.654717752001</v>
      </c>
      <c r="H84" s="2466">
        <f t="shared" si="55"/>
        <v>11217.462991340757</v>
      </c>
      <c r="I84" s="2466">
        <f t="shared" si="55"/>
        <v>11217.462991340757</v>
      </c>
      <c r="J84" s="2466">
        <f t="shared" si="55"/>
        <v>11217.462991340757</v>
      </c>
      <c r="K84" s="2466">
        <f t="shared" si="55"/>
        <v>11217.462991340757</v>
      </c>
      <c r="L84" s="2467">
        <f t="shared" si="55"/>
        <v>11217.462991340757</v>
      </c>
      <c r="N84" s="2311"/>
      <c r="O84" s="2776"/>
      <c r="P84" s="2776"/>
      <c r="Q84" s="2776"/>
      <c r="R84" s="2776"/>
      <c r="S84" s="2776"/>
      <c r="T84" s="2776"/>
      <c r="U84" s="2774"/>
      <c r="V84" s="2774"/>
      <c r="W84" s="2774"/>
      <c r="X84" s="2776"/>
      <c r="Y84" s="2776"/>
      <c r="Z84" s="2776"/>
      <c r="AA84" s="2566"/>
      <c r="AB84" s="2470"/>
    </row>
    <row r="85" spans="2:41">
      <c r="B85" s="2311" t="str">
        <f>B69</f>
        <v>Cabernet franc</v>
      </c>
      <c r="C85" s="2776"/>
      <c r="D85" s="2874">
        <f>E85/$D$87</f>
        <v>0.10755238978664038</v>
      </c>
      <c r="E85" s="2466">
        <f>E69*$G$26</f>
        <v>3880.1118003120005</v>
      </c>
      <c r="F85" s="2466">
        <f>F69*$G$26*(1+F78)</f>
        <v>5641.8746907600007</v>
      </c>
      <c r="G85" s="2466">
        <f t="shared" ref="G85:L85" si="56">G69*$G$26*(1+G78)</f>
        <v>6770.2496289120018</v>
      </c>
      <c r="H85" s="2466">
        <f t="shared" si="56"/>
        <v>6804.1008770565613</v>
      </c>
      <c r="I85" s="2466">
        <f t="shared" si="56"/>
        <v>6804.1008770565613</v>
      </c>
      <c r="J85" s="2466">
        <f t="shared" si="56"/>
        <v>6804.1008770565613</v>
      </c>
      <c r="K85" s="2466">
        <f t="shared" si="56"/>
        <v>6804.1008770565613</v>
      </c>
      <c r="L85" s="2467">
        <f t="shared" si="56"/>
        <v>6804.1008770565613</v>
      </c>
      <c r="N85" s="2311" t="s">
        <v>875</v>
      </c>
      <c r="O85" s="2776"/>
      <c r="P85" s="2776" t="s">
        <v>196</v>
      </c>
      <c r="Q85" s="2776"/>
      <c r="R85" s="2776"/>
      <c r="S85" s="2776"/>
      <c r="T85" s="2776"/>
      <c r="U85" s="2775">
        <f t="shared" ref="U85:AB86" si="57">U78-U70</f>
        <v>0</v>
      </c>
      <c r="V85" s="2775">
        <f t="shared" ref="V85:V90" si="58">V78-V70</f>
        <v>0</v>
      </c>
      <c r="W85" s="2775">
        <f t="shared" si="57"/>
        <v>0</v>
      </c>
      <c r="X85" s="2775">
        <f t="shared" si="57"/>
        <v>0</v>
      </c>
      <c r="Y85" s="2775">
        <f t="shared" si="57"/>
        <v>0</v>
      </c>
      <c r="Z85" s="2775">
        <f t="shared" si="57"/>
        <v>0</v>
      </c>
      <c r="AA85" s="2775">
        <f t="shared" si="57"/>
        <v>0</v>
      </c>
      <c r="AB85" s="2458">
        <f t="shared" si="57"/>
        <v>0</v>
      </c>
    </row>
    <row r="86" spans="2:41">
      <c r="B86" s="2311" t="str">
        <f>B70</f>
        <v>Muscat petit grain</v>
      </c>
      <c r="C86" s="2776"/>
      <c r="D86" s="2776"/>
      <c r="E86" s="2468">
        <f>E70*$G$27</f>
        <v>1699.88544</v>
      </c>
      <c r="F86" s="2468">
        <f>F70*$G$27*(1+F79)</f>
        <v>2804.8109760000002</v>
      </c>
      <c r="G86" s="2468">
        <f t="shared" ref="G86:L86" si="59">G70*$G$27*(1+G79)</f>
        <v>3295.6528968000002</v>
      </c>
      <c r="H86" s="2468">
        <f t="shared" si="59"/>
        <v>3312.1311612839995</v>
      </c>
      <c r="I86" s="2468">
        <f t="shared" si="59"/>
        <v>3312.1311612839995</v>
      </c>
      <c r="J86" s="2468">
        <f t="shared" si="59"/>
        <v>3312.1311612839995</v>
      </c>
      <c r="K86" s="2468">
        <f t="shared" si="59"/>
        <v>3312.1311612839995</v>
      </c>
      <c r="L86" s="2469">
        <f t="shared" si="59"/>
        <v>3312.1311612839995</v>
      </c>
      <c r="N86" s="2311" t="s">
        <v>875</v>
      </c>
      <c r="O86" s="2776"/>
      <c r="P86" s="2776" t="s">
        <v>198</v>
      </c>
      <c r="Q86" s="2776"/>
      <c r="R86" s="2776"/>
      <c r="S86" s="2776"/>
      <c r="T86" s="2776"/>
      <c r="U86" s="2775">
        <f t="shared" si="57"/>
        <v>0</v>
      </c>
      <c r="V86" s="2775">
        <f t="shared" si="58"/>
        <v>0</v>
      </c>
      <c r="W86" s="2775">
        <f t="shared" si="57"/>
        <v>0</v>
      </c>
      <c r="X86" s="2775">
        <f t="shared" si="57"/>
        <v>0</v>
      </c>
      <c r="Y86" s="2775">
        <f t="shared" si="57"/>
        <v>0</v>
      </c>
      <c r="Z86" s="2775">
        <f t="shared" si="57"/>
        <v>0</v>
      </c>
      <c r="AA86" s="2775">
        <f t="shared" si="57"/>
        <v>0</v>
      </c>
      <c r="AB86" s="2458">
        <f t="shared" si="57"/>
        <v>0</v>
      </c>
    </row>
    <row r="87" spans="2:41">
      <c r="B87" s="2311" t="s">
        <v>236</v>
      </c>
      <c r="C87" s="2776"/>
      <c r="D87" s="2775">
        <f>E82+E83+E84+E85</f>
        <v>36076.481499009598</v>
      </c>
      <c r="E87" s="2873">
        <f t="shared" ref="E87:L87" si="60">SUM(E82:E86)</f>
        <v>37776.366939009597</v>
      </c>
      <c r="F87" s="2873">
        <f t="shared" si="60"/>
        <v>53914.3105545</v>
      </c>
      <c r="G87" s="2873">
        <f t="shared" si="60"/>
        <v>62818.740093185996</v>
      </c>
      <c r="H87" s="2873">
        <f t="shared" si="60"/>
        <v>63132.833793651924</v>
      </c>
      <c r="I87" s="2873">
        <f t="shared" si="60"/>
        <v>63132.833793651924</v>
      </c>
      <c r="J87" s="2873">
        <f t="shared" si="60"/>
        <v>63132.833793651924</v>
      </c>
      <c r="K87" s="2873">
        <f t="shared" si="60"/>
        <v>63132.833793651924</v>
      </c>
      <c r="L87" s="2472">
        <f t="shared" si="60"/>
        <v>63132.833793651924</v>
      </c>
      <c r="N87" s="2311" t="s">
        <v>875</v>
      </c>
      <c r="O87" s="2776"/>
      <c r="P87" s="2776" t="s">
        <v>201</v>
      </c>
      <c r="Q87" s="2776" t="str">
        <f>Q80</f>
        <v>CS/Merlot/Mavrud</v>
      </c>
      <c r="R87" s="2776"/>
      <c r="S87" s="2776"/>
      <c r="T87" s="2776"/>
      <c r="U87" s="2775">
        <f>U80-U72</f>
        <v>0</v>
      </c>
      <c r="V87" s="2775">
        <f t="shared" si="58"/>
        <v>0</v>
      </c>
      <c r="W87" s="2775">
        <f t="shared" ref="W87:AB87" si="61">W80-W72</f>
        <v>0</v>
      </c>
      <c r="X87" s="2775">
        <f t="shared" si="61"/>
        <v>0</v>
      </c>
      <c r="Y87" s="2775">
        <f t="shared" si="61"/>
        <v>0</v>
      </c>
      <c r="Z87" s="2775">
        <f t="shared" si="61"/>
        <v>0</v>
      </c>
      <c r="AA87" s="2775">
        <f t="shared" si="61"/>
        <v>0</v>
      </c>
      <c r="AB87" s="2458">
        <f t="shared" si="61"/>
        <v>0</v>
      </c>
    </row>
    <row r="88" spans="2:41" ht="13.5" thickBot="1">
      <c r="B88" s="2436"/>
      <c r="C88" s="2373"/>
      <c r="D88" s="2477"/>
      <c r="E88" s="2477"/>
      <c r="F88" s="2477"/>
      <c r="G88" s="2477"/>
      <c r="H88" s="2477"/>
      <c r="I88" s="2477"/>
      <c r="J88" s="2477"/>
      <c r="K88" s="2477"/>
      <c r="L88" s="2875"/>
      <c r="N88" s="2311" t="str">
        <f>N87</f>
        <v>Control</v>
      </c>
      <c r="O88" s="2776"/>
      <c r="P88" s="2776" t="s">
        <v>201</v>
      </c>
      <c r="Q88" s="2776" t="str">
        <f>Q81</f>
        <v>CF</v>
      </c>
      <c r="R88" s="2776"/>
      <c r="S88" s="2776"/>
      <c r="T88" s="2776"/>
      <c r="U88" s="2775">
        <f>U81-U73</f>
        <v>0</v>
      </c>
      <c r="V88" s="2775">
        <f t="shared" si="58"/>
        <v>0</v>
      </c>
      <c r="W88" s="2775">
        <f t="shared" ref="W88:AB90" si="62">W81-W73</f>
        <v>0</v>
      </c>
      <c r="X88" s="2775">
        <f t="shared" si="62"/>
        <v>0</v>
      </c>
      <c r="Y88" s="2775">
        <f t="shared" si="62"/>
        <v>0</v>
      </c>
      <c r="Z88" s="2775">
        <f t="shared" si="62"/>
        <v>0</v>
      </c>
      <c r="AA88" s="2775">
        <f t="shared" si="62"/>
        <v>0</v>
      </c>
      <c r="AB88" s="2458">
        <f t="shared" si="62"/>
        <v>0</v>
      </c>
    </row>
    <row r="89" spans="2:41" ht="13.5" thickBot="1">
      <c r="G89" s="2383"/>
      <c r="N89" s="2311" t="s">
        <v>875</v>
      </c>
      <c r="O89" s="2776"/>
      <c r="P89" s="2776" t="s">
        <v>205</v>
      </c>
      <c r="Q89" s="2776"/>
      <c r="R89" s="2776"/>
      <c r="S89" s="2776"/>
      <c r="T89" s="2776"/>
      <c r="U89" s="2775">
        <f ca="1">U82-U74</f>
        <v>0</v>
      </c>
      <c r="V89" s="2775">
        <f t="shared" ca="1" si="58"/>
        <v>0</v>
      </c>
      <c r="W89" s="2775">
        <f t="shared" ca="1" si="62"/>
        <v>0</v>
      </c>
      <c r="X89" s="2775">
        <f t="shared" ca="1" si="62"/>
        <v>0</v>
      </c>
      <c r="Y89" s="2775">
        <f t="shared" ca="1" si="62"/>
        <v>0</v>
      </c>
      <c r="Z89" s="2775">
        <f t="shared" ca="1" si="62"/>
        <v>0</v>
      </c>
      <c r="AA89" s="2775">
        <f t="shared" ca="1" si="62"/>
        <v>0</v>
      </c>
      <c r="AB89" s="2458">
        <f t="shared" ca="1" si="62"/>
        <v>0</v>
      </c>
    </row>
    <row r="90" spans="2:41" ht="13.5" thickBot="1">
      <c r="B90" s="2298" t="s">
        <v>1183</v>
      </c>
      <c r="C90" s="2299"/>
      <c r="D90" s="2299"/>
      <c r="E90" s="2299"/>
      <c r="F90" s="2299"/>
      <c r="G90" s="2299"/>
      <c r="H90" s="2299"/>
      <c r="I90" s="2299"/>
      <c r="J90" s="2299"/>
      <c r="K90" s="2299"/>
      <c r="L90" s="2300"/>
      <c r="N90" s="2436" t="s">
        <v>875</v>
      </c>
      <c r="O90" s="2373"/>
      <c r="P90" s="2373" t="s">
        <v>206</v>
      </c>
      <c r="Q90" s="2373"/>
      <c r="R90" s="2373"/>
      <c r="S90" s="2373"/>
      <c r="T90" s="2373"/>
      <c r="U90" s="2473">
        <f>U83-U75</f>
        <v>0</v>
      </c>
      <c r="V90" s="2473">
        <f t="shared" si="58"/>
        <v>0</v>
      </c>
      <c r="W90" s="2473">
        <f t="shared" si="62"/>
        <v>0</v>
      </c>
      <c r="X90" s="2473">
        <f t="shared" si="62"/>
        <v>0</v>
      </c>
      <c r="Y90" s="2473">
        <f t="shared" si="62"/>
        <v>0</v>
      </c>
      <c r="Z90" s="2473">
        <f t="shared" si="62"/>
        <v>0</v>
      </c>
      <c r="AA90" s="2473">
        <f t="shared" si="62"/>
        <v>0</v>
      </c>
      <c r="AB90" s="2876">
        <f t="shared" si="62"/>
        <v>0</v>
      </c>
    </row>
    <row r="91" spans="2:41">
      <c r="B91" s="2311"/>
      <c r="C91" s="2776"/>
      <c r="D91" s="2776"/>
      <c r="E91" s="2451"/>
      <c r="F91" s="2451"/>
      <c r="G91" s="2451"/>
      <c r="H91" s="2451"/>
      <c r="I91" s="2451"/>
      <c r="J91" s="2451"/>
      <c r="K91" s="2451"/>
      <c r="L91" s="2452"/>
    </row>
    <row r="92" spans="2:41">
      <c r="B92" s="2358" t="s">
        <v>1180</v>
      </c>
      <c r="C92" s="2776"/>
      <c r="D92" s="2776"/>
      <c r="E92" s="2776"/>
      <c r="F92" s="2776"/>
      <c r="G92" s="2776"/>
      <c r="H92" s="2776"/>
      <c r="I92" s="2776"/>
      <c r="J92" s="2776"/>
      <c r="K92" s="2776"/>
      <c r="L92" s="2112"/>
    </row>
    <row r="93" spans="2:41" ht="13.5" thickBot="1">
      <c r="B93" s="2311" t="str">
        <f>B7</f>
        <v>Classic</v>
      </c>
      <c r="C93" s="2776"/>
      <c r="D93" s="2776"/>
      <c r="E93" s="2782">
        <v>0</v>
      </c>
      <c r="F93" s="2782">
        <v>0</v>
      </c>
      <c r="G93" s="2782">
        <v>0</v>
      </c>
      <c r="H93" s="2782">
        <v>0</v>
      </c>
      <c r="I93" s="2782">
        <v>0</v>
      </c>
      <c r="J93" s="2782">
        <v>0</v>
      </c>
      <c r="K93" s="2782">
        <v>0</v>
      </c>
      <c r="L93" s="2783">
        <v>0</v>
      </c>
    </row>
    <row r="94" spans="2:41">
      <c r="B94" s="2311" t="str">
        <f>B11</f>
        <v>Premium</v>
      </c>
      <c r="C94" s="2776"/>
      <c r="D94" s="2776"/>
      <c r="E94" s="2780">
        <f>1-E93-E95</f>
        <v>0.88</v>
      </c>
      <c r="F94" s="2780">
        <f t="shared" ref="F94:L94" si="63">1-F93-F95</f>
        <v>0.88</v>
      </c>
      <c r="G94" s="2780">
        <f t="shared" si="63"/>
        <v>0.88</v>
      </c>
      <c r="H94" s="2780">
        <f t="shared" si="63"/>
        <v>0.88</v>
      </c>
      <c r="I94" s="2780">
        <f t="shared" si="63"/>
        <v>0.88</v>
      </c>
      <c r="J94" s="2780">
        <f t="shared" si="63"/>
        <v>0.88</v>
      </c>
      <c r="K94" s="2780">
        <f t="shared" si="63"/>
        <v>0.88</v>
      </c>
      <c r="L94" s="2784">
        <f t="shared" si="63"/>
        <v>0.88</v>
      </c>
      <c r="N94" s="2301" t="s">
        <v>264</v>
      </c>
      <c r="O94" s="2478"/>
      <c r="P94" s="2299"/>
      <c r="Q94" s="2299"/>
      <c r="R94" s="2299"/>
      <c r="S94" s="2299"/>
      <c r="T94" s="2299"/>
      <c r="U94" s="2299"/>
      <c r="V94" s="2299"/>
      <c r="W94" s="2300"/>
    </row>
    <row r="95" spans="2:41">
      <c r="B95" s="2311" t="str">
        <f>B15</f>
        <v>Selection individuelle</v>
      </c>
      <c r="C95" s="2776"/>
      <c r="D95" s="2776"/>
      <c r="E95" s="2781">
        <v>0.12</v>
      </c>
      <c r="F95" s="2781">
        <v>0.12</v>
      </c>
      <c r="G95" s="2781">
        <v>0.12</v>
      </c>
      <c r="H95" s="2781">
        <v>0.12</v>
      </c>
      <c r="I95" s="2781">
        <v>0.12</v>
      </c>
      <c r="J95" s="2781">
        <v>0.12</v>
      </c>
      <c r="K95" s="2781">
        <v>0.12</v>
      </c>
      <c r="L95" s="2785">
        <v>0.12</v>
      </c>
      <c r="N95" s="2311"/>
      <c r="W95" s="2112"/>
    </row>
    <row r="96" spans="2:41">
      <c r="B96" s="2311"/>
      <c r="C96" s="2776"/>
      <c r="D96" s="2776"/>
      <c r="E96" s="2780">
        <f>SUM(E93:E95)</f>
        <v>1</v>
      </c>
      <c r="F96" s="2780">
        <f t="shared" ref="F96:L96" si="64">SUM(F93:F95)</f>
        <v>1</v>
      </c>
      <c r="G96" s="2780">
        <f t="shared" si="64"/>
        <v>1</v>
      </c>
      <c r="H96" s="2780">
        <f t="shared" si="64"/>
        <v>1</v>
      </c>
      <c r="I96" s="2780">
        <f t="shared" si="64"/>
        <v>1</v>
      </c>
      <c r="J96" s="2780">
        <f t="shared" si="64"/>
        <v>1</v>
      </c>
      <c r="K96" s="2780">
        <f t="shared" si="64"/>
        <v>1</v>
      </c>
      <c r="L96" s="2784">
        <f t="shared" si="64"/>
        <v>1</v>
      </c>
      <c r="N96" s="2480" t="s">
        <v>622</v>
      </c>
      <c r="P96" s="2308"/>
      <c r="W96" s="2112"/>
      <c r="AO96" s="2475"/>
    </row>
    <row r="97" spans="2:23">
      <c r="B97" s="2358" t="s">
        <v>1182</v>
      </c>
      <c r="C97" s="2776"/>
      <c r="D97" s="2776"/>
      <c r="E97" s="2776"/>
      <c r="F97" s="2776"/>
      <c r="G97" s="2776"/>
      <c r="H97" s="2776"/>
      <c r="I97" s="2776"/>
      <c r="J97" s="2776"/>
      <c r="K97" s="2776"/>
      <c r="L97" s="2112"/>
      <c r="N97" s="2481" t="s">
        <v>201</v>
      </c>
      <c r="O97" s="2482">
        <f>'Prod info'!J7/12</f>
        <v>0.83333333333333337</v>
      </c>
      <c r="W97" s="2112"/>
    </row>
    <row r="98" spans="2:23">
      <c r="B98" s="2311" t="str">
        <f>B111</f>
        <v>Classic</v>
      </c>
      <c r="C98" s="2776"/>
      <c r="D98" s="2776"/>
      <c r="E98" s="2453">
        <f t="shared" ref="E98:L98" si="65">SUM(E156:E159)/(E168-SUM(E153:E155))</f>
        <v>0</v>
      </c>
      <c r="F98" s="2453">
        <f t="shared" si="65"/>
        <v>0</v>
      </c>
      <c r="G98" s="2453">
        <f t="shared" si="65"/>
        <v>0</v>
      </c>
      <c r="H98" s="2453">
        <f t="shared" si="65"/>
        <v>0</v>
      </c>
      <c r="I98" s="2453">
        <f t="shared" si="65"/>
        <v>0</v>
      </c>
      <c r="J98" s="2453">
        <f t="shared" si="65"/>
        <v>0</v>
      </c>
      <c r="K98" s="2453">
        <f t="shared" si="65"/>
        <v>0</v>
      </c>
      <c r="L98" s="2454">
        <f t="shared" si="65"/>
        <v>0</v>
      </c>
      <c r="N98" s="2481" t="s">
        <v>205</v>
      </c>
      <c r="O98" s="2482">
        <v>1</v>
      </c>
      <c r="W98" s="2112"/>
    </row>
    <row r="99" spans="2:23" ht="13.5" thickBot="1">
      <c r="B99" s="2311" t="str">
        <f>B112</f>
        <v>Premium</v>
      </c>
      <c r="C99" s="2776"/>
      <c r="D99" s="2776"/>
      <c r="E99" s="2453">
        <f t="shared" ref="E99:L99" si="66">SUM(E160:E163)/(E168-SUM(E153:E155))</f>
        <v>0.88111625476911515</v>
      </c>
      <c r="F99" s="2453">
        <f t="shared" si="66"/>
        <v>0.89171661590301377</v>
      </c>
      <c r="G99" s="2453">
        <f t="shared" si="66"/>
        <v>0.89011011058478451</v>
      </c>
      <c r="H99" s="2453">
        <f t="shared" si="66"/>
        <v>0.89011011058478462</v>
      </c>
      <c r="I99" s="2453">
        <f t="shared" si="66"/>
        <v>0.89011011058478462</v>
      </c>
      <c r="J99" s="2453">
        <f t="shared" si="66"/>
        <v>0.89011011058478462</v>
      </c>
      <c r="K99" s="2453">
        <f t="shared" si="66"/>
        <v>0.89011011058478462</v>
      </c>
      <c r="L99" s="2454">
        <f t="shared" si="66"/>
        <v>0.89011011058478462</v>
      </c>
      <c r="N99" s="2436" t="s">
        <v>626</v>
      </c>
      <c r="O99" s="2484">
        <v>2</v>
      </c>
      <c r="P99" s="2373"/>
      <c r="Q99" s="2373"/>
      <c r="R99" s="2373"/>
      <c r="S99" s="2373"/>
      <c r="T99" s="2373"/>
      <c r="U99" s="2373"/>
      <c r="V99" s="2373"/>
      <c r="W99" s="2375"/>
    </row>
    <row r="100" spans="2:23">
      <c r="B100" s="2311" t="str">
        <f>B113</f>
        <v>Selection individuelle</v>
      </c>
      <c r="C100" s="2776"/>
      <c r="D100" s="2776"/>
      <c r="E100" s="2455">
        <f t="shared" ref="E100:L100" si="67">SUM(E164:E167)/(E168-SUM(E153:E155))</f>
        <v>0.11888374523088471</v>
      </c>
      <c r="F100" s="2455">
        <f t="shared" si="67"/>
        <v>0.1082833840969864</v>
      </c>
      <c r="G100" s="2455">
        <f t="shared" si="67"/>
        <v>0.10988988941521535</v>
      </c>
      <c r="H100" s="2455">
        <f t="shared" si="67"/>
        <v>0.10988988941521538</v>
      </c>
      <c r="I100" s="2455">
        <f t="shared" si="67"/>
        <v>0.10988988941521538</v>
      </c>
      <c r="J100" s="2455">
        <f t="shared" si="67"/>
        <v>0.10988988941521538</v>
      </c>
      <c r="K100" s="2455">
        <f t="shared" si="67"/>
        <v>0.10988988941521538</v>
      </c>
      <c r="L100" s="2456">
        <f t="shared" si="67"/>
        <v>0.10988988941521538</v>
      </c>
      <c r="N100" s="2311"/>
      <c r="W100" s="2112"/>
    </row>
    <row r="101" spans="2:23" ht="13.5" thickBot="1">
      <c r="B101" s="2311"/>
      <c r="C101" s="2776"/>
      <c r="D101" s="2776"/>
      <c r="E101" s="2457">
        <f t="shared" ref="E101:L101" si="68">SUM(E98:E100)</f>
        <v>0.99999999999999989</v>
      </c>
      <c r="F101" s="2457">
        <f t="shared" si="68"/>
        <v>1.0000000000000002</v>
      </c>
      <c r="G101" s="2457">
        <f t="shared" si="68"/>
        <v>0.99999999999999989</v>
      </c>
      <c r="H101" s="2457">
        <f t="shared" si="68"/>
        <v>1</v>
      </c>
      <c r="I101" s="2457">
        <f t="shared" si="68"/>
        <v>1</v>
      </c>
      <c r="J101" s="2457">
        <f t="shared" si="68"/>
        <v>1</v>
      </c>
      <c r="K101" s="2457">
        <f t="shared" si="68"/>
        <v>1</v>
      </c>
      <c r="L101" s="2777">
        <f t="shared" si="68"/>
        <v>1</v>
      </c>
      <c r="N101" s="2358" t="str">
        <f>P47</f>
        <v>Classic</v>
      </c>
      <c r="W101" s="2112"/>
    </row>
    <row r="102" spans="2:23">
      <c r="B102" s="2311"/>
      <c r="C102" s="2776"/>
      <c r="D102" s="2776"/>
      <c r="E102" s="2776"/>
      <c r="F102" s="2776"/>
      <c r="G102" s="2776"/>
      <c r="H102" s="2776"/>
      <c r="I102" s="2451"/>
      <c r="J102" s="2451"/>
      <c r="K102" s="2451"/>
      <c r="L102" s="2452"/>
      <c r="N102" s="2311"/>
      <c r="W102" s="2112"/>
    </row>
    <row r="103" spans="2:23">
      <c r="B103" s="2358" t="s">
        <v>1179</v>
      </c>
      <c r="C103" s="2776"/>
      <c r="D103" s="2776"/>
      <c r="E103" s="2778" t="str">
        <f>B7</f>
        <v>Classic</v>
      </c>
      <c r="F103" s="2778" t="str">
        <f>B11</f>
        <v>Premium</v>
      </c>
      <c r="G103" s="2778" t="str">
        <f>B15</f>
        <v>Selection individuelle</v>
      </c>
      <c r="H103" s="2778"/>
      <c r="I103" s="2786"/>
      <c r="J103" s="2778"/>
      <c r="K103" s="2778"/>
      <c r="L103" s="2452"/>
      <c r="N103" s="2358" t="s">
        <v>628</v>
      </c>
      <c r="O103" s="2308" t="s">
        <v>627</v>
      </c>
      <c r="P103" s="2324">
        <f t="shared" ref="P103:W103" si="69">U44</f>
        <v>2023</v>
      </c>
      <c r="Q103" s="2324">
        <f t="shared" si="69"/>
        <v>2024</v>
      </c>
      <c r="R103" s="2324">
        <f t="shared" si="69"/>
        <v>2025</v>
      </c>
      <c r="S103" s="2324">
        <f t="shared" si="69"/>
        <v>2026</v>
      </c>
      <c r="T103" s="2324">
        <f t="shared" si="69"/>
        <v>2027</v>
      </c>
      <c r="U103" s="2324">
        <f t="shared" si="69"/>
        <v>2028</v>
      </c>
      <c r="V103" s="2324">
        <f t="shared" si="69"/>
        <v>2029</v>
      </c>
      <c r="W103" s="2442">
        <f t="shared" si="69"/>
        <v>2030</v>
      </c>
    </row>
    <row r="104" spans="2:23">
      <c r="B104" s="2311" t="str">
        <f>B32</f>
        <v xml:space="preserve">Merlot </v>
      </c>
      <c r="C104" s="2776"/>
      <c r="D104" s="2776"/>
      <c r="E104" s="2451">
        <f>D7</f>
        <v>0.5</v>
      </c>
      <c r="F104" s="2451">
        <f>D11</f>
        <v>0.52</v>
      </c>
      <c r="G104" s="2451">
        <f>D15</f>
        <v>0.3</v>
      </c>
      <c r="H104" s="2451"/>
      <c r="I104" s="2451"/>
      <c r="J104" s="2451"/>
      <c r="K104" s="2451"/>
      <c r="L104" s="2452"/>
      <c r="N104" s="2486" t="s">
        <v>415</v>
      </c>
      <c r="W104" s="2112"/>
    </row>
    <row r="105" spans="2:23">
      <c r="B105" s="2311" t="str">
        <f>B33</f>
        <v xml:space="preserve">Mavrud </v>
      </c>
      <c r="C105" s="2776"/>
      <c r="D105" s="2776"/>
      <c r="E105" s="2451">
        <f>D8</f>
        <v>0.15</v>
      </c>
      <c r="F105" s="2451">
        <f>D12</f>
        <v>0.16</v>
      </c>
      <c r="G105" s="2451">
        <v>0</v>
      </c>
      <c r="H105" s="2451"/>
      <c r="I105" s="2451"/>
      <c r="J105" s="2451"/>
      <c r="K105" s="2451"/>
      <c r="L105" s="2452"/>
      <c r="N105" s="2311">
        <v>2019</v>
      </c>
      <c r="P105" s="2487">
        <f>'Inv. start'!C25</f>
        <v>20183</v>
      </c>
      <c r="W105" s="2112"/>
    </row>
    <row r="106" spans="2:23">
      <c r="B106" s="2311" t="str">
        <f>B34</f>
        <v xml:space="preserve">Cabernet Sauvignon </v>
      </c>
      <c r="C106" s="2776"/>
      <c r="D106" s="2776"/>
      <c r="E106" s="2451">
        <f>D9</f>
        <v>0.2</v>
      </c>
      <c r="F106" s="2451">
        <f>D13</f>
        <v>0.17</v>
      </c>
      <c r="G106" s="2451">
        <f>D17</f>
        <v>0.5</v>
      </c>
      <c r="H106" s="2451"/>
      <c r="I106" s="2451"/>
      <c r="J106" s="2451"/>
      <c r="K106" s="2451"/>
      <c r="L106" s="2452"/>
      <c r="N106" s="2311">
        <v>2020</v>
      </c>
      <c r="P106" s="2487">
        <f>'Inv. start'!D25</f>
        <v>16025</v>
      </c>
      <c r="W106" s="2112"/>
    </row>
    <row r="107" spans="2:23">
      <c r="B107" s="2311" t="str">
        <f>B35</f>
        <v xml:space="preserve">Cabernet Franc </v>
      </c>
      <c r="C107" s="2776"/>
      <c r="D107" s="2776"/>
      <c r="E107" s="2779">
        <f>D10</f>
        <v>0.15</v>
      </c>
      <c r="F107" s="2779">
        <f>D14</f>
        <v>0.15</v>
      </c>
      <c r="G107" s="2779">
        <f>D18</f>
        <v>0.2</v>
      </c>
      <c r="H107" s="2451"/>
      <c r="I107" s="2451"/>
      <c r="J107" s="2451"/>
      <c r="K107" s="2451"/>
      <c r="L107" s="2452"/>
      <c r="N107" s="2311">
        <v>2021</v>
      </c>
      <c r="P107" s="2487">
        <f>'Inv. start'!E25</f>
        <v>0</v>
      </c>
      <c r="W107" s="2112"/>
    </row>
    <row r="108" spans="2:23">
      <c r="B108" s="2311"/>
      <c r="C108" s="2776"/>
      <c r="D108" s="2776"/>
      <c r="E108" s="2451">
        <f>SUM(E104:E107)</f>
        <v>1</v>
      </c>
      <c r="F108" s="2451">
        <f>SUM(F104:F107)</f>
        <v>1</v>
      </c>
      <c r="G108" s="2451">
        <f>SUM(G104:G107)</f>
        <v>1</v>
      </c>
      <c r="H108" s="2451"/>
      <c r="I108" s="2451"/>
      <c r="J108" s="2451"/>
      <c r="K108" s="2451"/>
      <c r="L108" s="2452"/>
      <c r="N108" s="2311">
        <v>2022</v>
      </c>
      <c r="P108" s="2487"/>
      <c r="W108" s="2112"/>
    </row>
    <row r="109" spans="2:23">
      <c r="B109" s="2311"/>
      <c r="C109" s="2776"/>
      <c r="D109" s="2776"/>
      <c r="E109" s="2451"/>
      <c r="F109" s="2451"/>
      <c r="G109" s="2451"/>
      <c r="H109" s="2451"/>
      <c r="I109" s="2451"/>
      <c r="J109" s="2451"/>
      <c r="K109" s="2451"/>
      <c r="L109" s="2452"/>
      <c r="N109" s="2311">
        <f>P103</f>
        <v>2023</v>
      </c>
      <c r="P109" s="2490"/>
      <c r="Q109" s="2383">
        <f>U51+U47</f>
        <v>0</v>
      </c>
      <c r="W109" s="2112"/>
    </row>
    <row r="110" spans="2:23">
      <c r="B110" s="2358" t="str">
        <f>B104</f>
        <v xml:space="preserve">Merlot </v>
      </c>
      <c r="C110" s="2776"/>
      <c r="D110" s="2776"/>
      <c r="E110" s="2451"/>
      <c r="F110" s="2451"/>
      <c r="G110" s="2451"/>
      <c r="H110" s="2451"/>
      <c r="I110" s="2451"/>
      <c r="J110" s="2451"/>
      <c r="K110" s="2451"/>
      <c r="L110" s="2452"/>
      <c r="N110" s="2311">
        <f t="shared" ref="N110:N116" si="70">N109+1</f>
        <v>2024</v>
      </c>
      <c r="P110" s="2490"/>
      <c r="Q110" s="2490"/>
      <c r="R110" s="2383">
        <f>V47</f>
        <v>0</v>
      </c>
      <c r="W110" s="2112"/>
    </row>
    <row r="111" spans="2:23">
      <c r="B111" s="2311" t="str">
        <f>B93</f>
        <v>Classic</v>
      </c>
      <c r="C111" s="2776"/>
      <c r="D111" s="2776"/>
      <c r="E111" s="2451">
        <f t="shared" ref="E111:L111" si="71">$E$104*E$93</f>
        <v>0</v>
      </c>
      <c r="F111" s="2451">
        <f t="shared" si="71"/>
        <v>0</v>
      </c>
      <c r="G111" s="2451">
        <f t="shared" si="71"/>
        <v>0</v>
      </c>
      <c r="H111" s="2451">
        <f t="shared" si="71"/>
        <v>0</v>
      </c>
      <c r="I111" s="2451">
        <f t="shared" si="71"/>
        <v>0</v>
      </c>
      <c r="J111" s="2451">
        <f t="shared" si="71"/>
        <v>0</v>
      </c>
      <c r="K111" s="2451">
        <f t="shared" si="71"/>
        <v>0</v>
      </c>
      <c r="L111" s="2452">
        <f t="shared" si="71"/>
        <v>0</v>
      </c>
      <c r="N111" s="2311">
        <f t="shared" si="70"/>
        <v>2025</v>
      </c>
      <c r="P111" s="2490"/>
      <c r="Q111" s="2490"/>
      <c r="R111" s="2490"/>
      <c r="S111" s="2383">
        <f>W47</f>
        <v>0</v>
      </c>
      <c r="W111" s="2112"/>
    </row>
    <row r="112" spans="2:23">
      <c r="B112" s="2311" t="str">
        <f>B94</f>
        <v>Premium</v>
      </c>
      <c r="C112" s="2776"/>
      <c r="D112" s="2776"/>
      <c r="E112" s="2451">
        <f t="shared" ref="E112:L112" si="72">$F$104*E$94</f>
        <v>0.45760000000000001</v>
      </c>
      <c r="F112" s="2451">
        <f t="shared" si="72"/>
        <v>0.45760000000000001</v>
      </c>
      <c r="G112" s="2451">
        <f t="shared" si="72"/>
        <v>0.45760000000000001</v>
      </c>
      <c r="H112" s="2451">
        <f t="shared" si="72"/>
        <v>0.45760000000000001</v>
      </c>
      <c r="I112" s="2451">
        <f t="shared" si="72"/>
        <v>0.45760000000000001</v>
      </c>
      <c r="J112" s="2451">
        <f t="shared" si="72"/>
        <v>0.45760000000000001</v>
      </c>
      <c r="K112" s="2451">
        <f t="shared" si="72"/>
        <v>0.45760000000000001</v>
      </c>
      <c r="L112" s="2452">
        <f t="shared" si="72"/>
        <v>0.45760000000000001</v>
      </c>
      <c r="N112" s="2311">
        <f t="shared" si="70"/>
        <v>2026</v>
      </c>
      <c r="P112" s="2490"/>
      <c r="Q112" s="2490"/>
      <c r="R112" s="2490"/>
      <c r="S112" s="2490"/>
      <c r="T112" s="2383">
        <f>+X47</f>
        <v>0</v>
      </c>
      <c r="W112" s="2112"/>
    </row>
    <row r="113" spans="2:39">
      <c r="B113" s="2311" t="str">
        <f>B95</f>
        <v>Selection individuelle</v>
      </c>
      <c r="C113" s="2776"/>
      <c r="D113" s="2776"/>
      <c r="E113" s="2779">
        <f t="shared" ref="E113:L113" si="73">$G$104*E$95</f>
        <v>3.5999999999999997E-2</v>
      </c>
      <c r="F113" s="2779">
        <f t="shared" si="73"/>
        <v>3.5999999999999997E-2</v>
      </c>
      <c r="G113" s="2779">
        <f t="shared" si="73"/>
        <v>3.5999999999999997E-2</v>
      </c>
      <c r="H113" s="2779">
        <f t="shared" si="73"/>
        <v>3.5999999999999997E-2</v>
      </c>
      <c r="I113" s="2779">
        <f t="shared" si="73"/>
        <v>3.5999999999999997E-2</v>
      </c>
      <c r="J113" s="2779">
        <f t="shared" si="73"/>
        <v>3.5999999999999997E-2</v>
      </c>
      <c r="K113" s="2779">
        <f t="shared" si="73"/>
        <v>3.5999999999999997E-2</v>
      </c>
      <c r="L113" s="2788">
        <f t="shared" si="73"/>
        <v>3.5999999999999997E-2</v>
      </c>
      <c r="N113" s="2311">
        <f t="shared" si="70"/>
        <v>2027</v>
      </c>
      <c r="P113" s="2490"/>
      <c r="Q113" s="2490"/>
      <c r="R113" s="2490"/>
      <c r="S113" s="2493"/>
      <c r="T113" s="2493"/>
      <c r="U113" s="2383">
        <f>+Y47</f>
        <v>0</v>
      </c>
      <c r="V113" s="2339"/>
      <c r="W113" s="2470"/>
      <c r="AM113" s="2489"/>
    </row>
    <row r="114" spans="2:39">
      <c r="B114" s="2311"/>
      <c r="C114" s="2776"/>
      <c r="D114" s="2776"/>
      <c r="E114" s="2780">
        <f>SUM(E111:E113)</f>
        <v>0.49359999999999998</v>
      </c>
      <c r="F114" s="2780">
        <f t="shared" ref="F114:L114" si="74">SUM(F111:F113)</f>
        <v>0.49359999999999998</v>
      </c>
      <c r="G114" s="2780">
        <f t="shared" si="74"/>
        <v>0.49359999999999998</v>
      </c>
      <c r="H114" s="2780">
        <f t="shared" si="74"/>
        <v>0.49359999999999998</v>
      </c>
      <c r="I114" s="2780">
        <f t="shared" si="74"/>
        <v>0.49359999999999998</v>
      </c>
      <c r="J114" s="2780">
        <f t="shared" si="74"/>
        <v>0.49359999999999998</v>
      </c>
      <c r="K114" s="2780">
        <f t="shared" si="74"/>
        <v>0.49359999999999998</v>
      </c>
      <c r="L114" s="2784">
        <f t="shared" si="74"/>
        <v>0.49359999999999998</v>
      </c>
      <c r="N114" s="2311">
        <f t="shared" si="70"/>
        <v>2028</v>
      </c>
      <c r="P114" s="2490"/>
      <c r="Q114" s="2490"/>
      <c r="R114" s="2490"/>
      <c r="S114" s="2490"/>
      <c r="T114" s="2493"/>
      <c r="U114" s="2493"/>
      <c r="V114" s="2383">
        <f>+Z47</f>
        <v>0</v>
      </c>
      <c r="W114" s="2112"/>
      <c r="AM114" s="2489"/>
    </row>
    <row r="115" spans="2:39">
      <c r="B115" s="2358" t="s">
        <v>1181</v>
      </c>
      <c r="C115" s="2776"/>
      <c r="D115" s="2776"/>
      <c r="E115" s="2776"/>
      <c r="F115" s="2776"/>
      <c r="G115" s="2776"/>
      <c r="H115" s="2776"/>
      <c r="I115" s="2776"/>
      <c r="J115" s="2776"/>
      <c r="K115" s="2776"/>
      <c r="L115" s="2112"/>
      <c r="N115" s="2311">
        <f t="shared" si="70"/>
        <v>2029</v>
      </c>
      <c r="P115" s="2490"/>
      <c r="Q115" s="2490"/>
      <c r="R115" s="2490"/>
      <c r="S115" s="2490"/>
      <c r="T115" s="2490"/>
      <c r="U115" s="2490"/>
      <c r="V115" s="2490"/>
      <c r="W115" s="2458">
        <f>+AA47</f>
        <v>0</v>
      </c>
    </row>
    <row r="116" spans="2:39">
      <c r="B116" s="2311" t="str">
        <f>B111</f>
        <v>Classic</v>
      </c>
      <c r="C116" s="2776"/>
      <c r="D116" s="2776"/>
      <c r="E116" s="2780">
        <f t="shared" ref="E116:L118" si="75">E111/E$114</f>
        <v>0</v>
      </c>
      <c r="F116" s="2780">
        <f t="shared" si="75"/>
        <v>0</v>
      </c>
      <c r="G116" s="2780">
        <f t="shared" si="75"/>
        <v>0</v>
      </c>
      <c r="H116" s="2780">
        <f t="shared" si="75"/>
        <v>0</v>
      </c>
      <c r="I116" s="2780">
        <f t="shared" si="75"/>
        <v>0</v>
      </c>
      <c r="J116" s="2780">
        <f t="shared" si="75"/>
        <v>0</v>
      </c>
      <c r="K116" s="2780">
        <f t="shared" si="75"/>
        <v>0</v>
      </c>
      <c r="L116" s="2784">
        <f t="shared" si="75"/>
        <v>0</v>
      </c>
      <c r="N116" s="2311">
        <f t="shared" si="70"/>
        <v>2030</v>
      </c>
      <c r="P116" s="2496"/>
      <c r="Q116" s="2496"/>
      <c r="R116" s="2496"/>
      <c r="S116" s="2496"/>
      <c r="T116" s="2496"/>
      <c r="U116" s="2496"/>
      <c r="V116" s="2496"/>
      <c r="W116" s="2497"/>
    </row>
    <row r="117" spans="2:39">
      <c r="B117" s="2311" t="str">
        <f>B112</f>
        <v>Premium</v>
      </c>
      <c r="C117" s="2776"/>
      <c r="D117" s="2776"/>
      <c r="E117" s="2780">
        <f t="shared" si="75"/>
        <v>0.927066450567261</v>
      </c>
      <c r="F117" s="2780">
        <f t="shared" si="75"/>
        <v>0.927066450567261</v>
      </c>
      <c r="G117" s="2780">
        <f t="shared" si="75"/>
        <v>0.927066450567261</v>
      </c>
      <c r="H117" s="2780">
        <f t="shared" si="75"/>
        <v>0.927066450567261</v>
      </c>
      <c r="I117" s="2780">
        <f t="shared" si="75"/>
        <v>0.927066450567261</v>
      </c>
      <c r="J117" s="2780">
        <f t="shared" si="75"/>
        <v>0.927066450567261</v>
      </c>
      <c r="K117" s="2780">
        <f t="shared" si="75"/>
        <v>0.927066450567261</v>
      </c>
      <c r="L117" s="2784">
        <f t="shared" si="75"/>
        <v>0.927066450567261</v>
      </c>
      <c r="N117" s="2311"/>
      <c r="P117" s="2383">
        <f t="shared" ref="P117:W117" si="76">SUM(P105:P116)</f>
        <v>36208</v>
      </c>
      <c r="Q117" s="2383">
        <f t="shared" si="76"/>
        <v>0</v>
      </c>
      <c r="R117" s="2383">
        <f t="shared" si="76"/>
        <v>0</v>
      </c>
      <c r="S117" s="2383">
        <f t="shared" si="76"/>
        <v>0</v>
      </c>
      <c r="T117" s="2383">
        <f t="shared" si="76"/>
        <v>0</v>
      </c>
      <c r="U117" s="2383">
        <f t="shared" si="76"/>
        <v>0</v>
      </c>
      <c r="V117" s="2383">
        <f t="shared" si="76"/>
        <v>0</v>
      </c>
      <c r="W117" s="2458">
        <f t="shared" si="76"/>
        <v>0</v>
      </c>
    </row>
    <row r="118" spans="2:39">
      <c r="B118" s="2311" t="str">
        <f>B113</f>
        <v>Selection individuelle</v>
      </c>
      <c r="C118" s="2776"/>
      <c r="D118" s="2776"/>
      <c r="E118" s="2787">
        <f t="shared" si="75"/>
        <v>7.2933549432739053E-2</v>
      </c>
      <c r="F118" s="2787">
        <f t="shared" si="75"/>
        <v>7.2933549432739053E-2</v>
      </c>
      <c r="G118" s="2787">
        <f t="shared" si="75"/>
        <v>7.2933549432739053E-2</v>
      </c>
      <c r="H118" s="2787">
        <f t="shared" si="75"/>
        <v>7.2933549432739053E-2</v>
      </c>
      <c r="I118" s="2787">
        <f t="shared" si="75"/>
        <v>7.2933549432739053E-2</v>
      </c>
      <c r="J118" s="2787">
        <f t="shared" si="75"/>
        <v>7.2933549432739053E-2</v>
      </c>
      <c r="K118" s="2787">
        <f t="shared" si="75"/>
        <v>7.2933549432739053E-2</v>
      </c>
      <c r="L118" s="2789">
        <f t="shared" si="75"/>
        <v>7.2933549432739053E-2</v>
      </c>
      <c r="N118" s="2311"/>
      <c r="R118" s="2383">
        <f>R117-SUM('Inv. wine'!V6:V12)</f>
        <v>0</v>
      </c>
      <c r="S118" s="2111">
        <f>S117-SUM('Inv. wine'!W6:W12)</f>
        <v>0</v>
      </c>
      <c r="T118" s="2111">
        <f>T117-SUM('Inv. wine'!X6:X12)</f>
        <v>0</v>
      </c>
      <c r="U118" s="2111">
        <f>U117-SUM('Inv. wine'!Y6:Y12)</f>
        <v>0</v>
      </c>
      <c r="V118" s="2111">
        <f>V117-SUM('Inv. wine'!Z6:Z12)</f>
        <v>0</v>
      </c>
      <c r="W118" s="2112">
        <f>W117-SUM('Inv. wine'!AA6:AA12)</f>
        <v>0</v>
      </c>
    </row>
    <row r="119" spans="2:39" ht="13.5" thickBot="1">
      <c r="B119" s="2311"/>
      <c r="C119" s="2776"/>
      <c r="D119" s="2776"/>
      <c r="E119" s="2780">
        <f>SUM(E116:E118)</f>
        <v>1</v>
      </c>
      <c r="F119" s="2780">
        <f t="shared" ref="F119:L119" si="77">SUM(F116:F118)</f>
        <v>1</v>
      </c>
      <c r="G119" s="2780">
        <f t="shared" si="77"/>
        <v>1</v>
      </c>
      <c r="H119" s="2780">
        <f t="shared" si="77"/>
        <v>1</v>
      </c>
      <c r="I119" s="2780">
        <f t="shared" si="77"/>
        <v>1</v>
      </c>
      <c r="J119" s="2780">
        <f t="shared" si="77"/>
        <v>1</v>
      </c>
      <c r="K119" s="2780">
        <f t="shared" si="77"/>
        <v>1</v>
      </c>
      <c r="L119" s="2784">
        <f t="shared" si="77"/>
        <v>1</v>
      </c>
      <c r="N119" s="2498" t="s">
        <v>264</v>
      </c>
      <c r="P119" s="2499">
        <f>(P117)/$C$206</f>
        <v>160.92444444444445</v>
      </c>
      <c r="Q119" s="2499">
        <f t="shared" ref="Q119:W119" si="78">Q117/$C$206</f>
        <v>0</v>
      </c>
      <c r="R119" s="2499">
        <f t="shared" si="78"/>
        <v>0</v>
      </c>
      <c r="S119" s="2499">
        <f t="shared" si="78"/>
        <v>0</v>
      </c>
      <c r="T119" s="2499">
        <f t="shared" si="78"/>
        <v>0</v>
      </c>
      <c r="U119" s="2499">
        <f t="shared" si="78"/>
        <v>0</v>
      </c>
      <c r="V119" s="2499">
        <f t="shared" si="78"/>
        <v>0</v>
      </c>
      <c r="W119" s="2500">
        <f t="shared" si="78"/>
        <v>0</v>
      </c>
    </row>
    <row r="120" spans="2:39" ht="13.5" thickTop="1">
      <c r="B120" s="2358" t="str">
        <f>B105</f>
        <v xml:space="preserve">Mavrud </v>
      </c>
      <c r="C120" s="2776"/>
      <c r="D120" s="2776"/>
      <c r="E120" s="2776"/>
      <c r="F120" s="2776"/>
      <c r="G120" s="2776"/>
      <c r="H120" s="2776"/>
      <c r="I120" s="2776"/>
      <c r="J120" s="2776"/>
      <c r="K120" s="2776"/>
      <c r="L120" s="2112"/>
      <c r="N120" s="2311"/>
      <c r="W120" s="2112"/>
    </row>
    <row r="121" spans="2:39">
      <c r="B121" s="2311" t="str">
        <f>B111</f>
        <v>Classic</v>
      </c>
      <c r="C121" s="2776"/>
      <c r="D121" s="2776"/>
      <c r="E121" s="2780">
        <f t="shared" ref="E121:L121" si="79">$E$105*E$93</f>
        <v>0</v>
      </c>
      <c r="F121" s="2780">
        <f t="shared" si="79"/>
        <v>0</v>
      </c>
      <c r="G121" s="2780">
        <f t="shared" si="79"/>
        <v>0</v>
      </c>
      <c r="H121" s="2780">
        <f t="shared" si="79"/>
        <v>0</v>
      </c>
      <c r="I121" s="2780">
        <f t="shared" si="79"/>
        <v>0</v>
      </c>
      <c r="J121" s="2780">
        <f t="shared" si="79"/>
        <v>0</v>
      </c>
      <c r="K121" s="2780">
        <f t="shared" si="79"/>
        <v>0</v>
      </c>
      <c r="L121" s="2784">
        <f t="shared" si="79"/>
        <v>0</v>
      </c>
      <c r="N121" s="2358" t="s">
        <v>622</v>
      </c>
      <c r="W121" s="2112"/>
    </row>
    <row r="122" spans="2:39">
      <c r="B122" s="2311" t="str">
        <f>B112</f>
        <v>Premium</v>
      </c>
      <c r="C122" s="2776"/>
      <c r="D122" s="2776"/>
      <c r="E122" s="2451">
        <f t="shared" ref="E122:L122" si="80">$F$105*E$94</f>
        <v>0.14080000000000001</v>
      </c>
      <c r="F122" s="2451">
        <f t="shared" si="80"/>
        <v>0.14080000000000001</v>
      </c>
      <c r="G122" s="2451">
        <f t="shared" si="80"/>
        <v>0.14080000000000001</v>
      </c>
      <c r="H122" s="2451">
        <f t="shared" si="80"/>
        <v>0.14080000000000001</v>
      </c>
      <c r="I122" s="2451">
        <f t="shared" si="80"/>
        <v>0.14080000000000001</v>
      </c>
      <c r="J122" s="2451">
        <f t="shared" si="80"/>
        <v>0.14080000000000001</v>
      </c>
      <c r="K122" s="2451">
        <f t="shared" si="80"/>
        <v>0.14080000000000001</v>
      </c>
      <c r="L122" s="2452">
        <f t="shared" si="80"/>
        <v>0.14080000000000001</v>
      </c>
      <c r="N122" s="2311"/>
      <c r="O122" s="2111" t="s">
        <v>629</v>
      </c>
      <c r="P122" s="2324">
        <f t="shared" ref="P122:W122" si="81">P103</f>
        <v>2023</v>
      </c>
      <c r="Q122" s="2324">
        <f t="shared" si="81"/>
        <v>2024</v>
      </c>
      <c r="R122" s="2324">
        <f t="shared" si="81"/>
        <v>2025</v>
      </c>
      <c r="S122" s="2324">
        <f t="shared" si="81"/>
        <v>2026</v>
      </c>
      <c r="T122" s="2324">
        <f t="shared" si="81"/>
        <v>2027</v>
      </c>
      <c r="U122" s="2324">
        <f t="shared" si="81"/>
        <v>2028</v>
      </c>
      <c r="V122" s="2324">
        <f t="shared" si="81"/>
        <v>2029</v>
      </c>
      <c r="W122" s="2442">
        <f t="shared" si="81"/>
        <v>2030</v>
      </c>
    </row>
    <row r="123" spans="2:39">
      <c r="B123" s="2311" t="str">
        <f>B113</f>
        <v>Selection individuelle</v>
      </c>
      <c r="C123" s="2776"/>
      <c r="D123" s="2776"/>
      <c r="E123" s="2779">
        <f t="shared" ref="E123:L123" si="82">$G$105*E$95</f>
        <v>0</v>
      </c>
      <c r="F123" s="2779">
        <f t="shared" si="82"/>
        <v>0</v>
      </c>
      <c r="G123" s="2779">
        <f t="shared" si="82"/>
        <v>0</v>
      </c>
      <c r="H123" s="2779">
        <f t="shared" si="82"/>
        <v>0</v>
      </c>
      <c r="I123" s="2779">
        <f t="shared" si="82"/>
        <v>0</v>
      </c>
      <c r="J123" s="2779">
        <f t="shared" si="82"/>
        <v>0</v>
      </c>
      <c r="K123" s="2779">
        <f t="shared" si="82"/>
        <v>0</v>
      </c>
      <c r="L123" s="2788">
        <f t="shared" si="82"/>
        <v>0</v>
      </c>
      <c r="N123" s="2311" t="str">
        <f>N104</f>
        <v>Production year</v>
      </c>
      <c r="W123" s="2112"/>
    </row>
    <row r="124" spans="2:39">
      <c r="B124" s="2311"/>
      <c r="C124" s="2776"/>
      <c r="D124" s="2776"/>
      <c r="E124" s="2780">
        <f>SUM(E121:E123)</f>
        <v>0.14080000000000001</v>
      </c>
      <c r="F124" s="2780">
        <f t="shared" ref="F124:L124" si="83">SUM(F121:F123)</f>
        <v>0.14080000000000001</v>
      </c>
      <c r="G124" s="2780">
        <f t="shared" si="83"/>
        <v>0.14080000000000001</v>
      </c>
      <c r="H124" s="2780">
        <f t="shared" si="83"/>
        <v>0.14080000000000001</v>
      </c>
      <c r="I124" s="2780">
        <f t="shared" si="83"/>
        <v>0.14080000000000001</v>
      </c>
      <c r="J124" s="2780">
        <f t="shared" si="83"/>
        <v>0.14080000000000001</v>
      </c>
      <c r="K124" s="2780">
        <f t="shared" si="83"/>
        <v>0.14080000000000001</v>
      </c>
      <c r="L124" s="2784">
        <f t="shared" si="83"/>
        <v>0.14080000000000001</v>
      </c>
      <c r="N124" s="2311"/>
      <c r="P124" s="2447"/>
      <c r="Q124" s="2447"/>
      <c r="R124" s="2447"/>
      <c r="S124" s="2447"/>
      <c r="T124" s="2447"/>
      <c r="U124" s="2447"/>
      <c r="V124" s="2447"/>
      <c r="W124" s="2352"/>
    </row>
    <row r="125" spans="2:39">
      <c r="B125" s="2358" t="s">
        <v>1181</v>
      </c>
      <c r="C125" s="2776"/>
      <c r="D125" s="2776"/>
      <c r="E125" s="2776"/>
      <c r="F125" s="2776"/>
      <c r="G125" s="2776"/>
      <c r="H125" s="2776"/>
      <c r="I125" s="2776"/>
      <c r="J125" s="2776"/>
      <c r="K125" s="2776"/>
      <c r="L125" s="2112"/>
      <c r="N125" s="2311">
        <f>N105</f>
        <v>2019</v>
      </c>
      <c r="P125" s="2447"/>
      <c r="Q125" s="2447">
        <f t="shared" ref="Q125:W126" si="84">IF(Q122-$N125&gt;P97+1,Q105,0)</f>
        <v>0</v>
      </c>
      <c r="R125" s="2447">
        <f t="shared" si="84"/>
        <v>0</v>
      </c>
      <c r="S125" s="2447">
        <f t="shared" si="84"/>
        <v>0</v>
      </c>
      <c r="T125" s="2447">
        <f t="shared" si="84"/>
        <v>0</v>
      </c>
      <c r="U125" s="2447">
        <f t="shared" si="84"/>
        <v>0</v>
      </c>
      <c r="V125" s="2447">
        <f t="shared" si="84"/>
        <v>0</v>
      </c>
      <c r="W125" s="2352">
        <f t="shared" si="84"/>
        <v>0</v>
      </c>
    </row>
    <row r="126" spans="2:39">
      <c r="B126" s="2311" t="str">
        <f>B121</f>
        <v>Classic</v>
      </c>
      <c r="C126" s="2776"/>
      <c r="D126" s="2776"/>
      <c r="E126" s="2780">
        <f>E121/E$124</f>
        <v>0</v>
      </c>
      <c r="F126" s="2780">
        <f t="shared" ref="F126:L126" si="85">F121/F124</f>
        <v>0</v>
      </c>
      <c r="G126" s="2780">
        <f t="shared" si="85"/>
        <v>0</v>
      </c>
      <c r="H126" s="2780">
        <f t="shared" si="85"/>
        <v>0</v>
      </c>
      <c r="I126" s="2780">
        <f t="shared" si="85"/>
        <v>0</v>
      </c>
      <c r="J126" s="2780">
        <f t="shared" si="85"/>
        <v>0</v>
      </c>
      <c r="K126" s="2780">
        <f t="shared" si="85"/>
        <v>0</v>
      </c>
      <c r="L126" s="2784">
        <f t="shared" si="85"/>
        <v>0</v>
      </c>
      <c r="N126" s="2311">
        <f>N106</f>
        <v>2020</v>
      </c>
      <c r="P126" s="2447">
        <f>IF(P123-$N126&gt;$O$97+1,P106,0)</f>
        <v>0</v>
      </c>
      <c r="Q126" s="2447">
        <f t="shared" si="84"/>
        <v>0</v>
      </c>
      <c r="R126" s="2447">
        <f t="shared" si="84"/>
        <v>0</v>
      </c>
      <c r="S126" s="2447">
        <f t="shared" si="84"/>
        <v>0</v>
      </c>
      <c r="T126" s="2447">
        <f t="shared" si="84"/>
        <v>0</v>
      </c>
      <c r="U126" s="2447">
        <f t="shared" si="84"/>
        <v>0</v>
      </c>
      <c r="V126" s="2447">
        <f t="shared" si="84"/>
        <v>0</v>
      </c>
      <c r="W126" s="2352">
        <f t="shared" si="84"/>
        <v>0</v>
      </c>
    </row>
    <row r="127" spans="2:39">
      <c r="B127" s="2311" t="str">
        <f>B122</f>
        <v>Premium</v>
      </c>
      <c r="C127" s="2776"/>
      <c r="D127" s="2776"/>
      <c r="E127" s="2780">
        <f>E122/E$124</f>
        <v>1</v>
      </c>
      <c r="F127" s="2780">
        <f t="shared" ref="F127:L128" si="86">F122/F$124</f>
        <v>1</v>
      </c>
      <c r="G127" s="2780">
        <f t="shared" si="86"/>
        <v>1</v>
      </c>
      <c r="H127" s="2780">
        <f t="shared" si="86"/>
        <v>1</v>
      </c>
      <c r="I127" s="2780">
        <f t="shared" si="86"/>
        <v>1</v>
      </c>
      <c r="J127" s="2780">
        <f t="shared" si="86"/>
        <v>1</v>
      </c>
      <c r="K127" s="2780">
        <f t="shared" si="86"/>
        <v>1</v>
      </c>
      <c r="L127" s="2784">
        <f t="shared" si="86"/>
        <v>1</v>
      </c>
      <c r="N127" s="2311">
        <f>N107</f>
        <v>2021</v>
      </c>
      <c r="P127" s="2447">
        <f>IF(P122-$N127&lt;=$O$97+1,P107,0)</f>
        <v>0</v>
      </c>
      <c r="Q127" s="2447">
        <f>IF(Q122-$N127&lt;=$O$97+1,Q107,0)</f>
        <v>0</v>
      </c>
      <c r="R127" s="2447">
        <f t="shared" ref="R127:W127" si="87">IF(R124-$N127&lt;=$O$97+1,R107,0)</f>
        <v>0</v>
      </c>
      <c r="S127" s="2447">
        <f t="shared" si="87"/>
        <v>0</v>
      </c>
      <c r="T127" s="2447">
        <f t="shared" si="87"/>
        <v>0</v>
      </c>
      <c r="U127" s="2447">
        <f t="shared" si="87"/>
        <v>0</v>
      </c>
      <c r="V127" s="2447">
        <f t="shared" si="87"/>
        <v>0</v>
      </c>
      <c r="W127" s="2352">
        <f t="shared" si="87"/>
        <v>0</v>
      </c>
    </row>
    <row r="128" spans="2:39">
      <c r="B128" s="2311" t="str">
        <f>B123</f>
        <v>Selection individuelle</v>
      </c>
      <c r="C128" s="2776"/>
      <c r="D128" s="2776"/>
      <c r="E128" s="2787">
        <f>E123/E$124</f>
        <v>0</v>
      </c>
      <c r="F128" s="2787">
        <f t="shared" si="86"/>
        <v>0</v>
      </c>
      <c r="G128" s="2787">
        <f t="shared" si="86"/>
        <v>0</v>
      </c>
      <c r="H128" s="2787">
        <f t="shared" si="86"/>
        <v>0</v>
      </c>
      <c r="I128" s="2787">
        <f t="shared" si="86"/>
        <v>0</v>
      </c>
      <c r="J128" s="2787">
        <f t="shared" si="86"/>
        <v>0</v>
      </c>
      <c r="K128" s="2787">
        <f t="shared" si="86"/>
        <v>0</v>
      </c>
      <c r="L128" s="2789">
        <f t="shared" si="86"/>
        <v>0</v>
      </c>
      <c r="N128" s="2311">
        <v>2022</v>
      </c>
      <c r="P128" s="2447"/>
      <c r="Q128" s="2447"/>
      <c r="R128" s="2447"/>
      <c r="S128" s="2447"/>
      <c r="T128" s="2447"/>
      <c r="U128" s="2447"/>
      <c r="V128" s="2447"/>
      <c r="W128" s="2352"/>
    </row>
    <row r="129" spans="2:23">
      <c r="B129" s="2311"/>
      <c r="C129" s="2776"/>
      <c r="D129" s="2776"/>
      <c r="E129" s="2780">
        <f>SUM(E126:E128)</f>
        <v>1</v>
      </c>
      <c r="F129" s="2780">
        <f t="shared" ref="F129:L129" si="88">SUM(F126:F128)</f>
        <v>1</v>
      </c>
      <c r="G129" s="2780">
        <f t="shared" si="88"/>
        <v>1</v>
      </c>
      <c r="H129" s="2780">
        <f t="shared" si="88"/>
        <v>1</v>
      </c>
      <c r="I129" s="2780">
        <f t="shared" si="88"/>
        <v>1</v>
      </c>
      <c r="J129" s="2780">
        <f t="shared" si="88"/>
        <v>1</v>
      </c>
      <c r="K129" s="2780">
        <f t="shared" si="88"/>
        <v>1</v>
      </c>
      <c r="L129" s="2784">
        <f t="shared" si="88"/>
        <v>1</v>
      </c>
      <c r="N129" s="2311">
        <f t="shared" ref="N129:N135" si="89">N109</f>
        <v>2023</v>
      </c>
      <c r="P129" s="2504"/>
      <c r="Q129" s="2447">
        <f>IF(Q122-$N129&lt;=$O$97+1,Q109,0)</f>
        <v>0</v>
      </c>
      <c r="R129" s="2447">
        <f t="shared" ref="R129:W129" si="90">IF(R125-$N129&lt;=$O$97+1,R109,0)</f>
        <v>0</v>
      </c>
      <c r="S129" s="2447">
        <f t="shared" si="90"/>
        <v>0</v>
      </c>
      <c r="T129" s="2447">
        <f t="shared" si="90"/>
        <v>0</v>
      </c>
      <c r="U129" s="2447">
        <f t="shared" si="90"/>
        <v>0</v>
      </c>
      <c r="V129" s="2447">
        <f t="shared" si="90"/>
        <v>0</v>
      </c>
      <c r="W129" s="2352">
        <f t="shared" si="90"/>
        <v>0</v>
      </c>
    </row>
    <row r="130" spans="2:23">
      <c r="B130" s="2358" t="str">
        <f>B106</f>
        <v xml:space="preserve">Cabernet Sauvignon </v>
      </c>
      <c r="C130" s="2776"/>
      <c r="D130" s="2776"/>
      <c r="E130" s="2776"/>
      <c r="F130" s="2776"/>
      <c r="G130" s="2776"/>
      <c r="H130" s="2776"/>
      <c r="I130" s="2776"/>
      <c r="J130" s="2776"/>
      <c r="K130" s="2776"/>
      <c r="L130" s="2112"/>
      <c r="N130" s="2311">
        <f t="shared" si="89"/>
        <v>2024</v>
      </c>
      <c r="P130" s="2504"/>
      <c r="Q130" s="2504"/>
      <c r="R130" s="2447">
        <f>IF(R122-$N130&lt;=$O$97+1,R110,0)</f>
        <v>0</v>
      </c>
      <c r="S130" s="2447">
        <f>IF(S126-$N130&lt;=$O$97+1,S110,0)</f>
        <v>0</v>
      </c>
      <c r="T130" s="2447">
        <f>IF(T126-$N130&lt;=$O$97+1,T110,0)</f>
        <v>0</v>
      </c>
      <c r="U130" s="2447">
        <f>IF(U126-$N130&lt;=$O$97+1,U110,0)</f>
        <v>0</v>
      </c>
      <c r="V130" s="2447">
        <f>IF(V126-$N130&lt;=$O$97+1,V110,0)</f>
        <v>0</v>
      </c>
      <c r="W130" s="2352">
        <f>IF(W126-$N130&lt;=$O$97+1,W110,0)</f>
        <v>0</v>
      </c>
    </row>
    <row r="131" spans="2:23">
      <c r="B131" s="2311" t="str">
        <f>B116</f>
        <v>Classic</v>
      </c>
      <c r="C131" s="2776"/>
      <c r="D131" s="2776"/>
      <c r="E131" s="2780">
        <f t="shared" ref="E131:L131" si="91">$E$106*E$93</f>
        <v>0</v>
      </c>
      <c r="F131" s="2780">
        <f t="shared" si="91"/>
        <v>0</v>
      </c>
      <c r="G131" s="2780">
        <f t="shared" si="91"/>
        <v>0</v>
      </c>
      <c r="H131" s="2780">
        <f t="shared" si="91"/>
        <v>0</v>
      </c>
      <c r="I131" s="2780">
        <f t="shared" si="91"/>
        <v>0</v>
      </c>
      <c r="J131" s="2780">
        <f t="shared" si="91"/>
        <v>0</v>
      </c>
      <c r="K131" s="2780">
        <f t="shared" si="91"/>
        <v>0</v>
      </c>
      <c r="L131" s="2784">
        <f t="shared" si="91"/>
        <v>0</v>
      </c>
      <c r="N131" s="2311">
        <f t="shared" si="89"/>
        <v>2025</v>
      </c>
      <c r="P131" s="2504"/>
      <c r="Q131" s="2504"/>
      <c r="R131" s="2504"/>
      <c r="S131" s="2447">
        <f>IF(S122-$N131&lt;=$O$97+1,S111,0)</f>
        <v>0</v>
      </c>
      <c r="T131" s="2447">
        <f>IF(T127-$N131&lt;=$O$97+1,T111,0)</f>
        <v>0</v>
      </c>
      <c r="U131" s="2447">
        <f>IF(U127-$N131&lt;=$O$97+1,U111,0)</f>
        <v>0</v>
      </c>
      <c r="V131" s="2447">
        <f>IF(V127-$N131&lt;=$O$97+1,V111,0)</f>
        <v>0</v>
      </c>
      <c r="W131" s="2352">
        <f>IF(W127-$N131&lt;=$O$97+1,W111,0)</f>
        <v>0</v>
      </c>
    </row>
    <row r="132" spans="2:23">
      <c r="B132" s="2311" t="str">
        <f>B117</f>
        <v>Premium</v>
      </c>
      <c r="C132" s="2776"/>
      <c r="D132" s="2776"/>
      <c r="E132" s="2451">
        <f t="shared" ref="E132:L132" si="92">$F$106*E$94</f>
        <v>0.14960000000000001</v>
      </c>
      <c r="F132" s="2451">
        <f t="shared" si="92"/>
        <v>0.14960000000000001</v>
      </c>
      <c r="G132" s="2451">
        <f t="shared" si="92"/>
        <v>0.14960000000000001</v>
      </c>
      <c r="H132" s="2451">
        <f t="shared" si="92"/>
        <v>0.14960000000000001</v>
      </c>
      <c r="I132" s="2451">
        <f t="shared" si="92"/>
        <v>0.14960000000000001</v>
      </c>
      <c r="J132" s="2451">
        <f t="shared" si="92"/>
        <v>0.14960000000000001</v>
      </c>
      <c r="K132" s="2451">
        <f t="shared" si="92"/>
        <v>0.14960000000000001</v>
      </c>
      <c r="L132" s="2452">
        <f t="shared" si="92"/>
        <v>0.14960000000000001</v>
      </c>
      <c r="N132" s="2311">
        <f t="shared" si="89"/>
        <v>2026</v>
      </c>
      <c r="P132" s="2504"/>
      <c r="Q132" s="2504"/>
      <c r="R132" s="2504"/>
      <c r="S132" s="2504"/>
      <c r="T132" s="2447">
        <f>IF(T129-$N132&lt;=$O$97+1,T112,0)</f>
        <v>0</v>
      </c>
      <c r="U132" s="2447">
        <f>IF(U129-$N132&lt;=$O$97+1,U112,0)</f>
        <v>0</v>
      </c>
      <c r="V132" s="2447">
        <f>IF(V129-$N132&lt;=$O$97+1,V112,0)</f>
        <v>0</v>
      </c>
      <c r="W132" s="2352">
        <f>IF(W129-$N132&lt;=$O$97+1,W112,0)</f>
        <v>0</v>
      </c>
    </row>
    <row r="133" spans="2:23">
      <c r="B133" s="2311" t="str">
        <f>B118</f>
        <v>Selection individuelle</v>
      </c>
      <c r="C133" s="2776"/>
      <c r="D133" s="2776"/>
      <c r="E133" s="2779">
        <f t="shared" ref="E133:L133" si="93">$G$106*E$95</f>
        <v>0.06</v>
      </c>
      <c r="F133" s="2779">
        <f t="shared" si="93"/>
        <v>0.06</v>
      </c>
      <c r="G133" s="2779">
        <f t="shared" si="93"/>
        <v>0.06</v>
      </c>
      <c r="H133" s="2779">
        <f t="shared" si="93"/>
        <v>0.06</v>
      </c>
      <c r="I133" s="2779">
        <f t="shared" si="93"/>
        <v>0.06</v>
      </c>
      <c r="J133" s="2779">
        <f t="shared" si="93"/>
        <v>0.06</v>
      </c>
      <c r="K133" s="2779">
        <f t="shared" si="93"/>
        <v>0.06</v>
      </c>
      <c r="L133" s="2788">
        <f t="shared" si="93"/>
        <v>0.06</v>
      </c>
      <c r="N133" s="2311">
        <f t="shared" si="89"/>
        <v>2027</v>
      </c>
      <c r="P133" s="2504"/>
      <c r="Q133" s="2504"/>
      <c r="R133" s="2504"/>
      <c r="S133" s="2504"/>
      <c r="T133" s="2504"/>
      <c r="U133" s="2447">
        <f>IF(U130-$N133&lt;=$O$97+1,U113,0)</f>
        <v>0</v>
      </c>
      <c r="V133" s="2447">
        <f>IF(V130-$N133&lt;=$O$97+1,V113,0)</f>
        <v>0</v>
      </c>
      <c r="W133" s="2352">
        <f>IF(W130-$N133&lt;=$O$97+1,W113,0)</f>
        <v>0</v>
      </c>
    </row>
    <row r="134" spans="2:23">
      <c r="B134" s="2311"/>
      <c r="C134" s="2776"/>
      <c r="D134" s="2776"/>
      <c r="E134" s="2780">
        <f>SUM(E131:E133)</f>
        <v>0.20960000000000001</v>
      </c>
      <c r="F134" s="2780">
        <f t="shared" ref="F134:L134" si="94">SUM(F131:F133)</f>
        <v>0.20960000000000001</v>
      </c>
      <c r="G134" s="2780">
        <f t="shared" si="94"/>
        <v>0.20960000000000001</v>
      </c>
      <c r="H134" s="2780">
        <f t="shared" si="94"/>
        <v>0.20960000000000001</v>
      </c>
      <c r="I134" s="2780">
        <f t="shared" si="94"/>
        <v>0.20960000000000001</v>
      </c>
      <c r="J134" s="2780">
        <f t="shared" si="94"/>
        <v>0.20960000000000001</v>
      </c>
      <c r="K134" s="2780">
        <f t="shared" si="94"/>
        <v>0.20960000000000001</v>
      </c>
      <c r="L134" s="2784">
        <f t="shared" si="94"/>
        <v>0.20960000000000001</v>
      </c>
      <c r="N134" s="2311">
        <f t="shared" si="89"/>
        <v>2028</v>
      </c>
      <c r="P134" s="2504"/>
      <c r="Q134" s="2504"/>
      <c r="R134" s="2504"/>
      <c r="S134" s="2504"/>
      <c r="T134" s="2504"/>
      <c r="U134" s="2504"/>
      <c r="V134" s="2447">
        <f>IF(V131-$N134&lt;=$O$97+1,V114,0)</f>
        <v>0</v>
      </c>
      <c r="W134" s="2352">
        <f>IF(W131-$N134&lt;=$O$97+1,W114,0)</f>
        <v>0</v>
      </c>
    </row>
    <row r="135" spans="2:23">
      <c r="B135" s="2358" t="s">
        <v>1181</v>
      </c>
      <c r="C135" s="2776"/>
      <c r="D135" s="2776"/>
      <c r="E135" s="2451"/>
      <c r="F135" s="2451"/>
      <c r="G135" s="2451"/>
      <c r="H135" s="2451"/>
      <c r="I135" s="2451"/>
      <c r="J135" s="2451"/>
      <c r="K135" s="2451"/>
      <c r="L135" s="2452"/>
      <c r="N135" s="2311">
        <f t="shared" si="89"/>
        <v>2029</v>
      </c>
      <c r="P135" s="2511"/>
      <c r="Q135" s="2511"/>
      <c r="R135" s="2511"/>
      <c r="S135" s="2511"/>
      <c r="T135" s="2511"/>
      <c r="U135" s="2511"/>
      <c r="V135" s="2511"/>
      <c r="W135" s="2512">
        <f>IF(W132-$N135&lt;=$O$97+1,W115,0)</f>
        <v>0</v>
      </c>
    </row>
    <row r="136" spans="2:23">
      <c r="B136" s="2311" t="str">
        <f>B131</f>
        <v>Classic</v>
      </c>
      <c r="C136" s="2776"/>
      <c r="D136" s="2776"/>
      <c r="E136" s="2451">
        <f t="shared" ref="E136:L138" si="95">E131/E$134</f>
        <v>0</v>
      </c>
      <c r="F136" s="2451">
        <f t="shared" si="95"/>
        <v>0</v>
      </c>
      <c r="G136" s="2451">
        <f t="shared" si="95"/>
        <v>0</v>
      </c>
      <c r="H136" s="2451">
        <f t="shared" si="95"/>
        <v>0</v>
      </c>
      <c r="I136" s="2451">
        <f t="shared" si="95"/>
        <v>0</v>
      </c>
      <c r="J136" s="2451">
        <f t="shared" si="95"/>
        <v>0</v>
      </c>
      <c r="K136" s="2451">
        <f t="shared" si="95"/>
        <v>0</v>
      </c>
      <c r="L136" s="2452">
        <f t="shared" si="95"/>
        <v>0</v>
      </c>
      <c r="N136" s="2311"/>
      <c r="P136" s="2447">
        <f t="shared" ref="P136:W136" si="96">SUM(P125:P135)</f>
        <v>0</v>
      </c>
      <c r="Q136" s="2447">
        <f t="shared" si="96"/>
        <v>0</v>
      </c>
      <c r="R136" s="2447">
        <f t="shared" si="96"/>
        <v>0</v>
      </c>
      <c r="S136" s="2447">
        <f t="shared" si="96"/>
        <v>0</v>
      </c>
      <c r="T136" s="2447">
        <f t="shared" si="96"/>
        <v>0</v>
      </c>
      <c r="U136" s="2447">
        <f t="shared" si="96"/>
        <v>0</v>
      </c>
      <c r="V136" s="2447">
        <f t="shared" si="96"/>
        <v>0</v>
      </c>
      <c r="W136" s="2352">
        <f t="shared" si="96"/>
        <v>0</v>
      </c>
    </row>
    <row r="137" spans="2:23">
      <c r="B137" s="2311" t="str">
        <f>B132</f>
        <v>Premium</v>
      </c>
      <c r="C137" s="2776"/>
      <c r="D137" s="2776"/>
      <c r="E137" s="2451">
        <f t="shared" si="95"/>
        <v>0.7137404580152672</v>
      </c>
      <c r="F137" s="2451">
        <f t="shared" si="95"/>
        <v>0.7137404580152672</v>
      </c>
      <c r="G137" s="2451">
        <f t="shared" si="95"/>
        <v>0.7137404580152672</v>
      </c>
      <c r="H137" s="2451">
        <f t="shared" si="95"/>
        <v>0.7137404580152672</v>
      </c>
      <c r="I137" s="2451">
        <f t="shared" si="95"/>
        <v>0.7137404580152672</v>
      </c>
      <c r="J137" s="2451">
        <f t="shared" si="95"/>
        <v>0.7137404580152672</v>
      </c>
      <c r="K137" s="2451">
        <f t="shared" si="95"/>
        <v>0.7137404580152672</v>
      </c>
      <c r="L137" s="2452">
        <f t="shared" si="95"/>
        <v>0.7137404580152672</v>
      </c>
      <c r="N137" s="2311"/>
      <c r="W137" s="2112"/>
    </row>
    <row r="138" spans="2:23">
      <c r="B138" s="2311" t="str">
        <f>B133</f>
        <v>Selection individuelle</v>
      </c>
      <c r="C138" s="2776"/>
      <c r="D138" s="2776"/>
      <c r="E138" s="2779">
        <f t="shared" si="95"/>
        <v>0.2862595419847328</v>
      </c>
      <c r="F138" s="2779">
        <f t="shared" si="95"/>
        <v>0.2862595419847328</v>
      </c>
      <c r="G138" s="2779">
        <f t="shared" si="95"/>
        <v>0.2862595419847328</v>
      </c>
      <c r="H138" s="2779">
        <f t="shared" si="95"/>
        <v>0.2862595419847328</v>
      </c>
      <c r="I138" s="2779">
        <f t="shared" si="95"/>
        <v>0.2862595419847328</v>
      </c>
      <c r="J138" s="2779">
        <f t="shared" si="95"/>
        <v>0.2862595419847328</v>
      </c>
      <c r="K138" s="2779">
        <f t="shared" si="95"/>
        <v>0.2862595419847328</v>
      </c>
      <c r="L138" s="2788">
        <f t="shared" si="95"/>
        <v>0.2862595419847328</v>
      </c>
      <c r="N138" s="2358" t="s">
        <v>630</v>
      </c>
      <c r="P138" s="2324">
        <f t="shared" ref="P138:W138" si="97">P122</f>
        <v>2023</v>
      </c>
      <c r="Q138" s="2324">
        <f t="shared" si="97"/>
        <v>2024</v>
      </c>
      <c r="R138" s="2324">
        <f t="shared" si="97"/>
        <v>2025</v>
      </c>
      <c r="S138" s="2324">
        <f t="shared" si="97"/>
        <v>2026</v>
      </c>
      <c r="T138" s="2324">
        <f t="shared" si="97"/>
        <v>2027</v>
      </c>
      <c r="U138" s="2324">
        <f t="shared" si="97"/>
        <v>2028</v>
      </c>
      <c r="V138" s="2324">
        <f t="shared" si="97"/>
        <v>2029</v>
      </c>
      <c r="W138" s="2442">
        <f t="shared" si="97"/>
        <v>2030</v>
      </c>
    </row>
    <row r="139" spans="2:23">
      <c r="B139" s="2358"/>
      <c r="C139" s="2776"/>
      <c r="D139" s="2776"/>
      <c r="E139" s="2451">
        <f>SUM(E136:E138)</f>
        <v>1</v>
      </c>
      <c r="F139" s="2451">
        <f t="shared" ref="F139:L139" si="98">SUM(F136:F138)</f>
        <v>1</v>
      </c>
      <c r="G139" s="2451">
        <f t="shared" si="98"/>
        <v>1</v>
      </c>
      <c r="H139" s="2451">
        <f t="shared" si="98"/>
        <v>1</v>
      </c>
      <c r="I139" s="2451">
        <f t="shared" si="98"/>
        <v>1</v>
      </c>
      <c r="J139" s="2451">
        <f t="shared" si="98"/>
        <v>1</v>
      </c>
      <c r="K139" s="2451">
        <f t="shared" si="98"/>
        <v>1</v>
      </c>
      <c r="L139" s="2452">
        <f t="shared" si="98"/>
        <v>1</v>
      </c>
      <c r="N139" s="2311"/>
      <c r="W139" s="2112"/>
    </row>
    <row r="140" spans="2:23">
      <c r="B140" s="2358" t="str">
        <f>B107</f>
        <v xml:space="preserve">Cabernet Franc </v>
      </c>
      <c r="C140" s="2776"/>
      <c r="D140" s="2776"/>
      <c r="E140" s="2776"/>
      <c r="F140" s="2776"/>
      <c r="G140" s="2776"/>
      <c r="H140" s="2776"/>
      <c r="I140" s="2776"/>
      <c r="J140" s="2776"/>
      <c r="K140" s="2776"/>
      <c r="L140" s="2112"/>
      <c r="N140" s="2311">
        <v>2018</v>
      </c>
      <c r="P140" s="2487">
        <f>'Inv. wine'!U132</f>
        <v>16186.5</v>
      </c>
      <c r="W140" s="2112"/>
    </row>
    <row r="141" spans="2:23">
      <c r="B141" s="2311" t="str">
        <f>B111</f>
        <v>Classic</v>
      </c>
      <c r="C141" s="2776"/>
      <c r="D141" s="2776"/>
      <c r="E141" s="2780">
        <f t="shared" ref="E141:L141" si="99">$E$107*E$93</f>
        <v>0</v>
      </c>
      <c r="F141" s="2780">
        <f t="shared" si="99"/>
        <v>0</v>
      </c>
      <c r="G141" s="2780">
        <f t="shared" si="99"/>
        <v>0</v>
      </c>
      <c r="H141" s="2780">
        <f t="shared" si="99"/>
        <v>0</v>
      </c>
      <c r="I141" s="2780">
        <f t="shared" si="99"/>
        <v>0</v>
      </c>
      <c r="J141" s="2780">
        <f t="shared" si="99"/>
        <v>0</v>
      </c>
      <c r="K141" s="2780">
        <f t="shared" si="99"/>
        <v>0</v>
      </c>
      <c r="L141" s="2784">
        <f t="shared" si="99"/>
        <v>0</v>
      </c>
      <c r="N141" s="2311">
        <f>N125</f>
        <v>2019</v>
      </c>
      <c r="P141" s="2487"/>
      <c r="Q141" s="2487">
        <f>'Inv. wine'!V133</f>
        <v>22658</v>
      </c>
      <c r="R141" s="2447">
        <f t="shared" ref="R141:W151" si="100">IF(AND(R125=0,Q125&gt;0),Q125,0)</f>
        <v>0</v>
      </c>
      <c r="S141" s="2447">
        <f t="shared" si="100"/>
        <v>0</v>
      </c>
      <c r="T141" s="2447">
        <f t="shared" si="100"/>
        <v>0</v>
      </c>
      <c r="U141" s="2447">
        <f t="shared" si="100"/>
        <v>0</v>
      </c>
      <c r="V141" s="2447">
        <f t="shared" si="100"/>
        <v>0</v>
      </c>
      <c r="W141" s="2352">
        <f t="shared" si="100"/>
        <v>0</v>
      </c>
    </row>
    <row r="142" spans="2:23">
      <c r="B142" s="2311" t="str">
        <f>B112</f>
        <v>Premium</v>
      </c>
      <c r="C142" s="2776"/>
      <c r="D142" s="2776"/>
      <c r="E142" s="2780">
        <f t="shared" ref="E142:L142" si="101">$F$107*E$94</f>
        <v>0.13200000000000001</v>
      </c>
      <c r="F142" s="2780">
        <f t="shared" si="101"/>
        <v>0.13200000000000001</v>
      </c>
      <c r="G142" s="2780">
        <f t="shared" si="101"/>
        <v>0.13200000000000001</v>
      </c>
      <c r="H142" s="2780">
        <f t="shared" si="101"/>
        <v>0.13200000000000001</v>
      </c>
      <c r="I142" s="2780">
        <f t="shared" si="101"/>
        <v>0.13200000000000001</v>
      </c>
      <c r="J142" s="2780">
        <f t="shared" si="101"/>
        <v>0.13200000000000001</v>
      </c>
      <c r="K142" s="2780">
        <f t="shared" si="101"/>
        <v>0.13200000000000001</v>
      </c>
      <c r="L142" s="2784">
        <f t="shared" si="101"/>
        <v>0.13200000000000001</v>
      </c>
      <c r="N142" s="2311">
        <f>N126</f>
        <v>2020</v>
      </c>
      <c r="P142" s="2487"/>
      <c r="Q142" s="2487">
        <f>'Inv. wine'!V134</f>
        <v>20750</v>
      </c>
      <c r="R142" s="2447">
        <f t="shared" si="100"/>
        <v>0</v>
      </c>
      <c r="S142" s="2447">
        <f t="shared" si="100"/>
        <v>0</v>
      </c>
      <c r="T142" s="2447">
        <f t="shared" si="100"/>
        <v>0</v>
      </c>
      <c r="U142" s="2447">
        <f t="shared" si="100"/>
        <v>0</v>
      </c>
      <c r="V142" s="2447">
        <f t="shared" si="100"/>
        <v>0</v>
      </c>
      <c r="W142" s="2352">
        <f t="shared" si="100"/>
        <v>0</v>
      </c>
    </row>
    <row r="143" spans="2:23">
      <c r="B143" s="2311" t="str">
        <f>B113</f>
        <v>Selection individuelle</v>
      </c>
      <c r="C143" s="2776"/>
      <c r="D143" s="2775"/>
      <c r="E143" s="2779">
        <f t="shared" ref="E143:L143" si="102">$G$107*E$95</f>
        <v>2.4E-2</v>
      </c>
      <c r="F143" s="2779">
        <f t="shared" si="102"/>
        <v>2.4E-2</v>
      </c>
      <c r="G143" s="2779">
        <f t="shared" si="102"/>
        <v>2.4E-2</v>
      </c>
      <c r="H143" s="2779">
        <f t="shared" si="102"/>
        <v>2.4E-2</v>
      </c>
      <c r="I143" s="2779">
        <f t="shared" si="102"/>
        <v>2.4E-2</v>
      </c>
      <c r="J143" s="2779">
        <f t="shared" si="102"/>
        <v>2.4E-2</v>
      </c>
      <c r="K143" s="2779">
        <f t="shared" si="102"/>
        <v>2.4E-2</v>
      </c>
      <c r="L143" s="2788">
        <f t="shared" si="102"/>
        <v>2.4E-2</v>
      </c>
      <c r="N143" s="2311">
        <f>N127</f>
        <v>2021</v>
      </c>
      <c r="P143" s="2487"/>
      <c r="Q143" s="2487">
        <f>'Inv. wine'!V135</f>
        <v>0</v>
      </c>
      <c r="R143" s="2447">
        <f t="shared" si="100"/>
        <v>0</v>
      </c>
      <c r="S143" s="2447">
        <f t="shared" si="100"/>
        <v>0</v>
      </c>
      <c r="T143" s="2447">
        <f t="shared" si="100"/>
        <v>0</v>
      </c>
      <c r="U143" s="2447">
        <f t="shared" si="100"/>
        <v>0</v>
      </c>
      <c r="V143" s="2447">
        <f t="shared" si="100"/>
        <v>0</v>
      </c>
      <c r="W143" s="2352">
        <f t="shared" si="100"/>
        <v>0</v>
      </c>
    </row>
    <row r="144" spans="2:23">
      <c r="B144" s="2311"/>
      <c r="C144" s="2776"/>
      <c r="D144" s="2774"/>
      <c r="E144" s="2451">
        <f>SUM(E141:E143)</f>
        <v>0.156</v>
      </c>
      <c r="F144" s="2451">
        <f t="shared" ref="F144:L144" si="103">SUM(F141:F143)</f>
        <v>0.156</v>
      </c>
      <c r="G144" s="2451">
        <f t="shared" si="103"/>
        <v>0.156</v>
      </c>
      <c r="H144" s="2451">
        <f t="shared" si="103"/>
        <v>0.156</v>
      </c>
      <c r="I144" s="2451">
        <f t="shared" si="103"/>
        <v>0.156</v>
      </c>
      <c r="J144" s="2451">
        <f t="shared" si="103"/>
        <v>0.156</v>
      </c>
      <c r="K144" s="2451">
        <f t="shared" si="103"/>
        <v>0.156</v>
      </c>
      <c r="L144" s="2452">
        <f t="shared" si="103"/>
        <v>0.156</v>
      </c>
      <c r="N144" s="2311">
        <v>2022</v>
      </c>
      <c r="P144" s="2487"/>
      <c r="Q144" s="2487"/>
      <c r="R144" s="2447">
        <f t="shared" si="100"/>
        <v>0</v>
      </c>
      <c r="S144" s="2447">
        <f t="shared" si="100"/>
        <v>0</v>
      </c>
      <c r="T144" s="2447">
        <f t="shared" si="100"/>
        <v>0</v>
      </c>
      <c r="U144" s="2447">
        <f t="shared" si="100"/>
        <v>0</v>
      </c>
      <c r="V144" s="2447">
        <f t="shared" si="100"/>
        <v>0</v>
      </c>
      <c r="W144" s="2352">
        <f t="shared" si="100"/>
        <v>0</v>
      </c>
    </row>
    <row r="145" spans="2:23">
      <c r="B145" s="2358" t="s">
        <v>1181</v>
      </c>
      <c r="C145" s="2776"/>
      <c r="D145" s="2776"/>
      <c r="E145" s="2451"/>
      <c r="F145" s="2451"/>
      <c r="G145" s="2451"/>
      <c r="H145" s="2451"/>
      <c r="I145" s="2451"/>
      <c r="J145" s="2451"/>
      <c r="K145" s="2451"/>
      <c r="L145" s="2452"/>
      <c r="N145" s="2311">
        <f t="shared" ref="N145:N151" si="104">N129</f>
        <v>2023</v>
      </c>
      <c r="P145" s="2447"/>
      <c r="Q145" s="2447">
        <f t="shared" ref="Q145:Q151" si="105">IF(AND(Q129=0,P129&gt;0),P129,0)</f>
        <v>0</v>
      </c>
      <c r="R145" s="2447">
        <f t="shared" si="100"/>
        <v>0</v>
      </c>
      <c r="S145" s="2447">
        <f t="shared" si="100"/>
        <v>0</v>
      </c>
      <c r="T145" s="2447">
        <f t="shared" si="100"/>
        <v>0</v>
      </c>
      <c r="U145" s="2447">
        <f t="shared" si="100"/>
        <v>0</v>
      </c>
      <c r="V145" s="2447">
        <f t="shared" si="100"/>
        <v>0</v>
      </c>
      <c r="W145" s="2352">
        <f t="shared" si="100"/>
        <v>0</v>
      </c>
    </row>
    <row r="146" spans="2:23">
      <c r="B146" s="2311" t="str">
        <f>B141</f>
        <v>Classic</v>
      </c>
      <c r="C146" s="2776"/>
      <c r="D146" s="2776"/>
      <c r="E146" s="2780">
        <f t="shared" ref="E146:L148" si="106">E141/E$144</f>
        <v>0</v>
      </c>
      <c r="F146" s="2780">
        <f t="shared" si="106"/>
        <v>0</v>
      </c>
      <c r="G146" s="2780">
        <f t="shared" si="106"/>
        <v>0</v>
      </c>
      <c r="H146" s="2780">
        <f t="shared" si="106"/>
        <v>0</v>
      </c>
      <c r="I146" s="2780">
        <f t="shared" si="106"/>
        <v>0</v>
      </c>
      <c r="J146" s="2780">
        <f t="shared" si="106"/>
        <v>0</v>
      </c>
      <c r="K146" s="2780">
        <f t="shared" si="106"/>
        <v>0</v>
      </c>
      <c r="L146" s="2784">
        <f t="shared" si="106"/>
        <v>0</v>
      </c>
      <c r="N146" s="2311">
        <f t="shared" si="104"/>
        <v>2024</v>
      </c>
      <c r="P146" s="2447"/>
      <c r="Q146" s="2447">
        <f t="shared" si="105"/>
        <v>0</v>
      </c>
      <c r="R146" s="2447">
        <f t="shared" si="100"/>
        <v>0</v>
      </c>
      <c r="S146" s="2447">
        <f t="shared" si="100"/>
        <v>0</v>
      </c>
      <c r="T146" s="2447">
        <f t="shared" si="100"/>
        <v>0</v>
      </c>
      <c r="U146" s="2447">
        <f t="shared" si="100"/>
        <v>0</v>
      </c>
      <c r="V146" s="2447">
        <f t="shared" si="100"/>
        <v>0</v>
      </c>
      <c r="W146" s="2352">
        <f t="shared" si="100"/>
        <v>0</v>
      </c>
    </row>
    <row r="147" spans="2:23">
      <c r="B147" s="2311" t="str">
        <f>B142</f>
        <v>Premium</v>
      </c>
      <c r="C147" s="2776"/>
      <c r="D147" s="2776"/>
      <c r="E147" s="2780">
        <f t="shared" si="106"/>
        <v>0.84615384615384615</v>
      </c>
      <c r="F147" s="2780">
        <f t="shared" si="106"/>
        <v>0.84615384615384615</v>
      </c>
      <c r="G147" s="2780">
        <f t="shared" si="106"/>
        <v>0.84615384615384615</v>
      </c>
      <c r="H147" s="2780">
        <f t="shared" si="106"/>
        <v>0.84615384615384615</v>
      </c>
      <c r="I147" s="2780">
        <f t="shared" si="106"/>
        <v>0.84615384615384615</v>
      </c>
      <c r="J147" s="2780">
        <f t="shared" si="106"/>
        <v>0.84615384615384615</v>
      </c>
      <c r="K147" s="2780">
        <f t="shared" si="106"/>
        <v>0.84615384615384615</v>
      </c>
      <c r="L147" s="2784">
        <f t="shared" si="106"/>
        <v>0.84615384615384615</v>
      </c>
      <c r="N147" s="2311">
        <f t="shared" si="104"/>
        <v>2025</v>
      </c>
      <c r="P147" s="2447"/>
      <c r="Q147" s="2447">
        <f t="shared" si="105"/>
        <v>0</v>
      </c>
      <c r="R147" s="2447">
        <f t="shared" si="100"/>
        <v>0</v>
      </c>
      <c r="S147" s="2447">
        <f t="shared" si="100"/>
        <v>0</v>
      </c>
      <c r="T147" s="2447">
        <f t="shared" si="100"/>
        <v>0</v>
      </c>
      <c r="U147" s="2447">
        <f t="shared" si="100"/>
        <v>0</v>
      </c>
      <c r="V147" s="2447">
        <f t="shared" si="100"/>
        <v>0</v>
      </c>
      <c r="W147" s="2352">
        <f t="shared" si="100"/>
        <v>0</v>
      </c>
    </row>
    <row r="148" spans="2:23">
      <c r="B148" s="2311" t="str">
        <f>B143</f>
        <v>Selection individuelle</v>
      </c>
      <c r="C148" s="2776"/>
      <c r="D148" s="2776"/>
      <c r="E148" s="2787">
        <f t="shared" si="106"/>
        <v>0.15384615384615385</v>
      </c>
      <c r="F148" s="2787">
        <f t="shared" si="106"/>
        <v>0.15384615384615385</v>
      </c>
      <c r="G148" s="2787">
        <f t="shared" si="106"/>
        <v>0.15384615384615385</v>
      </c>
      <c r="H148" s="2787">
        <f t="shared" si="106"/>
        <v>0.15384615384615385</v>
      </c>
      <c r="I148" s="2787">
        <f t="shared" si="106"/>
        <v>0.15384615384615385</v>
      </c>
      <c r="J148" s="2787">
        <f t="shared" si="106"/>
        <v>0.15384615384615385</v>
      </c>
      <c r="K148" s="2787">
        <f t="shared" si="106"/>
        <v>0.15384615384615385</v>
      </c>
      <c r="L148" s="2789">
        <f t="shared" si="106"/>
        <v>0.15384615384615385</v>
      </c>
      <c r="N148" s="2311">
        <f t="shared" si="104"/>
        <v>2026</v>
      </c>
      <c r="P148" s="2447"/>
      <c r="Q148" s="2447">
        <f t="shared" si="105"/>
        <v>0</v>
      </c>
      <c r="R148" s="2447">
        <f t="shared" si="100"/>
        <v>0</v>
      </c>
      <c r="S148" s="2447">
        <f t="shared" si="100"/>
        <v>0</v>
      </c>
      <c r="T148" s="2447">
        <f t="shared" si="100"/>
        <v>0</v>
      </c>
      <c r="U148" s="2447">
        <f t="shared" si="100"/>
        <v>0</v>
      </c>
      <c r="V148" s="2447">
        <f t="shared" si="100"/>
        <v>0</v>
      </c>
      <c r="W148" s="2352">
        <f t="shared" si="100"/>
        <v>0</v>
      </c>
    </row>
    <row r="149" spans="2:23">
      <c r="B149" s="2311"/>
      <c r="C149" s="2776"/>
      <c r="D149" s="2776"/>
      <c r="E149" s="2451">
        <f>SUM(E146:E148)</f>
        <v>1</v>
      </c>
      <c r="F149" s="2451">
        <f t="shared" ref="F149:L149" si="107">SUM(F146:F148)</f>
        <v>1</v>
      </c>
      <c r="G149" s="2451">
        <f t="shared" si="107"/>
        <v>1</v>
      </c>
      <c r="H149" s="2451">
        <f t="shared" si="107"/>
        <v>1</v>
      </c>
      <c r="I149" s="2451">
        <f t="shared" si="107"/>
        <v>1</v>
      </c>
      <c r="J149" s="2451">
        <f t="shared" si="107"/>
        <v>1</v>
      </c>
      <c r="K149" s="2451">
        <f t="shared" si="107"/>
        <v>1</v>
      </c>
      <c r="L149" s="2452">
        <f t="shared" si="107"/>
        <v>1</v>
      </c>
      <c r="N149" s="2311">
        <f t="shared" si="104"/>
        <v>2027</v>
      </c>
      <c r="P149" s="2447"/>
      <c r="Q149" s="2447">
        <f t="shared" si="105"/>
        <v>0</v>
      </c>
      <c r="R149" s="2447">
        <f t="shared" si="100"/>
        <v>0</v>
      </c>
      <c r="S149" s="2447">
        <f t="shared" si="100"/>
        <v>0</v>
      </c>
      <c r="T149" s="2447">
        <f t="shared" si="100"/>
        <v>0</v>
      </c>
      <c r="U149" s="2447">
        <f t="shared" si="100"/>
        <v>0</v>
      </c>
      <c r="V149" s="2447">
        <f t="shared" si="100"/>
        <v>0</v>
      </c>
      <c r="W149" s="2352">
        <f t="shared" si="100"/>
        <v>0</v>
      </c>
    </row>
    <row r="150" spans="2:23" ht="13.5" thickBot="1">
      <c r="B150" s="2436"/>
      <c r="C150" s="2373"/>
      <c r="D150" s="2373"/>
      <c r="E150" s="2790"/>
      <c r="F150" s="2790"/>
      <c r="G150" s="2790"/>
      <c r="H150" s="2790"/>
      <c r="I150" s="2790"/>
      <c r="J150" s="2790"/>
      <c r="K150" s="2790"/>
      <c r="L150" s="2791"/>
      <c r="N150" s="2311">
        <f t="shared" si="104"/>
        <v>2028</v>
      </c>
      <c r="P150" s="2447"/>
      <c r="Q150" s="2447">
        <f t="shared" si="105"/>
        <v>0</v>
      </c>
      <c r="R150" s="2447">
        <f t="shared" si="100"/>
        <v>0</v>
      </c>
      <c r="S150" s="2447">
        <f t="shared" si="100"/>
        <v>0</v>
      </c>
      <c r="T150" s="2447">
        <f t="shared" si="100"/>
        <v>0</v>
      </c>
      <c r="U150" s="2447">
        <f t="shared" si="100"/>
        <v>0</v>
      </c>
      <c r="V150" s="2447">
        <f t="shared" si="100"/>
        <v>0</v>
      </c>
      <c r="W150" s="2352">
        <f t="shared" si="100"/>
        <v>0</v>
      </c>
    </row>
    <row r="151" spans="2:23">
      <c r="N151" s="2311">
        <f t="shared" si="104"/>
        <v>2029</v>
      </c>
      <c r="P151" s="2518"/>
      <c r="Q151" s="2518">
        <f t="shared" si="105"/>
        <v>0</v>
      </c>
      <c r="R151" s="2518">
        <f t="shared" si="100"/>
        <v>0</v>
      </c>
      <c r="S151" s="2518">
        <f t="shared" si="100"/>
        <v>0</v>
      </c>
      <c r="T151" s="2518">
        <f t="shared" si="100"/>
        <v>0</v>
      </c>
      <c r="U151" s="2518">
        <f t="shared" si="100"/>
        <v>0</v>
      </c>
      <c r="V151" s="2518">
        <f t="shared" si="100"/>
        <v>0</v>
      </c>
      <c r="W151" s="2512">
        <f t="shared" si="100"/>
        <v>0</v>
      </c>
    </row>
    <row r="152" spans="2:23" ht="13.5" thickBot="1">
      <c r="B152" s="2444" t="s">
        <v>237</v>
      </c>
      <c r="E152" s="2324">
        <f t="shared" ref="E152:L152" si="108">E81</f>
        <v>2023</v>
      </c>
      <c r="F152" s="2324">
        <f t="shared" si="108"/>
        <v>2024</v>
      </c>
      <c r="G152" s="2324">
        <f t="shared" si="108"/>
        <v>2025</v>
      </c>
      <c r="H152" s="2324">
        <f t="shared" si="108"/>
        <v>2026</v>
      </c>
      <c r="I152" s="2324">
        <f t="shared" si="108"/>
        <v>2027</v>
      </c>
      <c r="J152" s="2324">
        <f t="shared" si="108"/>
        <v>2028</v>
      </c>
      <c r="K152" s="2324">
        <f t="shared" si="108"/>
        <v>2029</v>
      </c>
      <c r="L152" s="2324">
        <f t="shared" si="108"/>
        <v>2030</v>
      </c>
      <c r="N152" s="2436"/>
      <c r="O152" s="2373"/>
      <c r="P152" s="2473">
        <f>SUM(P140:P151)</f>
        <v>16186.5</v>
      </c>
      <c r="Q152" s="2473">
        <f t="shared" ref="Q152:W152" si="109">SUM(Q141:Q151)</f>
        <v>43408</v>
      </c>
      <c r="R152" s="2473">
        <f t="shared" si="109"/>
        <v>0</v>
      </c>
      <c r="S152" s="2473">
        <f t="shared" si="109"/>
        <v>0</v>
      </c>
      <c r="T152" s="2473">
        <f t="shared" si="109"/>
        <v>0</v>
      </c>
      <c r="U152" s="2473">
        <f t="shared" si="109"/>
        <v>0</v>
      </c>
      <c r="V152" s="2473">
        <f t="shared" si="109"/>
        <v>0</v>
      </c>
      <c r="W152" s="2474">
        <f t="shared" si="109"/>
        <v>0</v>
      </c>
    </row>
    <row r="153" spans="2:23" ht="13.5" thickBot="1">
      <c r="B153" s="2316" t="s">
        <v>196</v>
      </c>
      <c r="C153" s="2316" t="str">
        <f>C171</f>
        <v>Muscat petit grain</v>
      </c>
      <c r="E153" s="2479">
        <f t="shared" ref="E153:L153" si="110">E86</f>
        <v>1699.88544</v>
      </c>
      <c r="F153" s="2479">
        <f t="shared" si="110"/>
        <v>2804.8109760000002</v>
      </c>
      <c r="G153" s="2479">
        <f t="shared" si="110"/>
        <v>3295.6528968000002</v>
      </c>
      <c r="H153" s="2479">
        <f t="shared" si="110"/>
        <v>3312.1311612839995</v>
      </c>
      <c r="I153" s="2479">
        <f t="shared" si="110"/>
        <v>3312.1311612839995</v>
      </c>
      <c r="J153" s="2479">
        <f t="shared" si="110"/>
        <v>3312.1311612839995</v>
      </c>
      <c r="K153" s="2479">
        <f t="shared" si="110"/>
        <v>3312.1311612839995</v>
      </c>
      <c r="L153" s="2479">
        <f t="shared" si="110"/>
        <v>3312.1311612839995</v>
      </c>
    </row>
    <row r="154" spans="2:23">
      <c r="B154" s="2326" t="s">
        <v>198</v>
      </c>
      <c r="C154" s="2326" t="s">
        <v>199</v>
      </c>
      <c r="E154" s="2388"/>
      <c r="F154" s="2388"/>
      <c r="G154" s="2388"/>
      <c r="H154" s="2388"/>
      <c r="I154" s="2388"/>
      <c r="J154" s="2388"/>
      <c r="K154" s="2388"/>
      <c r="L154" s="2388"/>
      <c r="M154" s="2447"/>
      <c r="N154" s="2301" t="s">
        <v>205</v>
      </c>
      <c r="O154" s="2299"/>
      <c r="P154" s="2299"/>
      <c r="Q154" s="2299"/>
      <c r="R154" s="2299"/>
      <c r="S154" s="2299"/>
      <c r="T154" s="2299"/>
      <c r="U154" s="2299"/>
      <c r="V154" s="2299"/>
      <c r="W154" s="2300"/>
    </row>
    <row r="155" spans="2:23">
      <c r="B155" s="2483" t="s">
        <v>198</v>
      </c>
      <c r="C155" s="2334" t="s">
        <v>200</v>
      </c>
      <c r="E155" s="2395"/>
      <c r="F155" s="2395"/>
      <c r="G155" s="2395"/>
      <c r="H155" s="2395"/>
      <c r="I155" s="2395"/>
      <c r="J155" s="2395"/>
      <c r="K155" s="2395"/>
      <c r="L155" s="2395"/>
      <c r="N155" s="2311"/>
      <c r="W155" s="2112"/>
    </row>
    <row r="156" spans="2:23">
      <c r="B156" s="2326" t="s">
        <v>201</v>
      </c>
      <c r="C156" s="2326" t="s">
        <v>200</v>
      </c>
      <c r="E156" s="2388">
        <f t="shared" ref="E156:L156" si="111">E116*E82</f>
        <v>0</v>
      </c>
      <c r="F156" s="2388">
        <f t="shared" si="111"/>
        <v>0</v>
      </c>
      <c r="G156" s="2388">
        <f t="shared" si="111"/>
        <v>0</v>
      </c>
      <c r="H156" s="2388">
        <f t="shared" si="111"/>
        <v>0</v>
      </c>
      <c r="I156" s="2388">
        <f t="shared" si="111"/>
        <v>0</v>
      </c>
      <c r="J156" s="2388">
        <f t="shared" si="111"/>
        <v>0</v>
      </c>
      <c r="K156" s="2388">
        <f t="shared" si="111"/>
        <v>0</v>
      </c>
      <c r="L156" s="2388">
        <f t="shared" si="111"/>
        <v>0</v>
      </c>
      <c r="N156" s="2358" t="s">
        <v>628</v>
      </c>
      <c r="O156" s="2308" t="s">
        <v>627</v>
      </c>
      <c r="P156" s="2324">
        <f t="shared" ref="P156:W156" si="112">P103</f>
        <v>2023</v>
      </c>
      <c r="Q156" s="2324">
        <f t="shared" si="112"/>
        <v>2024</v>
      </c>
      <c r="R156" s="2324">
        <f t="shared" si="112"/>
        <v>2025</v>
      </c>
      <c r="S156" s="2324">
        <f t="shared" si="112"/>
        <v>2026</v>
      </c>
      <c r="T156" s="2324">
        <f t="shared" si="112"/>
        <v>2027</v>
      </c>
      <c r="U156" s="2324">
        <f t="shared" si="112"/>
        <v>2028</v>
      </c>
      <c r="V156" s="2324">
        <f t="shared" si="112"/>
        <v>2029</v>
      </c>
      <c r="W156" s="2442">
        <f t="shared" si="112"/>
        <v>2030</v>
      </c>
    </row>
    <row r="157" spans="2:23">
      <c r="B157" s="2485" t="s">
        <v>201</v>
      </c>
      <c r="C157" s="2344" t="str">
        <f>C161</f>
        <v xml:space="preserve">Mavrud </v>
      </c>
      <c r="E157" s="2391">
        <f t="shared" ref="E157:L157" si="113">E126*E83</f>
        <v>0</v>
      </c>
      <c r="F157" s="2391">
        <f t="shared" si="113"/>
        <v>0</v>
      </c>
      <c r="G157" s="2391">
        <f t="shared" si="113"/>
        <v>0</v>
      </c>
      <c r="H157" s="2391">
        <f t="shared" si="113"/>
        <v>0</v>
      </c>
      <c r="I157" s="2391">
        <f t="shared" si="113"/>
        <v>0</v>
      </c>
      <c r="J157" s="2391">
        <f t="shared" si="113"/>
        <v>0</v>
      </c>
      <c r="K157" s="2391">
        <f t="shared" si="113"/>
        <v>0</v>
      </c>
      <c r="L157" s="2391">
        <f t="shared" si="113"/>
        <v>0</v>
      </c>
      <c r="N157" s="2486" t="s">
        <v>415</v>
      </c>
      <c r="W157" s="2112"/>
    </row>
    <row r="158" spans="2:23">
      <c r="B158" s="2485" t="s">
        <v>201</v>
      </c>
      <c r="C158" s="2344" t="str">
        <f>C162</f>
        <v xml:space="preserve">Cabernet Sauvignon </v>
      </c>
      <c r="E158" s="2391">
        <f t="shared" ref="E158:L158" si="114">E136*E84</f>
        <v>0</v>
      </c>
      <c r="F158" s="2391">
        <f t="shared" si="114"/>
        <v>0</v>
      </c>
      <c r="G158" s="2391">
        <f t="shared" si="114"/>
        <v>0</v>
      </c>
      <c r="H158" s="2391">
        <f t="shared" si="114"/>
        <v>0</v>
      </c>
      <c r="I158" s="2391">
        <f t="shared" si="114"/>
        <v>0</v>
      </c>
      <c r="J158" s="2391">
        <f t="shared" si="114"/>
        <v>0</v>
      </c>
      <c r="K158" s="2391">
        <f t="shared" si="114"/>
        <v>0</v>
      </c>
      <c r="L158" s="2391">
        <f t="shared" si="114"/>
        <v>0</v>
      </c>
      <c r="N158" s="2311">
        <v>2019</v>
      </c>
      <c r="P158" s="2487">
        <f>'Inv. start'!C83</f>
        <v>0</v>
      </c>
      <c r="W158" s="2112"/>
    </row>
    <row r="159" spans="2:23">
      <c r="B159" s="2483"/>
      <c r="C159" s="2334" t="str">
        <f>C163</f>
        <v xml:space="preserve">Cabernet Franc </v>
      </c>
      <c r="E159" s="2395">
        <f t="shared" ref="E159:L159" si="115">E146*E85</f>
        <v>0</v>
      </c>
      <c r="F159" s="2395">
        <f t="shared" si="115"/>
        <v>0</v>
      </c>
      <c r="G159" s="2395">
        <f t="shared" si="115"/>
        <v>0</v>
      </c>
      <c r="H159" s="2395">
        <f t="shared" si="115"/>
        <v>0</v>
      </c>
      <c r="I159" s="2395">
        <f t="shared" si="115"/>
        <v>0</v>
      </c>
      <c r="J159" s="2395">
        <f t="shared" si="115"/>
        <v>0</v>
      </c>
      <c r="K159" s="2395">
        <f t="shared" si="115"/>
        <v>0</v>
      </c>
      <c r="L159" s="2395">
        <f t="shared" si="115"/>
        <v>0</v>
      </c>
      <c r="N159" s="2311">
        <v>2020</v>
      </c>
      <c r="P159" s="2487">
        <f>'Inv. start'!D83</f>
        <v>9225</v>
      </c>
      <c r="W159" s="2112"/>
    </row>
    <row r="160" spans="2:23">
      <c r="B160" s="2326" t="s">
        <v>205</v>
      </c>
      <c r="C160" s="2326" t="s">
        <v>200</v>
      </c>
      <c r="E160" s="2391">
        <f>E117*E82</f>
        <v>17512.791030550467</v>
      </c>
      <c r="F160" s="2391">
        <f t="shared" ref="F160:L160" si="116">F117*F82</f>
        <v>25469.512378938089</v>
      </c>
      <c r="G160" s="2391">
        <f t="shared" si="116"/>
        <v>29289.939235778802</v>
      </c>
      <c r="H160" s="2391">
        <f t="shared" si="116"/>
        <v>29436.388931957692</v>
      </c>
      <c r="I160" s="2391">
        <f t="shared" si="116"/>
        <v>29436.388931957692</v>
      </c>
      <c r="J160" s="2391">
        <f t="shared" si="116"/>
        <v>29436.388931957692</v>
      </c>
      <c r="K160" s="2391">
        <f t="shared" si="116"/>
        <v>29436.388931957692</v>
      </c>
      <c r="L160" s="2391">
        <f t="shared" si="116"/>
        <v>29436.388931957692</v>
      </c>
      <c r="N160" s="2311">
        <v>2021</v>
      </c>
      <c r="P160" s="2487">
        <f>'Inv. start'!E83</f>
        <v>18900</v>
      </c>
      <c r="W160" s="2112"/>
    </row>
    <row r="161" spans="2:23">
      <c r="B161" s="2485" t="s">
        <v>205</v>
      </c>
      <c r="C161" s="2344" t="s">
        <v>204</v>
      </c>
      <c r="E161" s="2391">
        <f t="shared" ref="E161:L161" si="117">E127*E83</f>
        <v>5221.5087443904004</v>
      </c>
      <c r="F161" s="2391">
        <f t="shared" si="117"/>
        <v>8693.01319788</v>
      </c>
      <c r="G161" s="2391">
        <f t="shared" si="117"/>
        <v>9996.9651775619986</v>
      </c>
      <c r="H161" s="2391">
        <f t="shared" si="117"/>
        <v>10046.950003449811</v>
      </c>
      <c r="I161" s="2391">
        <f t="shared" si="117"/>
        <v>10046.950003449811</v>
      </c>
      <c r="J161" s="2391">
        <f t="shared" si="117"/>
        <v>10046.950003449811</v>
      </c>
      <c r="K161" s="2391">
        <f t="shared" si="117"/>
        <v>10046.950003449811</v>
      </c>
      <c r="L161" s="2391">
        <f t="shared" si="117"/>
        <v>10046.950003449811</v>
      </c>
      <c r="N161" s="2311">
        <v>2022</v>
      </c>
      <c r="P161" s="2487"/>
      <c r="W161" s="2112"/>
    </row>
    <row r="162" spans="2:23">
      <c r="B162" s="2485" t="s">
        <v>205</v>
      </c>
      <c r="C162" s="2344" t="s">
        <v>199</v>
      </c>
      <c r="E162" s="2391">
        <f t="shared" ref="E162:L162" si="118">E137*E84</f>
        <v>5770.1029653728237</v>
      </c>
      <c r="F162" s="2391">
        <f t="shared" si="118"/>
        <v>6638.7704587138178</v>
      </c>
      <c r="G162" s="2391">
        <f t="shared" si="118"/>
        <v>7966.524550456581</v>
      </c>
      <c r="H162" s="2391">
        <f t="shared" si="118"/>
        <v>8006.3571732088612</v>
      </c>
      <c r="I162" s="2391">
        <f t="shared" si="118"/>
        <v>8006.3571732088612</v>
      </c>
      <c r="J162" s="2391">
        <f t="shared" si="118"/>
        <v>8006.3571732088612</v>
      </c>
      <c r="K162" s="2391">
        <f t="shared" si="118"/>
        <v>8006.3571732088612</v>
      </c>
      <c r="L162" s="2391">
        <f t="shared" si="118"/>
        <v>8006.3571732088612</v>
      </c>
      <c r="N162" s="2311">
        <f>P156</f>
        <v>2023</v>
      </c>
      <c r="P162" s="2490"/>
      <c r="Q162" s="2383">
        <f ca="1">U48+U49+U50+U52+U53+U54+U51+U55</f>
        <v>31321</v>
      </c>
      <c r="W162" s="2112"/>
    </row>
    <row r="163" spans="2:23">
      <c r="B163" s="2483" t="s">
        <v>205</v>
      </c>
      <c r="C163" s="2334" t="s">
        <v>203</v>
      </c>
      <c r="E163" s="2395">
        <f t="shared" ref="E163:L163" si="119">E147*E85</f>
        <v>3283.1715233409236</v>
      </c>
      <c r="F163" s="2395">
        <f t="shared" si="119"/>
        <v>4773.8939691046162</v>
      </c>
      <c r="G163" s="2395">
        <f t="shared" si="119"/>
        <v>5728.6727629255402</v>
      </c>
      <c r="H163" s="2395">
        <f t="shared" si="119"/>
        <v>5757.3161267401674</v>
      </c>
      <c r="I163" s="2395">
        <f t="shared" si="119"/>
        <v>5757.3161267401674</v>
      </c>
      <c r="J163" s="2395">
        <f t="shared" si="119"/>
        <v>5757.3161267401674</v>
      </c>
      <c r="K163" s="2395">
        <f t="shared" si="119"/>
        <v>5757.3161267401674</v>
      </c>
      <c r="L163" s="2395">
        <f t="shared" si="119"/>
        <v>5757.3161267401674</v>
      </c>
      <c r="N163" s="2311">
        <f t="shared" ref="N163:N169" si="120">N162+1</f>
        <v>2024</v>
      </c>
      <c r="P163" s="2490"/>
      <c r="Q163" s="2490"/>
      <c r="R163" s="2383">
        <f ca="1">V48+V49+V50+V52+V53+V54+V55+V51</f>
        <v>45368</v>
      </c>
      <c r="W163" s="2112"/>
    </row>
    <row r="164" spans="2:23">
      <c r="B164" s="2326" t="s">
        <v>206</v>
      </c>
      <c r="C164" s="2344" t="s">
        <v>200</v>
      </c>
      <c r="E164" s="2388">
        <f t="shared" ref="E164:L164" si="121">E118*E82</f>
        <v>1377.7545391167321</v>
      </c>
      <c r="F164" s="2388">
        <f t="shared" si="121"/>
        <v>2003.7203794619124</v>
      </c>
      <c r="G164" s="2388">
        <f t="shared" si="121"/>
        <v>2304.2784363811993</v>
      </c>
      <c r="H164" s="2388">
        <f t="shared" si="121"/>
        <v>2315.7998285631047</v>
      </c>
      <c r="I164" s="2388">
        <f t="shared" si="121"/>
        <v>2315.7998285631047</v>
      </c>
      <c r="J164" s="2388">
        <f t="shared" si="121"/>
        <v>2315.7998285631047</v>
      </c>
      <c r="K164" s="2388">
        <f t="shared" si="121"/>
        <v>2315.7998285631047</v>
      </c>
      <c r="L164" s="2388">
        <f t="shared" si="121"/>
        <v>2315.7998285631047</v>
      </c>
      <c r="N164" s="2311">
        <f t="shared" si="120"/>
        <v>2025</v>
      </c>
      <c r="P164" s="2490"/>
      <c r="Q164" s="2490"/>
      <c r="R164" s="2490"/>
      <c r="S164" s="2383">
        <f ca="1">W48+W49+W50+W52+W53+W54+W51+W55</f>
        <v>52746</v>
      </c>
      <c r="W164" s="2112"/>
    </row>
    <row r="165" spans="2:23">
      <c r="B165" s="2344"/>
      <c r="C165" s="2344" t="str">
        <f>C161</f>
        <v xml:space="preserve">Mavrud </v>
      </c>
      <c r="E165" s="2391">
        <f t="shared" ref="E165:L165" si="122">E128*E83</f>
        <v>0</v>
      </c>
      <c r="F165" s="2391">
        <f t="shared" si="122"/>
        <v>0</v>
      </c>
      <c r="G165" s="2391">
        <f t="shared" si="122"/>
        <v>0</v>
      </c>
      <c r="H165" s="2391">
        <f t="shared" si="122"/>
        <v>0</v>
      </c>
      <c r="I165" s="2391">
        <f t="shared" si="122"/>
        <v>0</v>
      </c>
      <c r="J165" s="2391">
        <f t="shared" si="122"/>
        <v>0</v>
      </c>
      <c r="K165" s="2391">
        <f t="shared" si="122"/>
        <v>0</v>
      </c>
      <c r="L165" s="2391">
        <f t="shared" si="122"/>
        <v>0</v>
      </c>
      <c r="N165" s="2311">
        <f t="shared" si="120"/>
        <v>2026</v>
      </c>
      <c r="P165" s="2490"/>
      <c r="Q165" s="2490"/>
      <c r="R165" s="2490"/>
      <c r="S165" s="2490"/>
      <c r="T165" s="2383">
        <f ca="1">X48+X49+X50+X52+X53+X54+X51+X55</f>
        <v>52796</v>
      </c>
      <c r="W165" s="2112"/>
    </row>
    <row r="166" spans="2:23">
      <c r="B166" s="2485" t="str">
        <f>B164</f>
        <v>Selection individuelle</v>
      </c>
      <c r="C166" s="2344" t="s">
        <v>199</v>
      </c>
      <c r="E166" s="2391">
        <f t="shared" ref="E166:L166" si="123">E138*E84</f>
        <v>2314.2124192671749</v>
      </c>
      <c r="F166" s="2391">
        <f t="shared" si="123"/>
        <v>2662.6084727461835</v>
      </c>
      <c r="G166" s="2391">
        <f t="shared" si="123"/>
        <v>3195.1301672954196</v>
      </c>
      <c r="H166" s="2391">
        <f t="shared" si="123"/>
        <v>3211.1058181318958</v>
      </c>
      <c r="I166" s="2391">
        <f t="shared" si="123"/>
        <v>3211.1058181318958</v>
      </c>
      <c r="J166" s="2391">
        <f t="shared" si="123"/>
        <v>3211.1058181318958</v>
      </c>
      <c r="K166" s="2391">
        <f t="shared" si="123"/>
        <v>3211.1058181318958</v>
      </c>
      <c r="L166" s="2391">
        <f t="shared" si="123"/>
        <v>3211.1058181318958</v>
      </c>
      <c r="N166" s="2311">
        <f t="shared" si="120"/>
        <v>2027</v>
      </c>
      <c r="P166" s="2490"/>
      <c r="Q166" s="2490"/>
      <c r="R166" s="2490"/>
      <c r="S166" s="2493"/>
      <c r="T166" s="2493"/>
      <c r="U166" s="2383">
        <f ca="1">Y48+Y49+Y50+Y52+Y53+Y54+Y51+Y55</f>
        <v>52796</v>
      </c>
      <c r="V166" s="2339"/>
      <c r="W166" s="2470"/>
    </row>
    <row r="167" spans="2:23">
      <c r="B167" s="2483" t="str">
        <f>B164</f>
        <v>Selection individuelle</v>
      </c>
      <c r="C167" s="2334" t="s">
        <v>203</v>
      </c>
      <c r="E167" s="2395">
        <f t="shared" ref="E167:L167" si="124">E148*E85</f>
        <v>596.94027697107708</v>
      </c>
      <c r="F167" s="2395">
        <f t="shared" si="124"/>
        <v>867.98072165538474</v>
      </c>
      <c r="G167" s="2395">
        <f t="shared" si="124"/>
        <v>1041.5768659864618</v>
      </c>
      <c r="H167" s="2395">
        <f t="shared" si="124"/>
        <v>1046.7847503163941</v>
      </c>
      <c r="I167" s="2395">
        <f t="shared" si="124"/>
        <v>1046.7847503163941</v>
      </c>
      <c r="J167" s="2395">
        <f t="shared" si="124"/>
        <v>1046.7847503163941</v>
      </c>
      <c r="K167" s="2395">
        <f t="shared" si="124"/>
        <v>1046.7847503163941</v>
      </c>
      <c r="L167" s="2395">
        <f t="shared" si="124"/>
        <v>1046.7847503163941</v>
      </c>
      <c r="N167" s="2311">
        <f t="shared" si="120"/>
        <v>2028</v>
      </c>
      <c r="P167" s="2490"/>
      <c r="Q167" s="2490"/>
      <c r="R167" s="2490"/>
      <c r="S167" s="2490"/>
      <c r="T167" s="2493"/>
      <c r="U167" s="2493"/>
      <c r="V167" s="2383">
        <f ca="1">Z48+Z49+Z50+Z52+Z53+Z54+Z51+Z55</f>
        <v>52796</v>
      </c>
      <c r="W167" s="2112"/>
    </row>
    <row r="168" spans="2:23">
      <c r="E168" s="2471">
        <f t="shared" ref="E168:L168" si="125">SUM(E153:E167)</f>
        <v>37776.366939009604</v>
      </c>
      <c r="F168" s="2471">
        <f t="shared" si="125"/>
        <v>53914.3105545</v>
      </c>
      <c r="G168" s="2471">
        <f t="shared" si="125"/>
        <v>62818.74009318601</v>
      </c>
      <c r="H168" s="2471">
        <f t="shared" si="125"/>
        <v>63132.833793651924</v>
      </c>
      <c r="I168" s="2471">
        <f t="shared" si="125"/>
        <v>63132.833793651924</v>
      </c>
      <c r="J168" s="2471">
        <f t="shared" si="125"/>
        <v>63132.833793651924</v>
      </c>
      <c r="K168" s="2471">
        <f t="shared" si="125"/>
        <v>63132.833793651924</v>
      </c>
      <c r="L168" s="2471">
        <f t="shared" si="125"/>
        <v>63132.833793651924</v>
      </c>
      <c r="N168" s="2311">
        <f t="shared" si="120"/>
        <v>2029</v>
      </c>
      <c r="P168" s="2490"/>
      <c r="Q168" s="2490"/>
      <c r="R168" s="2490"/>
      <c r="S168" s="2490"/>
      <c r="T168" s="2490"/>
      <c r="U168" s="2490"/>
      <c r="V168" s="2490"/>
      <c r="W168" s="2458">
        <f ca="1">AA48+AA49+AA50+AA52+AA53+AA54+AA51+AA55</f>
        <v>52796</v>
      </c>
    </row>
    <row r="169" spans="2:23">
      <c r="N169" s="2311">
        <f t="shared" si="120"/>
        <v>2030</v>
      </c>
      <c r="P169" s="2496"/>
      <c r="Q169" s="2496"/>
      <c r="R169" s="2496"/>
      <c r="S169" s="2496"/>
      <c r="T169" s="2496"/>
      <c r="U169" s="2496"/>
      <c r="V169" s="2496"/>
      <c r="W169" s="2497"/>
    </row>
    <row r="170" spans="2:23">
      <c r="B170" s="2444" t="s">
        <v>239</v>
      </c>
      <c r="E170" s="2324">
        <f t="shared" ref="E170:L170" si="126">E152</f>
        <v>2023</v>
      </c>
      <c r="F170" s="2324">
        <f t="shared" si="126"/>
        <v>2024</v>
      </c>
      <c r="G170" s="2324">
        <f t="shared" si="126"/>
        <v>2025</v>
      </c>
      <c r="H170" s="2324">
        <f t="shared" si="126"/>
        <v>2026</v>
      </c>
      <c r="I170" s="2324">
        <f t="shared" si="126"/>
        <v>2027</v>
      </c>
      <c r="J170" s="2324">
        <f t="shared" si="126"/>
        <v>2028</v>
      </c>
      <c r="K170" s="2324">
        <f t="shared" si="126"/>
        <v>2029</v>
      </c>
      <c r="L170" s="2324">
        <f t="shared" si="126"/>
        <v>2030</v>
      </c>
      <c r="N170" s="2311"/>
      <c r="P170" s="2383">
        <f t="shared" ref="P170:W170" si="127">SUM(P158:P169)</f>
        <v>28125</v>
      </c>
      <c r="Q170" s="2383">
        <f t="shared" ca="1" si="127"/>
        <v>31321</v>
      </c>
      <c r="R170" s="2383">
        <f t="shared" ca="1" si="127"/>
        <v>45368</v>
      </c>
      <c r="S170" s="2383">
        <f t="shared" ca="1" si="127"/>
        <v>52746</v>
      </c>
      <c r="T170" s="2383">
        <f t="shared" ca="1" si="127"/>
        <v>52796</v>
      </c>
      <c r="U170" s="2383">
        <f t="shared" ca="1" si="127"/>
        <v>52796</v>
      </c>
      <c r="V170" s="2383">
        <f t="shared" ca="1" si="127"/>
        <v>52796</v>
      </c>
      <c r="W170" s="2458">
        <f t="shared" ca="1" si="127"/>
        <v>52796</v>
      </c>
    </row>
    <row r="171" spans="2:23">
      <c r="B171" s="2316" t="s">
        <v>196</v>
      </c>
      <c r="C171" s="2316" t="str">
        <f>C4</f>
        <v>Muscat petit grain</v>
      </c>
      <c r="E171" s="2491">
        <f t="shared" ref="E171:L171" si="128">IF($G4="Barrel",FLOOR(E153/$C$206,1)*$C$206,MROUND(FLOOR(E153,$C$207),$C$207))</f>
        <v>1699.5</v>
      </c>
      <c r="F171" s="2491">
        <f t="shared" si="128"/>
        <v>2804.25</v>
      </c>
      <c r="G171" s="2491">
        <f t="shared" si="128"/>
        <v>3295.5</v>
      </c>
      <c r="H171" s="2491">
        <f t="shared" si="128"/>
        <v>3312</v>
      </c>
      <c r="I171" s="2491">
        <f t="shared" si="128"/>
        <v>3312</v>
      </c>
      <c r="J171" s="2491">
        <f t="shared" si="128"/>
        <v>3312</v>
      </c>
      <c r="K171" s="2491">
        <f t="shared" si="128"/>
        <v>3312</v>
      </c>
      <c r="L171" s="2479">
        <f t="shared" si="128"/>
        <v>3312</v>
      </c>
      <c r="N171" s="2311"/>
      <c r="R171" s="2383">
        <f ca="1">R170-SUM('Inv. wine'!AE6:AE12)</f>
        <v>0</v>
      </c>
      <c r="S171" s="2111">
        <f ca="1">S170-SUM('Inv. wine'!AF6:AF12)</f>
        <v>0</v>
      </c>
      <c r="T171" s="2111">
        <f ca="1">T170-SUM('Inv. wine'!AG6:AG12)</f>
        <v>0</v>
      </c>
      <c r="U171" s="2111">
        <f ca="1">U170-SUM('Inv. wine'!AH6:AH12)</f>
        <v>0</v>
      </c>
      <c r="V171" s="2111">
        <f ca="1">V170-SUM('Inv. wine'!AI6:AI12)</f>
        <v>0</v>
      </c>
      <c r="W171" s="2112">
        <f ca="1">W170-SUM('Inv. wine'!AJ6:AJ12)</f>
        <v>0</v>
      </c>
    </row>
    <row r="172" spans="2:23" ht="13.5" thickBot="1">
      <c r="B172" s="2326" t="s">
        <v>198</v>
      </c>
      <c r="C172" s="2326" t="s">
        <v>199</v>
      </c>
      <c r="E172" s="2492">
        <f t="shared" ref="E172:L173" si="129">IF($G5="Barrel",FLOOR(E154/$C$206,1)*$C$206,MROUND(FLOOR(E154,1),$C$207))</f>
        <v>0</v>
      </c>
      <c r="F172" s="2492">
        <f t="shared" si="129"/>
        <v>0</v>
      </c>
      <c r="G172" s="2492">
        <f t="shared" si="129"/>
        <v>0</v>
      </c>
      <c r="H172" s="2492">
        <f t="shared" si="129"/>
        <v>0</v>
      </c>
      <c r="I172" s="2492">
        <f t="shared" si="129"/>
        <v>0</v>
      </c>
      <c r="J172" s="2492">
        <f t="shared" si="129"/>
        <v>0</v>
      </c>
      <c r="K172" s="2492">
        <f t="shared" si="129"/>
        <v>0</v>
      </c>
      <c r="L172" s="2388">
        <f t="shared" si="129"/>
        <v>0</v>
      </c>
      <c r="N172" s="2498" t="s">
        <v>264</v>
      </c>
      <c r="P172" s="2499">
        <f t="shared" ref="P172:W172" si="130">P170/$C$206</f>
        <v>125</v>
      </c>
      <c r="Q172" s="2499">
        <f t="shared" ca="1" si="130"/>
        <v>139.20444444444445</v>
      </c>
      <c r="R172" s="2499">
        <f t="shared" ca="1" si="130"/>
        <v>201.63555555555556</v>
      </c>
      <c r="S172" s="2499">
        <f t="shared" ca="1" si="130"/>
        <v>234.42666666666668</v>
      </c>
      <c r="T172" s="2499">
        <f t="shared" ca="1" si="130"/>
        <v>234.64888888888888</v>
      </c>
      <c r="U172" s="2499">
        <f t="shared" ca="1" si="130"/>
        <v>234.64888888888888</v>
      </c>
      <c r="V172" s="2499">
        <f t="shared" ca="1" si="130"/>
        <v>234.64888888888888</v>
      </c>
      <c r="W172" s="2500">
        <f t="shared" ca="1" si="130"/>
        <v>234.64888888888888</v>
      </c>
    </row>
    <row r="173" spans="2:23" ht="13.5" thickTop="1">
      <c r="B173" s="2334"/>
      <c r="C173" s="2334" t="s">
        <v>200</v>
      </c>
      <c r="E173" s="2494">
        <f t="shared" si="129"/>
        <v>0</v>
      </c>
      <c r="F173" s="2494">
        <f t="shared" si="129"/>
        <v>0</v>
      </c>
      <c r="G173" s="2494">
        <f t="shared" si="129"/>
        <v>0</v>
      </c>
      <c r="H173" s="2494">
        <f t="shared" si="129"/>
        <v>0</v>
      </c>
      <c r="I173" s="2494">
        <f t="shared" si="129"/>
        <v>0</v>
      </c>
      <c r="J173" s="2494">
        <f t="shared" si="129"/>
        <v>0</v>
      </c>
      <c r="K173" s="2494">
        <f t="shared" si="129"/>
        <v>0</v>
      </c>
      <c r="L173" s="2395">
        <f t="shared" si="129"/>
        <v>0</v>
      </c>
      <c r="N173" s="2311"/>
      <c r="W173" s="2112"/>
    </row>
    <row r="174" spans="2:23">
      <c r="B174" s="2326" t="s">
        <v>201</v>
      </c>
      <c r="C174" s="2326" t="s">
        <v>200</v>
      </c>
      <c r="E174" s="2492">
        <f t="shared" ref="E174:L174" si="131">IF($G7="Barrel",FLOOR(E156/$C$206,1)*$C$206,FLOOR(E156*$C$207,$C$207)/$C$207)</f>
        <v>0</v>
      </c>
      <c r="F174" s="2492">
        <f t="shared" si="131"/>
        <v>0</v>
      </c>
      <c r="G174" s="2492">
        <f t="shared" si="131"/>
        <v>0</v>
      </c>
      <c r="H174" s="2492">
        <f t="shared" si="131"/>
        <v>0</v>
      </c>
      <c r="I174" s="2492">
        <f t="shared" si="131"/>
        <v>0</v>
      </c>
      <c r="J174" s="2492">
        <f t="shared" si="131"/>
        <v>0</v>
      </c>
      <c r="K174" s="2492">
        <f t="shared" si="131"/>
        <v>0</v>
      </c>
      <c r="L174" s="2388">
        <f t="shared" si="131"/>
        <v>0</v>
      </c>
      <c r="N174" s="2358" t="s">
        <v>622</v>
      </c>
      <c r="W174" s="2112"/>
    </row>
    <row r="175" spans="2:23">
      <c r="B175" s="2485" t="s">
        <v>201</v>
      </c>
      <c r="C175" s="2344" t="str">
        <f>C157</f>
        <v xml:space="preserve">Mavrud </v>
      </c>
      <c r="E175" s="2495">
        <f t="shared" ref="E175:L175" si="132">IF($G7="Barrel",FLOOR(E157/$C$206,1)*$C$206,FLOOR(E157*$C$207,$C$207)/$C$207)</f>
        <v>0</v>
      </c>
      <c r="F175" s="2495">
        <f t="shared" si="132"/>
        <v>0</v>
      </c>
      <c r="G175" s="2495">
        <f t="shared" si="132"/>
        <v>0</v>
      </c>
      <c r="H175" s="2495">
        <f t="shared" si="132"/>
        <v>0</v>
      </c>
      <c r="I175" s="2495">
        <f t="shared" si="132"/>
        <v>0</v>
      </c>
      <c r="J175" s="2495">
        <f t="shared" si="132"/>
        <v>0</v>
      </c>
      <c r="K175" s="2495">
        <f t="shared" si="132"/>
        <v>0</v>
      </c>
      <c r="L175" s="2391">
        <f t="shared" si="132"/>
        <v>0</v>
      </c>
      <c r="N175" s="2311"/>
      <c r="O175" s="2111" t="s">
        <v>629</v>
      </c>
      <c r="P175" s="2324">
        <f t="shared" ref="P175:W175" si="133">P156</f>
        <v>2023</v>
      </c>
      <c r="Q175" s="2324">
        <f t="shared" si="133"/>
        <v>2024</v>
      </c>
      <c r="R175" s="2324">
        <f t="shared" si="133"/>
        <v>2025</v>
      </c>
      <c r="S175" s="2324">
        <f t="shared" si="133"/>
        <v>2026</v>
      </c>
      <c r="T175" s="2324">
        <f t="shared" si="133"/>
        <v>2027</v>
      </c>
      <c r="U175" s="2324">
        <f t="shared" si="133"/>
        <v>2028</v>
      </c>
      <c r="V175" s="2324">
        <f t="shared" si="133"/>
        <v>2029</v>
      </c>
      <c r="W175" s="2442">
        <f t="shared" si="133"/>
        <v>2030</v>
      </c>
    </row>
    <row r="176" spans="2:23">
      <c r="B176" s="2485"/>
      <c r="C176" s="2344" t="str">
        <f>C158</f>
        <v xml:space="preserve">Cabernet Sauvignon </v>
      </c>
      <c r="E176" s="2495">
        <f t="shared" ref="E176:L176" si="134">IF($G7="Barrel",FLOOR(E158/$C$206,1)*$C$206,FLOOR(E158*$C$207,$C$207)/$C$207)</f>
        <v>0</v>
      </c>
      <c r="F176" s="2495">
        <f t="shared" si="134"/>
        <v>0</v>
      </c>
      <c r="G176" s="2495">
        <f t="shared" si="134"/>
        <v>0</v>
      </c>
      <c r="H176" s="2495">
        <f t="shared" si="134"/>
        <v>0</v>
      </c>
      <c r="I176" s="2495">
        <f t="shared" si="134"/>
        <v>0</v>
      </c>
      <c r="J176" s="2495">
        <f t="shared" si="134"/>
        <v>0</v>
      </c>
      <c r="K176" s="2495">
        <f t="shared" si="134"/>
        <v>0</v>
      </c>
      <c r="L176" s="2391">
        <f t="shared" si="134"/>
        <v>0</v>
      </c>
      <c r="N176" s="2311" t="str">
        <f>N157</f>
        <v>Production year</v>
      </c>
      <c r="W176" s="2112"/>
    </row>
    <row r="177" spans="2:23">
      <c r="B177" s="2483" t="s">
        <v>201</v>
      </c>
      <c r="C177" s="2334" t="str">
        <f>C159</f>
        <v xml:space="preserve">Cabernet Franc </v>
      </c>
      <c r="E177" s="2494">
        <f t="shared" ref="E177:L177" si="135">IF($G7="Barrel",FLOOR(E159/$C$206,1)*$C$206,FLOOR(E159*$C$207,$C$207)/$C$207)</f>
        <v>0</v>
      </c>
      <c r="F177" s="2494">
        <f t="shared" si="135"/>
        <v>0</v>
      </c>
      <c r="G177" s="2494">
        <f t="shared" si="135"/>
        <v>0</v>
      </c>
      <c r="H177" s="2494">
        <f t="shared" si="135"/>
        <v>0</v>
      </c>
      <c r="I177" s="2494">
        <f t="shared" si="135"/>
        <v>0</v>
      </c>
      <c r="J177" s="2494">
        <f t="shared" si="135"/>
        <v>0</v>
      </c>
      <c r="K177" s="2494">
        <f t="shared" si="135"/>
        <v>0</v>
      </c>
      <c r="L177" s="2395">
        <f t="shared" si="135"/>
        <v>0</v>
      </c>
      <c r="N177" s="2311"/>
      <c r="P177" s="2447"/>
      <c r="Q177" s="2447"/>
      <c r="R177" s="2447"/>
      <c r="S177" s="2447"/>
      <c r="T177" s="2447"/>
      <c r="U177" s="2447"/>
      <c r="V177" s="2447"/>
      <c r="W177" s="2352"/>
    </row>
    <row r="178" spans="2:23">
      <c r="B178" s="2326" t="s">
        <v>205</v>
      </c>
      <c r="C178" s="2326" t="s">
        <v>200</v>
      </c>
      <c r="E178" s="2492">
        <f t="shared" ref="E178:L178" si="136">IF($G11="Barrel",FLOOR(E160/$C$206,1)*$C$206,FLOOR(E160*$C$207,$C$207)/$C$207)</f>
        <v>17325</v>
      </c>
      <c r="F178" s="2492">
        <f t="shared" si="136"/>
        <v>25425</v>
      </c>
      <c r="G178" s="2492">
        <f t="shared" si="136"/>
        <v>29250</v>
      </c>
      <c r="H178" s="2492">
        <f t="shared" si="136"/>
        <v>29250</v>
      </c>
      <c r="I178" s="2492">
        <f t="shared" si="136"/>
        <v>29250</v>
      </c>
      <c r="J178" s="2492">
        <f t="shared" si="136"/>
        <v>29250</v>
      </c>
      <c r="K178" s="2492">
        <f t="shared" si="136"/>
        <v>29250</v>
      </c>
      <c r="L178" s="2388">
        <f t="shared" si="136"/>
        <v>29250</v>
      </c>
      <c r="N178" s="2311">
        <f>N158</f>
        <v>2019</v>
      </c>
      <c r="P178" s="2487">
        <f>P158</f>
        <v>0</v>
      </c>
      <c r="Q178" s="2487"/>
      <c r="R178" s="2447"/>
      <c r="S178" s="2447"/>
      <c r="T178" s="2447"/>
      <c r="U178" s="2447"/>
      <c r="V178" s="2447"/>
      <c r="W178" s="2352"/>
    </row>
    <row r="179" spans="2:23">
      <c r="B179" s="2344"/>
      <c r="C179" s="2344" t="s">
        <v>204</v>
      </c>
      <c r="E179" s="2495">
        <f t="shared" ref="E179:L180" si="137">IF($G10="Barrel",FLOOR(E161/$C$206,1)*$C$206,FLOOR(E161*$C$207,$C$207)/$C$207)</f>
        <v>5221</v>
      </c>
      <c r="F179" s="2495">
        <f t="shared" si="137"/>
        <v>8693</v>
      </c>
      <c r="G179" s="2495">
        <f t="shared" si="137"/>
        <v>9996</v>
      </c>
      <c r="H179" s="2495">
        <f t="shared" si="137"/>
        <v>10046</v>
      </c>
      <c r="I179" s="2495">
        <f t="shared" si="137"/>
        <v>10046</v>
      </c>
      <c r="J179" s="2495">
        <f t="shared" si="137"/>
        <v>10046</v>
      </c>
      <c r="K179" s="2495">
        <f t="shared" si="137"/>
        <v>10046</v>
      </c>
      <c r="L179" s="2391">
        <f t="shared" si="137"/>
        <v>10046</v>
      </c>
      <c r="N179" s="2311">
        <f>N159</f>
        <v>2020</v>
      </c>
      <c r="P179" s="2487"/>
      <c r="Q179" s="2487"/>
      <c r="R179" s="2447"/>
      <c r="S179" s="2447"/>
      <c r="T179" s="2447"/>
      <c r="U179" s="2447"/>
      <c r="V179" s="2447"/>
      <c r="W179" s="2352"/>
    </row>
    <row r="180" spans="2:23">
      <c r="B180" s="2344"/>
      <c r="C180" s="2344" t="s">
        <v>199</v>
      </c>
      <c r="E180" s="2495">
        <f t="shared" si="137"/>
        <v>5625</v>
      </c>
      <c r="F180" s="2495">
        <f t="shared" si="137"/>
        <v>6525</v>
      </c>
      <c r="G180" s="2495">
        <f t="shared" si="137"/>
        <v>7875</v>
      </c>
      <c r="H180" s="2495">
        <f t="shared" si="137"/>
        <v>7875</v>
      </c>
      <c r="I180" s="2495">
        <f t="shared" si="137"/>
        <v>7875</v>
      </c>
      <c r="J180" s="2495">
        <f t="shared" si="137"/>
        <v>7875</v>
      </c>
      <c r="K180" s="2495">
        <f t="shared" si="137"/>
        <v>7875</v>
      </c>
      <c r="L180" s="2391">
        <f t="shared" si="137"/>
        <v>7875</v>
      </c>
      <c r="N180" s="2311">
        <f>N160</f>
        <v>2021</v>
      </c>
      <c r="P180" s="2487"/>
      <c r="Q180" s="2487"/>
      <c r="R180" s="2447"/>
      <c r="S180" s="2447"/>
      <c r="T180" s="2447"/>
      <c r="U180" s="2447"/>
      <c r="V180" s="2447"/>
      <c r="W180" s="2352"/>
    </row>
    <row r="181" spans="2:23">
      <c r="B181" s="2334"/>
      <c r="C181" s="2334" t="s">
        <v>203</v>
      </c>
      <c r="E181" s="2494">
        <f t="shared" ref="E181:L181" si="138">IF($G11="Barrel",FLOOR(E163/$C$206,1)*$C$206,FLOOR(E163*$C$207,$C$207)/$C$207)</f>
        <v>3150</v>
      </c>
      <c r="F181" s="2494">
        <f t="shared" si="138"/>
        <v>4725</v>
      </c>
      <c r="G181" s="2494">
        <f t="shared" si="138"/>
        <v>5625</v>
      </c>
      <c r="H181" s="2494">
        <f t="shared" si="138"/>
        <v>5625</v>
      </c>
      <c r="I181" s="2494">
        <f t="shared" si="138"/>
        <v>5625</v>
      </c>
      <c r="J181" s="2494">
        <f t="shared" si="138"/>
        <v>5625</v>
      </c>
      <c r="K181" s="2494">
        <f t="shared" si="138"/>
        <v>5625</v>
      </c>
      <c r="L181" s="2395">
        <f t="shared" si="138"/>
        <v>5625</v>
      </c>
      <c r="N181" s="2311">
        <v>2022</v>
      </c>
      <c r="P181" s="2487"/>
      <c r="Q181" s="2487"/>
      <c r="R181" s="2447"/>
      <c r="S181" s="2447"/>
      <c r="T181" s="2447"/>
      <c r="U181" s="2447"/>
      <c r="V181" s="2447"/>
      <c r="W181" s="2352"/>
    </row>
    <row r="182" spans="2:23">
      <c r="B182" s="2326" t="s">
        <v>206</v>
      </c>
      <c r="C182" s="2344" t="s">
        <v>200</v>
      </c>
      <c r="D182" s="2776"/>
      <c r="E182" s="2495">
        <f t="shared" ref="E182:L182" si="139">IF((ROUND(E164/$C$206,0)-(E164/$C$206))*$C$206&lt;(E82-E174-E173-E178),(ROUND(E164/$C$206,0)-(E164/$C$206))*$C$206+E164,IF($G15="Barrel",FLOOR(E164/$C$206,$C$207)*$C$206,FLOOR(E164*$C$207,$C$207)/$C$207))</f>
        <v>1350</v>
      </c>
      <c r="F182" s="2495">
        <f t="shared" si="139"/>
        <v>2025</v>
      </c>
      <c r="G182" s="2495">
        <f t="shared" si="139"/>
        <v>2250</v>
      </c>
      <c r="H182" s="2495">
        <f t="shared" si="139"/>
        <v>2250</v>
      </c>
      <c r="I182" s="2495">
        <f t="shared" si="139"/>
        <v>2250</v>
      </c>
      <c r="J182" s="2495">
        <f t="shared" si="139"/>
        <v>2250</v>
      </c>
      <c r="K182" s="2495">
        <f t="shared" si="139"/>
        <v>2250</v>
      </c>
      <c r="L182" s="2391">
        <f t="shared" si="139"/>
        <v>2250</v>
      </c>
      <c r="N182" s="2311">
        <f t="shared" ref="N182:N188" si="140">N162</f>
        <v>2023</v>
      </c>
      <c r="P182" s="2504"/>
      <c r="Q182" s="2447">
        <f ca="1">IF(Q$175-$N182&lt;=$O$98,Q162,0)</f>
        <v>31321</v>
      </c>
      <c r="R182" s="2447">
        <f>IF(R$175-$N182&lt;=$O$98,$Q$162,0)</f>
        <v>0</v>
      </c>
      <c r="S182" s="2447"/>
      <c r="T182" s="2447"/>
      <c r="U182" s="2447"/>
      <c r="V182" s="2447"/>
      <c r="W182" s="2352"/>
    </row>
    <row r="183" spans="2:23">
      <c r="B183" s="2344"/>
      <c r="C183" s="2344" t="str">
        <f>C179</f>
        <v xml:space="preserve">Mavrud </v>
      </c>
      <c r="D183" s="2776"/>
      <c r="E183" s="2495"/>
      <c r="F183" s="2495"/>
      <c r="G183" s="2495"/>
      <c r="H183" s="2495"/>
      <c r="I183" s="2495"/>
      <c r="J183" s="2495"/>
      <c r="K183" s="2495"/>
      <c r="L183" s="2391"/>
      <c r="N183" s="2311">
        <f t="shared" si="140"/>
        <v>2024</v>
      </c>
      <c r="P183" s="2504"/>
      <c r="Q183" s="2504"/>
      <c r="R183" s="2447">
        <f ca="1">IF(R$175-$N183&lt;=$O$98,$R$163,0)</f>
        <v>45368</v>
      </c>
      <c r="S183" s="2447">
        <f>IF(S$175-$N183&lt;=$O$98,$R$183,0)</f>
        <v>0</v>
      </c>
      <c r="T183" s="2447"/>
      <c r="U183" s="2447"/>
      <c r="V183" s="2447"/>
      <c r="W183" s="2352"/>
    </row>
    <row r="184" spans="2:23">
      <c r="B184" s="2344"/>
      <c r="C184" s="2344" t="s">
        <v>199</v>
      </c>
      <c r="E184" s="2495">
        <f t="shared" ref="E184:L184" si="141">IF($G15="Barrel",IF(E167/$D$18*$D$17&lt;$C$206,$C$206,ROUND(E166/$C$206,$C$207)*$C$206),ROUND(E166*$C$207,$C$207)/$C$207)</f>
        <v>2250</v>
      </c>
      <c r="F184" s="2495">
        <f t="shared" si="141"/>
        <v>2700</v>
      </c>
      <c r="G184" s="2495">
        <f t="shared" si="141"/>
        <v>3150</v>
      </c>
      <c r="H184" s="2495">
        <f t="shared" si="141"/>
        <v>3150</v>
      </c>
      <c r="I184" s="2495">
        <f t="shared" si="141"/>
        <v>3150</v>
      </c>
      <c r="J184" s="2495">
        <f t="shared" si="141"/>
        <v>3150</v>
      </c>
      <c r="K184" s="2495">
        <f t="shared" si="141"/>
        <v>3150</v>
      </c>
      <c r="L184" s="2391">
        <f t="shared" si="141"/>
        <v>3150</v>
      </c>
      <c r="N184" s="2311">
        <f t="shared" si="140"/>
        <v>2025</v>
      </c>
      <c r="P184" s="2504"/>
      <c r="Q184" s="2504"/>
      <c r="R184" s="2504"/>
      <c r="S184" s="2447">
        <f ca="1">IF(S$175-$N184&lt;=$O$98+1,$S$164,0)</f>
        <v>52746</v>
      </c>
      <c r="T184" s="2447">
        <f>IF(T$175-$N184&lt;=$O$98,$S$184,0)</f>
        <v>0</v>
      </c>
      <c r="U184" s="2447"/>
      <c r="V184" s="2447"/>
      <c r="W184" s="2352"/>
    </row>
    <row r="185" spans="2:23">
      <c r="B185" s="2334"/>
      <c r="C185" s="2334" t="s">
        <v>203</v>
      </c>
      <c r="E185" s="2494">
        <f t="shared" ref="E185:L185" si="142">IF((ROUND(E167/$C$206,0)-(E167/$C$206))*$C$206&lt;(E85-E176-E181),(ROUND(E167/$C$206,0)-(E167/$C$206))*$C$206+E167,IF($G15="Barrel",FLOOR(E167/$C$206,$C$207)*$C$206,FLOOR(E167*$C$207,$C$207)/$C$207))</f>
        <v>675</v>
      </c>
      <c r="F185" s="2494">
        <f t="shared" si="142"/>
        <v>900</v>
      </c>
      <c r="G185" s="2494">
        <f t="shared" si="142"/>
        <v>1125</v>
      </c>
      <c r="H185" s="2494">
        <f t="shared" si="142"/>
        <v>1125</v>
      </c>
      <c r="I185" s="2494">
        <f t="shared" si="142"/>
        <v>1125</v>
      </c>
      <c r="J185" s="2494">
        <f t="shared" si="142"/>
        <v>1125</v>
      </c>
      <c r="K185" s="2494">
        <f t="shared" si="142"/>
        <v>1125</v>
      </c>
      <c r="L185" s="2395">
        <f t="shared" si="142"/>
        <v>1125</v>
      </c>
      <c r="N185" s="2311">
        <f t="shared" si="140"/>
        <v>2026</v>
      </c>
      <c r="P185" s="2504"/>
      <c r="Q185" s="2504"/>
      <c r="R185" s="2504"/>
      <c r="S185" s="2504"/>
      <c r="T185" s="2447">
        <f ca="1">IF(T$175-$N185&lt;=$O$98,$T$165,0)</f>
        <v>52796</v>
      </c>
      <c r="U185" s="2447">
        <f>IF(U$175-$N185&lt;=$O$98,$T$185,0)</f>
        <v>0</v>
      </c>
      <c r="V185" s="2447"/>
      <c r="W185" s="2352"/>
    </row>
    <row r="186" spans="2:23">
      <c r="E186" s="2471">
        <f t="shared" ref="E186:L186" si="143">SUM(E171:E185)</f>
        <v>37295.5</v>
      </c>
      <c r="F186" s="2471">
        <f t="shared" si="143"/>
        <v>53797.25</v>
      </c>
      <c r="G186" s="2471">
        <f t="shared" si="143"/>
        <v>62566.5</v>
      </c>
      <c r="H186" s="2471">
        <f t="shared" si="143"/>
        <v>62633</v>
      </c>
      <c r="I186" s="2471">
        <f t="shared" si="143"/>
        <v>62633</v>
      </c>
      <c r="J186" s="2471">
        <f t="shared" si="143"/>
        <v>62633</v>
      </c>
      <c r="K186" s="2471">
        <f t="shared" si="143"/>
        <v>62633</v>
      </c>
      <c r="L186" s="2471">
        <f t="shared" si="143"/>
        <v>62633</v>
      </c>
      <c r="N186" s="2311">
        <f t="shared" si="140"/>
        <v>2027</v>
      </c>
      <c r="P186" s="2504"/>
      <c r="Q186" s="2504"/>
      <c r="R186" s="2504"/>
      <c r="S186" s="2504"/>
      <c r="T186" s="2504"/>
      <c r="U186" s="2447">
        <f ca="1">IF(U$175-$N186&lt;=$O$98,$U$166,0)</f>
        <v>52796</v>
      </c>
      <c r="V186" s="2447">
        <f>IF(V$175-$N186&lt;=$O$98,$U$186,0)</f>
        <v>0</v>
      </c>
      <c r="W186" s="2352"/>
    </row>
    <row r="187" spans="2:23">
      <c r="E187" s="2471"/>
      <c r="F187" s="2471"/>
      <c r="G187" s="2471"/>
      <c r="H187" s="2471"/>
      <c r="I187" s="2471"/>
      <c r="J187" s="2471"/>
      <c r="K187" s="2471"/>
      <c r="L187" s="2471"/>
      <c r="N187" s="2311">
        <f t="shared" si="140"/>
        <v>2028</v>
      </c>
      <c r="P187" s="2504"/>
      <c r="Q187" s="2504"/>
      <c r="R187" s="2504"/>
      <c r="S187" s="2504"/>
      <c r="T187" s="2504"/>
      <c r="U187" s="2504"/>
      <c r="V187" s="2447">
        <f ca="1">IF(V$175-$N187&lt;=$O$98,$V$167,0)</f>
        <v>52796</v>
      </c>
      <c r="W187" s="2352">
        <f>IF(W$175-$N187&lt;=$O$98,$V$167,0)</f>
        <v>0</v>
      </c>
    </row>
    <row r="188" spans="2:23">
      <c r="B188" s="2501" t="s">
        <v>238</v>
      </c>
      <c r="E188" s="2502"/>
      <c r="N188" s="2311">
        <f t="shared" si="140"/>
        <v>2029</v>
      </c>
      <c r="P188" s="2511"/>
      <c r="Q188" s="2511"/>
      <c r="R188" s="2511"/>
      <c r="S188" s="2511"/>
      <c r="T188" s="2511"/>
      <c r="U188" s="2511"/>
      <c r="V188" s="2511"/>
      <c r="W188" s="2512">
        <f ca="1">IF(W$175-$N188&lt;=$O$98,$W$168,0)</f>
        <v>52796</v>
      </c>
    </row>
    <row r="189" spans="2:23">
      <c r="E189" s="2324">
        <f t="shared" ref="E189:L189" si="144">E170</f>
        <v>2023</v>
      </c>
      <c r="F189" s="2324">
        <f t="shared" si="144"/>
        <v>2024</v>
      </c>
      <c r="G189" s="2324">
        <f t="shared" si="144"/>
        <v>2025</v>
      </c>
      <c r="H189" s="2324">
        <f t="shared" si="144"/>
        <v>2026</v>
      </c>
      <c r="I189" s="2324">
        <f t="shared" si="144"/>
        <v>2027</v>
      </c>
      <c r="J189" s="2324">
        <f t="shared" si="144"/>
        <v>2028</v>
      </c>
      <c r="K189" s="2324">
        <f t="shared" si="144"/>
        <v>2029</v>
      </c>
      <c r="L189" s="2324">
        <f t="shared" si="144"/>
        <v>2030</v>
      </c>
      <c r="N189" s="2311"/>
      <c r="P189" s="2447">
        <f t="shared" ref="P189:W189" si="145">SUM(P178:P188)</f>
        <v>0</v>
      </c>
      <c r="Q189" s="2447">
        <f t="shared" ca="1" si="145"/>
        <v>31321</v>
      </c>
      <c r="R189" s="2447">
        <f t="shared" ca="1" si="145"/>
        <v>45368</v>
      </c>
      <c r="S189" s="2447">
        <f t="shared" ca="1" si="145"/>
        <v>52746</v>
      </c>
      <c r="T189" s="2447">
        <f t="shared" ca="1" si="145"/>
        <v>52796</v>
      </c>
      <c r="U189" s="2447">
        <f t="shared" ca="1" si="145"/>
        <v>52796</v>
      </c>
      <c r="V189" s="2447">
        <f t="shared" ca="1" si="145"/>
        <v>52796</v>
      </c>
      <c r="W189" s="2352">
        <f t="shared" ca="1" si="145"/>
        <v>52796</v>
      </c>
    </row>
    <row r="190" spans="2:23">
      <c r="B190" s="2316" t="s">
        <v>196</v>
      </c>
      <c r="C190" s="2316" t="str">
        <f>C171</f>
        <v>Muscat petit grain</v>
      </c>
      <c r="E190" s="2503">
        <f>E171/(E171)-$D$4</f>
        <v>0</v>
      </c>
      <c r="F190" s="2503">
        <f t="shared" ref="F190:L190" si="146">F171/(F171)-$D$4</f>
        <v>0</v>
      </c>
      <c r="G190" s="2503">
        <f t="shared" si="146"/>
        <v>0</v>
      </c>
      <c r="H190" s="2503">
        <f t="shared" si="146"/>
        <v>0</v>
      </c>
      <c r="I190" s="2503">
        <f t="shared" si="146"/>
        <v>0</v>
      </c>
      <c r="J190" s="2503">
        <f t="shared" si="146"/>
        <v>0</v>
      </c>
      <c r="K190" s="2503">
        <f t="shared" si="146"/>
        <v>0</v>
      </c>
      <c r="L190" s="2503">
        <f t="shared" si="146"/>
        <v>0</v>
      </c>
      <c r="N190" s="2311"/>
      <c r="W190" s="2112"/>
    </row>
    <row r="191" spans="2:23" ht="13.5" thickBot="1">
      <c r="B191" s="2326" t="s">
        <v>198</v>
      </c>
      <c r="C191" s="2326" t="s">
        <v>199</v>
      </c>
      <c r="E191" s="2505">
        <f>IF(E172=0,0,E172/(E172+E173)-$D$5)</f>
        <v>0</v>
      </c>
      <c r="F191" s="2505">
        <f t="shared" ref="F191:L191" si="147">IF(F172=0,0,F172/(F172+F173)-$D$5)</f>
        <v>0</v>
      </c>
      <c r="G191" s="2505">
        <f t="shared" si="147"/>
        <v>0</v>
      </c>
      <c r="H191" s="2505">
        <f t="shared" si="147"/>
        <v>0</v>
      </c>
      <c r="I191" s="2505">
        <f t="shared" si="147"/>
        <v>0</v>
      </c>
      <c r="J191" s="2505">
        <f t="shared" si="147"/>
        <v>0</v>
      </c>
      <c r="K191" s="2505">
        <f t="shared" si="147"/>
        <v>0</v>
      </c>
      <c r="L191" s="2506">
        <f t="shared" si="147"/>
        <v>0</v>
      </c>
      <c r="N191" s="2498" t="s">
        <v>264</v>
      </c>
      <c r="P191" s="2499">
        <f t="shared" ref="P191:W191" si="148">P189/$C$206</f>
        <v>0</v>
      </c>
      <c r="Q191" s="2499">
        <f t="shared" ca="1" si="148"/>
        <v>139.20444444444445</v>
      </c>
      <c r="R191" s="2499">
        <f t="shared" ca="1" si="148"/>
        <v>201.63555555555556</v>
      </c>
      <c r="S191" s="2499">
        <f t="shared" ca="1" si="148"/>
        <v>234.42666666666668</v>
      </c>
      <c r="T191" s="2499">
        <f t="shared" ca="1" si="148"/>
        <v>234.64888888888888</v>
      </c>
      <c r="U191" s="2499">
        <f t="shared" ca="1" si="148"/>
        <v>234.64888888888888</v>
      </c>
      <c r="V191" s="2499">
        <f t="shared" ca="1" si="148"/>
        <v>234.64888888888888</v>
      </c>
      <c r="W191" s="2500">
        <f t="shared" ca="1" si="148"/>
        <v>234.64888888888888</v>
      </c>
    </row>
    <row r="192" spans="2:23" ht="13.5" thickTop="1">
      <c r="B192" s="2334" t="str">
        <f>B191</f>
        <v>Rose</v>
      </c>
      <c r="C192" s="2334" t="s">
        <v>200</v>
      </c>
      <c r="E192" s="2507">
        <f>IF(E173=0,0,E173/(E172+E173)-$D$6)</f>
        <v>0</v>
      </c>
      <c r="F192" s="2507">
        <f t="shared" ref="F192:L192" si="149">IF(F173=0,0,F173/(F172+F173)-$D$6)</f>
        <v>0</v>
      </c>
      <c r="G192" s="2507">
        <f t="shared" si="149"/>
        <v>0</v>
      </c>
      <c r="H192" s="2507">
        <f t="shared" si="149"/>
        <v>0</v>
      </c>
      <c r="I192" s="2507">
        <f t="shared" si="149"/>
        <v>0</v>
      </c>
      <c r="J192" s="2507">
        <f t="shared" si="149"/>
        <v>0</v>
      </c>
      <c r="K192" s="2507">
        <f t="shared" si="149"/>
        <v>0</v>
      </c>
      <c r="L192" s="2508">
        <f t="shared" si="149"/>
        <v>0</v>
      </c>
      <c r="N192" s="2311"/>
      <c r="W192" s="2112"/>
    </row>
    <row r="193" spans="2:23">
      <c r="B193" s="2326" t="s">
        <v>201</v>
      </c>
      <c r="C193" s="2326" t="s">
        <v>200</v>
      </c>
      <c r="E193" s="2505">
        <f>IF(E174=0,0,E174/SUM(E174:E177)-$D$7)</f>
        <v>0</v>
      </c>
      <c r="F193" s="2505">
        <f t="shared" ref="F193:L193" si="150">IF(F174=0,0,F174/SUM(F174:F177)-$D$7)</f>
        <v>0</v>
      </c>
      <c r="G193" s="2505">
        <f t="shared" si="150"/>
        <v>0</v>
      </c>
      <c r="H193" s="2505">
        <f t="shared" si="150"/>
        <v>0</v>
      </c>
      <c r="I193" s="2505">
        <f t="shared" si="150"/>
        <v>0</v>
      </c>
      <c r="J193" s="2505">
        <f t="shared" si="150"/>
        <v>0</v>
      </c>
      <c r="K193" s="2505">
        <f t="shared" si="150"/>
        <v>0</v>
      </c>
      <c r="L193" s="2506">
        <f t="shared" si="150"/>
        <v>0</v>
      </c>
      <c r="N193" s="2311"/>
      <c r="W193" s="2112"/>
    </row>
    <row r="194" spans="2:23">
      <c r="B194" s="2344"/>
      <c r="C194" s="2344" t="s">
        <v>204</v>
      </c>
      <c r="E194" s="2509">
        <f>IF(E175=0,0,E175/SUM(E174:E177)-$D$8)</f>
        <v>0</v>
      </c>
      <c r="F194" s="2509">
        <f t="shared" ref="F194:L194" si="151">IF(F175=0,0,F175/SUM(F174:F177)-$D$8)</f>
        <v>0</v>
      </c>
      <c r="G194" s="2509">
        <f t="shared" si="151"/>
        <v>0</v>
      </c>
      <c r="H194" s="2509">
        <f t="shared" si="151"/>
        <v>0</v>
      </c>
      <c r="I194" s="2509">
        <f t="shared" si="151"/>
        <v>0</v>
      </c>
      <c r="J194" s="2509">
        <f t="shared" si="151"/>
        <v>0</v>
      </c>
      <c r="K194" s="2509">
        <f t="shared" si="151"/>
        <v>0</v>
      </c>
      <c r="L194" s="2510">
        <f t="shared" si="151"/>
        <v>0</v>
      </c>
      <c r="N194" s="2358" t="s">
        <v>630</v>
      </c>
      <c r="P194" s="2324">
        <f t="shared" ref="P194:W194" si="152">P175</f>
        <v>2023</v>
      </c>
      <c r="Q194" s="2324">
        <f t="shared" si="152"/>
        <v>2024</v>
      </c>
      <c r="R194" s="2324">
        <f t="shared" si="152"/>
        <v>2025</v>
      </c>
      <c r="S194" s="2324">
        <f t="shared" si="152"/>
        <v>2026</v>
      </c>
      <c r="T194" s="2324">
        <f t="shared" si="152"/>
        <v>2027</v>
      </c>
      <c r="U194" s="2324">
        <f t="shared" si="152"/>
        <v>2028</v>
      </c>
      <c r="V194" s="2324">
        <f t="shared" si="152"/>
        <v>2029</v>
      </c>
      <c r="W194" s="2442">
        <f t="shared" si="152"/>
        <v>2030</v>
      </c>
    </row>
    <row r="195" spans="2:23">
      <c r="B195" s="2344"/>
      <c r="C195" s="2344" t="s">
        <v>199</v>
      </c>
      <c r="E195" s="2509">
        <f>IF(E176=0,0,E176/SUM(E174:E177)-$D$9)</f>
        <v>0</v>
      </c>
      <c r="F195" s="2509">
        <f t="shared" ref="F195:L195" si="153">IF(F176=0,0,F176/SUM(F174:F177)-$D$9)</f>
        <v>0</v>
      </c>
      <c r="G195" s="2509">
        <f t="shared" si="153"/>
        <v>0</v>
      </c>
      <c r="H195" s="2509">
        <f t="shared" si="153"/>
        <v>0</v>
      </c>
      <c r="I195" s="2509">
        <f t="shared" si="153"/>
        <v>0</v>
      </c>
      <c r="J195" s="2509">
        <f t="shared" si="153"/>
        <v>0</v>
      </c>
      <c r="K195" s="2509">
        <f t="shared" si="153"/>
        <v>0</v>
      </c>
      <c r="L195" s="2510">
        <f t="shared" si="153"/>
        <v>0</v>
      </c>
      <c r="N195" s="2311">
        <f>N196-1</f>
        <v>2018</v>
      </c>
      <c r="P195" s="2487">
        <f>'Inv. start'!B126</f>
        <v>5436</v>
      </c>
      <c r="Q195" s="2528">
        <f>P177</f>
        <v>0</v>
      </c>
      <c r="W195" s="2112"/>
    </row>
    <row r="196" spans="2:23">
      <c r="B196" s="2334"/>
      <c r="C196" s="2344" t="s">
        <v>203</v>
      </c>
      <c r="E196" s="2509">
        <f>IF(E177=0,0,E177/SUM(E174:E177)-$D$10)</f>
        <v>0</v>
      </c>
      <c r="F196" s="2509">
        <f t="shared" ref="F196:L196" si="154">IF(F177=0,0,F177/SUM(F174:F177)-$D$10)</f>
        <v>0</v>
      </c>
      <c r="G196" s="2509">
        <f t="shared" si="154"/>
        <v>0</v>
      </c>
      <c r="H196" s="2509">
        <f t="shared" si="154"/>
        <v>0</v>
      </c>
      <c r="I196" s="2509">
        <f t="shared" si="154"/>
        <v>0</v>
      </c>
      <c r="J196" s="2509">
        <f t="shared" si="154"/>
        <v>0</v>
      </c>
      <c r="K196" s="2509">
        <f t="shared" si="154"/>
        <v>0</v>
      </c>
      <c r="L196" s="2510">
        <f t="shared" si="154"/>
        <v>0</v>
      </c>
      <c r="N196" s="2311">
        <f>N178</f>
        <v>2019</v>
      </c>
      <c r="P196" s="2487">
        <f>'Inv. start'!C126</f>
        <v>11011.5</v>
      </c>
      <c r="Q196" s="2528">
        <f>P178</f>
        <v>0</v>
      </c>
      <c r="R196" s="2447">
        <f t="shared" ref="R196:W206" si="155">IF(AND(R178=0,Q178&gt;0),Q178,0)</f>
        <v>0</v>
      </c>
      <c r="S196" s="2447">
        <f t="shared" si="155"/>
        <v>0</v>
      </c>
      <c r="T196" s="2447">
        <f t="shared" si="155"/>
        <v>0</v>
      </c>
      <c r="U196" s="2447">
        <f t="shared" si="155"/>
        <v>0</v>
      </c>
      <c r="V196" s="2447">
        <f t="shared" si="155"/>
        <v>0</v>
      </c>
      <c r="W196" s="2352">
        <f t="shared" si="155"/>
        <v>0</v>
      </c>
    </row>
    <row r="197" spans="2:23">
      <c r="B197" s="2326" t="s">
        <v>205</v>
      </c>
      <c r="C197" s="2326" t="s">
        <v>200</v>
      </c>
      <c r="E197" s="2505">
        <f>IF(E178=0,0,E178/SUM(E178:E181)-$D$11)</f>
        <v>3.314325851665012E-2</v>
      </c>
      <c r="F197" s="2505">
        <f t="shared" ref="F197:L197" si="156">IF(F178=0,0,F178/SUM(F178:F181)-$D$11)</f>
        <v>4.0417034032798393E-2</v>
      </c>
      <c r="G197" s="2505">
        <f t="shared" si="156"/>
        <v>3.4544420429985179E-2</v>
      </c>
      <c r="H197" s="2505">
        <f t="shared" si="156"/>
        <v>3.4019243882112304E-2</v>
      </c>
      <c r="I197" s="2505">
        <f t="shared" si="156"/>
        <v>3.4019243882112304E-2</v>
      </c>
      <c r="J197" s="2505">
        <f t="shared" si="156"/>
        <v>3.4019243882112304E-2</v>
      </c>
      <c r="K197" s="2505">
        <f t="shared" si="156"/>
        <v>3.4019243882112304E-2</v>
      </c>
      <c r="L197" s="2506">
        <f t="shared" si="156"/>
        <v>3.4019243882112304E-2</v>
      </c>
      <c r="N197" s="2311">
        <f>N179</f>
        <v>2020</v>
      </c>
      <c r="P197" s="2487"/>
      <c r="Q197" s="2528">
        <f>IF(AND(Q179=0,P179&gt;0),P179,0)+'Inv. start'!D83+'Inv. start'!D10</f>
        <v>9225</v>
      </c>
      <c r="R197" s="2447">
        <f t="shared" si="155"/>
        <v>0</v>
      </c>
      <c r="S197" s="2447">
        <f t="shared" si="155"/>
        <v>0</v>
      </c>
      <c r="T197" s="2447">
        <f t="shared" si="155"/>
        <v>0</v>
      </c>
      <c r="U197" s="2447">
        <f t="shared" si="155"/>
        <v>0</v>
      </c>
      <c r="V197" s="2447">
        <f t="shared" si="155"/>
        <v>0</v>
      </c>
      <c r="W197" s="2352">
        <f t="shared" si="155"/>
        <v>0</v>
      </c>
    </row>
    <row r="198" spans="2:23">
      <c r="B198" s="2344"/>
      <c r="C198" s="2344" t="s">
        <v>204</v>
      </c>
      <c r="E198" s="2509">
        <f>IF(E179=0,0,E179/SUM(E178:E181)-$D$12)</f>
        <v>6.693272884007534E-3</v>
      </c>
      <c r="F198" s="2509">
        <f t="shared" ref="F198:L198" si="157">IF(F179=0,0,F179/SUM(F178:F181)-$D$12)</f>
        <v>3.1610827014635856E-2</v>
      </c>
      <c r="G198" s="2509">
        <f t="shared" si="157"/>
        <v>2.9512000910021596E-2</v>
      </c>
      <c r="H198" s="2509">
        <f t="shared" si="157"/>
        <v>3.027956663383588E-2</v>
      </c>
      <c r="I198" s="2509">
        <f t="shared" si="157"/>
        <v>3.027956663383588E-2</v>
      </c>
      <c r="J198" s="2509">
        <f t="shared" si="157"/>
        <v>3.027956663383588E-2</v>
      </c>
      <c r="K198" s="2509">
        <f t="shared" si="157"/>
        <v>3.027956663383588E-2</v>
      </c>
      <c r="L198" s="2510">
        <f t="shared" si="157"/>
        <v>3.027956663383588E-2</v>
      </c>
      <c r="N198" s="2311">
        <f>N180</f>
        <v>2021</v>
      </c>
      <c r="P198" s="2487">
        <f>'Inv. start'!E126</f>
        <v>0</v>
      </c>
      <c r="Q198" s="2528">
        <f>IF(AND(Q180=0,P180&gt;0),P180,0)+'Inv. start'!E83+'Inv. start'!E10</f>
        <v>18900</v>
      </c>
      <c r="R198" s="2447">
        <f t="shared" si="155"/>
        <v>0</v>
      </c>
      <c r="S198" s="2447">
        <f t="shared" si="155"/>
        <v>0</v>
      </c>
      <c r="T198" s="2447">
        <f t="shared" si="155"/>
        <v>0</v>
      </c>
      <c r="U198" s="2447">
        <f t="shared" si="155"/>
        <v>0</v>
      </c>
      <c r="V198" s="2447">
        <f t="shared" si="155"/>
        <v>0</v>
      </c>
      <c r="W198" s="2352">
        <f t="shared" si="155"/>
        <v>0</v>
      </c>
    </row>
    <row r="199" spans="2:23">
      <c r="B199" s="2344"/>
      <c r="C199" s="2344" t="s">
        <v>199</v>
      </c>
      <c r="E199" s="2509">
        <f>IF(E180=0,0,E180/SUM(E178:E181)-$D$13)</f>
        <v>9.5919670508604338E-3</v>
      </c>
      <c r="F199" s="2509">
        <f t="shared" ref="F199:L199" si="158">IF(F180=0,0,F180/SUM(F178:F181)-$D$13)</f>
        <v>-2.6176159407511917E-2</v>
      </c>
      <c r="G199" s="2509">
        <f t="shared" si="158"/>
        <v>-2.0699579115004002E-2</v>
      </c>
      <c r="H199" s="2509">
        <f t="shared" si="158"/>
        <v>-2.0840972800969776E-2</v>
      </c>
      <c r="I199" s="2509">
        <f t="shared" si="158"/>
        <v>-2.0840972800969776E-2</v>
      </c>
      <c r="J199" s="2509">
        <f t="shared" si="158"/>
        <v>-2.0840972800969776E-2</v>
      </c>
      <c r="K199" s="2509">
        <f t="shared" si="158"/>
        <v>-2.0840972800969776E-2</v>
      </c>
      <c r="L199" s="2510">
        <f t="shared" si="158"/>
        <v>-2.0840972800969776E-2</v>
      </c>
      <c r="N199" s="2311">
        <v>2022</v>
      </c>
      <c r="P199" s="2487"/>
      <c r="Q199" s="2447">
        <f>IF(AND(Q181=0,P181&gt;0),P181,0)</f>
        <v>0</v>
      </c>
      <c r="R199" s="2447">
        <f t="shared" si="155"/>
        <v>0</v>
      </c>
      <c r="S199" s="2447">
        <f t="shared" si="155"/>
        <v>0</v>
      </c>
      <c r="T199" s="2447">
        <f t="shared" si="155"/>
        <v>0</v>
      </c>
      <c r="U199" s="2447">
        <f t="shared" si="155"/>
        <v>0</v>
      </c>
      <c r="V199" s="2447">
        <f t="shared" si="155"/>
        <v>0</v>
      </c>
      <c r="W199" s="2352">
        <f t="shared" si="155"/>
        <v>0</v>
      </c>
    </row>
    <row r="200" spans="2:23">
      <c r="B200" s="2334"/>
      <c r="C200" s="2334" t="s">
        <v>203</v>
      </c>
      <c r="E200" s="2507">
        <f>IF(E181=0,0,E181/SUM(E178:E181)-$D$14)</f>
        <v>-4.9428498451518144E-2</v>
      </c>
      <c r="F200" s="2507">
        <f t="shared" ref="F200:L200" si="159">IF(F181=0,0,F181/SUM(F178:F181)-$D$14)</f>
        <v>-4.5851701639922401E-2</v>
      </c>
      <c r="G200" s="2507">
        <f t="shared" si="159"/>
        <v>-4.3356842225002842E-2</v>
      </c>
      <c r="H200" s="2507">
        <f t="shared" si="159"/>
        <v>-4.3457837714978395E-2</v>
      </c>
      <c r="I200" s="2507">
        <f t="shared" si="159"/>
        <v>-4.3457837714978395E-2</v>
      </c>
      <c r="J200" s="2507">
        <f t="shared" si="159"/>
        <v>-4.3457837714978395E-2</v>
      </c>
      <c r="K200" s="2507">
        <f t="shared" si="159"/>
        <v>-4.3457837714978395E-2</v>
      </c>
      <c r="L200" s="2508">
        <f t="shared" si="159"/>
        <v>-4.3457837714978395E-2</v>
      </c>
      <c r="N200" s="2311">
        <f t="shared" ref="N200:N206" si="160">N182</f>
        <v>2023</v>
      </c>
      <c r="P200" s="2447"/>
      <c r="Q200" s="2447">
        <f t="shared" ref="Q200:Q206" ca="1" si="161">IF(AND(Q182=0,P182&gt;0),P182,0)</f>
        <v>0</v>
      </c>
      <c r="R200" s="2447">
        <f t="shared" ca="1" si="155"/>
        <v>31321</v>
      </c>
      <c r="S200" s="2447">
        <f t="shared" si="155"/>
        <v>0</v>
      </c>
      <c r="T200" s="2447">
        <f t="shared" si="155"/>
        <v>0</v>
      </c>
      <c r="U200" s="2447">
        <f t="shared" si="155"/>
        <v>0</v>
      </c>
      <c r="V200" s="2447">
        <f t="shared" si="155"/>
        <v>0</v>
      </c>
      <c r="W200" s="2352">
        <f t="shared" si="155"/>
        <v>0</v>
      </c>
    </row>
    <row r="201" spans="2:23">
      <c r="B201" s="2326" t="s">
        <v>206</v>
      </c>
      <c r="C201" s="2344" t="s">
        <v>200</v>
      </c>
      <c r="D201" s="2776"/>
      <c r="E201" s="2509">
        <f>IF(E182=0,0,E182/SUM(E182:E185)-$D$15)</f>
        <v>1.578947368421052E-2</v>
      </c>
      <c r="F201" s="2509">
        <f t="shared" ref="F201:L201" si="162">IF(F182=0,0,F182/SUM(F182:F185)-$D$15)</f>
        <v>0.06</v>
      </c>
      <c r="G201" s="2509">
        <f t="shared" si="162"/>
        <v>4.4827586206896586E-2</v>
      </c>
      <c r="H201" s="2509">
        <f t="shared" si="162"/>
        <v>4.4827586206896586E-2</v>
      </c>
      <c r="I201" s="2509">
        <f t="shared" si="162"/>
        <v>4.4827586206896586E-2</v>
      </c>
      <c r="J201" s="2509">
        <f t="shared" si="162"/>
        <v>4.4827586206896586E-2</v>
      </c>
      <c r="K201" s="2509">
        <f t="shared" si="162"/>
        <v>4.4827586206896586E-2</v>
      </c>
      <c r="L201" s="2510">
        <f t="shared" si="162"/>
        <v>4.4827586206896586E-2</v>
      </c>
      <c r="N201" s="2311">
        <f t="shared" si="160"/>
        <v>2024</v>
      </c>
      <c r="P201" s="2447"/>
      <c r="Q201" s="2447">
        <f t="shared" si="161"/>
        <v>0</v>
      </c>
      <c r="R201" s="2447">
        <f t="shared" ca="1" si="155"/>
        <v>0</v>
      </c>
      <c r="S201" s="2447">
        <f t="shared" ca="1" si="155"/>
        <v>45368</v>
      </c>
      <c r="T201" s="2447">
        <f t="shared" si="155"/>
        <v>0</v>
      </c>
      <c r="U201" s="2447">
        <f t="shared" si="155"/>
        <v>0</v>
      </c>
      <c r="V201" s="2447">
        <f t="shared" si="155"/>
        <v>0</v>
      </c>
      <c r="W201" s="2352">
        <f t="shared" si="155"/>
        <v>0</v>
      </c>
    </row>
    <row r="202" spans="2:23">
      <c r="B202" s="2344"/>
      <c r="C202" s="2344" t="str">
        <f>C198</f>
        <v xml:space="preserve">Mavrud </v>
      </c>
      <c r="D202" s="2776"/>
      <c r="E202" s="2509">
        <f>IF(E183=0,0,E183/SUM(E182:E185)-$D$16)</f>
        <v>0</v>
      </c>
      <c r="F202" s="2509">
        <f t="shared" ref="F202:L202" si="163">IF(F183=0,0,F183/SUM(F182:F185)-$D$16)</f>
        <v>0</v>
      </c>
      <c r="G202" s="2509">
        <f t="shared" si="163"/>
        <v>0</v>
      </c>
      <c r="H202" s="2509">
        <f t="shared" si="163"/>
        <v>0</v>
      </c>
      <c r="I202" s="2509">
        <f t="shared" si="163"/>
        <v>0</v>
      </c>
      <c r="J202" s="2509">
        <f t="shared" si="163"/>
        <v>0</v>
      </c>
      <c r="K202" s="2509">
        <f t="shared" si="163"/>
        <v>0</v>
      </c>
      <c r="L202" s="2510">
        <f t="shared" si="163"/>
        <v>0</v>
      </c>
      <c r="N202" s="2311">
        <f t="shared" si="160"/>
        <v>2025</v>
      </c>
      <c r="P202" s="2447"/>
      <c r="Q202" s="2447">
        <f t="shared" si="161"/>
        <v>0</v>
      </c>
      <c r="R202" s="2447">
        <f t="shared" si="155"/>
        <v>0</v>
      </c>
      <c r="S202" s="2447">
        <f t="shared" ca="1" si="155"/>
        <v>0</v>
      </c>
      <c r="T202" s="2447">
        <f t="shared" ca="1" si="155"/>
        <v>52746</v>
      </c>
      <c r="U202" s="2447">
        <f t="shared" si="155"/>
        <v>0</v>
      </c>
      <c r="V202" s="2447">
        <f t="shared" si="155"/>
        <v>0</v>
      </c>
      <c r="W202" s="2352">
        <f t="shared" si="155"/>
        <v>0</v>
      </c>
    </row>
    <row r="203" spans="2:23">
      <c r="B203" s="2344"/>
      <c r="C203" s="2344" t="s">
        <v>199</v>
      </c>
      <c r="E203" s="2509">
        <f>IF(E184=0,0,E184/SUM(E182:E185)-$D$17)</f>
        <v>2.6315789473684181E-2</v>
      </c>
      <c r="F203" s="2509">
        <f t="shared" ref="F203:L203" si="164">IF(F184=0,0,F184/SUM(F182:F185)-$D$17)</f>
        <v>-2.0000000000000018E-2</v>
      </c>
      <c r="G203" s="2509">
        <f t="shared" si="164"/>
        <v>-1.7241379310344807E-2</v>
      </c>
      <c r="H203" s="2509">
        <f t="shared" si="164"/>
        <v>-1.7241379310344807E-2</v>
      </c>
      <c r="I203" s="2509">
        <f t="shared" si="164"/>
        <v>-1.7241379310344807E-2</v>
      </c>
      <c r="J203" s="2509">
        <f t="shared" si="164"/>
        <v>-1.7241379310344807E-2</v>
      </c>
      <c r="K203" s="2509">
        <f t="shared" si="164"/>
        <v>-1.7241379310344807E-2</v>
      </c>
      <c r="L203" s="2510">
        <f t="shared" si="164"/>
        <v>-1.7241379310344807E-2</v>
      </c>
      <c r="N203" s="2311">
        <f t="shared" si="160"/>
        <v>2026</v>
      </c>
      <c r="P203" s="2447"/>
      <c r="Q203" s="2447">
        <f t="shared" si="161"/>
        <v>0</v>
      </c>
      <c r="R203" s="2447">
        <f t="shared" si="155"/>
        <v>0</v>
      </c>
      <c r="S203" s="2447">
        <f t="shared" si="155"/>
        <v>0</v>
      </c>
      <c r="T203" s="2447">
        <f t="shared" ca="1" si="155"/>
        <v>0</v>
      </c>
      <c r="U203" s="2447">
        <f t="shared" ca="1" si="155"/>
        <v>52796</v>
      </c>
      <c r="V203" s="2447">
        <f t="shared" si="155"/>
        <v>0</v>
      </c>
      <c r="W203" s="2352">
        <f t="shared" si="155"/>
        <v>0</v>
      </c>
    </row>
    <row r="204" spans="2:23">
      <c r="B204" s="2334"/>
      <c r="C204" s="2334" t="s">
        <v>203</v>
      </c>
      <c r="E204" s="2507">
        <f>IF(E185=0,0,E185/SUM(E182:E185)-$D$18)</f>
        <v>-4.2105263157894757E-2</v>
      </c>
      <c r="F204" s="2507">
        <f t="shared" ref="F204:L204" si="165">IF(F185=0,0,F185/SUM(F182:F185)-$D$18)</f>
        <v>-4.0000000000000008E-2</v>
      </c>
      <c r="G204" s="2507">
        <f t="shared" si="165"/>
        <v>-2.7586206896551724E-2</v>
      </c>
      <c r="H204" s="2507">
        <f t="shared" si="165"/>
        <v>-2.7586206896551724E-2</v>
      </c>
      <c r="I204" s="2507">
        <f t="shared" si="165"/>
        <v>-2.7586206896551724E-2</v>
      </c>
      <c r="J204" s="2507">
        <f t="shared" si="165"/>
        <v>-2.7586206896551724E-2</v>
      </c>
      <c r="K204" s="2507">
        <f t="shared" si="165"/>
        <v>-2.7586206896551724E-2</v>
      </c>
      <c r="L204" s="2508">
        <f t="shared" si="165"/>
        <v>-2.7586206896551724E-2</v>
      </c>
      <c r="N204" s="2311">
        <f t="shared" si="160"/>
        <v>2027</v>
      </c>
      <c r="P204" s="2447"/>
      <c r="Q204" s="2447">
        <f t="shared" si="161"/>
        <v>0</v>
      </c>
      <c r="R204" s="2447">
        <f t="shared" si="155"/>
        <v>0</v>
      </c>
      <c r="S204" s="2447">
        <f t="shared" si="155"/>
        <v>0</v>
      </c>
      <c r="T204" s="2447">
        <f t="shared" si="155"/>
        <v>0</v>
      </c>
      <c r="U204" s="2447">
        <f t="shared" ca="1" si="155"/>
        <v>0</v>
      </c>
      <c r="V204" s="2447">
        <f t="shared" ca="1" si="155"/>
        <v>52796</v>
      </c>
      <c r="W204" s="2352">
        <f t="shared" si="155"/>
        <v>0</v>
      </c>
    </row>
    <row r="205" spans="2:23" ht="13.5" thickBot="1">
      <c r="E205" s="2471"/>
      <c r="F205" s="2471"/>
      <c r="G205" s="2471"/>
      <c r="H205" s="2471"/>
      <c r="I205" s="2471"/>
      <c r="J205" s="2471"/>
      <c r="K205" s="2471"/>
      <c r="L205" s="2471"/>
      <c r="N205" s="2311">
        <f t="shared" si="160"/>
        <v>2028</v>
      </c>
      <c r="P205" s="2447"/>
      <c r="Q205" s="2447">
        <f t="shared" si="161"/>
        <v>0</v>
      </c>
      <c r="R205" s="2447">
        <f t="shared" si="155"/>
        <v>0</v>
      </c>
      <c r="S205" s="2447">
        <f t="shared" si="155"/>
        <v>0</v>
      </c>
      <c r="T205" s="2447">
        <f t="shared" si="155"/>
        <v>0</v>
      </c>
      <c r="U205" s="2447">
        <f t="shared" si="155"/>
        <v>0</v>
      </c>
      <c r="V205" s="2447">
        <f t="shared" ca="1" si="155"/>
        <v>0</v>
      </c>
      <c r="W205" s="2352">
        <f t="shared" ca="1" si="155"/>
        <v>52796</v>
      </c>
    </row>
    <row r="206" spans="2:23">
      <c r="B206" s="2302" t="s">
        <v>240</v>
      </c>
      <c r="C206" s="2513">
        <v>225</v>
      </c>
      <c r="F206" s="2339"/>
      <c r="N206" s="2311">
        <f t="shared" si="160"/>
        <v>2029</v>
      </c>
      <c r="P206" s="2518"/>
      <c r="Q206" s="2518">
        <f t="shared" si="161"/>
        <v>0</v>
      </c>
      <c r="R206" s="2518">
        <f t="shared" si="155"/>
        <v>0</v>
      </c>
      <c r="S206" s="2518">
        <f t="shared" si="155"/>
        <v>0</v>
      </c>
      <c r="T206" s="2518">
        <f t="shared" si="155"/>
        <v>0</v>
      </c>
      <c r="U206" s="2518">
        <f t="shared" si="155"/>
        <v>0</v>
      </c>
      <c r="V206" s="2518">
        <f t="shared" si="155"/>
        <v>0</v>
      </c>
      <c r="W206" s="2512">
        <f t="shared" ca="1" si="155"/>
        <v>0</v>
      </c>
    </row>
    <row r="207" spans="2:23" ht="13.5" thickBot="1">
      <c r="B207" s="2436" t="s">
        <v>241</v>
      </c>
      <c r="C207" s="2514">
        <v>0.75</v>
      </c>
      <c r="E207" s="2339"/>
      <c r="F207" s="2339"/>
      <c r="N207" s="2436"/>
      <c r="O207" s="2373"/>
      <c r="P207" s="2532">
        <f>SUM(P195:P206)</f>
        <v>16447.5</v>
      </c>
      <c r="Q207" s="2532">
        <f t="shared" ref="Q207:W207" ca="1" si="166">SUM(Q196:Q206)</f>
        <v>28125</v>
      </c>
      <c r="R207" s="2532">
        <f t="shared" ca="1" si="166"/>
        <v>31321</v>
      </c>
      <c r="S207" s="2532">
        <f t="shared" ca="1" si="166"/>
        <v>45368</v>
      </c>
      <c r="T207" s="2532">
        <f t="shared" ca="1" si="166"/>
        <v>52746</v>
      </c>
      <c r="U207" s="2532">
        <f t="shared" ca="1" si="166"/>
        <v>52796</v>
      </c>
      <c r="V207" s="2532">
        <f t="shared" ca="1" si="166"/>
        <v>52796</v>
      </c>
      <c r="W207" s="2533">
        <f t="shared" ca="1" si="166"/>
        <v>52796</v>
      </c>
    </row>
    <row r="208" spans="2:23" ht="13.5" thickBot="1"/>
    <row r="209" spans="2:23">
      <c r="B209" s="2301" t="s">
        <v>242</v>
      </c>
      <c r="C209" s="2299"/>
      <c r="D209" s="2463"/>
      <c r="E209" s="2463"/>
      <c r="F209" s="2463"/>
      <c r="G209" s="2463"/>
      <c r="H209" s="2463"/>
      <c r="I209" s="2463"/>
      <c r="J209" s="2463"/>
      <c r="K209" s="2463"/>
      <c r="L209" s="2515"/>
      <c r="N209" s="2301" t="str">
        <f>N99</f>
        <v>Selection Individuelle</v>
      </c>
      <c r="O209" s="2299"/>
      <c r="P209" s="2299"/>
      <c r="Q209" s="2299"/>
      <c r="R209" s="2299"/>
      <c r="S209" s="2299"/>
      <c r="T209" s="2299"/>
      <c r="U209" s="2299"/>
      <c r="V209" s="2299"/>
      <c r="W209" s="2300"/>
    </row>
    <row r="210" spans="2:23">
      <c r="B210" s="2311" t="str">
        <f>B82</f>
        <v>Merlot</v>
      </c>
      <c r="C210" s="2776"/>
      <c r="D210" s="2776"/>
      <c r="E210" s="2775">
        <f>E173+E174+E178+E182</f>
        <v>18675</v>
      </c>
      <c r="F210" s="2775">
        <f t="shared" ref="F210:L210" si="167">F173+F174+F178+F182</f>
        <v>27450</v>
      </c>
      <c r="G210" s="2775">
        <f>G173+G174+G178+G182</f>
        <v>31500</v>
      </c>
      <c r="H210" s="2775">
        <f t="shared" si="167"/>
        <v>31500</v>
      </c>
      <c r="I210" s="2775">
        <f t="shared" si="167"/>
        <v>31500</v>
      </c>
      <c r="J210" s="2775">
        <f t="shared" si="167"/>
        <v>31500</v>
      </c>
      <c r="K210" s="2775">
        <f t="shared" si="167"/>
        <v>31500</v>
      </c>
      <c r="L210" s="2458">
        <f t="shared" si="167"/>
        <v>31500</v>
      </c>
      <c r="N210" s="2311"/>
      <c r="W210" s="2112"/>
    </row>
    <row r="211" spans="2:23">
      <c r="B211" s="2311" t="str">
        <f>B83</f>
        <v>Mavrud</v>
      </c>
      <c r="C211" s="2776"/>
      <c r="D211" s="2776"/>
      <c r="E211" s="2775">
        <f>E175+E179+E183</f>
        <v>5221</v>
      </c>
      <c r="F211" s="2775">
        <f t="shared" ref="F211:L211" si="168">F175+F179+F183</f>
        <v>8693</v>
      </c>
      <c r="G211" s="2775">
        <f t="shared" si="168"/>
        <v>9996</v>
      </c>
      <c r="H211" s="2775">
        <f t="shared" si="168"/>
        <v>10046</v>
      </c>
      <c r="I211" s="2775">
        <f t="shared" si="168"/>
        <v>10046</v>
      </c>
      <c r="J211" s="2775">
        <f t="shared" si="168"/>
        <v>10046</v>
      </c>
      <c r="K211" s="2775">
        <f t="shared" si="168"/>
        <v>10046</v>
      </c>
      <c r="L211" s="2458">
        <f t="shared" si="168"/>
        <v>10046</v>
      </c>
      <c r="N211" s="2358" t="s">
        <v>628</v>
      </c>
      <c r="O211" s="2308" t="s">
        <v>627</v>
      </c>
      <c r="P211" s="2324">
        <f t="shared" ref="P211:W211" si="169">P156</f>
        <v>2023</v>
      </c>
      <c r="Q211" s="2324">
        <f t="shared" si="169"/>
        <v>2024</v>
      </c>
      <c r="R211" s="2324">
        <f t="shared" si="169"/>
        <v>2025</v>
      </c>
      <c r="S211" s="2324">
        <f t="shared" si="169"/>
        <v>2026</v>
      </c>
      <c r="T211" s="2324">
        <f t="shared" si="169"/>
        <v>2027</v>
      </c>
      <c r="U211" s="2324">
        <f t="shared" si="169"/>
        <v>2028</v>
      </c>
      <c r="V211" s="2324">
        <f t="shared" si="169"/>
        <v>2029</v>
      </c>
      <c r="W211" s="2442">
        <f t="shared" si="169"/>
        <v>2030</v>
      </c>
    </row>
    <row r="212" spans="2:23">
      <c r="B212" s="2311" t="str">
        <f>B84</f>
        <v>Cabernet sauvignon</v>
      </c>
      <c r="C212" s="2776"/>
      <c r="D212" s="2776"/>
      <c r="E212" s="2775">
        <f>E172+E176+E180+E184</f>
        <v>7875</v>
      </c>
      <c r="F212" s="2775">
        <f t="shared" ref="F212:L212" si="170">F172+F176+F180+F184</f>
        <v>9225</v>
      </c>
      <c r="G212" s="2775">
        <f t="shared" si="170"/>
        <v>11025</v>
      </c>
      <c r="H212" s="2775">
        <f t="shared" si="170"/>
        <v>11025</v>
      </c>
      <c r="I212" s="2775">
        <f t="shared" si="170"/>
        <v>11025</v>
      </c>
      <c r="J212" s="2775">
        <f t="shared" si="170"/>
        <v>11025</v>
      </c>
      <c r="K212" s="2775">
        <f t="shared" si="170"/>
        <v>11025</v>
      </c>
      <c r="L212" s="2458">
        <f t="shared" si="170"/>
        <v>11025</v>
      </c>
      <c r="N212" s="2486" t="s">
        <v>415</v>
      </c>
      <c r="W212" s="2112"/>
    </row>
    <row r="213" spans="2:23">
      <c r="B213" s="2311" t="str">
        <f>B85</f>
        <v>Cabernet franc</v>
      </c>
      <c r="C213" s="2776"/>
      <c r="D213" s="2776"/>
      <c r="E213" s="2775">
        <f>E177+E181+E185</f>
        <v>3825</v>
      </c>
      <c r="F213" s="2775">
        <f t="shared" ref="F213:L213" si="171">F177+F181+F185</f>
        <v>5625</v>
      </c>
      <c r="G213" s="2775">
        <f t="shared" si="171"/>
        <v>6750</v>
      </c>
      <c r="H213" s="2775">
        <f t="shared" si="171"/>
        <v>6750</v>
      </c>
      <c r="I213" s="2775">
        <f t="shared" si="171"/>
        <v>6750</v>
      </c>
      <c r="J213" s="2775">
        <f t="shared" si="171"/>
        <v>6750</v>
      </c>
      <c r="K213" s="2775">
        <f t="shared" si="171"/>
        <v>6750</v>
      </c>
      <c r="L213" s="2458">
        <f t="shared" si="171"/>
        <v>6750</v>
      </c>
      <c r="N213" s="2311">
        <f>N196</f>
        <v>2019</v>
      </c>
      <c r="P213" s="2487">
        <f>'Inv. start'!C68</f>
        <v>0</v>
      </c>
      <c r="Q213" s="2534">
        <f>'Inv. start'!C11</f>
        <v>0</v>
      </c>
      <c r="W213" s="2112"/>
    </row>
    <row r="214" spans="2:23">
      <c r="B214" s="2311" t="str">
        <f>B86</f>
        <v>Muscat petit grain</v>
      </c>
      <c r="C214" s="2776"/>
      <c r="D214" s="2776"/>
      <c r="E214" s="2516">
        <f>E171</f>
        <v>1699.5</v>
      </c>
      <c r="F214" s="2516">
        <f t="shared" ref="F214:L214" si="172">F171</f>
        <v>2804.25</v>
      </c>
      <c r="G214" s="2516">
        <f>G171</f>
        <v>3295.5</v>
      </c>
      <c r="H214" s="2516">
        <f t="shared" si="172"/>
        <v>3312</v>
      </c>
      <c r="I214" s="2516">
        <f t="shared" si="172"/>
        <v>3312</v>
      </c>
      <c r="J214" s="2516">
        <f t="shared" si="172"/>
        <v>3312</v>
      </c>
      <c r="K214" s="2516">
        <f t="shared" si="172"/>
        <v>3312</v>
      </c>
      <c r="L214" s="2517">
        <f t="shared" si="172"/>
        <v>3312</v>
      </c>
      <c r="N214" s="2311">
        <v>2020</v>
      </c>
      <c r="P214" s="2487">
        <f>'Inv. start'!D68</f>
        <v>0</v>
      </c>
      <c r="Q214" s="2534">
        <f>'Inv. start'!D11</f>
        <v>0</v>
      </c>
      <c r="W214" s="2112"/>
    </row>
    <row r="215" spans="2:23">
      <c r="B215" s="2358" t="s">
        <v>216</v>
      </c>
      <c r="C215" s="2776"/>
      <c r="D215" s="2776"/>
      <c r="E215" s="2775">
        <f t="shared" ref="E215:L215" si="173">SUM(E210:E214)</f>
        <v>37295.5</v>
      </c>
      <c r="F215" s="2775">
        <f t="shared" si="173"/>
        <v>53797.25</v>
      </c>
      <c r="G215" s="2775">
        <f t="shared" si="173"/>
        <v>62566.5</v>
      </c>
      <c r="H215" s="2775">
        <f t="shared" si="173"/>
        <v>62633</v>
      </c>
      <c r="I215" s="2775">
        <f t="shared" si="173"/>
        <v>62633</v>
      </c>
      <c r="J215" s="2775">
        <f t="shared" si="173"/>
        <v>62633</v>
      </c>
      <c r="K215" s="2775">
        <f t="shared" si="173"/>
        <v>62633</v>
      </c>
      <c r="L215" s="2458">
        <f t="shared" si="173"/>
        <v>62633</v>
      </c>
      <c r="N215" s="2311">
        <v>2021</v>
      </c>
      <c r="P215" s="2487">
        <f>'Inv. start'!E68</f>
        <v>0</v>
      </c>
      <c r="Q215" s="2534">
        <f>'Inv. start'!E11</f>
        <v>0</v>
      </c>
      <c r="W215" s="2112"/>
    </row>
    <row r="216" spans="2:23">
      <c r="B216" s="2311"/>
      <c r="C216" s="2776"/>
      <c r="D216" s="2776"/>
      <c r="E216" s="2776"/>
      <c r="F216" s="2776"/>
      <c r="G216" s="2776"/>
      <c r="H216" s="2776"/>
      <c r="I216" s="2776"/>
      <c r="J216" s="2776"/>
      <c r="K216" s="2776"/>
      <c r="L216" s="2112"/>
      <c r="N216" s="2311">
        <v>2022</v>
      </c>
      <c r="P216" s="2487"/>
      <c r="Q216" s="2534"/>
      <c r="W216" s="2112"/>
    </row>
    <row r="217" spans="2:23">
      <c r="B217" s="2358" t="s">
        <v>779</v>
      </c>
      <c r="C217" s="2776"/>
      <c r="D217" s="2776"/>
      <c r="E217" s="2776"/>
      <c r="F217" s="2776"/>
      <c r="G217" s="2776"/>
      <c r="H217" s="2776"/>
      <c r="I217" s="2776"/>
      <c r="J217" s="2776"/>
      <c r="K217" s="2776"/>
      <c r="L217" s="2112"/>
      <c r="N217" s="2311">
        <f>P211</f>
        <v>2023</v>
      </c>
      <c r="P217" s="2490"/>
      <c r="Q217" s="2383">
        <f>U56+U57+U58+U59</f>
        <v>4275</v>
      </c>
      <c r="R217" s="2383"/>
      <c r="S217" s="2383"/>
      <c r="T217" s="2383"/>
      <c r="U217" s="2383"/>
      <c r="V217" s="2383"/>
      <c r="W217" s="2458"/>
    </row>
    <row r="218" spans="2:23">
      <c r="B218" s="2311" t="str">
        <f>B210</f>
        <v>Merlot</v>
      </c>
      <c r="C218" s="2776"/>
      <c r="D218" s="2776"/>
      <c r="E218" s="2774">
        <f t="shared" ref="E218:L222" si="174">E82-E210</f>
        <v>215.54556966719611</v>
      </c>
      <c r="F218" s="2774">
        <f t="shared" si="174"/>
        <v>23.23275840000133</v>
      </c>
      <c r="G218" s="2774">
        <f t="shared" si="174"/>
        <v>94.217672160000802</v>
      </c>
      <c r="H218" s="2774">
        <f t="shared" si="174"/>
        <v>252.18876052079577</v>
      </c>
      <c r="I218" s="2774">
        <f t="shared" si="174"/>
        <v>252.18876052079577</v>
      </c>
      <c r="J218" s="2774">
        <f t="shared" si="174"/>
        <v>252.18876052079577</v>
      </c>
      <c r="K218" s="2774">
        <f t="shared" si="174"/>
        <v>252.18876052079577</v>
      </c>
      <c r="L218" s="2470">
        <f t="shared" si="174"/>
        <v>252.18876052079577</v>
      </c>
      <c r="N218" s="2311">
        <f t="shared" ref="N218:N224" si="175">N217+1</f>
        <v>2024</v>
      </c>
      <c r="P218" s="2490"/>
      <c r="Q218" s="2490"/>
      <c r="R218" s="2383">
        <f>V56+V57+V58+V59</f>
        <v>5625</v>
      </c>
      <c r="W218" s="2112"/>
    </row>
    <row r="219" spans="2:23">
      <c r="B219" s="2311" t="str">
        <f>B211</f>
        <v>Mavrud</v>
      </c>
      <c r="C219" s="2776"/>
      <c r="D219" s="2776"/>
      <c r="E219" s="2774">
        <f t="shared" si="174"/>
        <v>0.50874439040035213</v>
      </c>
      <c r="F219" s="2774">
        <f t="shared" si="174"/>
        <v>1.319788000000699E-2</v>
      </c>
      <c r="G219" s="2774">
        <f t="shared" si="174"/>
        <v>0.9651775619986438</v>
      </c>
      <c r="H219" s="2774">
        <f t="shared" si="174"/>
        <v>0.95000344981053786</v>
      </c>
      <c r="I219" s="2774">
        <f t="shared" si="174"/>
        <v>0.95000344981053786</v>
      </c>
      <c r="J219" s="2774">
        <f t="shared" si="174"/>
        <v>0.95000344981053786</v>
      </c>
      <c r="K219" s="2774">
        <f t="shared" si="174"/>
        <v>0.95000344981053786</v>
      </c>
      <c r="L219" s="2470">
        <f t="shared" si="174"/>
        <v>0.95000344981053786</v>
      </c>
      <c r="N219" s="2311">
        <f t="shared" si="175"/>
        <v>2025</v>
      </c>
      <c r="P219" s="2490"/>
      <c r="Q219" s="2490"/>
      <c r="R219" s="2490"/>
      <c r="S219" s="2383">
        <f>W56+W57+W58+W59</f>
        <v>6525</v>
      </c>
      <c r="W219" s="2112"/>
    </row>
    <row r="220" spans="2:23">
      <c r="B220" s="2311" t="str">
        <f>B212</f>
        <v>Cabernet sauvignon</v>
      </c>
      <c r="C220" s="2776"/>
      <c r="D220" s="2776"/>
      <c r="E220" s="2774">
        <f t="shared" si="174"/>
        <v>209.31538463999914</v>
      </c>
      <c r="F220" s="2774">
        <f t="shared" si="174"/>
        <v>76.378931460001695</v>
      </c>
      <c r="G220" s="2774">
        <f t="shared" si="174"/>
        <v>136.65471775200058</v>
      </c>
      <c r="H220" s="2774">
        <f t="shared" si="174"/>
        <v>192.46299134075707</v>
      </c>
      <c r="I220" s="2774">
        <f t="shared" si="174"/>
        <v>192.46299134075707</v>
      </c>
      <c r="J220" s="2774">
        <f t="shared" si="174"/>
        <v>192.46299134075707</v>
      </c>
      <c r="K220" s="2774">
        <f t="shared" si="174"/>
        <v>192.46299134075707</v>
      </c>
      <c r="L220" s="2470">
        <f t="shared" si="174"/>
        <v>192.46299134075707</v>
      </c>
      <c r="N220" s="2311">
        <f t="shared" si="175"/>
        <v>2026</v>
      </c>
      <c r="P220" s="2490"/>
      <c r="Q220" s="2490"/>
      <c r="R220" s="2490"/>
      <c r="S220" s="2490"/>
      <c r="T220" s="2383">
        <f>X56+X57+X58+X59</f>
        <v>6525</v>
      </c>
      <c r="W220" s="2112"/>
    </row>
    <row r="221" spans="2:23">
      <c r="B221" s="2311" t="str">
        <f>B213</f>
        <v>Cabernet franc</v>
      </c>
      <c r="C221" s="2776"/>
      <c r="D221" s="2776"/>
      <c r="E221" s="2774">
        <f t="shared" si="174"/>
        <v>55.111800312000469</v>
      </c>
      <c r="F221" s="2774">
        <f t="shared" si="174"/>
        <v>16.874690760000703</v>
      </c>
      <c r="G221" s="2774">
        <f t="shared" si="174"/>
        <v>20.249628912001754</v>
      </c>
      <c r="H221" s="2774">
        <f t="shared" si="174"/>
        <v>54.10087705656133</v>
      </c>
      <c r="I221" s="2774">
        <f t="shared" si="174"/>
        <v>54.10087705656133</v>
      </c>
      <c r="J221" s="2774">
        <f t="shared" si="174"/>
        <v>54.10087705656133</v>
      </c>
      <c r="K221" s="2774">
        <f t="shared" si="174"/>
        <v>54.10087705656133</v>
      </c>
      <c r="L221" s="2470">
        <f t="shared" si="174"/>
        <v>54.10087705656133</v>
      </c>
      <c r="N221" s="2311">
        <f t="shared" si="175"/>
        <v>2027</v>
      </c>
      <c r="P221" s="2490"/>
      <c r="Q221" s="2490"/>
      <c r="R221" s="2490"/>
      <c r="S221" s="2493"/>
      <c r="T221" s="2493"/>
      <c r="U221" s="2383">
        <f>Y56+Y57+Y58+Y59</f>
        <v>6525</v>
      </c>
      <c r="V221" s="2339"/>
      <c r="W221" s="2470"/>
    </row>
    <row r="222" spans="2:23">
      <c r="B222" s="2311" t="str">
        <f>B214</f>
        <v>Muscat petit grain</v>
      </c>
      <c r="C222" s="2776"/>
      <c r="D222" s="2776"/>
      <c r="E222" s="2476">
        <f t="shared" si="174"/>
        <v>0.38544000000001688</v>
      </c>
      <c r="F222" s="2476">
        <f t="shared" si="174"/>
        <v>0.56097600000020975</v>
      </c>
      <c r="G222" s="2476">
        <f t="shared" si="174"/>
        <v>0.15289680000023509</v>
      </c>
      <c r="H222" s="2476">
        <f t="shared" si="174"/>
        <v>0.13116128399951776</v>
      </c>
      <c r="I222" s="2476">
        <f t="shared" si="174"/>
        <v>0.13116128399951776</v>
      </c>
      <c r="J222" s="2476">
        <f t="shared" si="174"/>
        <v>0.13116128399951776</v>
      </c>
      <c r="K222" s="2476">
        <f t="shared" si="174"/>
        <v>0.13116128399951776</v>
      </c>
      <c r="L222" s="2519">
        <f t="shared" si="174"/>
        <v>0.13116128399951776</v>
      </c>
      <c r="N222" s="2311">
        <f t="shared" si="175"/>
        <v>2028</v>
      </c>
      <c r="P222" s="2490"/>
      <c r="Q222" s="2490"/>
      <c r="R222" s="2490"/>
      <c r="S222" s="2490"/>
      <c r="T222" s="2493"/>
      <c r="U222" s="2493"/>
      <c r="V222" s="2383">
        <f>Z56+Z57+Z58+Z59</f>
        <v>6525</v>
      </c>
      <c r="W222" s="2112"/>
    </row>
    <row r="223" spans="2:23">
      <c r="B223" s="2358" t="s">
        <v>243</v>
      </c>
      <c r="C223" s="2776"/>
      <c r="D223" s="2776"/>
      <c r="E223" s="2792">
        <f t="shared" ref="E223:L223" si="176">SUM(E218:E222)</f>
        <v>480.86693900959608</v>
      </c>
      <c r="F223" s="2792">
        <f t="shared" si="176"/>
        <v>117.06055450000395</v>
      </c>
      <c r="G223" s="2792">
        <f t="shared" si="176"/>
        <v>252.24009318600201</v>
      </c>
      <c r="H223" s="2792">
        <f t="shared" si="176"/>
        <v>499.83379365192422</v>
      </c>
      <c r="I223" s="2792">
        <f t="shared" si="176"/>
        <v>499.83379365192422</v>
      </c>
      <c r="J223" s="2792">
        <f t="shared" si="176"/>
        <v>499.83379365192422</v>
      </c>
      <c r="K223" s="2792">
        <f t="shared" si="176"/>
        <v>499.83379365192422</v>
      </c>
      <c r="L223" s="2520">
        <f t="shared" si="176"/>
        <v>499.83379365192422</v>
      </c>
      <c r="N223" s="2311">
        <f t="shared" si="175"/>
        <v>2029</v>
      </c>
      <c r="P223" s="2490"/>
      <c r="Q223" s="2490"/>
      <c r="R223" s="2490"/>
      <c r="S223" s="2490"/>
      <c r="T223" s="2490"/>
      <c r="U223" s="2490"/>
      <c r="V223" s="2490"/>
      <c r="W223" s="2458">
        <f>AA56+AA57+AA58+AA59</f>
        <v>6525</v>
      </c>
    </row>
    <row r="224" spans="2:23">
      <c r="B224" s="2358"/>
      <c r="C224" s="2776"/>
      <c r="D224" s="2521"/>
      <c r="E224" s="2522">
        <f t="shared" ref="E224:L224" si="177">E223/E87</f>
        <v>1.272930612374561E-2</v>
      </c>
      <c r="F224" s="2522">
        <f t="shared" si="177"/>
        <v>2.1712334498216706E-3</v>
      </c>
      <c r="G224" s="2522">
        <f t="shared" si="177"/>
        <v>4.0153637722091587E-3</v>
      </c>
      <c r="H224" s="2522">
        <f t="shared" si="177"/>
        <v>7.9171765881065684E-3</v>
      </c>
      <c r="I224" s="2522">
        <f t="shared" si="177"/>
        <v>7.9171765881065684E-3</v>
      </c>
      <c r="J224" s="2522">
        <f t="shared" si="177"/>
        <v>7.9171765881065684E-3</v>
      </c>
      <c r="K224" s="2522">
        <f t="shared" si="177"/>
        <v>7.9171765881065684E-3</v>
      </c>
      <c r="L224" s="2523">
        <f t="shared" si="177"/>
        <v>7.9171765881065684E-3</v>
      </c>
      <c r="N224" s="2311">
        <f t="shared" si="175"/>
        <v>2030</v>
      </c>
      <c r="P224" s="2496"/>
      <c r="Q224" s="2496"/>
      <c r="R224" s="2496"/>
      <c r="S224" s="2496"/>
      <c r="T224" s="2496"/>
      <c r="U224" s="2496"/>
      <c r="V224" s="2496"/>
      <c r="W224" s="2497"/>
    </row>
    <row r="225" spans="1:23">
      <c r="B225" s="2358"/>
      <c r="C225" s="2776"/>
      <c r="D225" s="2521"/>
      <c r="E225" s="2521"/>
      <c r="F225" s="2521"/>
      <c r="G225" s="2521"/>
      <c r="H225" s="2521"/>
      <c r="I225" s="2521"/>
      <c r="J225" s="2521"/>
      <c r="K225" s="2521"/>
      <c r="L225" s="2524"/>
      <c r="N225" s="2311"/>
      <c r="P225" s="2383">
        <f t="shared" ref="P225:W225" si="178">SUM(P213:P224)</f>
        <v>0</v>
      </c>
      <c r="Q225" s="2383">
        <f t="shared" si="178"/>
        <v>4275</v>
      </c>
      <c r="R225" s="2383">
        <f t="shared" si="178"/>
        <v>5625</v>
      </c>
      <c r="S225" s="2383">
        <f t="shared" si="178"/>
        <v>6525</v>
      </c>
      <c r="T225" s="2383">
        <f t="shared" si="178"/>
        <v>6525</v>
      </c>
      <c r="U225" s="2383">
        <f t="shared" si="178"/>
        <v>6525</v>
      </c>
      <c r="V225" s="2383">
        <f t="shared" si="178"/>
        <v>6525</v>
      </c>
      <c r="W225" s="2458">
        <f t="shared" si="178"/>
        <v>6525</v>
      </c>
    </row>
    <row r="226" spans="1:23">
      <c r="B226" s="2358" t="s">
        <v>244</v>
      </c>
      <c r="C226" s="2776"/>
      <c r="D226" s="2521"/>
      <c r="E226" s="2521"/>
      <c r="F226" s="2521"/>
      <c r="G226" s="2521"/>
      <c r="H226" s="2521"/>
      <c r="I226" s="2521"/>
      <c r="J226" s="2521"/>
      <c r="K226" s="2521"/>
      <c r="L226" s="2524"/>
      <c r="N226" s="2311"/>
      <c r="R226" s="2383">
        <f>R225-SUM('Inv. wine'!AN6:AN12)</f>
        <v>0</v>
      </c>
      <c r="S226" s="2111">
        <f>S225-SUM('Inv. wine'!AO6:AO12)</f>
        <v>0</v>
      </c>
      <c r="T226" s="2111">
        <f>T225-SUM('Inv. wine'!AP6:AP12)</f>
        <v>0</v>
      </c>
      <c r="U226" s="2111">
        <f>U225-SUM('Inv. wine'!AQ6:AQ12)</f>
        <v>0</v>
      </c>
      <c r="V226" s="2111">
        <f>V225-SUM('Inv. wine'!AR6:AR12)</f>
        <v>0</v>
      </c>
      <c r="W226" s="2112">
        <f>W225-SUM('Inv. wine'!AS6:AS12)</f>
        <v>0</v>
      </c>
    </row>
    <row r="227" spans="1:23" ht="13.5" thickBot="1">
      <c r="B227" s="2311" t="str">
        <f>B218</f>
        <v>Merlot</v>
      </c>
      <c r="C227" s="2776"/>
      <c r="D227" s="2521"/>
      <c r="E227" s="2526">
        <f t="shared" ref="E227:L231" si="179">E218/$G23</f>
        <v>353.37656513082192</v>
      </c>
      <c r="F227" s="2526">
        <f t="shared" si="179"/>
        <v>38.088986818809978</v>
      </c>
      <c r="G227" s="2526">
        <f t="shared" si="179"/>
        <v>154.46532913633814</v>
      </c>
      <c r="H227" s="2526">
        <f t="shared" si="179"/>
        <v>413.45130913632988</v>
      </c>
      <c r="I227" s="2526">
        <f t="shared" si="179"/>
        <v>413.45130913632988</v>
      </c>
      <c r="J227" s="2526">
        <f t="shared" si="179"/>
        <v>413.45130913632988</v>
      </c>
      <c r="K227" s="2526">
        <f t="shared" si="179"/>
        <v>413.45130913632988</v>
      </c>
      <c r="L227" s="2527">
        <f t="shared" si="179"/>
        <v>413.45130913632988</v>
      </c>
      <c r="N227" s="2498" t="s">
        <v>264</v>
      </c>
      <c r="P227" s="2499">
        <f t="shared" ref="P227:W227" si="180">P225/$C$206</f>
        <v>0</v>
      </c>
      <c r="Q227" s="2499">
        <f t="shared" si="180"/>
        <v>19</v>
      </c>
      <c r="R227" s="2499">
        <f t="shared" si="180"/>
        <v>25</v>
      </c>
      <c r="S227" s="2499">
        <f t="shared" si="180"/>
        <v>29</v>
      </c>
      <c r="T227" s="2499">
        <f t="shared" si="180"/>
        <v>29</v>
      </c>
      <c r="U227" s="2499">
        <f t="shared" si="180"/>
        <v>29</v>
      </c>
      <c r="V227" s="2499">
        <f t="shared" si="180"/>
        <v>29</v>
      </c>
      <c r="W227" s="2500">
        <f t="shared" si="180"/>
        <v>29</v>
      </c>
    </row>
    <row r="228" spans="1:23" ht="13.5" thickTop="1">
      <c r="B228" s="2311" t="str">
        <f>B219</f>
        <v>Mavrud</v>
      </c>
      <c r="C228" s="2776"/>
      <c r="D228" s="2521"/>
      <c r="E228" s="2526">
        <f t="shared" si="179"/>
        <v>0.86425616308562325</v>
      </c>
      <c r="F228" s="2526">
        <f t="shared" si="179"/>
        <v>2.2420589484425362E-2</v>
      </c>
      <c r="G228" s="2526">
        <f t="shared" si="179"/>
        <v>1.639645905034645</v>
      </c>
      <c r="H228" s="2526">
        <f t="shared" si="179"/>
        <v>1.6138680876761027</v>
      </c>
      <c r="I228" s="2526">
        <f t="shared" si="179"/>
        <v>1.6138680876761027</v>
      </c>
      <c r="J228" s="2526">
        <f t="shared" si="179"/>
        <v>1.6138680876761027</v>
      </c>
      <c r="K228" s="2526">
        <f t="shared" si="179"/>
        <v>1.6138680876761027</v>
      </c>
      <c r="L228" s="2527">
        <f t="shared" si="179"/>
        <v>1.6138680876761027</v>
      </c>
      <c r="N228" s="2311"/>
      <c r="W228" s="2112"/>
    </row>
    <row r="229" spans="1:23">
      <c r="B229" s="2311" t="str">
        <f>B220</f>
        <v>Cabernet sauvignon</v>
      </c>
      <c r="C229" s="2776"/>
      <c r="D229" s="2521"/>
      <c r="E229" s="2526">
        <f t="shared" si="179"/>
        <v>350.98241802907449</v>
      </c>
      <c r="F229" s="2526">
        <f t="shared" si="179"/>
        <v>128.07306111977749</v>
      </c>
      <c r="G229" s="2526">
        <f t="shared" si="179"/>
        <v>229.14418524070726</v>
      </c>
      <c r="H229" s="2526">
        <f t="shared" si="179"/>
        <v>322.72413324070141</v>
      </c>
      <c r="I229" s="2526">
        <f t="shared" si="179"/>
        <v>322.72413324070141</v>
      </c>
      <c r="J229" s="2526">
        <f t="shared" si="179"/>
        <v>322.72413324070141</v>
      </c>
      <c r="K229" s="2526">
        <f t="shared" si="179"/>
        <v>322.72413324070141</v>
      </c>
      <c r="L229" s="2527">
        <f t="shared" si="179"/>
        <v>322.72413324070141</v>
      </c>
      <c r="N229" s="2358" t="s">
        <v>622</v>
      </c>
      <c r="W229" s="2112"/>
    </row>
    <row r="230" spans="1:23">
      <c r="B230" s="2311" t="str">
        <f>B221</f>
        <v>Cabernet franc</v>
      </c>
      <c r="C230" s="2776"/>
      <c r="D230" s="2521"/>
      <c r="E230" s="2526">
        <f t="shared" si="179"/>
        <v>88.463378725180931</v>
      </c>
      <c r="F230" s="2526">
        <f t="shared" si="179"/>
        <v>27.086615772324919</v>
      </c>
      <c r="G230" s="2526">
        <f t="shared" si="179"/>
        <v>32.503938926791363</v>
      </c>
      <c r="H230" s="2526">
        <f t="shared" si="179"/>
        <v>86.840682926790677</v>
      </c>
      <c r="I230" s="2526">
        <f t="shared" si="179"/>
        <v>86.840682926790677</v>
      </c>
      <c r="J230" s="2526">
        <f t="shared" si="179"/>
        <v>86.840682926790677</v>
      </c>
      <c r="K230" s="2526">
        <f t="shared" si="179"/>
        <v>86.840682926790677</v>
      </c>
      <c r="L230" s="2527">
        <f t="shared" si="179"/>
        <v>86.840682926790677</v>
      </c>
      <c r="N230" s="2311"/>
      <c r="O230" s="2111" t="s">
        <v>629</v>
      </c>
      <c r="P230" s="2324">
        <f t="shared" ref="P230:W230" si="181">P211</f>
        <v>2023</v>
      </c>
      <c r="Q230" s="2324">
        <f t="shared" si="181"/>
        <v>2024</v>
      </c>
      <c r="R230" s="2324">
        <f t="shared" si="181"/>
        <v>2025</v>
      </c>
      <c r="S230" s="2324">
        <f t="shared" si="181"/>
        <v>2026</v>
      </c>
      <c r="T230" s="2324">
        <f t="shared" si="181"/>
        <v>2027</v>
      </c>
      <c r="U230" s="2324">
        <f t="shared" si="181"/>
        <v>2028</v>
      </c>
      <c r="V230" s="2324">
        <f t="shared" si="181"/>
        <v>2029</v>
      </c>
      <c r="W230" s="2442">
        <f t="shared" si="181"/>
        <v>2030</v>
      </c>
    </row>
    <row r="231" spans="1:23">
      <c r="B231" s="2311" t="str">
        <f>B222</f>
        <v>Muscat petit grain</v>
      </c>
      <c r="C231" s="2776"/>
      <c r="D231" s="2521"/>
      <c r="E231" s="2529">
        <f t="shared" si="179"/>
        <v>0.88892988929893191</v>
      </c>
      <c r="F231" s="2529">
        <f t="shared" si="179"/>
        <v>1.2937638376388603</v>
      </c>
      <c r="G231" s="2529">
        <f t="shared" si="179"/>
        <v>0.35262177121825439</v>
      </c>
      <c r="H231" s="2529">
        <f t="shared" si="179"/>
        <v>0.30249373616124947</v>
      </c>
      <c r="I231" s="2529">
        <f t="shared" si="179"/>
        <v>0.30249373616124947</v>
      </c>
      <c r="J231" s="2529">
        <f t="shared" si="179"/>
        <v>0.30249373616124947</v>
      </c>
      <c r="K231" s="2529">
        <f t="shared" si="179"/>
        <v>0.30249373616124947</v>
      </c>
      <c r="L231" s="2530">
        <f t="shared" si="179"/>
        <v>0.30249373616124947</v>
      </c>
      <c r="N231" s="2311" t="str">
        <f>N212</f>
        <v>Production year</v>
      </c>
      <c r="W231" s="2112"/>
    </row>
    <row r="232" spans="1:23">
      <c r="B232" s="2358"/>
      <c r="C232" s="2776"/>
      <c r="D232" s="2521"/>
      <c r="E232" s="2793">
        <f>SUM(E227:E231)</f>
        <v>794.57554793746181</v>
      </c>
      <c r="F232" s="2793">
        <f t="shared" ref="F232:L232" si="182">SUM(F227:F231)</f>
        <v>194.56484813803567</v>
      </c>
      <c r="G232" s="2793">
        <f t="shared" si="182"/>
        <v>418.1057209800897</v>
      </c>
      <c r="H232" s="2793">
        <f t="shared" si="182"/>
        <v>824.93248712765933</v>
      </c>
      <c r="I232" s="2793">
        <f t="shared" si="182"/>
        <v>824.93248712765933</v>
      </c>
      <c r="J232" s="2793">
        <f t="shared" si="182"/>
        <v>824.93248712765933</v>
      </c>
      <c r="K232" s="2793">
        <f t="shared" si="182"/>
        <v>824.93248712765933</v>
      </c>
      <c r="L232" s="2531">
        <f t="shared" si="182"/>
        <v>824.93248712765933</v>
      </c>
      <c r="N232" s="2311"/>
      <c r="P232" s="2447"/>
      <c r="Q232" s="2447"/>
      <c r="R232" s="2447"/>
      <c r="S232" s="2447"/>
      <c r="T232" s="2447"/>
      <c r="U232" s="2447"/>
      <c r="V232" s="2447"/>
      <c r="W232" s="2352"/>
    </row>
    <row r="233" spans="1:23">
      <c r="B233" s="2358"/>
      <c r="C233" s="2776"/>
      <c r="D233" s="2521"/>
      <c r="E233" s="2521"/>
      <c r="F233" s="2521"/>
      <c r="G233" s="2521"/>
      <c r="H233" s="2521"/>
      <c r="I233" s="2521"/>
      <c r="J233" s="2521"/>
      <c r="K233" s="2521"/>
      <c r="L233" s="2524"/>
      <c r="N233" s="2311">
        <f>N213</f>
        <v>2019</v>
      </c>
      <c r="P233" s="2447">
        <f>P213</f>
        <v>0</v>
      </c>
      <c r="Q233" s="2447"/>
      <c r="R233" s="2447"/>
      <c r="S233" s="2447"/>
      <c r="T233" s="2447"/>
      <c r="U233" s="2447"/>
      <c r="V233" s="2447"/>
      <c r="W233" s="2352"/>
    </row>
    <row r="234" spans="1:23">
      <c r="B234" s="2358" t="s">
        <v>245</v>
      </c>
      <c r="C234" s="2776"/>
      <c r="D234" s="2521"/>
      <c r="E234" s="2776"/>
      <c r="F234" s="2776"/>
      <c r="G234" s="2776"/>
      <c r="H234" s="2776"/>
      <c r="I234" s="2776"/>
      <c r="J234" s="2776"/>
      <c r="K234" s="2776"/>
      <c r="L234" s="2112"/>
      <c r="N234" s="2311">
        <f>N214</f>
        <v>2020</v>
      </c>
      <c r="P234" s="2447">
        <f>IF(P231-$N234&lt;=$O$99,P214,0)</f>
        <v>0</v>
      </c>
      <c r="Q234" s="2447">
        <f>IF(Q230-$N234&lt;=$O$99,P214,0)</f>
        <v>0</v>
      </c>
      <c r="R234" s="2447"/>
      <c r="S234" s="2447"/>
      <c r="T234" s="2447"/>
      <c r="U234" s="2447"/>
      <c r="V234" s="2447"/>
      <c r="W234" s="2352"/>
    </row>
    <row r="235" spans="1:23">
      <c r="B235" s="2311" t="str">
        <f>B153</f>
        <v>White</v>
      </c>
      <c r="C235" s="2776"/>
      <c r="D235" s="2521"/>
      <c r="E235" s="2775">
        <f>E214</f>
        <v>1699.5</v>
      </c>
      <c r="F235" s="2775">
        <f t="shared" ref="F235:L235" si="183">F214</f>
        <v>2804.25</v>
      </c>
      <c r="G235" s="2775">
        <f>G214</f>
        <v>3295.5</v>
      </c>
      <c r="H235" s="2775">
        <f t="shared" si="183"/>
        <v>3312</v>
      </c>
      <c r="I235" s="2775">
        <f t="shared" si="183"/>
        <v>3312</v>
      </c>
      <c r="J235" s="2775">
        <f t="shared" si="183"/>
        <v>3312</v>
      </c>
      <c r="K235" s="2775">
        <f t="shared" si="183"/>
        <v>3312</v>
      </c>
      <c r="L235" s="2458">
        <f t="shared" si="183"/>
        <v>3312</v>
      </c>
      <c r="N235" s="2311">
        <f>N215</f>
        <v>2021</v>
      </c>
      <c r="P235" s="2447">
        <f>IF(P232-$N235&lt;=$O$99,P215,0)</f>
        <v>0</v>
      </c>
      <c r="Q235" s="2447">
        <f>IF(Q230-$N235&lt;=$O$99,P215,0)</f>
        <v>0</v>
      </c>
      <c r="R235" s="2447">
        <f>IF(R232-$N235&lt;=$O$99,P215,0)</f>
        <v>0</v>
      </c>
      <c r="S235" s="2447"/>
      <c r="T235" s="2447"/>
      <c r="U235" s="2447"/>
      <c r="V235" s="2447"/>
      <c r="W235" s="2352"/>
    </row>
    <row r="236" spans="1:23">
      <c r="B236" s="2311" t="str">
        <f>B154</f>
        <v>Rose</v>
      </c>
      <c r="C236" s="2776"/>
      <c r="D236" s="2521"/>
      <c r="E236" s="2775">
        <f>E172+E173</f>
        <v>0</v>
      </c>
      <c r="F236" s="2775">
        <f t="shared" ref="F236:L236" si="184">F172+F173</f>
        <v>0</v>
      </c>
      <c r="G236" s="2775">
        <f t="shared" si="184"/>
        <v>0</v>
      </c>
      <c r="H236" s="2775">
        <f t="shared" si="184"/>
        <v>0</v>
      </c>
      <c r="I236" s="2775">
        <f t="shared" si="184"/>
        <v>0</v>
      </c>
      <c r="J236" s="2775">
        <f t="shared" si="184"/>
        <v>0</v>
      </c>
      <c r="K236" s="2775">
        <f t="shared" si="184"/>
        <v>0</v>
      </c>
      <c r="L236" s="2458">
        <f t="shared" si="184"/>
        <v>0</v>
      </c>
      <c r="N236" s="2311">
        <v>2022</v>
      </c>
      <c r="P236" s="2447"/>
      <c r="Q236" s="2447"/>
      <c r="R236" s="2447"/>
      <c r="S236" s="2447"/>
      <c r="T236" s="2447"/>
      <c r="U236" s="2447"/>
      <c r="V236" s="2447"/>
      <c r="W236" s="2352"/>
    </row>
    <row r="237" spans="1:23">
      <c r="B237" s="2311" t="str">
        <f>B156</f>
        <v>Classic</v>
      </c>
      <c r="C237" s="2776"/>
      <c r="D237" s="2521"/>
      <c r="E237" s="2775">
        <f>E174+E175+E176+E177</f>
        <v>0</v>
      </c>
      <c r="F237" s="2775">
        <f t="shared" ref="F237:L237" si="185">F174+F175+F176+F177</f>
        <v>0</v>
      </c>
      <c r="G237" s="2775">
        <f t="shared" si="185"/>
        <v>0</v>
      </c>
      <c r="H237" s="2775">
        <f t="shared" si="185"/>
        <v>0</v>
      </c>
      <c r="I237" s="2775">
        <f t="shared" si="185"/>
        <v>0</v>
      </c>
      <c r="J237" s="2775">
        <f t="shared" si="185"/>
        <v>0</v>
      </c>
      <c r="K237" s="2775">
        <f t="shared" si="185"/>
        <v>0</v>
      </c>
      <c r="L237" s="2458">
        <f t="shared" si="185"/>
        <v>0</v>
      </c>
      <c r="N237" s="2311">
        <f t="shared" ref="N237:N243" si="186">N217</f>
        <v>2023</v>
      </c>
      <c r="P237" s="2504"/>
      <c r="Q237" s="2447">
        <f>IF(Q$175-$N237&lt;=$O$99,Q217,0)</f>
        <v>4275</v>
      </c>
      <c r="R237" s="2447">
        <f t="shared" ref="R237:W237" si="187">IF(R$175-$N237&lt;=$O$99,$Q$217,0)</f>
        <v>4275</v>
      </c>
      <c r="S237" s="2447">
        <f t="shared" si="187"/>
        <v>0</v>
      </c>
      <c r="T237" s="2447">
        <f t="shared" si="187"/>
        <v>0</v>
      </c>
      <c r="U237" s="2447">
        <f t="shared" si="187"/>
        <v>0</v>
      </c>
      <c r="V237" s="2447">
        <f t="shared" si="187"/>
        <v>0</v>
      </c>
      <c r="W237" s="2352">
        <f t="shared" si="187"/>
        <v>0</v>
      </c>
    </row>
    <row r="238" spans="1:23">
      <c r="B238" s="2311" t="str">
        <f>B160</f>
        <v>Premium</v>
      </c>
      <c r="C238" s="2776"/>
      <c r="D238" s="2521"/>
      <c r="E238" s="2775">
        <f>E178+E180+E181+E179</f>
        <v>31321</v>
      </c>
      <c r="F238" s="2775">
        <f t="shared" ref="F238:L238" si="188">F178+F180+F181+F179</f>
        <v>45368</v>
      </c>
      <c r="G238" s="2775">
        <f t="shared" si="188"/>
        <v>52746</v>
      </c>
      <c r="H238" s="2775">
        <f t="shared" si="188"/>
        <v>52796</v>
      </c>
      <c r="I238" s="2775">
        <f t="shared" si="188"/>
        <v>52796</v>
      </c>
      <c r="J238" s="2775">
        <f t="shared" si="188"/>
        <v>52796</v>
      </c>
      <c r="K238" s="2775">
        <f t="shared" si="188"/>
        <v>52796</v>
      </c>
      <c r="L238" s="2458">
        <f t="shared" si="188"/>
        <v>52796</v>
      </c>
      <c r="N238" s="2311">
        <f t="shared" si="186"/>
        <v>2024</v>
      </c>
      <c r="P238" s="2504"/>
      <c r="Q238" s="2504"/>
      <c r="R238" s="2447">
        <f t="shared" ref="R238:W238" si="189">IF(R$175-$N238&lt;=$O$99,$R$218,0)</f>
        <v>5625</v>
      </c>
      <c r="S238" s="2447">
        <f t="shared" si="189"/>
        <v>5625</v>
      </c>
      <c r="T238" s="2447">
        <f t="shared" si="189"/>
        <v>0</v>
      </c>
      <c r="U238" s="2447">
        <f t="shared" si="189"/>
        <v>0</v>
      </c>
      <c r="V238" s="2447">
        <f t="shared" si="189"/>
        <v>0</v>
      </c>
      <c r="W238" s="2352">
        <f t="shared" si="189"/>
        <v>0</v>
      </c>
    </row>
    <row r="239" spans="1:23">
      <c r="B239" s="2311" t="str">
        <f>B164</f>
        <v>Selection individuelle</v>
      </c>
      <c r="C239" s="2776"/>
      <c r="D239" s="2521"/>
      <c r="E239" s="2516">
        <f>E184+E182+E185+E183</f>
        <v>4275</v>
      </c>
      <c r="F239" s="2516">
        <f t="shared" ref="F239:L239" si="190">F184+F182+F185+F183</f>
        <v>5625</v>
      </c>
      <c r="G239" s="2516">
        <f t="shared" si="190"/>
        <v>6525</v>
      </c>
      <c r="H239" s="2516">
        <f t="shared" si="190"/>
        <v>6525</v>
      </c>
      <c r="I239" s="2516">
        <f t="shared" si="190"/>
        <v>6525</v>
      </c>
      <c r="J239" s="2516">
        <f t="shared" si="190"/>
        <v>6525</v>
      </c>
      <c r="K239" s="2516">
        <f t="shared" si="190"/>
        <v>6525</v>
      </c>
      <c r="L239" s="2517">
        <f t="shared" si="190"/>
        <v>6525</v>
      </c>
      <c r="N239" s="2311">
        <f t="shared" si="186"/>
        <v>2025</v>
      </c>
      <c r="P239" s="2504"/>
      <c r="Q239" s="2504"/>
      <c r="R239" s="2504"/>
      <c r="S239" s="2447">
        <f>IF(S$175-$N239&lt;=$O$99,S219,0)</f>
        <v>6525</v>
      </c>
      <c r="T239" s="2447">
        <f>IF(T$175-$N239&lt;=$O$99,$S$219,0)</f>
        <v>6525</v>
      </c>
      <c r="U239" s="2447">
        <f>IF(U$175-$N239&lt;=$O$99,$S$219,0)</f>
        <v>0</v>
      </c>
      <c r="V239" s="2447">
        <f>IF(V$175-$N239&lt;=$O$99,$S$219,0)</f>
        <v>0</v>
      </c>
      <c r="W239" s="2352">
        <f>IF(W$175-$N239&lt;=$O$99,$S$219,0)</f>
        <v>0</v>
      </c>
    </row>
    <row r="240" spans="1:23">
      <c r="A240" s="1287"/>
      <c r="B240" s="2358" t="s">
        <v>216</v>
      </c>
      <c r="C240" s="2776"/>
      <c r="D240" s="2521"/>
      <c r="E240" s="2775">
        <f>SUM(E235:E239)</f>
        <v>37295.5</v>
      </c>
      <c r="F240" s="2775">
        <f t="shared" ref="F240:L240" si="191">SUM(F235:F239)</f>
        <v>53797.25</v>
      </c>
      <c r="G240" s="2775">
        <f t="shared" si="191"/>
        <v>62566.5</v>
      </c>
      <c r="H240" s="2775">
        <f t="shared" si="191"/>
        <v>62633</v>
      </c>
      <c r="I240" s="2775">
        <f t="shared" si="191"/>
        <v>62633</v>
      </c>
      <c r="J240" s="2775">
        <f t="shared" si="191"/>
        <v>62633</v>
      </c>
      <c r="K240" s="2775">
        <f t="shared" si="191"/>
        <v>62633</v>
      </c>
      <c r="L240" s="2458">
        <f t="shared" si="191"/>
        <v>62633</v>
      </c>
      <c r="N240" s="2311">
        <f t="shared" si="186"/>
        <v>2026</v>
      </c>
      <c r="P240" s="2504"/>
      <c r="Q240" s="2504"/>
      <c r="R240" s="2504"/>
      <c r="S240" s="2504"/>
      <c r="T240" s="2447">
        <f>IF(T$175-$N240&lt;=$O$99,T220,0)</f>
        <v>6525</v>
      </c>
      <c r="U240" s="2447">
        <f>IF(U$175-$N240&lt;=$O$99,$T$220,0)</f>
        <v>6525</v>
      </c>
      <c r="V240" s="2447">
        <f>IF(V$175-$N240&lt;=$O$99,$T$220,0)</f>
        <v>0</v>
      </c>
      <c r="W240" s="2352">
        <f>IF(W$175-$N240&lt;=$O$99,$T$220,0)</f>
        <v>0</v>
      </c>
    </row>
    <row r="241" spans="1:23">
      <c r="A241" s="1287"/>
      <c r="B241" s="2311"/>
      <c r="C241" s="2776"/>
      <c r="D241" s="2521"/>
      <c r="E241" s="2776"/>
      <c r="F241" s="2776"/>
      <c r="G241" s="2776"/>
      <c r="H241" s="2776"/>
      <c r="I241" s="2776"/>
      <c r="J241" s="2776"/>
      <c r="K241" s="2776"/>
      <c r="L241" s="2112"/>
      <c r="N241" s="2311">
        <f t="shared" si="186"/>
        <v>2027</v>
      </c>
      <c r="P241" s="2504"/>
      <c r="Q241" s="2504"/>
      <c r="R241" s="2504"/>
      <c r="S241" s="2504"/>
      <c r="T241" s="2504"/>
      <c r="U241" s="2447">
        <f>IF(U$175-$N241&lt;=$O$99,U221,0)</f>
        <v>6525</v>
      </c>
      <c r="V241" s="2447">
        <f>IF(V$175-$N241&lt;=$O$99,$U$221,0)</f>
        <v>6525</v>
      </c>
      <c r="W241" s="2352">
        <f>IF(W$175-$N241&lt;=$O$99,$U$221,0)</f>
        <v>0</v>
      </c>
    </row>
    <row r="242" spans="1:23">
      <c r="A242" s="1287"/>
      <c r="B242" s="2358" t="s">
        <v>246</v>
      </c>
      <c r="C242" s="2776"/>
      <c r="D242" s="2521"/>
      <c r="E242" s="2776"/>
      <c r="F242" s="2776"/>
      <c r="G242" s="2776"/>
      <c r="H242" s="2776"/>
      <c r="I242" s="2776"/>
      <c r="J242" s="2776"/>
      <c r="K242" s="2776"/>
      <c r="L242" s="2112"/>
      <c r="N242" s="2311">
        <f t="shared" si="186"/>
        <v>2028</v>
      </c>
      <c r="P242" s="2504"/>
      <c r="Q242" s="2504"/>
      <c r="R242" s="2504"/>
      <c r="S242" s="2504"/>
      <c r="T242" s="2504"/>
      <c r="U242" s="2504"/>
      <c r="V242" s="2447">
        <f>IF(V$175-$N242&lt;=$O$99,V222,0)</f>
        <v>6525</v>
      </c>
      <c r="W242" s="2352">
        <f>IF(W$175-$N242&lt;=$O$99,$V$222,0)</f>
        <v>6525</v>
      </c>
    </row>
    <row r="243" spans="1:23">
      <c r="A243" s="1287"/>
      <c r="B243" s="2311" t="str">
        <f>B237</f>
        <v>Classic</v>
      </c>
      <c r="C243" s="2776"/>
      <c r="D243" s="2521"/>
      <c r="E243" s="2447">
        <f t="shared" ref="E243:L245" si="192">E237/$C$206</f>
        <v>0</v>
      </c>
      <c r="F243" s="2447">
        <f t="shared" si="192"/>
        <v>0</v>
      </c>
      <c r="G243" s="2447">
        <f t="shared" si="192"/>
        <v>0</v>
      </c>
      <c r="H243" s="2447">
        <f t="shared" si="192"/>
        <v>0</v>
      </c>
      <c r="I243" s="2447">
        <f t="shared" si="192"/>
        <v>0</v>
      </c>
      <c r="J243" s="2447">
        <f t="shared" si="192"/>
        <v>0</v>
      </c>
      <c r="K243" s="2447">
        <f t="shared" si="192"/>
        <v>0</v>
      </c>
      <c r="L243" s="2352">
        <f t="shared" si="192"/>
        <v>0</v>
      </c>
      <c r="N243" s="2311">
        <f t="shared" si="186"/>
        <v>2029</v>
      </c>
      <c r="P243" s="2511"/>
      <c r="Q243" s="2511"/>
      <c r="R243" s="2511"/>
      <c r="S243" s="2511"/>
      <c r="T243" s="2511"/>
      <c r="U243" s="2511"/>
      <c r="V243" s="2511"/>
      <c r="W243" s="2512">
        <f>IF(W$175-$N243&lt;=$O$99,W223,0)</f>
        <v>6525</v>
      </c>
    </row>
    <row r="244" spans="1:23">
      <c r="A244" s="1287"/>
      <c r="B244" s="2311" t="str">
        <f>B238</f>
        <v>Premium</v>
      </c>
      <c r="C244" s="2776"/>
      <c r="D244" s="2521"/>
      <c r="E244" s="2447">
        <f t="shared" si="192"/>
        <v>139.20444444444445</v>
      </c>
      <c r="F244" s="2447">
        <f t="shared" si="192"/>
        <v>201.63555555555556</v>
      </c>
      <c r="G244" s="2447">
        <f t="shared" si="192"/>
        <v>234.42666666666668</v>
      </c>
      <c r="H244" s="2447">
        <f t="shared" si="192"/>
        <v>234.64888888888888</v>
      </c>
      <c r="I244" s="2447">
        <f t="shared" si="192"/>
        <v>234.64888888888888</v>
      </c>
      <c r="J244" s="2447">
        <f t="shared" si="192"/>
        <v>234.64888888888888</v>
      </c>
      <c r="K244" s="2447">
        <f t="shared" si="192"/>
        <v>234.64888888888888</v>
      </c>
      <c r="L244" s="2352">
        <f t="shared" si="192"/>
        <v>234.64888888888888</v>
      </c>
      <c r="N244" s="2311"/>
      <c r="P244" s="2447">
        <f t="shared" ref="P244:W244" si="193">SUM(P233:P243)</f>
        <v>0</v>
      </c>
      <c r="Q244" s="2447">
        <f t="shared" si="193"/>
        <v>4275</v>
      </c>
      <c r="R244" s="2447">
        <f t="shared" si="193"/>
        <v>9900</v>
      </c>
      <c r="S244" s="2447">
        <f t="shared" si="193"/>
        <v>12150</v>
      </c>
      <c r="T244" s="2447">
        <f t="shared" si="193"/>
        <v>13050</v>
      </c>
      <c r="U244" s="2447">
        <f t="shared" si="193"/>
        <v>13050</v>
      </c>
      <c r="V244" s="2447">
        <f t="shared" si="193"/>
        <v>13050</v>
      </c>
      <c r="W244" s="2352">
        <f t="shared" si="193"/>
        <v>13050</v>
      </c>
    </row>
    <row r="245" spans="1:23">
      <c r="A245" s="1287"/>
      <c r="B245" s="2311" t="str">
        <f>B239</f>
        <v>Selection individuelle</v>
      </c>
      <c r="C245" s="2776"/>
      <c r="D245" s="2521"/>
      <c r="E245" s="2518">
        <f t="shared" si="192"/>
        <v>19</v>
      </c>
      <c r="F245" s="2518">
        <f t="shared" si="192"/>
        <v>25</v>
      </c>
      <c r="G245" s="2518">
        <f t="shared" si="192"/>
        <v>29</v>
      </c>
      <c r="H245" s="2518">
        <f t="shared" si="192"/>
        <v>29</v>
      </c>
      <c r="I245" s="2518">
        <f t="shared" si="192"/>
        <v>29</v>
      </c>
      <c r="J245" s="2518">
        <f t="shared" si="192"/>
        <v>29</v>
      </c>
      <c r="K245" s="2518">
        <f t="shared" si="192"/>
        <v>29</v>
      </c>
      <c r="L245" s="2512">
        <f t="shared" si="192"/>
        <v>29</v>
      </c>
      <c r="N245" s="2311"/>
      <c r="W245" s="2112"/>
    </row>
    <row r="246" spans="1:23" ht="13.5" thickBot="1">
      <c r="A246" s="1461"/>
      <c r="B246" s="2311"/>
      <c r="C246" s="2776"/>
      <c r="D246" s="2521"/>
      <c r="E246" s="2447">
        <f t="shared" ref="E246:L246" si="194">SUM(E243:E245)</f>
        <v>158.20444444444445</v>
      </c>
      <c r="F246" s="2447">
        <f>SUM(F243:F245)</f>
        <v>226.63555555555556</v>
      </c>
      <c r="G246" s="2447">
        <f t="shared" si="194"/>
        <v>263.42666666666668</v>
      </c>
      <c r="H246" s="2447">
        <f t="shared" si="194"/>
        <v>263.64888888888891</v>
      </c>
      <c r="I246" s="2447">
        <f t="shared" si="194"/>
        <v>263.64888888888891</v>
      </c>
      <c r="J246" s="2447">
        <f t="shared" si="194"/>
        <v>263.64888888888891</v>
      </c>
      <c r="K246" s="2447">
        <f t="shared" si="194"/>
        <v>263.64888888888891</v>
      </c>
      <c r="L246" s="2352">
        <f t="shared" si="194"/>
        <v>263.64888888888891</v>
      </c>
      <c r="M246" s="1467"/>
      <c r="N246" s="2498" t="s">
        <v>264</v>
      </c>
      <c r="P246" s="2499">
        <f t="shared" ref="P246:W246" si="195">P244/$C$206</f>
        <v>0</v>
      </c>
      <c r="Q246" s="2499">
        <f t="shared" si="195"/>
        <v>19</v>
      </c>
      <c r="R246" s="2499">
        <f t="shared" si="195"/>
        <v>44</v>
      </c>
      <c r="S246" s="2499">
        <f t="shared" si="195"/>
        <v>54</v>
      </c>
      <c r="T246" s="2499">
        <f t="shared" si="195"/>
        <v>58</v>
      </c>
      <c r="U246" s="2499">
        <f t="shared" si="195"/>
        <v>58</v>
      </c>
      <c r="V246" s="2499">
        <f t="shared" si="195"/>
        <v>58</v>
      </c>
      <c r="W246" s="2500">
        <f t="shared" si="195"/>
        <v>58</v>
      </c>
    </row>
    <row r="247" spans="1:23" ht="13.5" thickTop="1">
      <c r="A247" s="1287"/>
      <c r="B247" s="2358" t="s">
        <v>247</v>
      </c>
      <c r="C247" s="2776"/>
      <c r="D247" s="2521"/>
      <c r="E247" s="2447"/>
      <c r="F247" s="2447"/>
      <c r="G247" s="2447"/>
      <c r="H247" s="2447"/>
      <c r="I247" s="2447"/>
      <c r="J247" s="2447"/>
      <c r="K247" s="2447"/>
      <c r="L247" s="2352"/>
      <c r="M247" s="1287"/>
      <c r="N247" s="2311"/>
      <c r="W247" s="2112"/>
    </row>
    <row r="248" spans="1:23">
      <c r="A248" s="1287"/>
      <c r="B248" s="2311" t="str">
        <f>B235</f>
        <v>White</v>
      </c>
      <c r="C248" s="2776"/>
      <c r="D248" s="2521"/>
      <c r="E248" s="2447">
        <f t="shared" ref="E248:L249" si="196">E235/$C$207</f>
        <v>2266</v>
      </c>
      <c r="F248" s="2447">
        <f t="shared" si="196"/>
        <v>3739</v>
      </c>
      <c r="G248" s="2447">
        <f t="shared" si="196"/>
        <v>4394</v>
      </c>
      <c r="H248" s="2447">
        <f t="shared" si="196"/>
        <v>4416</v>
      </c>
      <c r="I248" s="2447">
        <f t="shared" si="196"/>
        <v>4416</v>
      </c>
      <c r="J248" s="2447">
        <f t="shared" si="196"/>
        <v>4416</v>
      </c>
      <c r="K248" s="2447">
        <f t="shared" si="196"/>
        <v>4416</v>
      </c>
      <c r="L248" s="2352">
        <f t="shared" si="196"/>
        <v>4416</v>
      </c>
      <c r="M248" s="1287"/>
      <c r="N248" s="2311"/>
      <c r="W248" s="2112"/>
    </row>
    <row r="249" spans="1:23">
      <c r="A249" s="1287"/>
      <c r="B249" s="2311" t="str">
        <f>B236</f>
        <v>Rose</v>
      </c>
      <c r="C249" s="2776"/>
      <c r="D249" s="2521"/>
      <c r="E249" s="2518">
        <f t="shared" si="196"/>
        <v>0</v>
      </c>
      <c r="F249" s="2518">
        <f t="shared" si="196"/>
        <v>0</v>
      </c>
      <c r="G249" s="2518">
        <f t="shared" si="196"/>
        <v>0</v>
      </c>
      <c r="H249" s="2518">
        <f t="shared" si="196"/>
        <v>0</v>
      </c>
      <c r="I249" s="2518">
        <f t="shared" si="196"/>
        <v>0</v>
      </c>
      <c r="J249" s="2518">
        <f t="shared" si="196"/>
        <v>0</v>
      </c>
      <c r="K249" s="2518">
        <f t="shared" si="196"/>
        <v>0</v>
      </c>
      <c r="L249" s="2512">
        <f t="shared" si="196"/>
        <v>0</v>
      </c>
      <c r="M249" s="1287"/>
      <c r="N249" s="2358" t="s">
        <v>630</v>
      </c>
      <c r="P249" s="2324">
        <f t="shared" ref="P249:W249" si="197">P230</f>
        <v>2023</v>
      </c>
      <c r="Q249" s="2324">
        <f t="shared" si="197"/>
        <v>2024</v>
      </c>
      <c r="R249" s="2324">
        <f t="shared" si="197"/>
        <v>2025</v>
      </c>
      <c r="S249" s="2324">
        <f t="shared" si="197"/>
        <v>2026</v>
      </c>
      <c r="T249" s="2324">
        <f t="shared" si="197"/>
        <v>2027</v>
      </c>
      <c r="U249" s="2324">
        <f t="shared" si="197"/>
        <v>2028</v>
      </c>
      <c r="V249" s="2324">
        <f t="shared" si="197"/>
        <v>2029</v>
      </c>
      <c r="W249" s="2442">
        <f t="shared" si="197"/>
        <v>2030</v>
      </c>
    </row>
    <row r="250" spans="1:23" ht="13.5" thickBot="1">
      <c r="A250" s="1287"/>
      <c r="B250" s="1523"/>
      <c r="C250" s="1524"/>
      <c r="D250" s="2831"/>
      <c r="E250" s="2747">
        <f>SUM(E248:E249)</f>
        <v>2266</v>
      </c>
      <c r="F250" s="2747">
        <f t="shared" ref="F250:L250" si="198">SUM(F248:F249)</f>
        <v>3739</v>
      </c>
      <c r="G250" s="2747">
        <f t="shared" si="198"/>
        <v>4394</v>
      </c>
      <c r="H250" s="2747">
        <f t="shared" si="198"/>
        <v>4416</v>
      </c>
      <c r="I250" s="2747">
        <f t="shared" si="198"/>
        <v>4416</v>
      </c>
      <c r="J250" s="2747">
        <f t="shared" si="198"/>
        <v>4416</v>
      </c>
      <c r="K250" s="2747">
        <f t="shared" si="198"/>
        <v>4416</v>
      </c>
      <c r="L250" s="2357">
        <f t="shared" si="198"/>
        <v>4416</v>
      </c>
      <c r="M250" s="1287"/>
      <c r="N250" s="2311"/>
      <c r="W250" s="2112"/>
    </row>
    <row r="251" spans="1:23" ht="13.5" thickBot="1">
      <c r="A251" s="1287"/>
      <c r="B251" s="1461"/>
      <c r="C251" s="1461"/>
      <c r="D251" s="1461"/>
      <c r="E251" s="1139"/>
      <c r="F251" s="1139"/>
      <c r="G251" s="1139"/>
      <c r="H251" s="1139"/>
      <c r="I251" s="1139"/>
      <c r="J251" s="1139"/>
      <c r="K251" s="1139"/>
      <c r="L251" s="1139"/>
      <c r="M251" s="1287"/>
      <c r="N251" s="2311">
        <v>2018</v>
      </c>
      <c r="P251" s="2487">
        <f>'Inv. start'!B127</f>
        <v>898.5</v>
      </c>
      <c r="W251" s="2112"/>
    </row>
    <row r="252" spans="1:23">
      <c r="A252" s="1287"/>
      <c r="B252" s="1526" t="s">
        <v>1185</v>
      </c>
      <c r="C252" s="1726"/>
      <c r="D252" s="1726"/>
      <c r="E252" s="2825">
        <f>E170</f>
        <v>2023</v>
      </c>
      <c r="F252" s="2825">
        <f>F170</f>
        <v>2024</v>
      </c>
      <c r="G252" s="2825">
        <f>G170</f>
        <v>2025</v>
      </c>
      <c r="H252" s="2825">
        <f>H170</f>
        <v>2026</v>
      </c>
      <c r="I252" s="2826">
        <f>I170</f>
        <v>2027</v>
      </c>
      <c r="J252" s="1139"/>
      <c r="K252" s="1139"/>
      <c r="L252" s="1139"/>
      <c r="M252" s="1287"/>
      <c r="N252" s="2311">
        <f>N233</f>
        <v>2019</v>
      </c>
      <c r="P252" s="2487">
        <f>'Inv. start'!C127</f>
        <v>1835</v>
      </c>
      <c r="Q252" s="2447">
        <f t="shared" ref="Q252:W262" si="199">IF(AND(Q233=0,P233&gt;0),P233,0)</f>
        <v>0</v>
      </c>
      <c r="R252" s="2447">
        <f t="shared" si="199"/>
        <v>0</v>
      </c>
      <c r="S252" s="2447">
        <f t="shared" si="199"/>
        <v>0</v>
      </c>
      <c r="T252" s="2447">
        <f t="shared" si="199"/>
        <v>0</v>
      </c>
      <c r="U252" s="2447">
        <f t="shared" si="199"/>
        <v>0</v>
      </c>
      <c r="V252" s="2447">
        <f t="shared" si="199"/>
        <v>0</v>
      </c>
      <c r="W252" s="2352">
        <f t="shared" si="199"/>
        <v>0</v>
      </c>
    </row>
    <row r="253" spans="1:23">
      <c r="A253" s="1287"/>
      <c r="B253" s="1037"/>
      <c r="C253" s="1461"/>
      <c r="D253" s="1461"/>
      <c r="E253" s="1461"/>
      <c r="F253" s="1461"/>
      <c r="G253" s="1461"/>
      <c r="H253" s="1461"/>
      <c r="I253" s="1467"/>
      <c r="J253" s="1139"/>
      <c r="K253" s="1139"/>
      <c r="L253" s="1139"/>
      <c r="M253" s="1287"/>
      <c r="N253" s="2311">
        <f>N234</f>
        <v>2020</v>
      </c>
      <c r="P253" s="2487">
        <f>'Inv. start'!D127</f>
        <v>0</v>
      </c>
      <c r="Q253" s="2447">
        <f t="shared" si="199"/>
        <v>0</v>
      </c>
      <c r="R253" s="2447">
        <f t="shared" si="199"/>
        <v>0</v>
      </c>
      <c r="S253" s="2447">
        <f t="shared" si="199"/>
        <v>0</v>
      </c>
      <c r="T253" s="2447">
        <f t="shared" si="199"/>
        <v>0</v>
      </c>
      <c r="U253" s="2447">
        <f t="shared" si="199"/>
        <v>0</v>
      </c>
      <c r="V253" s="2447">
        <f t="shared" si="199"/>
        <v>0</v>
      </c>
      <c r="W253" s="2352">
        <f t="shared" si="199"/>
        <v>0</v>
      </c>
    </row>
    <row r="254" spans="1:23">
      <c r="A254" s="1287"/>
      <c r="B254" s="1037" t="str">
        <f>B235</f>
        <v>White</v>
      </c>
      <c r="C254" s="1461"/>
      <c r="D254" s="1461"/>
      <c r="E254" s="1139">
        <f t="shared" ref="E254:I258" si="200">E235/0.75</f>
        <v>2266</v>
      </c>
      <c r="F254" s="1139">
        <f>F235/0.75</f>
        <v>3739</v>
      </c>
      <c r="G254" s="1139">
        <f t="shared" si="200"/>
        <v>4394</v>
      </c>
      <c r="H254" s="1139">
        <f t="shared" si="200"/>
        <v>4416</v>
      </c>
      <c r="I254" s="1746">
        <f t="shared" si="200"/>
        <v>4416</v>
      </c>
      <c r="J254" s="1139"/>
      <c r="K254" s="1139"/>
      <c r="L254" s="1139"/>
      <c r="M254" s="1287"/>
      <c r="N254" s="2311">
        <f>N235</f>
        <v>2021</v>
      </c>
      <c r="P254" s="2487">
        <f>'Inv. start'!E127</f>
        <v>0</v>
      </c>
      <c r="Q254" s="2447">
        <f t="shared" si="199"/>
        <v>0</v>
      </c>
      <c r="R254" s="2447">
        <f t="shared" si="199"/>
        <v>0</v>
      </c>
      <c r="S254" s="2447">
        <f t="shared" si="199"/>
        <v>0</v>
      </c>
      <c r="T254" s="2447">
        <f t="shared" si="199"/>
        <v>0</v>
      </c>
      <c r="U254" s="2447">
        <f t="shared" si="199"/>
        <v>0</v>
      </c>
      <c r="V254" s="2447">
        <f t="shared" si="199"/>
        <v>0</v>
      </c>
      <c r="W254" s="2352">
        <f t="shared" si="199"/>
        <v>0</v>
      </c>
    </row>
    <row r="255" spans="1:23">
      <c r="A255" s="1287"/>
      <c r="B255" s="1037" t="str">
        <f>B236</f>
        <v>Rose</v>
      </c>
      <c r="C255" s="1461"/>
      <c r="D255" s="1461"/>
      <c r="E255" s="1139">
        <f t="shared" si="200"/>
        <v>0</v>
      </c>
      <c r="F255" s="1139">
        <f t="shared" si="200"/>
        <v>0</v>
      </c>
      <c r="G255" s="1139">
        <f t="shared" si="200"/>
        <v>0</v>
      </c>
      <c r="H255" s="1139">
        <f t="shared" si="200"/>
        <v>0</v>
      </c>
      <c r="I255" s="1746">
        <f t="shared" si="200"/>
        <v>0</v>
      </c>
      <c r="J255" s="1139"/>
      <c r="K255" s="1139"/>
      <c r="L255" s="1139"/>
      <c r="M255" s="1287"/>
      <c r="N255" s="2311">
        <v>2022</v>
      </c>
      <c r="P255" s="2487">
        <f>'Inv. start'!E127</f>
        <v>0</v>
      </c>
      <c r="Q255" s="2447">
        <f t="shared" si="199"/>
        <v>0</v>
      </c>
      <c r="R255" s="2447">
        <f t="shared" si="199"/>
        <v>0</v>
      </c>
      <c r="S255" s="2447">
        <f t="shared" si="199"/>
        <v>0</v>
      </c>
      <c r="T255" s="2447">
        <f t="shared" si="199"/>
        <v>0</v>
      </c>
      <c r="U255" s="2447">
        <f t="shared" si="199"/>
        <v>0</v>
      </c>
      <c r="V255" s="2447">
        <f t="shared" si="199"/>
        <v>0</v>
      </c>
      <c r="W255" s="2352">
        <f t="shared" si="199"/>
        <v>0</v>
      </c>
    </row>
    <row r="256" spans="1:23">
      <c r="A256" s="1287"/>
      <c r="B256" s="1037" t="str">
        <f>B237</f>
        <v>Classic</v>
      </c>
      <c r="C256" s="1461"/>
      <c r="D256" s="1461"/>
      <c r="E256" s="1139">
        <f t="shared" si="200"/>
        <v>0</v>
      </c>
      <c r="F256" s="1139">
        <f t="shared" si="200"/>
        <v>0</v>
      </c>
      <c r="G256" s="1139">
        <f t="shared" si="200"/>
        <v>0</v>
      </c>
      <c r="H256" s="1139">
        <f t="shared" si="200"/>
        <v>0</v>
      </c>
      <c r="I256" s="1746">
        <f t="shared" si="200"/>
        <v>0</v>
      </c>
      <c r="J256" s="1139"/>
      <c r="K256" s="1139"/>
      <c r="L256" s="1139"/>
      <c r="M256" s="1287"/>
      <c r="N256" s="2311">
        <f t="shared" ref="N256:N262" si="201">N237</f>
        <v>2023</v>
      </c>
      <c r="P256" s="2447"/>
      <c r="Q256" s="2447">
        <f t="shared" si="199"/>
        <v>0</v>
      </c>
      <c r="R256" s="2447">
        <f t="shared" si="199"/>
        <v>0</v>
      </c>
      <c r="S256" s="2447">
        <f t="shared" si="199"/>
        <v>4275</v>
      </c>
      <c r="T256" s="2447">
        <f t="shared" si="199"/>
        <v>0</v>
      </c>
      <c r="U256" s="2447">
        <f t="shared" si="199"/>
        <v>0</v>
      </c>
      <c r="V256" s="2447">
        <f t="shared" si="199"/>
        <v>0</v>
      </c>
      <c r="W256" s="2352">
        <f t="shared" si="199"/>
        <v>0</v>
      </c>
    </row>
    <row r="257" spans="1:23">
      <c r="A257" s="1287"/>
      <c r="B257" s="1037" t="str">
        <f>B238</f>
        <v>Premium</v>
      </c>
      <c r="C257" s="1461"/>
      <c r="D257" s="1461"/>
      <c r="E257" s="1139">
        <f t="shared" si="200"/>
        <v>41761.333333333336</v>
      </c>
      <c r="F257" s="1139">
        <f t="shared" si="200"/>
        <v>60490.666666666664</v>
      </c>
      <c r="G257" s="1139">
        <f t="shared" si="200"/>
        <v>70328</v>
      </c>
      <c r="H257" s="1139">
        <f t="shared" si="200"/>
        <v>70394.666666666672</v>
      </c>
      <c r="I257" s="1746">
        <f t="shared" si="200"/>
        <v>70394.666666666672</v>
      </c>
      <c r="J257" s="1139"/>
      <c r="K257" s="1139"/>
      <c r="L257" s="1139"/>
      <c r="M257" s="1287"/>
      <c r="N257" s="2311">
        <f t="shared" si="201"/>
        <v>2024</v>
      </c>
      <c r="P257" s="2447"/>
      <c r="Q257" s="2447">
        <f t="shared" si="199"/>
        <v>0</v>
      </c>
      <c r="R257" s="2447">
        <f t="shared" si="199"/>
        <v>0</v>
      </c>
      <c r="S257" s="2447">
        <f t="shared" si="199"/>
        <v>0</v>
      </c>
      <c r="T257" s="2447">
        <f t="shared" si="199"/>
        <v>5625</v>
      </c>
      <c r="U257" s="2447">
        <f t="shared" si="199"/>
        <v>0</v>
      </c>
      <c r="V257" s="2447">
        <f t="shared" si="199"/>
        <v>0</v>
      </c>
      <c r="W257" s="2352">
        <f t="shared" si="199"/>
        <v>0</v>
      </c>
    </row>
    <row r="258" spans="1:23">
      <c r="A258" s="1287"/>
      <c r="B258" s="1037" t="str">
        <f>B239</f>
        <v>Selection individuelle</v>
      </c>
      <c r="C258" s="1461"/>
      <c r="D258" s="1461"/>
      <c r="E258" s="2000">
        <f t="shared" si="200"/>
        <v>5700</v>
      </c>
      <c r="F258" s="2000">
        <f t="shared" si="200"/>
        <v>7500</v>
      </c>
      <c r="G258" s="2000">
        <f t="shared" si="200"/>
        <v>8700</v>
      </c>
      <c r="H258" s="2000">
        <f t="shared" si="200"/>
        <v>8700</v>
      </c>
      <c r="I258" s="2194">
        <f t="shared" si="200"/>
        <v>8700</v>
      </c>
      <c r="J258" s="1139"/>
      <c r="K258" s="1139"/>
      <c r="L258" s="1139"/>
      <c r="M258" s="1287"/>
      <c r="N258" s="2311">
        <f t="shared" si="201"/>
        <v>2025</v>
      </c>
      <c r="P258" s="2447"/>
      <c r="Q258" s="2447">
        <f t="shared" si="199"/>
        <v>0</v>
      </c>
      <c r="R258" s="2447">
        <f t="shared" si="199"/>
        <v>0</v>
      </c>
      <c r="S258" s="2447">
        <f t="shared" si="199"/>
        <v>0</v>
      </c>
      <c r="T258" s="2447">
        <f t="shared" si="199"/>
        <v>0</v>
      </c>
      <c r="U258" s="2447">
        <f t="shared" si="199"/>
        <v>6525</v>
      </c>
      <c r="V258" s="2447">
        <f t="shared" si="199"/>
        <v>0</v>
      </c>
      <c r="W258" s="2352">
        <f t="shared" si="199"/>
        <v>0</v>
      </c>
    </row>
    <row r="259" spans="1:23" ht="13.5" thickBot="1">
      <c r="A259" s="1287"/>
      <c r="B259" s="1333" t="s">
        <v>248</v>
      </c>
      <c r="C259" s="1524"/>
      <c r="D259" s="1524"/>
      <c r="E259" s="2827">
        <f>SUM(E254:E258)</f>
        <v>49727.333333333336</v>
      </c>
      <c r="F259" s="2827">
        <f>SUM(F254:F258)</f>
        <v>71729.666666666657</v>
      </c>
      <c r="G259" s="2827">
        <f>SUM(G254:G258)</f>
        <v>83422</v>
      </c>
      <c r="H259" s="2827">
        <f>SUM(H254:H258)</f>
        <v>83510.666666666672</v>
      </c>
      <c r="I259" s="2840">
        <f>SUM(I254:I258)</f>
        <v>83510.666666666672</v>
      </c>
      <c r="J259" s="1139"/>
      <c r="K259" s="1139"/>
      <c r="L259" s="1139"/>
      <c r="M259" s="1287"/>
      <c r="N259" s="2311">
        <f t="shared" si="201"/>
        <v>2026</v>
      </c>
      <c r="P259" s="2447"/>
      <c r="Q259" s="2447">
        <f t="shared" si="199"/>
        <v>0</v>
      </c>
      <c r="R259" s="2447">
        <f t="shared" si="199"/>
        <v>0</v>
      </c>
      <c r="S259" s="2447">
        <f t="shared" si="199"/>
        <v>0</v>
      </c>
      <c r="T259" s="2447">
        <f t="shared" si="199"/>
        <v>0</v>
      </c>
      <c r="U259" s="2447">
        <f t="shared" si="199"/>
        <v>0</v>
      </c>
      <c r="V259" s="2447">
        <f t="shared" si="199"/>
        <v>6525</v>
      </c>
      <c r="W259" s="2352">
        <f t="shared" si="199"/>
        <v>0</v>
      </c>
    </row>
    <row r="260" spans="1:23" ht="13.5" thickBot="1">
      <c r="A260" s="1287"/>
      <c r="B260" s="1287"/>
      <c r="C260" s="1287"/>
      <c r="D260" s="1287"/>
      <c r="E260" s="1287"/>
      <c r="F260" s="1287"/>
      <c r="G260" s="1287"/>
      <c r="H260" s="1287"/>
      <c r="I260" s="1287"/>
      <c r="J260" s="1139"/>
      <c r="K260" s="1139"/>
      <c r="L260" s="1139"/>
      <c r="M260" s="1287"/>
      <c r="N260" s="2311">
        <f t="shared" si="201"/>
        <v>2027</v>
      </c>
      <c r="P260" s="2447"/>
      <c r="Q260" s="2447">
        <f t="shared" si="199"/>
        <v>0</v>
      </c>
      <c r="R260" s="2447">
        <f t="shared" si="199"/>
        <v>0</v>
      </c>
      <c r="S260" s="2447">
        <f t="shared" si="199"/>
        <v>0</v>
      </c>
      <c r="T260" s="2447">
        <f t="shared" si="199"/>
        <v>0</v>
      </c>
      <c r="U260" s="2447">
        <f t="shared" si="199"/>
        <v>0</v>
      </c>
      <c r="V260" s="2447">
        <f t="shared" si="199"/>
        <v>0</v>
      </c>
      <c r="W260" s="2352">
        <f t="shared" si="199"/>
        <v>6525</v>
      </c>
    </row>
    <row r="261" spans="1:23">
      <c r="A261" s="1287"/>
      <c r="B261" s="1526" t="s">
        <v>1039</v>
      </c>
      <c r="C261" s="1726"/>
      <c r="D261" s="1726"/>
      <c r="E261" s="2914">
        <f>E170</f>
        <v>2023</v>
      </c>
      <c r="F261" s="2914">
        <f>F170</f>
        <v>2024</v>
      </c>
      <c r="G261" s="2914">
        <f>G170</f>
        <v>2025</v>
      </c>
      <c r="H261" s="2914">
        <f>H170</f>
        <v>2026</v>
      </c>
      <c r="I261" s="2916">
        <f>I252</f>
        <v>2027</v>
      </c>
      <c r="J261" s="2841"/>
      <c r="K261" s="2841"/>
      <c r="L261" s="2841"/>
      <c r="M261" s="1287"/>
      <c r="N261" s="2311">
        <f t="shared" si="201"/>
        <v>2028</v>
      </c>
      <c r="P261" s="2447"/>
      <c r="Q261" s="2447">
        <f t="shared" si="199"/>
        <v>0</v>
      </c>
      <c r="R261" s="2447">
        <f t="shared" si="199"/>
        <v>0</v>
      </c>
      <c r="S261" s="2447">
        <f t="shared" si="199"/>
        <v>0</v>
      </c>
      <c r="T261" s="2447">
        <f t="shared" si="199"/>
        <v>0</v>
      </c>
      <c r="U261" s="2447">
        <f t="shared" si="199"/>
        <v>0</v>
      </c>
      <c r="V261" s="2447">
        <f t="shared" si="199"/>
        <v>0</v>
      </c>
      <c r="W261" s="2352">
        <f t="shared" si="199"/>
        <v>0</v>
      </c>
    </row>
    <row r="262" spans="1:23">
      <c r="A262" s="1287"/>
      <c r="B262" s="1037" t="str">
        <f>B254</f>
        <v>White</v>
      </c>
      <c r="C262" s="1461"/>
      <c r="D262" s="1461"/>
      <c r="E262" s="2746">
        <f>Price!Q117</f>
        <v>17.2074</v>
      </c>
      <c r="F262" s="2746">
        <f>Price!R117</f>
        <v>17.551548</v>
      </c>
      <c r="G262" s="2170">
        <f>F262*(1+Price!$R$3)</f>
        <v>17.90257896</v>
      </c>
      <c r="H262" s="2170">
        <f>G262*(1+Price!$R$3)</f>
        <v>18.260630539200001</v>
      </c>
      <c r="I262" s="2171">
        <f>H262*(1+Price!$R$3)</f>
        <v>18.625843149984</v>
      </c>
      <c r="J262" s="2836"/>
      <c r="K262" s="2836"/>
      <c r="L262" s="2836"/>
      <c r="M262" s="1287"/>
      <c r="N262" s="2311">
        <f t="shared" si="201"/>
        <v>2029</v>
      </c>
      <c r="P262" s="2518"/>
      <c r="Q262" s="2518">
        <f t="shared" si="199"/>
        <v>0</v>
      </c>
      <c r="R262" s="2518">
        <f t="shared" si="199"/>
        <v>0</v>
      </c>
      <c r="S262" s="2518">
        <f t="shared" si="199"/>
        <v>0</v>
      </c>
      <c r="T262" s="2518">
        <f t="shared" si="199"/>
        <v>0</v>
      </c>
      <c r="U262" s="2518">
        <f t="shared" si="199"/>
        <v>0</v>
      </c>
      <c r="V262" s="2518">
        <f t="shared" si="199"/>
        <v>0</v>
      </c>
      <c r="W262" s="2512">
        <f t="shared" si="199"/>
        <v>0</v>
      </c>
    </row>
    <row r="263" spans="1:23" ht="13.5" thickBot="1">
      <c r="A263" s="1287"/>
      <c r="B263" s="1037" t="str">
        <f>B255</f>
        <v>Rose</v>
      </c>
      <c r="C263" s="1461"/>
      <c r="D263" s="1461"/>
      <c r="E263" s="2746">
        <f>Price!Q118</f>
        <v>17.2074</v>
      </c>
      <c r="F263" s="2746">
        <f>Price!R118</f>
        <v>17.551548</v>
      </c>
      <c r="G263" s="2170">
        <f>F263*(1+Price!$F$3)</f>
        <v>17.90257896</v>
      </c>
      <c r="H263" s="2170">
        <f>G263*(1+Price!$F$3)</f>
        <v>18.260630539200001</v>
      </c>
      <c r="I263" s="2171">
        <f>H263*(1+Price!$F$3)</f>
        <v>18.625843149984</v>
      </c>
      <c r="J263" s="2836"/>
      <c r="K263" s="2836"/>
      <c r="L263" s="2836"/>
      <c r="M263" s="1287"/>
      <c r="N263" s="2436"/>
      <c r="O263" s="2373"/>
      <c r="P263" s="2473">
        <f t="shared" ref="P263:W263" si="202">SUM(P251:P262)</f>
        <v>2733.5</v>
      </c>
      <c r="Q263" s="2473">
        <f t="shared" si="202"/>
        <v>0</v>
      </c>
      <c r="R263" s="2473">
        <f t="shared" si="202"/>
        <v>0</v>
      </c>
      <c r="S263" s="2473">
        <f t="shared" si="202"/>
        <v>4275</v>
      </c>
      <c r="T263" s="2473">
        <f t="shared" si="202"/>
        <v>5625</v>
      </c>
      <c r="U263" s="2473">
        <f t="shared" si="202"/>
        <v>6525</v>
      </c>
      <c r="V263" s="2473">
        <f t="shared" si="202"/>
        <v>6525</v>
      </c>
      <c r="W263" s="2474">
        <f t="shared" si="202"/>
        <v>6525</v>
      </c>
    </row>
    <row r="264" spans="1:23" ht="13.5" thickBot="1">
      <c r="A264" s="1287"/>
      <c r="B264" s="1037" t="str">
        <f>B256</f>
        <v>Classic</v>
      </c>
      <c r="C264" s="1461"/>
      <c r="D264" s="1461"/>
      <c r="E264" s="2746">
        <f>Price!R119</f>
        <v>26.628590000000003</v>
      </c>
      <c r="F264" s="2746">
        <f>Price!S119</f>
        <v>27.427447700000002</v>
      </c>
      <c r="G264" s="2746">
        <f>Price!T119</f>
        <v>28.250271131000002</v>
      </c>
      <c r="H264" s="2746">
        <f>Price!U119</f>
        <v>29.097779264930001</v>
      </c>
      <c r="I264" s="2171">
        <f>H264*(1+Price!$F$3)</f>
        <v>29.679734850228602</v>
      </c>
      <c r="J264" s="2836"/>
      <c r="K264" s="2836"/>
      <c r="L264" s="2836"/>
      <c r="M264" s="1287"/>
      <c r="Q264" s="2383"/>
      <c r="R264" s="2383"/>
      <c r="S264" s="2383"/>
      <c r="T264" s="2383"/>
      <c r="U264" s="2383"/>
    </row>
    <row r="265" spans="1:23">
      <c r="A265" s="1287"/>
      <c r="B265" s="1037" t="str">
        <f>B257</f>
        <v>Premium</v>
      </c>
      <c r="C265" s="1461"/>
      <c r="D265" s="1461"/>
      <c r="E265" s="2746">
        <f>Price!T120</f>
        <v>39.292905599999997</v>
      </c>
      <c r="F265" s="2746">
        <f>Price!U120</f>
        <v>40.66815729599999</v>
      </c>
      <c r="G265" s="2746">
        <f>F265*(1+Price!$R$50)</f>
        <v>42.091542801359985</v>
      </c>
      <c r="H265" s="2746">
        <f>G265*(1+Price!$R$50)</f>
        <v>43.56474679940758</v>
      </c>
      <c r="I265" s="1765">
        <f>H265*(1+Price!$R$50)</f>
        <v>45.089512937386843</v>
      </c>
      <c r="J265" s="2837"/>
      <c r="K265" s="2837"/>
      <c r="L265" s="2837"/>
      <c r="M265" s="1287"/>
      <c r="N265" s="2301" t="s">
        <v>241</v>
      </c>
      <c r="O265" s="2299"/>
      <c r="P265" s="2299"/>
      <c r="Q265" s="2299"/>
      <c r="R265" s="2299"/>
      <c r="S265" s="2299"/>
      <c r="T265" s="2299"/>
      <c r="U265" s="2299"/>
      <c r="V265" s="2299"/>
      <c r="W265" s="2300"/>
    </row>
    <row r="266" spans="1:23" ht="13.5" thickBot="1">
      <c r="A266" s="1287"/>
      <c r="B266" s="1523" t="str">
        <f>B258</f>
        <v>Selection individuelle</v>
      </c>
      <c r="C266" s="1524"/>
      <c r="D266" s="1524"/>
      <c r="E266" s="2828">
        <f>Price!U121</f>
        <v>140.76266317793483</v>
      </c>
      <c r="F266" s="2828">
        <f>E266*(1+Price!$F$97)</f>
        <v>147.44888967888676</v>
      </c>
      <c r="G266" s="2828">
        <f>F266*(1+Price!$F$97)</f>
        <v>154.45271193863388</v>
      </c>
      <c r="H266" s="2828">
        <f>G266*(1+Price!$F$97)</f>
        <v>161.789215755719</v>
      </c>
      <c r="I266" s="2851">
        <f>H266*(1+Price!$F$97)</f>
        <v>169.47420350411568</v>
      </c>
      <c r="J266" s="2838"/>
      <c r="K266" s="2838"/>
      <c r="L266" s="2838"/>
      <c r="M266" s="1287"/>
      <c r="N266" s="2311"/>
      <c r="O266" s="2776"/>
      <c r="P266" s="2776"/>
      <c r="Q266" s="2776"/>
      <c r="R266" s="2776"/>
      <c r="S266" s="2776"/>
      <c r="T266" s="2776"/>
      <c r="U266" s="2776"/>
      <c r="V266" s="2776"/>
      <c r="W266" s="2112"/>
    </row>
    <row r="267" spans="1:23" ht="13.5" thickBot="1">
      <c r="A267" s="1287"/>
      <c r="B267" s="1287"/>
      <c r="C267" s="1287"/>
      <c r="D267" s="1287"/>
      <c r="E267" s="1287"/>
      <c r="F267" s="1287"/>
      <c r="G267" s="1287"/>
      <c r="H267" s="1287"/>
      <c r="I267" s="1287"/>
      <c r="J267" s="2832"/>
      <c r="K267" s="1287"/>
      <c r="L267" s="1287"/>
      <c r="M267" s="1287"/>
      <c r="N267" s="2358" t="s">
        <v>235</v>
      </c>
      <c r="O267" s="2775"/>
      <c r="P267" s="2324">
        <f t="shared" ref="P267:W267" si="203">P249</f>
        <v>2023</v>
      </c>
      <c r="Q267" s="2324">
        <f t="shared" si="203"/>
        <v>2024</v>
      </c>
      <c r="R267" s="2324">
        <f t="shared" si="203"/>
        <v>2025</v>
      </c>
      <c r="S267" s="2324">
        <f t="shared" si="203"/>
        <v>2026</v>
      </c>
      <c r="T267" s="2324">
        <f t="shared" si="203"/>
        <v>2027</v>
      </c>
      <c r="U267" s="2324">
        <f t="shared" si="203"/>
        <v>2028</v>
      </c>
      <c r="V267" s="2324">
        <f t="shared" si="203"/>
        <v>2029</v>
      </c>
      <c r="W267" s="2442">
        <f t="shared" si="203"/>
        <v>2030</v>
      </c>
    </row>
    <row r="268" spans="1:23">
      <c r="A268" s="1287"/>
      <c r="B268" s="1526" t="s">
        <v>1186</v>
      </c>
      <c r="C268" s="1726"/>
      <c r="D268" s="1726"/>
      <c r="E268" s="2914">
        <f>E261</f>
        <v>2023</v>
      </c>
      <c r="F268" s="2914">
        <f>F261</f>
        <v>2024</v>
      </c>
      <c r="G268" s="2914">
        <f>G261</f>
        <v>2025</v>
      </c>
      <c r="H268" s="2914">
        <f>H261</f>
        <v>2026</v>
      </c>
      <c r="I268" s="2915">
        <f>I261</f>
        <v>2027</v>
      </c>
      <c r="J268" s="2832"/>
      <c r="K268" s="2835"/>
      <c r="L268" s="1287"/>
      <c r="M268" s="1287"/>
      <c r="N268" s="2311" t="str">
        <f>B277</f>
        <v>White</v>
      </c>
      <c r="O268" s="2775"/>
      <c r="P268" s="2775">
        <f>'Inv. start'!F23</f>
        <v>0</v>
      </c>
      <c r="Q268" s="2775">
        <f t="shared" ref="Q268:W268" si="204">U45+U46</f>
        <v>1699.5</v>
      </c>
      <c r="R268" s="2775">
        <f t="shared" si="204"/>
        <v>2804.25</v>
      </c>
      <c r="S268" s="2775">
        <f t="shared" si="204"/>
        <v>3295.5</v>
      </c>
      <c r="T268" s="2775">
        <f t="shared" si="204"/>
        <v>3312</v>
      </c>
      <c r="U268" s="2775">
        <f t="shared" si="204"/>
        <v>3312</v>
      </c>
      <c r="V268" s="2775">
        <f t="shared" si="204"/>
        <v>3312</v>
      </c>
      <c r="W268" s="2458">
        <f t="shared" si="204"/>
        <v>3312</v>
      </c>
    </row>
    <row r="269" spans="1:23">
      <c r="A269" s="1287"/>
      <c r="B269" s="1037" t="str">
        <f>B262</f>
        <v>White</v>
      </c>
      <c r="C269" s="1461"/>
      <c r="D269" s="1461"/>
      <c r="E269" s="1139">
        <f>E254*E262</f>
        <v>38991.968399999998</v>
      </c>
      <c r="F269" s="1139">
        <f t="shared" ref="E269:I273" si="205">F254*F262</f>
        <v>65625.237972000003</v>
      </c>
      <c r="G269" s="1139">
        <f t="shared" si="205"/>
        <v>78663.931950240003</v>
      </c>
      <c r="H269" s="1139">
        <f t="shared" si="205"/>
        <v>80638.94446110721</v>
      </c>
      <c r="I269" s="1746">
        <f t="shared" si="205"/>
        <v>82251.723350329339</v>
      </c>
      <c r="J269" s="2832"/>
      <c r="K269" s="2832"/>
      <c r="L269" s="1287"/>
      <c r="M269" s="1287"/>
      <c r="N269" s="2311" t="str">
        <f>B278</f>
        <v>Rose</v>
      </c>
      <c r="O269" s="2775"/>
      <c r="P269" s="2884">
        <f>'Inv. start'!F24</f>
        <v>3950</v>
      </c>
      <c r="Q269" s="2775">
        <f>U64+U63</f>
        <v>0</v>
      </c>
      <c r="R269" s="2775">
        <f t="shared" ref="R269:W269" si="206">V64+V63</f>
        <v>0</v>
      </c>
      <c r="S269" s="2775">
        <f t="shared" si="206"/>
        <v>0</v>
      </c>
      <c r="T269" s="2775">
        <f t="shared" si="206"/>
        <v>0</v>
      </c>
      <c r="U269" s="2775">
        <f t="shared" si="206"/>
        <v>0</v>
      </c>
      <c r="V269" s="2775">
        <f t="shared" si="206"/>
        <v>0</v>
      </c>
      <c r="W269" s="2458">
        <f t="shared" si="206"/>
        <v>0</v>
      </c>
    </row>
    <row r="270" spans="1:23">
      <c r="A270" s="1287"/>
      <c r="B270" s="1037" t="str">
        <f>B263</f>
        <v>Rose</v>
      </c>
      <c r="C270" s="1461"/>
      <c r="D270" s="1461"/>
      <c r="E270" s="1139">
        <f t="shared" si="205"/>
        <v>0</v>
      </c>
      <c r="F270" s="1139">
        <f t="shared" si="205"/>
        <v>0</v>
      </c>
      <c r="G270" s="1139">
        <f t="shared" si="205"/>
        <v>0</v>
      </c>
      <c r="H270" s="1139">
        <f t="shared" si="205"/>
        <v>0</v>
      </c>
      <c r="I270" s="1746">
        <f t="shared" si="205"/>
        <v>0</v>
      </c>
      <c r="J270" s="2832"/>
      <c r="K270" s="2832"/>
      <c r="L270" s="1287"/>
      <c r="M270" s="1287"/>
      <c r="N270" s="2311" t="str">
        <f>B279</f>
        <v>Classic</v>
      </c>
      <c r="O270" s="2776"/>
      <c r="P270" s="2728">
        <f>P141</f>
        <v>0</v>
      </c>
      <c r="Q270" s="2775">
        <f>Q152</f>
        <v>43408</v>
      </c>
      <c r="R270" s="2775">
        <f t="shared" ref="R270:W270" si="207">R152</f>
        <v>0</v>
      </c>
      <c r="S270" s="2775">
        <f t="shared" si="207"/>
        <v>0</v>
      </c>
      <c r="T270" s="2775">
        <f t="shared" si="207"/>
        <v>0</v>
      </c>
      <c r="U270" s="2775">
        <f t="shared" si="207"/>
        <v>0</v>
      </c>
      <c r="V270" s="2775">
        <f t="shared" si="207"/>
        <v>0</v>
      </c>
      <c r="W270" s="2458">
        <f t="shared" si="207"/>
        <v>0</v>
      </c>
    </row>
    <row r="271" spans="1:23">
      <c r="A271" s="1287"/>
      <c r="B271" s="1037" t="str">
        <f>B264</f>
        <v>Classic</v>
      </c>
      <c r="C271" s="1461"/>
      <c r="D271" s="1461"/>
      <c r="E271" s="1139">
        <f t="shared" si="205"/>
        <v>0</v>
      </c>
      <c r="F271" s="1139">
        <f t="shared" si="205"/>
        <v>0</v>
      </c>
      <c r="G271" s="1139">
        <f t="shared" si="205"/>
        <v>0</v>
      </c>
      <c r="H271" s="1139">
        <f t="shared" si="205"/>
        <v>0</v>
      </c>
      <c r="I271" s="1746">
        <f t="shared" si="205"/>
        <v>0</v>
      </c>
      <c r="J271" s="2832"/>
      <c r="K271" s="2832"/>
      <c r="L271" s="1287"/>
      <c r="M271" s="1287"/>
      <c r="N271" s="2311" t="str">
        <f>B280</f>
        <v>Premium</v>
      </c>
      <c r="O271" s="2776"/>
      <c r="P271" s="2728">
        <f>P197</f>
        <v>0</v>
      </c>
      <c r="Q271" s="2775">
        <f ca="1">Q207</f>
        <v>28125</v>
      </c>
      <c r="R271" s="2775">
        <f t="shared" ref="R271:W271" ca="1" si="208">R207</f>
        <v>31321</v>
      </c>
      <c r="S271" s="2775">
        <f t="shared" ca="1" si="208"/>
        <v>45368</v>
      </c>
      <c r="T271" s="2775">
        <f t="shared" ca="1" si="208"/>
        <v>52746</v>
      </c>
      <c r="U271" s="2775">
        <f t="shared" ca="1" si="208"/>
        <v>52796</v>
      </c>
      <c r="V271" s="2775">
        <f t="shared" ca="1" si="208"/>
        <v>52796</v>
      </c>
      <c r="W271" s="2458">
        <f t="shared" ca="1" si="208"/>
        <v>52796</v>
      </c>
    </row>
    <row r="272" spans="1:23">
      <c r="A272" s="1287"/>
      <c r="B272" s="1037" t="str">
        <f>B265</f>
        <v>Premium</v>
      </c>
      <c r="C272" s="1461"/>
      <c r="D272" s="1461"/>
      <c r="E272" s="1139">
        <f t="shared" si="205"/>
        <v>1640924.1283968</v>
      </c>
      <c r="F272" s="1139">
        <f t="shared" si="205"/>
        <v>2460043.9469399033</v>
      </c>
      <c r="G272" s="1139">
        <f t="shared" si="205"/>
        <v>2960214.0221340451</v>
      </c>
      <c r="H272" s="1139">
        <f t="shared" si="205"/>
        <v>3066725.8293620301</v>
      </c>
      <c r="I272" s="1746">
        <f t="shared" si="205"/>
        <v>3174061.2333897012</v>
      </c>
      <c r="J272" s="2832"/>
      <c r="K272" s="2832"/>
      <c r="L272" s="1287"/>
      <c r="M272" s="1287"/>
      <c r="N272" s="2311" t="str">
        <f>B281</f>
        <v>Selection individuelle</v>
      </c>
      <c r="O272" s="2776"/>
      <c r="P272" s="2536">
        <f>P253</f>
        <v>0</v>
      </c>
      <c r="Q272" s="2516">
        <f>Q263</f>
        <v>0</v>
      </c>
      <c r="R272" s="2516">
        <f t="shared" ref="R272:W272" si="209">R263</f>
        <v>0</v>
      </c>
      <c r="S272" s="2516">
        <f t="shared" si="209"/>
        <v>4275</v>
      </c>
      <c r="T272" s="2516">
        <f t="shared" si="209"/>
        <v>5625</v>
      </c>
      <c r="U272" s="2516">
        <f t="shared" si="209"/>
        <v>6525</v>
      </c>
      <c r="V272" s="2516">
        <f t="shared" si="209"/>
        <v>6525</v>
      </c>
      <c r="W272" s="2517">
        <f t="shared" si="209"/>
        <v>6525</v>
      </c>
    </row>
    <row r="273" spans="1:23">
      <c r="A273" s="1287"/>
      <c r="B273" s="1037" t="str">
        <f>B266</f>
        <v>Selection individuelle</v>
      </c>
      <c r="C273" s="1461"/>
      <c r="D273" s="1461"/>
      <c r="E273" s="2000">
        <f t="shared" si="205"/>
        <v>802347.18011422851</v>
      </c>
      <c r="F273" s="2000">
        <f t="shared" si="205"/>
        <v>1105866.6725916506</v>
      </c>
      <c r="G273" s="2000">
        <f t="shared" si="205"/>
        <v>1343738.5938661147</v>
      </c>
      <c r="H273" s="2000">
        <f t="shared" si="205"/>
        <v>1407566.1770747553</v>
      </c>
      <c r="I273" s="2194">
        <f t="shared" si="205"/>
        <v>1474425.5704858063</v>
      </c>
      <c r="J273" s="2832"/>
      <c r="K273" s="2834"/>
      <c r="L273" s="1287"/>
      <c r="M273" s="1287"/>
      <c r="N273" s="2311"/>
      <c r="O273" s="2776"/>
      <c r="P273" s="2873">
        <f>SUM(P268:P272)</f>
        <v>3950</v>
      </c>
      <c r="Q273" s="2873">
        <f ca="1">SUM(Q268:Q272)</f>
        <v>73232.5</v>
      </c>
      <c r="R273" s="2873">
        <f t="shared" ref="R273:W273" ca="1" si="210">SUM(R268:R272)</f>
        <v>34125.25</v>
      </c>
      <c r="S273" s="2873">
        <f t="shared" ca="1" si="210"/>
        <v>52938.5</v>
      </c>
      <c r="T273" s="2873">
        <f t="shared" ca="1" si="210"/>
        <v>61683</v>
      </c>
      <c r="U273" s="2873">
        <f t="shared" ca="1" si="210"/>
        <v>62633</v>
      </c>
      <c r="V273" s="2873">
        <f t="shared" ca="1" si="210"/>
        <v>62633</v>
      </c>
      <c r="W273" s="2472">
        <f t="shared" ca="1" si="210"/>
        <v>62633</v>
      </c>
    </row>
    <row r="274" spans="1:23" ht="13.5" thickBot="1">
      <c r="A274" s="1287"/>
      <c r="B274" s="1523"/>
      <c r="C274" s="1524"/>
      <c r="D274" s="1524"/>
      <c r="E274" s="2196">
        <f>SUM(E269:E273)</f>
        <v>2482263.2769110287</v>
      </c>
      <c r="F274" s="2196">
        <f>SUM(F269:F273)</f>
        <v>3631535.8575035539</v>
      </c>
      <c r="G274" s="2196">
        <f>SUM(G269:G273)</f>
        <v>4382616.5479504</v>
      </c>
      <c r="H274" s="2196">
        <f>SUM(H269:H273)</f>
        <v>4554930.9508978929</v>
      </c>
      <c r="I274" s="2852">
        <f>SUM(I269:I273)</f>
        <v>4730738.5272258371</v>
      </c>
      <c r="J274" s="2832"/>
      <c r="K274" s="2839"/>
      <c r="L274" s="1287"/>
      <c r="M274" s="1287"/>
      <c r="N274" s="2311"/>
      <c r="O274" s="2776"/>
      <c r="P274" s="2776"/>
      <c r="Q274" s="2776"/>
      <c r="R274" s="2776"/>
      <c r="S274" s="2776"/>
      <c r="T274" s="2776"/>
      <c r="U274" s="2776"/>
      <c r="V274" s="2776"/>
      <c r="W274" s="2112"/>
    </row>
    <row r="275" spans="1:23" ht="13.5" thickBot="1">
      <c r="A275" s="1287"/>
      <c r="B275" s="1287"/>
      <c r="C275" s="1287"/>
      <c r="D275" s="1287"/>
      <c r="E275" s="1287"/>
      <c r="F275" s="1287"/>
      <c r="G275" s="1287"/>
      <c r="H275" s="1287"/>
      <c r="I275" s="1287"/>
      <c r="J275" s="2832"/>
      <c r="K275" s="1287"/>
      <c r="L275" s="1287"/>
      <c r="M275" s="1287"/>
      <c r="N275" s="2311"/>
      <c r="O275" s="2776"/>
      <c r="P275" s="2776"/>
      <c r="Q275" s="2776"/>
      <c r="R275" s="2776"/>
      <c r="S275" s="2776"/>
      <c r="T275" s="2776"/>
      <c r="U275" s="2776"/>
      <c r="V275" s="2776"/>
      <c r="W275" s="2112"/>
    </row>
    <row r="276" spans="1:23">
      <c r="A276" s="1287"/>
      <c r="B276" s="1526" t="s">
        <v>1040</v>
      </c>
      <c r="C276" s="1726"/>
      <c r="D276" s="1726"/>
      <c r="E276" s="2914">
        <f>E261</f>
        <v>2023</v>
      </c>
      <c r="F276" s="2914">
        <f>F261</f>
        <v>2024</v>
      </c>
      <c r="G276" s="2914">
        <f>G261</f>
        <v>2025</v>
      </c>
      <c r="H276" s="2914">
        <f>H261</f>
        <v>2026</v>
      </c>
      <c r="I276" s="2915">
        <f>I261</f>
        <v>2027</v>
      </c>
      <c r="J276" s="1287"/>
      <c r="K276" s="1287"/>
      <c r="L276" s="1287"/>
      <c r="M276" s="1287"/>
      <c r="N276" s="2358" t="s">
        <v>241</v>
      </c>
      <c r="O276" s="2776"/>
      <c r="P276" s="2776"/>
      <c r="Q276" s="2776"/>
      <c r="R276" s="2776"/>
      <c r="S276" s="2776"/>
      <c r="T276" s="2776"/>
      <c r="U276" s="2776"/>
      <c r="V276" s="2776"/>
      <c r="W276" s="2112"/>
    </row>
    <row r="277" spans="1:23">
      <c r="A277" s="1287"/>
      <c r="B277" s="1037" t="str">
        <f>B262</f>
        <v>White</v>
      </c>
      <c r="C277" s="1461"/>
      <c r="D277" s="1461"/>
      <c r="E277" s="1139">
        <f ca="1">'Inv. wine'!D246</f>
        <v>14972.753784313831</v>
      </c>
      <c r="F277" s="1139">
        <f ca="1">'Inv. wine'!E246</f>
        <v>21759.3004881204</v>
      </c>
      <c r="G277" s="1139">
        <f ca="1">'Inv. wine'!F246</f>
        <v>24875.478076339055</v>
      </c>
      <c r="H277" s="1139">
        <f ca="1">'Inv. wine'!G246</f>
        <v>26027.788486800629</v>
      </c>
      <c r="I277" s="1746">
        <f ca="1">'Inv. wine'!H246</f>
        <v>26591.48228774438</v>
      </c>
      <c r="J277" s="1287"/>
      <c r="K277" s="1287"/>
      <c r="L277" s="1287"/>
      <c r="M277" s="1287"/>
      <c r="N277" s="2311" t="str">
        <f>N268</f>
        <v>White</v>
      </c>
      <c r="O277" s="2776"/>
      <c r="P277" s="2535">
        <f>'Inv. start'!F23/$C$207</f>
        <v>0</v>
      </c>
      <c r="Q277" s="2775">
        <f t="shared" ref="Q277:W281" si="211">Q268/$C$207</f>
        <v>2266</v>
      </c>
      <c r="R277" s="2775">
        <f t="shared" si="211"/>
        <v>3739</v>
      </c>
      <c r="S277" s="2775">
        <f t="shared" si="211"/>
        <v>4394</v>
      </c>
      <c r="T277" s="2775">
        <f t="shared" si="211"/>
        <v>4416</v>
      </c>
      <c r="U277" s="2775">
        <f t="shared" si="211"/>
        <v>4416</v>
      </c>
      <c r="V277" s="2775">
        <f t="shared" si="211"/>
        <v>4416</v>
      </c>
      <c r="W277" s="2458">
        <f t="shared" si="211"/>
        <v>4416</v>
      </c>
    </row>
    <row r="278" spans="1:23">
      <c r="A278" s="1287"/>
      <c r="B278" s="1037" t="str">
        <f>B263</f>
        <v>Rose</v>
      </c>
      <c r="C278" s="1461"/>
      <c r="D278" s="1461"/>
      <c r="E278" s="1139">
        <f ca="1">'Inv. wine'!M246</f>
        <v>0</v>
      </c>
      <c r="F278" s="1139">
        <f ca="1">'Inv. wine'!N246</f>
        <v>0</v>
      </c>
      <c r="G278" s="1139">
        <f ca="1">'Inv. wine'!O246</f>
        <v>0</v>
      </c>
      <c r="H278" s="1139">
        <f ca="1">'Inv. wine'!P246</f>
        <v>0</v>
      </c>
      <c r="I278" s="1746">
        <f ca="1">'Inv. wine'!Q246</f>
        <v>0</v>
      </c>
      <c r="J278" s="1287"/>
      <c r="K278" s="1287"/>
      <c r="L278" s="1287"/>
      <c r="M278" s="1287"/>
      <c r="N278" s="2311" t="str">
        <f>N269</f>
        <v>Rose</v>
      </c>
      <c r="O278" s="2776"/>
      <c r="P278" s="2535">
        <f>'Inv. start'!F24/$C$207</f>
        <v>5266.666666666667</v>
      </c>
      <c r="Q278" s="2775">
        <f t="shared" si="211"/>
        <v>0</v>
      </c>
      <c r="R278" s="2775">
        <f t="shared" si="211"/>
        <v>0</v>
      </c>
      <c r="S278" s="2775">
        <f t="shared" si="211"/>
        <v>0</v>
      </c>
      <c r="T278" s="2775">
        <f t="shared" si="211"/>
        <v>0</v>
      </c>
      <c r="U278" s="2775">
        <f t="shared" si="211"/>
        <v>0</v>
      </c>
      <c r="V278" s="2775">
        <f t="shared" si="211"/>
        <v>0</v>
      </c>
      <c r="W278" s="2458">
        <f t="shared" si="211"/>
        <v>0</v>
      </c>
    </row>
    <row r="279" spans="1:23">
      <c r="A279" s="1287"/>
      <c r="B279" s="1037" t="str">
        <f>B264</f>
        <v>Classic</v>
      </c>
      <c r="C279" s="1461"/>
      <c r="D279" s="1461"/>
      <c r="E279" s="1139">
        <f ca="1">'Inv. wine'!U24+'Inv. wine'!V108+'Inv. wine'!W164</f>
        <v>0</v>
      </c>
      <c r="F279" s="1139">
        <f ca="1">SUM('Inv. wine'!U240:AA240)</f>
        <v>0</v>
      </c>
      <c r="G279" s="1139">
        <f ca="1">SUM('Inv. wine'!U241:AA241)</f>
        <v>0</v>
      </c>
      <c r="H279" s="1139">
        <f ca="1">SUM('Inv. wine'!U242:AA242)</f>
        <v>0</v>
      </c>
      <c r="I279" s="1746">
        <f ca="1">SUM('Inv. wine'!U243:AA243)</f>
        <v>0</v>
      </c>
      <c r="J279" s="1287"/>
      <c r="K279" s="1287"/>
      <c r="L279" s="1287"/>
      <c r="M279" s="1287"/>
      <c r="N279" s="2311" t="str">
        <f>N270</f>
        <v>Classic</v>
      </c>
      <c r="O279" s="2776"/>
      <c r="P279" s="2884">
        <f>P270/C207</f>
        <v>0</v>
      </c>
      <c r="Q279" s="2775">
        <f t="shared" si="211"/>
        <v>57877.333333333336</v>
      </c>
      <c r="R279" s="2775">
        <f t="shared" si="211"/>
        <v>0</v>
      </c>
      <c r="S279" s="2775">
        <f t="shared" si="211"/>
        <v>0</v>
      </c>
      <c r="T279" s="2775">
        <f t="shared" si="211"/>
        <v>0</v>
      </c>
      <c r="U279" s="2775">
        <f t="shared" si="211"/>
        <v>0</v>
      </c>
      <c r="V279" s="2775">
        <f t="shared" si="211"/>
        <v>0</v>
      </c>
      <c r="W279" s="2458">
        <f t="shared" si="211"/>
        <v>0</v>
      </c>
    </row>
    <row r="280" spans="1:23">
      <c r="A280" s="1287"/>
      <c r="B280" s="1037" t="str">
        <f>B265</f>
        <v>Premium</v>
      </c>
      <c r="C280" s="1461"/>
      <c r="D280" s="1461"/>
      <c r="E280" s="1139">
        <f ca="1">'Inv. wine'!AD24+'Inv. wine'!AE108+'Inv. wine'!AF164</f>
        <v>297437.23211970215</v>
      </c>
      <c r="F280" s="1139">
        <f ca="1">SUM('Inv. wine'!AD240:AJ240)</f>
        <v>469505.06708266702</v>
      </c>
      <c r="G280" s="1139">
        <f ca="1">SUM('Inv. wine'!AD241:AJ241)</f>
        <v>517896.19269297499</v>
      </c>
      <c r="H280" s="1139">
        <f ca="1">SUM('Inv. wine'!AD242:AJ242)</f>
        <v>521961.05841536517</v>
      </c>
      <c r="I280" s="1746">
        <f ca="1">'Inv. wine'!AJ12*'Inv. wine'!AJ186</f>
        <v>577459.1672981251</v>
      </c>
      <c r="J280" s="1287"/>
      <c r="K280" s="1287"/>
      <c r="L280" s="1287"/>
      <c r="M280" s="1287"/>
      <c r="N280" s="2311" t="str">
        <f>N271</f>
        <v>Premium</v>
      </c>
      <c r="O280" s="2776"/>
      <c r="P280" s="2728">
        <f>P271/C207</f>
        <v>0</v>
      </c>
      <c r="Q280" s="2775">
        <f t="shared" ca="1" si="211"/>
        <v>37500</v>
      </c>
      <c r="R280" s="2775">
        <f t="shared" ca="1" si="211"/>
        <v>41761.333333333336</v>
      </c>
      <c r="S280" s="2775">
        <f t="shared" ca="1" si="211"/>
        <v>60490.666666666664</v>
      </c>
      <c r="T280" s="2775">
        <f t="shared" ca="1" si="211"/>
        <v>70328</v>
      </c>
      <c r="U280" s="2775">
        <f t="shared" ca="1" si="211"/>
        <v>70394.666666666672</v>
      </c>
      <c r="V280" s="2775">
        <f t="shared" ca="1" si="211"/>
        <v>70394.666666666672</v>
      </c>
      <c r="W280" s="2458">
        <f t="shared" ca="1" si="211"/>
        <v>70394.666666666672</v>
      </c>
    </row>
    <row r="281" spans="1:23">
      <c r="A281" s="1287"/>
      <c r="B281" s="1037" t="str">
        <f>B266</f>
        <v>Selection individuelle</v>
      </c>
      <c r="C281" s="1461"/>
      <c r="D281" s="1461"/>
      <c r="E281" s="2833">
        <f ca="1">SUM('Inv. wine'!AM239:AS239)</f>
        <v>49351.045143960349</v>
      </c>
      <c r="F281" s="2833">
        <f ca="1">SUM('Inv. wine'!AM240:AS240)</f>
        <v>63077.282541228997</v>
      </c>
      <c r="G281" s="2833">
        <f ca="1">SUM('Inv. wine'!AM241:AS241)</f>
        <v>69831.326509997554</v>
      </c>
      <c r="H281" s="2833">
        <f ca="1">'Inv. wine'!AP9*'Inv. wine'!AP183</f>
        <v>70386.823551723195</v>
      </c>
      <c r="I281" s="2842">
        <f ca="1">'Inv. wine'!AP184*'Inv. wine'!AQ10</f>
        <v>77218.080379611871</v>
      </c>
      <c r="J281" s="1287"/>
      <c r="K281" s="1287"/>
      <c r="L281" s="1287"/>
      <c r="M281" s="1287"/>
      <c r="N281" s="2311" t="str">
        <f>N272</f>
        <v>Selection individuelle</v>
      </c>
      <c r="O281" s="2776"/>
      <c r="P281" s="2536">
        <f>P272/C207</f>
        <v>0</v>
      </c>
      <c r="Q281" s="2516">
        <f t="shared" si="211"/>
        <v>0</v>
      </c>
      <c r="R281" s="2516">
        <f t="shared" si="211"/>
        <v>0</v>
      </c>
      <c r="S281" s="2516">
        <f t="shared" si="211"/>
        <v>5700</v>
      </c>
      <c r="T281" s="2516">
        <f t="shared" si="211"/>
        <v>7500</v>
      </c>
      <c r="U281" s="2516">
        <f t="shared" si="211"/>
        <v>8700</v>
      </c>
      <c r="V281" s="2516">
        <f t="shared" si="211"/>
        <v>8700</v>
      </c>
      <c r="W281" s="2517">
        <f t="shared" si="211"/>
        <v>8700</v>
      </c>
    </row>
    <row r="282" spans="1:23" ht="13.5" thickBot="1">
      <c r="A282" s="1287"/>
      <c r="B282" s="1523"/>
      <c r="C282" s="1524"/>
      <c r="D282" s="1524"/>
      <c r="E282" s="2196">
        <f ca="1">SUM(E277:E281)</f>
        <v>361761.03104797634</v>
      </c>
      <c r="F282" s="2196">
        <f ca="1">SUM(F277:F281)</f>
        <v>554341.65011201648</v>
      </c>
      <c r="G282" s="2196">
        <f ca="1">SUM(G277:G281)</f>
        <v>612602.99727931165</v>
      </c>
      <c r="H282" s="2196">
        <f ca="1">SUM(H277:H281)</f>
        <v>618375.67045388895</v>
      </c>
      <c r="I282" s="2852">
        <f ca="1">SUM(I277:I281)</f>
        <v>681268.72996548144</v>
      </c>
      <c r="J282" s="1287"/>
      <c r="K282" s="1287"/>
      <c r="L282" s="1287"/>
      <c r="M282" s="1287"/>
      <c r="N282" s="2311"/>
      <c r="O282" s="2776"/>
      <c r="P282" s="2775">
        <f>SUM(P277:P281)</f>
        <v>5266.666666666667</v>
      </c>
      <c r="Q282" s="2775">
        <f ca="1">SUM(Q277:Q281)</f>
        <v>97643.333333333343</v>
      </c>
      <c r="R282" s="2775">
        <f t="shared" ref="R282:W282" ca="1" si="212">SUM(R277:R281)</f>
        <v>45500.333333333336</v>
      </c>
      <c r="S282" s="2775">
        <f t="shared" ca="1" si="212"/>
        <v>70584.666666666657</v>
      </c>
      <c r="T282" s="2775">
        <f t="shared" ca="1" si="212"/>
        <v>82244</v>
      </c>
      <c r="U282" s="2775">
        <f t="shared" ca="1" si="212"/>
        <v>83510.666666666672</v>
      </c>
      <c r="V282" s="2775">
        <f t="shared" ca="1" si="212"/>
        <v>83510.666666666672</v>
      </c>
      <c r="W282" s="2458">
        <f t="shared" ca="1" si="212"/>
        <v>83510.666666666672</v>
      </c>
    </row>
    <row r="283" spans="1:23" ht="13.5" thickBot="1">
      <c r="A283" s="1287"/>
      <c r="B283" s="1287"/>
      <c r="C283" s="1287"/>
      <c r="D283" s="1287"/>
      <c r="E283" s="1287"/>
      <c r="F283" s="1287"/>
      <c r="G283" s="1287"/>
      <c r="H283" s="1287"/>
      <c r="I283" s="1287"/>
      <c r="J283" s="1287"/>
      <c r="K283" s="1287"/>
      <c r="L283" s="1287"/>
      <c r="M283" s="1287"/>
      <c r="N283" s="2358" t="s">
        <v>631</v>
      </c>
      <c r="O283" s="2776"/>
      <c r="P283" s="2776"/>
      <c r="Q283" s="2776"/>
      <c r="R283" s="2776"/>
      <c r="S283" s="2776"/>
      <c r="T283" s="2776"/>
      <c r="U283" s="2776"/>
      <c r="V283" s="2776"/>
      <c r="W283" s="2112"/>
    </row>
    <row r="284" spans="1:23" ht="13.5" thickBot="1">
      <c r="A284" s="1287"/>
      <c r="B284" s="1887" t="s">
        <v>1041</v>
      </c>
      <c r="C284" s="1758"/>
      <c r="D284" s="1758"/>
      <c r="E284" s="2760">
        <f ca="1">E274-E282</f>
        <v>2120502.2458630521</v>
      </c>
      <c r="F284" s="2760">
        <f ca="1">F274-F282</f>
        <v>3077194.2073915373</v>
      </c>
      <c r="G284" s="2760">
        <f ca="1">G274-G282</f>
        <v>3770013.5506710885</v>
      </c>
      <c r="H284" s="2760">
        <f ca="1">H274-H282</f>
        <v>3936555.2804440041</v>
      </c>
      <c r="I284" s="2761">
        <f ca="1">I274-I282</f>
        <v>4049469.7972603557</v>
      </c>
      <c r="J284" s="1287"/>
      <c r="K284" s="1287"/>
      <c r="L284" s="1287"/>
      <c r="M284" s="1287"/>
      <c r="N284" s="2311" t="s">
        <v>632</v>
      </c>
      <c r="O284" s="2488">
        <v>3000</v>
      </c>
      <c r="P284" s="2776"/>
      <c r="Q284" s="2776"/>
      <c r="R284" s="2776"/>
      <c r="S284" s="2776"/>
      <c r="T284" s="2776"/>
      <c r="U284" s="2776"/>
      <c r="V284" s="2776"/>
      <c r="W284" s="2112"/>
    </row>
    <row r="285" spans="1:23" ht="13.5" thickBot="1">
      <c r="A285" s="1287"/>
      <c r="B285" s="1287"/>
      <c r="C285" s="1287"/>
      <c r="D285" s="1287"/>
      <c r="E285" s="1287"/>
      <c r="F285" s="1287"/>
      <c r="G285" s="1865"/>
      <c r="H285" s="1287"/>
      <c r="I285" s="1287"/>
      <c r="J285" s="1287"/>
      <c r="K285" s="1287"/>
      <c r="L285" s="1287"/>
      <c r="M285" s="1287"/>
      <c r="N285" s="2436" t="s">
        <v>633</v>
      </c>
      <c r="O285" s="2373"/>
      <c r="P285" s="2473">
        <f>P282/$O$284</f>
        <v>1.7555555555555558</v>
      </c>
      <c r="Q285" s="2473">
        <f t="shared" ref="Q285:W285" ca="1" si="213">Q282/$O$284</f>
        <v>32.547777777777782</v>
      </c>
      <c r="R285" s="2473">
        <f t="shared" ca="1" si="213"/>
        <v>15.166777777777778</v>
      </c>
      <c r="S285" s="2473">
        <f t="shared" ca="1" si="213"/>
        <v>23.528222222222219</v>
      </c>
      <c r="T285" s="2473">
        <f t="shared" ca="1" si="213"/>
        <v>27.414666666666665</v>
      </c>
      <c r="U285" s="2473">
        <f t="shared" ca="1" si="213"/>
        <v>27.83688888888889</v>
      </c>
      <c r="V285" s="2473">
        <f t="shared" ca="1" si="213"/>
        <v>27.83688888888889</v>
      </c>
      <c r="W285" s="2876">
        <f t="shared" ca="1" si="213"/>
        <v>27.83688888888889</v>
      </c>
    </row>
    <row r="286" spans="1:23" ht="13.5" thickBot="1">
      <c r="A286" s="1287"/>
      <c r="B286" s="1526" t="s">
        <v>1191</v>
      </c>
      <c r="C286" s="1726"/>
      <c r="D286" s="1726"/>
      <c r="E286" s="2861">
        <f>E276</f>
        <v>2023</v>
      </c>
      <c r="F286" s="2861">
        <f>F276</f>
        <v>2024</v>
      </c>
      <c r="G286" s="2861">
        <f>G276</f>
        <v>2025</v>
      </c>
      <c r="H286" s="2861">
        <f>H276</f>
        <v>2026</v>
      </c>
      <c r="I286" s="2862">
        <f>I276</f>
        <v>2027</v>
      </c>
      <c r="J286" s="1287"/>
      <c r="K286" s="1287"/>
      <c r="L286" s="1287"/>
      <c r="M286" s="1287"/>
    </row>
    <row r="287" spans="1:23">
      <c r="A287" s="1287"/>
      <c r="B287" s="1037" t="str">
        <f>B254</f>
        <v>White</v>
      </c>
      <c r="C287" s="1461"/>
      <c r="D287" s="1461"/>
      <c r="E287" s="2746">
        <f>E171</f>
        <v>1699.5</v>
      </c>
      <c r="F287" s="2746">
        <f>F171</f>
        <v>2804.25</v>
      </c>
      <c r="G287" s="2746">
        <f>G171</f>
        <v>3295.5</v>
      </c>
      <c r="H287" s="2746">
        <f>H171</f>
        <v>3312</v>
      </c>
      <c r="I287" s="1765">
        <f>I171</f>
        <v>3312</v>
      </c>
      <c r="J287" s="1287"/>
      <c r="K287" s="1287"/>
      <c r="L287" s="1287"/>
      <c r="M287" s="1287"/>
      <c r="N287" s="2301" t="s">
        <v>635</v>
      </c>
      <c r="O287" s="2299"/>
      <c r="P287" s="2299"/>
      <c r="Q287" s="2299"/>
      <c r="R287" s="2299"/>
      <c r="S287" s="2299"/>
      <c r="T287" s="2299"/>
      <c r="U287" s="2299"/>
      <c r="V287" s="2299"/>
      <c r="W287" s="2300"/>
    </row>
    <row r="288" spans="1:23">
      <c r="A288" s="1287"/>
      <c r="B288" s="1037" t="str">
        <f>B255</f>
        <v>Rose</v>
      </c>
      <c r="C288" s="1461"/>
      <c r="D288" s="1461"/>
      <c r="E288" s="2746">
        <f>SUM(E172:E173)</f>
        <v>0</v>
      </c>
      <c r="F288" s="2746">
        <f>SUM(F172:F173)</f>
        <v>0</v>
      </c>
      <c r="G288" s="2746">
        <f>SUM(G172:G173)</f>
        <v>0</v>
      </c>
      <c r="H288" s="2746">
        <f>SUM(H172:H173)</f>
        <v>0</v>
      </c>
      <c r="I288" s="1765">
        <f>SUM(I172:I173)</f>
        <v>0</v>
      </c>
      <c r="J288" s="1287"/>
      <c r="K288" s="1287"/>
      <c r="L288" s="1287"/>
      <c r="M288" s="1287"/>
      <c r="N288" s="2311"/>
      <c r="W288" s="2112"/>
    </row>
    <row r="289" spans="1:23">
      <c r="A289" s="1287"/>
      <c r="B289" s="1037" t="str">
        <f>B256</f>
        <v>Classic</v>
      </c>
      <c r="C289" s="1461"/>
      <c r="D289" s="1461"/>
      <c r="E289" s="2746">
        <f>SUM(E174:E177)</f>
        <v>0</v>
      </c>
      <c r="F289" s="2746">
        <f>SUM(F174:F177)</f>
        <v>0</v>
      </c>
      <c r="G289" s="2746">
        <f>SUM(G174:G177)</f>
        <v>0</v>
      </c>
      <c r="H289" s="2746">
        <f>SUM(H174:H177)</f>
        <v>0</v>
      </c>
      <c r="I289" s="1765">
        <f>SUM(I174:I177)</f>
        <v>0</v>
      </c>
      <c r="J289" s="1287"/>
      <c r="K289" s="1287"/>
      <c r="L289" s="1287"/>
      <c r="M289" s="1287"/>
      <c r="N289" s="2311" t="s">
        <v>636</v>
      </c>
      <c r="O289" s="2111">
        <v>6</v>
      </c>
      <c r="P289" s="2111" t="s">
        <v>307</v>
      </c>
      <c r="W289" s="2112"/>
    </row>
    <row r="290" spans="1:23">
      <c r="A290" s="1287"/>
      <c r="B290" s="1037" t="str">
        <f>B257</f>
        <v>Premium</v>
      </c>
      <c r="C290" s="1461"/>
      <c r="D290" s="1461"/>
      <c r="E290" s="2746">
        <f>SUM(E178:E181)</f>
        <v>31321</v>
      </c>
      <c r="F290" s="2746">
        <f>SUM(F178:F181)</f>
        <v>45368</v>
      </c>
      <c r="G290" s="2746">
        <f>SUM(G178:G181)</f>
        <v>52746</v>
      </c>
      <c r="H290" s="2746">
        <f>SUM(H178:H181)</f>
        <v>52796</v>
      </c>
      <c r="I290" s="1765">
        <f>SUM(I178:I181)</f>
        <v>52796</v>
      </c>
      <c r="J290" s="1287"/>
      <c r="K290" s="1287"/>
      <c r="L290" s="1287"/>
      <c r="N290" s="2311"/>
      <c r="W290" s="2112"/>
    </row>
    <row r="291" spans="1:23">
      <c r="A291" s="1287"/>
      <c r="B291" s="1037" t="str">
        <f>B258</f>
        <v>Selection individuelle</v>
      </c>
      <c r="C291" s="1461"/>
      <c r="D291" s="1461"/>
      <c r="E291" s="2859">
        <f>SUM(E182:E185)</f>
        <v>4275</v>
      </c>
      <c r="F291" s="2859">
        <f>SUM(F182:F185)</f>
        <v>5625</v>
      </c>
      <c r="G291" s="2859">
        <f>SUM(G182:G185)</f>
        <v>6525</v>
      </c>
      <c r="H291" s="2859">
        <f>SUM(H182:H185)</f>
        <v>6525</v>
      </c>
      <c r="I291" s="2860">
        <f>SUM(I182:I185)</f>
        <v>6525</v>
      </c>
      <c r="J291" s="1287"/>
      <c r="K291" s="1287"/>
      <c r="L291" s="1287"/>
      <c r="N291" s="2358" t="s">
        <v>634</v>
      </c>
      <c r="P291" s="2324">
        <f t="shared" ref="P291:W291" si="214">P267</f>
        <v>2023</v>
      </c>
      <c r="Q291" s="2324">
        <f t="shared" si="214"/>
        <v>2024</v>
      </c>
      <c r="R291" s="2324">
        <f t="shared" si="214"/>
        <v>2025</v>
      </c>
      <c r="S291" s="2324">
        <f t="shared" si="214"/>
        <v>2026</v>
      </c>
      <c r="T291" s="2324">
        <f t="shared" si="214"/>
        <v>2027</v>
      </c>
      <c r="U291" s="2324">
        <f t="shared" si="214"/>
        <v>2028</v>
      </c>
      <c r="V291" s="2324">
        <f t="shared" si="214"/>
        <v>2029</v>
      </c>
      <c r="W291" s="2442">
        <f t="shared" si="214"/>
        <v>2030</v>
      </c>
    </row>
    <row r="292" spans="1:23">
      <c r="A292" s="1287"/>
      <c r="B292" s="1037"/>
      <c r="C292" s="1461"/>
      <c r="D292" s="1461"/>
      <c r="E292" s="2746">
        <f>SUM(E287:E291)</f>
        <v>37295.5</v>
      </c>
      <c r="F292" s="2746">
        <f>SUM(F287:F291)</f>
        <v>53797.25</v>
      </c>
      <c r="G292" s="2746">
        <f>SUM(G287:G291)</f>
        <v>62566.5</v>
      </c>
      <c r="H292" s="2746">
        <f>SUM(H287:H291)</f>
        <v>62633</v>
      </c>
      <c r="I292" s="1765">
        <f>SUM(I287:I291)</f>
        <v>62633</v>
      </c>
      <c r="J292" s="1287"/>
      <c r="K292" s="1287"/>
      <c r="L292" s="1287"/>
      <c r="N292" s="2311" t="str">
        <f>N277</f>
        <v>White</v>
      </c>
      <c r="P292" s="2383">
        <f>P277/6</f>
        <v>0</v>
      </c>
      <c r="Q292" s="2383">
        <f t="shared" ref="P292:Q296" si="215">Q277/6</f>
        <v>377.66666666666669</v>
      </c>
      <c r="R292" s="2383">
        <f t="shared" ref="R292:W292" si="216">R277/6</f>
        <v>623.16666666666663</v>
      </c>
      <c r="S292" s="2383">
        <f t="shared" si="216"/>
        <v>732.33333333333337</v>
      </c>
      <c r="T292" s="2383">
        <f t="shared" si="216"/>
        <v>736</v>
      </c>
      <c r="U292" s="2383">
        <f t="shared" si="216"/>
        <v>736</v>
      </c>
      <c r="V292" s="2383">
        <f t="shared" si="216"/>
        <v>736</v>
      </c>
      <c r="W292" s="2458">
        <f t="shared" si="216"/>
        <v>736</v>
      </c>
    </row>
    <row r="293" spans="1:23">
      <c r="A293" s="1287"/>
      <c r="B293" s="1037"/>
      <c r="C293" s="1461"/>
      <c r="D293" s="1461"/>
      <c r="E293" s="1461"/>
      <c r="F293" s="1461"/>
      <c r="G293" s="1461"/>
      <c r="H293" s="1461"/>
      <c r="I293" s="1467"/>
      <c r="J293" s="1287"/>
      <c r="K293" s="1287"/>
      <c r="L293" s="1287"/>
      <c r="N293" s="2311" t="str">
        <f>N278</f>
        <v>Rose</v>
      </c>
      <c r="P293" s="2383">
        <f>P278/6</f>
        <v>877.77777777777783</v>
      </c>
      <c r="Q293" s="2383">
        <f t="shared" si="215"/>
        <v>0</v>
      </c>
      <c r="R293" s="2383">
        <f t="shared" ref="R293:W293" si="217">R278/6</f>
        <v>0</v>
      </c>
      <c r="S293" s="2383">
        <f t="shared" si="217"/>
        <v>0</v>
      </c>
      <c r="T293" s="2383">
        <f t="shared" si="217"/>
        <v>0</v>
      </c>
      <c r="U293" s="2383">
        <f t="shared" si="217"/>
        <v>0</v>
      </c>
      <c r="V293" s="2383">
        <f t="shared" si="217"/>
        <v>0</v>
      </c>
      <c r="W293" s="2458">
        <f t="shared" si="217"/>
        <v>0</v>
      </c>
    </row>
    <row r="294" spans="1:23">
      <c r="A294" s="1287"/>
      <c r="B294" s="1290" t="s">
        <v>147</v>
      </c>
      <c r="C294" s="1461"/>
      <c r="D294" s="1461"/>
      <c r="E294" s="2857">
        <f>E268</f>
        <v>2023</v>
      </c>
      <c r="F294" s="2857">
        <f>F268</f>
        <v>2024</v>
      </c>
      <c r="G294" s="2857">
        <f>G268</f>
        <v>2025</v>
      </c>
      <c r="H294" s="2857">
        <f>H268</f>
        <v>2026</v>
      </c>
      <c r="I294" s="2858">
        <f>I268</f>
        <v>2027</v>
      </c>
      <c r="J294" s="1287"/>
      <c r="K294" s="1287"/>
      <c r="L294" s="1287"/>
      <c r="N294" s="2311" t="str">
        <f>N279</f>
        <v>Classic</v>
      </c>
      <c r="P294" s="2383">
        <f>P279/6</f>
        <v>0</v>
      </c>
      <c r="Q294" s="2383">
        <f t="shared" si="215"/>
        <v>9646.2222222222226</v>
      </c>
      <c r="R294" s="2383">
        <f t="shared" ref="R294:W294" si="218">R279/6</f>
        <v>0</v>
      </c>
      <c r="S294" s="2383">
        <f t="shared" si="218"/>
        <v>0</v>
      </c>
      <c r="T294" s="2383">
        <f t="shared" si="218"/>
        <v>0</v>
      </c>
      <c r="U294" s="2383">
        <f t="shared" si="218"/>
        <v>0</v>
      </c>
      <c r="V294" s="2383">
        <f t="shared" si="218"/>
        <v>0</v>
      </c>
      <c r="W294" s="2458">
        <f t="shared" si="218"/>
        <v>0</v>
      </c>
    </row>
    <row r="295" spans="1:23">
      <c r="A295" s="1287"/>
      <c r="B295" s="1037" t="str">
        <f>B287</f>
        <v>White</v>
      </c>
      <c r="C295" s="1461"/>
      <c r="D295" s="1461"/>
      <c r="E295" s="2733">
        <f>E287/$E$292</f>
        <v>4.5568500221206315E-2</v>
      </c>
      <c r="F295" s="2733">
        <f>F287/$F$292</f>
        <v>5.2126270394862194E-2</v>
      </c>
      <c r="G295" s="2733">
        <f>G287/$G$292</f>
        <v>5.2671957037711874E-2</v>
      </c>
      <c r="H295" s="2733">
        <f t="shared" ref="H295:I299" si="219">H287/$H$292</f>
        <v>5.2879472482557116E-2</v>
      </c>
      <c r="I295" s="2853">
        <f t="shared" si="219"/>
        <v>5.2879472482557116E-2</v>
      </c>
      <c r="J295" s="1287"/>
      <c r="K295" s="1287"/>
      <c r="L295" s="1287"/>
      <c r="N295" s="2311" t="str">
        <f>N280</f>
        <v>Premium</v>
      </c>
      <c r="P295" s="2383">
        <f t="shared" si="215"/>
        <v>0</v>
      </c>
      <c r="Q295" s="2383">
        <f t="shared" ca="1" si="215"/>
        <v>6250</v>
      </c>
      <c r="R295" s="2383">
        <f t="shared" ref="R295:W295" ca="1" si="220">R280/6</f>
        <v>6960.2222222222226</v>
      </c>
      <c r="S295" s="2383">
        <f t="shared" ca="1" si="220"/>
        <v>10081.777777777777</v>
      </c>
      <c r="T295" s="2383">
        <f t="shared" ca="1" si="220"/>
        <v>11721.333333333334</v>
      </c>
      <c r="U295" s="2383">
        <f t="shared" ca="1" si="220"/>
        <v>11732.444444444445</v>
      </c>
      <c r="V295" s="2383">
        <f t="shared" ca="1" si="220"/>
        <v>11732.444444444445</v>
      </c>
      <c r="W295" s="2458">
        <f t="shared" ca="1" si="220"/>
        <v>11732.444444444445</v>
      </c>
    </row>
    <row r="296" spans="1:23">
      <c r="A296" s="1287"/>
      <c r="B296" s="1037" t="str">
        <f>B288</f>
        <v>Rose</v>
      </c>
      <c r="C296" s="1461"/>
      <c r="D296" s="1461"/>
      <c r="E296" s="2733">
        <f>E288/$E$292</f>
        <v>0</v>
      </c>
      <c r="F296" s="2733">
        <f>F288/$F$292</f>
        <v>0</v>
      </c>
      <c r="G296" s="2733">
        <f>G288/$G$292</f>
        <v>0</v>
      </c>
      <c r="H296" s="2733">
        <f t="shared" si="219"/>
        <v>0</v>
      </c>
      <c r="I296" s="2853">
        <f t="shared" si="219"/>
        <v>0</v>
      </c>
      <c r="J296" s="1287"/>
      <c r="K296" s="1287"/>
      <c r="L296" s="1287"/>
      <c r="N296" s="2311" t="str">
        <f>N281</f>
        <v>Selection individuelle</v>
      </c>
      <c r="P296" s="2516">
        <f>P281/6</f>
        <v>0</v>
      </c>
      <c r="Q296" s="2516">
        <f t="shared" si="215"/>
        <v>0</v>
      </c>
      <c r="R296" s="2516">
        <f t="shared" ref="R296:W296" si="221">R281/6</f>
        <v>0</v>
      </c>
      <c r="S296" s="2516">
        <f t="shared" si="221"/>
        <v>950</v>
      </c>
      <c r="T296" s="2516">
        <f t="shared" si="221"/>
        <v>1250</v>
      </c>
      <c r="U296" s="2516">
        <f t="shared" si="221"/>
        <v>1450</v>
      </c>
      <c r="V296" s="2516">
        <f t="shared" si="221"/>
        <v>1450</v>
      </c>
      <c r="W296" s="2517">
        <f t="shared" si="221"/>
        <v>1450</v>
      </c>
    </row>
    <row r="297" spans="1:23">
      <c r="A297" s="1287"/>
      <c r="B297" s="1037" t="str">
        <f>B289</f>
        <v>Classic</v>
      </c>
      <c r="C297" s="1461"/>
      <c r="D297" s="1461"/>
      <c r="E297" s="2733">
        <f>E289/$E$292</f>
        <v>0</v>
      </c>
      <c r="F297" s="2733">
        <f>F289/$F$292</f>
        <v>0</v>
      </c>
      <c r="G297" s="2733">
        <f>G289/$G$292</f>
        <v>0</v>
      </c>
      <c r="H297" s="2733">
        <f t="shared" si="219"/>
        <v>0</v>
      </c>
      <c r="I297" s="2853">
        <f t="shared" si="219"/>
        <v>0</v>
      </c>
      <c r="J297" s="1287"/>
      <c r="K297" s="1287"/>
      <c r="L297" s="1287"/>
      <c r="N297" s="2311"/>
      <c r="P297" s="2383">
        <f>SUM(P292:P296)</f>
        <v>877.77777777777783</v>
      </c>
      <c r="Q297" s="2383">
        <f t="shared" ref="Q297:V297" ca="1" si="222">SUM(Q292:Q296)</f>
        <v>16273.888888888889</v>
      </c>
      <c r="R297" s="2383">
        <f t="shared" ca="1" si="222"/>
        <v>7583.3888888888896</v>
      </c>
      <c r="S297" s="2383">
        <f t="shared" ca="1" si="222"/>
        <v>11764.111111111111</v>
      </c>
      <c r="T297" s="2383">
        <f t="shared" ca="1" si="222"/>
        <v>13707.333333333334</v>
      </c>
      <c r="U297" s="2383">
        <f t="shared" ca="1" si="222"/>
        <v>13918.444444444445</v>
      </c>
      <c r="V297" s="2383">
        <f t="shared" ca="1" si="222"/>
        <v>13918.444444444445</v>
      </c>
      <c r="W297" s="2458">
        <f ca="1">SUM(W292:W296)</f>
        <v>13918.444444444445</v>
      </c>
    </row>
    <row r="298" spans="1:23">
      <c r="A298" s="1287"/>
      <c r="B298" s="1037" t="str">
        <f>B290</f>
        <v>Premium</v>
      </c>
      <c r="C298" s="1461"/>
      <c r="D298" s="1461"/>
      <c r="E298" s="2733">
        <f>E290/$E$292</f>
        <v>0.83980641096110786</v>
      </c>
      <c r="F298" s="2733">
        <f>F290/$F$292</f>
        <v>0.84331448168819034</v>
      </c>
      <c r="G298" s="2733">
        <f>G290/$G$292</f>
        <v>0.84303900649708707</v>
      </c>
      <c r="H298" s="2733">
        <f t="shared" si="219"/>
        <v>0.84294221895805721</v>
      </c>
      <c r="I298" s="2853">
        <f t="shared" si="219"/>
        <v>0.84294221895805721</v>
      </c>
      <c r="J298" s="1287"/>
      <c r="K298" s="1287"/>
      <c r="L298" s="1287"/>
      <c r="N298" s="2311"/>
      <c r="W298" s="2112"/>
    </row>
    <row r="299" spans="1:23">
      <c r="A299" s="1287"/>
      <c r="B299" s="1037" t="str">
        <f>B291</f>
        <v>Selection individuelle</v>
      </c>
      <c r="C299" s="1461"/>
      <c r="D299" s="1461"/>
      <c r="E299" s="2734">
        <f>E291/$E$292</f>
        <v>0.11462508881768578</v>
      </c>
      <c r="F299" s="2734">
        <f>F291/$F$292</f>
        <v>0.10455924791694743</v>
      </c>
      <c r="G299" s="2734">
        <f>G291/$G$292</f>
        <v>0.10428903646520103</v>
      </c>
      <c r="H299" s="2734">
        <f t="shared" si="219"/>
        <v>0.10417830855938563</v>
      </c>
      <c r="I299" s="2854">
        <f t="shared" si="219"/>
        <v>0.10417830855938563</v>
      </c>
      <c r="J299" s="1287"/>
      <c r="K299" s="1287"/>
      <c r="L299" s="1287"/>
      <c r="N299" s="2358" t="s">
        <v>638</v>
      </c>
      <c r="P299" s="2383"/>
      <c r="W299" s="2112"/>
    </row>
    <row r="300" spans="1:23" ht="13.5" thickBot="1">
      <c r="A300" s="1287"/>
      <c r="B300" s="1523"/>
      <c r="C300" s="1524"/>
      <c r="D300" s="1524"/>
      <c r="E300" s="2855">
        <f>SUM(E295:E299)</f>
        <v>0.99999999999999989</v>
      </c>
      <c r="F300" s="2855">
        <f>SUM(F295:F299)</f>
        <v>1</v>
      </c>
      <c r="G300" s="2855">
        <f>SUM(G295:G299)</f>
        <v>1</v>
      </c>
      <c r="H300" s="2855">
        <f>SUM(H295:H299)</f>
        <v>0.99999999999999989</v>
      </c>
      <c r="I300" s="2856">
        <f>SUM(I295:I299)</f>
        <v>0.99999999999999989</v>
      </c>
      <c r="J300" s="1287"/>
      <c r="K300" s="1287"/>
      <c r="L300" s="1287"/>
      <c r="N300" s="2311" t="s">
        <v>646</v>
      </c>
      <c r="O300" s="2308" t="s">
        <v>642</v>
      </c>
      <c r="W300" s="2112"/>
    </row>
    <row r="301" spans="1:23">
      <c r="A301" s="1287"/>
      <c r="G301" s="1287"/>
      <c r="H301" s="1287"/>
      <c r="I301" s="1287"/>
      <c r="J301" s="1287"/>
      <c r="K301" s="1287"/>
      <c r="L301" s="1287"/>
      <c r="N301" s="2311" t="s">
        <v>643</v>
      </c>
      <c r="O301" s="2111">
        <v>0.3</v>
      </c>
      <c r="W301" s="2112"/>
    </row>
    <row r="302" spans="1:23">
      <c r="A302" s="1287"/>
      <c r="B302" s="1287"/>
      <c r="C302" s="1287"/>
      <c r="D302" s="1287"/>
      <c r="E302" s="1287"/>
      <c r="F302" s="1287"/>
      <c r="G302" s="1287"/>
      <c r="H302" s="1287"/>
      <c r="I302" s="1287"/>
      <c r="J302" s="1287"/>
      <c r="K302" s="1287"/>
      <c r="L302" s="1287"/>
      <c r="N302" s="2311" t="s">
        <v>647</v>
      </c>
      <c r="O302" s="2111">
        <f>O289</f>
        <v>6</v>
      </c>
      <c r="W302" s="2112"/>
    </row>
    <row r="303" spans="1:23">
      <c r="B303" s="1287"/>
      <c r="C303" s="1287"/>
      <c r="D303" s="1287"/>
      <c r="E303" s="1287"/>
      <c r="F303" s="1287"/>
      <c r="G303" s="1287"/>
      <c r="H303" s="1287"/>
      <c r="I303" s="1287"/>
      <c r="J303" s="1287"/>
      <c r="K303" s="1287"/>
      <c r="L303" s="1287"/>
      <c r="N303" s="2311" t="s">
        <v>641</v>
      </c>
      <c r="O303" s="2111">
        <v>5</v>
      </c>
      <c r="W303" s="2112"/>
    </row>
    <row r="304" spans="1:23">
      <c r="B304" s="1287"/>
      <c r="C304" s="1287"/>
      <c r="D304" s="1287"/>
      <c r="E304" s="1287"/>
      <c r="F304" s="1287"/>
      <c r="G304" s="1287"/>
      <c r="H304" s="1287"/>
      <c r="I304" s="1287"/>
      <c r="J304" s="1287"/>
      <c r="K304" s="1287"/>
      <c r="L304" s="1287"/>
      <c r="N304" s="2311" t="s">
        <v>640</v>
      </c>
      <c r="O304" s="2111">
        <v>14</v>
      </c>
      <c r="W304" s="2112"/>
    </row>
    <row r="305" spans="2:23">
      <c r="B305" s="1287"/>
      <c r="C305" s="1287"/>
      <c r="D305" s="1287"/>
      <c r="E305" s="1287"/>
      <c r="F305" s="1287"/>
      <c r="G305" s="1287"/>
      <c r="H305" s="1287"/>
      <c r="I305" s="1287"/>
      <c r="J305" s="1287"/>
      <c r="K305" s="1287"/>
      <c r="L305" s="1287"/>
      <c r="N305" s="2311" t="s">
        <v>637</v>
      </c>
      <c r="O305" s="2111">
        <f>O304*O303*O302</f>
        <v>420</v>
      </c>
      <c r="W305" s="2112"/>
    </row>
    <row r="306" spans="2:23">
      <c r="B306" s="1287"/>
      <c r="C306" s="1287"/>
      <c r="D306" s="1287"/>
      <c r="E306" s="1287"/>
      <c r="F306" s="1287"/>
      <c r="G306" s="1287"/>
      <c r="H306" s="1287"/>
      <c r="I306" s="1287"/>
      <c r="J306" s="1287"/>
      <c r="K306" s="1287"/>
      <c r="L306" s="1287"/>
      <c r="N306" s="2311" t="s">
        <v>644</v>
      </c>
      <c r="O306" s="2111">
        <f>1*1.2</f>
        <v>1.2</v>
      </c>
      <c r="W306" s="2112"/>
    </row>
    <row r="307" spans="2:23">
      <c r="B307" s="1287"/>
      <c r="C307" s="1287"/>
      <c r="D307" s="1287"/>
      <c r="E307" s="1287"/>
      <c r="F307" s="1287"/>
      <c r="G307" s="1287"/>
      <c r="H307" s="1287"/>
      <c r="I307" s="1287"/>
      <c r="J307" s="1287"/>
      <c r="K307" s="1287"/>
      <c r="L307" s="1287"/>
      <c r="N307" s="2311" t="s">
        <v>645</v>
      </c>
      <c r="O307" s="2111">
        <f>1*1.2*(0.3+O301*O303)</f>
        <v>2.16</v>
      </c>
      <c r="W307" s="2112"/>
    </row>
    <row r="308" spans="2:23">
      <c r="N308" s="2311" t="s">
        <v>648</v>
      </c>
      <c r="O308" s="2111">
        <v>16.95</v>
      </c>
      <c r="W308" s="2112"/>
    </row>
    <row r="309" spans="2:23">
      <c r="N309" s="2311"/>
      <c r="W309" s="2112"/>
    </row>
    <row r="310" spans="2:23">
      <c r="N310" s="2358" t="s">
        <v>639</v>
      </c>
      <c r="W310" s="2112"/>
    </row>
    <row r="311" spans="2:23">
      <c r="N311" s="2311" t="str">
        <f>N292</f>
        <v>White</v>
      </c>
      <c r="P311" s="2339">
        <f>P277/$O$305</f>
        <v>0</v>
      </c>
      <c r="Q311" s="2339">
        <f t="shared" ref="P311:W315" si="223">Q277/$O$305</f>
        <v>5.3952380952380956</v>
      </c>
      <c r="R311" s="2339">
        <f t="shared" si="223"/>
        <v>8.9023809523809518</v>
      </c>
      <c r="S311" s="2339">
        <f t="shared" si="223"/>
        <v>10.461904761904762</v>
      </c>
      <c r="T311" s="2339">
        <f t="shared" si="223"/>
        <v>10.514285714285714</v>
      </c>
      <c r="U311" s="2339">
        <f t="shared" si="223"/>
        <v>10.514285714285714</v>
      </c>
      <c r="V311" s="2339">
        <f t="shared" si="223"/>
        <v>10.514285714285714</v>
      </c>
      <c r="W311" s="2470">
        <f t="shared" si="223"/>
        <v>10.514285714285714</v>
      </c>
    </row>
    <row r="312" spans="2:23">
      <c r="N312" s="2311" t="str">
        <f>N293</f>
        <v>Rose</v>
      </c>
      <c r="P312" s="2339">
        <f t="shared" si="223"/>
        <v>12.53968253968254</v>
      </c>
      <c r="Q312" s="2339">
        <f t="shared" si="223"/>
        <v>0</v>
      </c>
      <c r="R312" s="2339">
        <f t="shared" si="223"/>
        <v>0</v>
      </c>
      <c r="S312" s="2339">
        <f t="shared" si="223"/>
        <v>0</v>
      </c>
      <c r="T312" s="2339">
        <f t="shared" si="223"/>
        <v>0</v>
      </c>
      <c r="U312" s="2339">
        <f t="shared" si="223"/>
        <v>0</v>
      </c>
      <c r="V312" s="2339">
        <f t="shared" si="223"/>
        <v>0</v>
      </c>
      <c r="W312" s="2470">
        <f t="shared" si="223"/>
        <v>0</v>
      </c>
    </row>
    <row r="313" spans="2:23">
      <c r="N313" s="2311" t="str">
        <f>N294</f>
        <v>Classic</v>
      </c>
      <c r="P313" s="2339">
        <f>P279/$O$305</f>
        <v>0</v>
      </c>
      <c r="Q313" s="2339">
        <f t="shared" si="223"/>
        <v>137.8031746031746</v>
      </c>
      <c r="R313" s="2339">
        <f t="shared" si="223"/>
        <v>0</v>
      </c>
      <c r="S313" s="2339">
        <f t="shared" si="223"/>
        <v>0</v>
      </c>
      <c r="T313" s="2339">
        <f t="shared" si="223"/>
        <v>0</v>
      </c>
      <c r="U313" s="2339">
        <f t="shared" si="223"/>
        <v>0</v>
      </c>
      <c r="V313" s="2339">
        <f t="shared" si="223"/>
        <v>0</v>
      </c>
      <c r="W313" s="2470">
        <f t="shared" si="223"/>
        <v>0</v>
      </c>
    </row>
    <row r="314" spans="2:23">
      <c r="N314" s="2311" t="str">
        <f>N295</f>
        <v>Premium</v>
      </c>
      <c r="P314" s="2339">
        <f t="shared" si="223"/>
        <v>0</v>
      </c>
      <c r="Q314" s="2339">
        <f t="shared" ca="1" si="223"/>
        <v>89.285714285714292</v>
      </c>
      <c r="R314" s="2339">
        <f t="shared" ca="1" si="223"/>
        <v>99.431746031746044</v>
      </c>
      <c r="S314" s="2339">
        <f t="shared" ca="1" si="223"/>
        <v>144.02539682539683</v>
      </c>
      <c r="T314" s="2339">
        <f t="shared" ca="1" si="223"/>
        <v>167.44761904761904</v>
      </c>
      <c r="U314" s="2339">
        <f t="shared" ca="1" si="223"/>
        <v>167.60634920634922</v>
      </c>
      <c r="V314" s="2339">
        <f t="shared" ca="1" si="223"/>
        <v>167.60634920634922</v>
      </c>
      <c r="W314" s="2470">
        <f t="shared" ca="1" si="223"/>
        <v>167.60634920634922</v>
      </c>
    </row>
    <row r="315" spans="2:23">
      <c r="N315" s="2311" t="str">
        <f>N296</f>
        <v>Selection individuelle</v>
      </c>
      <c r="P315" s="2341">
        <f t="shared" si="223"/>
        <v>0</v>
      </c>
      <c r="Q315" s="2341">
        <f t="shared" si="223"/>
        <v>0</v>
      </c>
      <c r="R315" s="2341">
        <f t="shared" si="223"/>
        <v>0</v>
      </c>
      <c r="S315" s="2341">
        <f t="shared" si="223"/>
        <v>13.571428571428571</v>
      </c>
      <c r="T315" s="2341">
        <f t="shared" si="223"/>
        <v>17.857142857142858</v>
      </c>
      <c r="U315" s="2341">
        <f t="shared" si="223"/>
        <v>20.714285714285715</v>
      </c>
      <c r="V315" s="2341">
        <f t="shared" si="223"/>
        <v>20.714285714285715</v>
      </c>
      <c r="W315" s="2525">
        <f t="shared" si="223"/>
        <v>20.714285714285715</v>
      </c>
    </row>
    <row r="316" spans="2:23" ht="13.5" thickBot="1">
      <c r="N316" s="2436"/>
      <c r="O316" s="2373"/>
      <c r="P316" s="2374">
        <f>SUM(P311:P315)</f>
        <v>12.53968253968254</v>
      </c>
      <c r="Q316" s="2374">
        <f ca="1">SUM(Q311:Q315)</f>
        <v>232.48412698412699</v>
      </c>
      <c r="R316" s="2374">
        <f t="shared" ref="R316:W316" ca="1" si="224">SUM(R311:R315)</f>
        <v>108.334126984127</v>
      </c>
      <c r="S316" s="2374">
        <f t="shared" ca="1" si="224"/>
        <v>168.05873015873019</v>
      </c>
      <c r="T316" s="2374">
        <f t="shared" ca="1" si="224"/>
        <v>195.81904761904761</v>
      </c>
      <c r="U316" s="2374">
        <f t="shared" ca="1" si="224"/>
        <v>198.83492063492065</v>
      </c>
      <c r="V316" s="2374">
        <f t="shared" ca="1" si="224"/>
        <v>198.83492063492065</v>
      </c>
      <c r="W316" s="2537">
        <f t="shared" ca="1" si="224"/>
        <v>198.83492063492065</v>
      </c>
    </row>
  </sheetData>
  <sheetProtection password="CD53" sheet="1" objects="1" scenarios="1" selectLockedCells="1"/>
  <dataConsolidate leftLabels="1"/>
  <mergeCells count="15">
    <mergeCell ref="N5:N7"/>
    <mergeCell ref="G21:G22"/>
    <mergeCell ref="F5:F6"/>
    <mergeCell ref="G5:G6"/>
    <mergeCell ref="F7:F10"/>
    <mergeCell ref="G7:G10"/>
    <mergeCell ref="F11:F14"/>
    <mergeCell ref="G11:G14"/>
    <mergeCell ref="F15:F18"/>
    <mergeCell ref="G15:G18"/>
    <mergeCell ref="B21:B22"/>
    <mergeCell ref="C21:C22"/>
    <mergeCell ref="D21:D22"/>
    <mergeCell ref="E21:E22"/>
    <mergeCell ref="F21:F22"/>
  </mergeCells>
  <conditionalFormatting sqref="E218:L222 E98:L100">
    <cfRule type="cellIs" dxfId="37" priority="133" stopIfTrue="1" operator="lessThan">
      <formula>0</formula>
    </cfRule>
  </conditionalFormatting>
  <conditionalFormatting sqref="R36:Y40">
    <cfRule type="cellIs" dxfId="36" priority="96" operator="lessThan">
      <formula>0</formula>
    </cfRule>
    <cfRule type="cellIs" dxfId="35" priority="97" operator="greaterThan">
      <formula>0</formula>
    </cfRule>
  </conditionalFormatting>
  <conditionalFormatting sqref="U51:AB51">
    <cfRule type="cellIs" dxfId="34" priority="55" operator="greaterThan">
      <formula>$S$51</formula>
    </cfRule>
  </conditionalFormatting>
  <conditionalFormatting sqref="U60:AB60">
    <cfRule type="cellIs" dxfId="33" priority="54" operator="greaterThan">
      <formula>$S$60</formula>
    </cfRule>
  </conditionalFormatting>
  <conditionalFormatting sqref="U50:AB50">
    <cfRule type="cellIs" dxfId="32" priority="53" operator="greaterThan">
      <formula>$S$50</formula>
    </cfRule>
  </conditionalFormatting>
  <conditionalFormatting sqref="U52:AB52">
    <cfRule type="cellIs" dxfId="31" priority="52" operator="greaterThan">
      <formula>$S$52</formula>
    </cfRule>
  </conditionalFormatting>
  <conditionalFormatting sqref="U53:AB53">
    <cfRule type="cellIs" dxfId="30" priority="51" operator="greaterThan">
      <formula>$S$53</formula>
    </cfRule>
  </conditionalFormatting>
  <conditionalFormatting sqref="U48:AB48">
    <cfRule type="cellIs" dxfId="29" priority="48" operator="greaterThan">
      <formula>$S$48</formula>
    </cfRule>
  </conditionalFormatting>
  <conditionalFormatting sqref="U45:AB45">
    <cfRule type="cellIs" dxfId="28" priority="37" operator="greaterThan">
      <formula>$S$45</formula>
    </cfRule>
  </conditionalFormatting>
  <conditionalFormatting sqref="U46:AB46">
    <cfRule type="cellIs" dxfId="27" priority="36" operator="greaterThan">
      <formula>$S$46</formula>
    </cfRule>
  </conditionalFormatting>
  <conditionalFormatting sqref="U55:AB55">
    <cfRule type="cellIs" dxfId="26" priority="35" operator="greaterThan">
      <formula>$S$55</formula>
    </cfRule>
  </conditionalFormatting>
  <conditionalFormatting sqref="U59:AB59">
    <cfRule type="cellIs" dxfId="25" priority="34" operator="greaterThan">
      <formula>$S$59</formula>
    </cfRule>
  </conditionalFormatting>
  <conditionalFormatting sqref="U47:AB47">
    <cfRule type="cellIs" dxfId="24" priority="27" operator="greaterThan">
      <formula>$S$47</formula>
    </cfRule>
  </conditionalFormatting>
  <conditionalFormatting sqref="U49:AB49">
    <cfRule type="cellIs" dxfId="23" priority="25" operator="greaterThan">
      <formula>$S$49</formula>
    </cfRule>
  </conditionalFormatting>
  <conditionalFormatting sqref="U54:AB54">
    <cfRule type="cellIs" dxfId="22" priority="23" operator="greaterThan">
      <formula>$S$54</formula>
    </cfRule>
  </conditionalFormatting>
  <conditionalFormatting sqref="U56:AB56">
    <cfRule type="cellIs" dxfId="21" priority="21" operator="greaterThan">
      <formula>$S$56</formula>
    </cfRule>
    <cfRule type="cellIs" dxfId="20" priority="22" operator="greaterThan">
      <formula>$S$56</formula>
    </cfRule>
  </conditionalFormatting>
  <conditionalFormatting sqref="U57:AB57">
    <cfRule type="cellIs" dxfId="19" priority="20" operator="greaterThan">
      <formula>$S$57</formula>
    </cfRule>
  </conditionalFormatting>
  <conditionalFormatting sqref="U58:AB58">
    <cfRule type="cellIs" dxfId="18" priority="19" operator="greaterThan">
      <formula>$S$58</formula>
    </cfRule>
  </conditionalFormatting>
  <conditionalFormatting sqref="U61:AB61">
    <cfRule type="cellIs" dxfId="17" priority="18" operator="greaterThan">
      <formula>$S$61</formula>
    </cfRule>
  </conditionalFormatting>
  <conditionalFormatting sqref="U62:AB64">
    <cfRule type="cellIs" dxfId="16" priority="17" operator="greaterThan">
      <formula>$S$62</formula>
    </cfRule>
  </conditionalFormatting>
  <conditionalFormatting sqref="U85:AB90">
    <cfRule type="cellIs" dxfId="15" priority="10" operator="greaterThan">
      <formula>0</formula>
    </cfRule>
  </conditionalFormatting>
  <conditionalFormatting sqref="R171:W171">
    <cfRule type="cellIs" dxfId="14" priority="6" operator="lessThan">
      <formula>0</formula>
    </cfRule>
    <cfRule type="cellIs" dxfId="13" priority="7" operator="greaterThan">
      <formula>0</formula>
    </cfRule>
  </conditionalFormatting>
  <conditionalFormatting sqref="R118:W118">
    <cfRule type="cellIs" dxfId="12" priority="3" operator="lessThan">
      <formula>0</formula>
    </cfRule>
    <cfRule type="cellIs" dxfId="11" priority="4" operator="greaterThan">
      <formula>0</formula>
    </cfRule>
    <cfRule type="cellIs" dxfId="10" priority="5" operator="greaterThan">
      <formula>0</formula>
    </cfRule>
  </conditionalFormatting>
  <conditionalFormatting sqref="R226:W226">
    <cfRule type="cellIs" dxfId="9" priority="1" operator="lessThan">
      <formula>0</formula>
    </cfRule>
    <cfRule type="cellIs" dxfId="8" priority="2" operator="greaterThan">
      <formula>0</formula>
    </cfRule>
  </conditionalFormatting>
  <dataValidations disablePrompts="1" count="2">
    <dataValidation type="list" allowBlank="1" showInputMessage="1" showErrorMessage="1" sqref="G4:G5 JC4:JC5 SY4:SY5 ACU4:ACU5 AMQ4:AMQ5 AWM4:AWM5 BGI4:BGI5 BQE4:BQE5 CAA4:CAA5 CJW4:CJW5 CTS4:CTS5 DDO4:DDO5 DNK4:DNK5 DXG4:DXG5 EHC4:EHC5 EQY4:EQY5 FAU4:FAU5 FKQ4:FKQ5 FUM4:FUM5 GEI4:GEI5 GOE4:GOE5 GYA4:GYA5 HHW4:HHW5 HRS4:HRS5 IBO4:IBO5 ILK4:ILK5 IVG4:IVG5 JFC4:JFC5 JOY4:JOY5 JYU4:JYU5 KIQ4:KIQ5 KSM4:KSM5 LCI4:LCI5 LME4:LME5 LWA4:LWA5 MFW4:MFW5 MPS4:MPS5 MZO4:MZO5 NJK4:NJK5 NTG4:NTG5 ODC4:ODC5 OMY4:OMY5 OWU4:OWU5 PGQ4:PGQ5 PQM4:PQM5 QAI4:QAI5 QKE4:QKE5 QUA4:QUA5 RDW4:RDW5 RNS4:RNS5 RXO4:RXO5 SHK4:SHK5 SRG4:SRG5 TBC4:TBC5 TKY4:TKY5 TUU4:TUU5 UEQ4:UEQ5 UOM4:UOM5 UYI4:UYI5 VIE4:VIE5 VSA4:VSA5 WBW4:WBW5 WLS4:WLS5 WVO4:WVO5 G65607:G65608 JC65599:JC65600 SY65599:SY65600 ACU65599:ACU65600 AMQ65599:AMQ65600 AWM65599:AWM65600 BGI65599:BGI65600 BQE65599:BQE65600 CAA65599:CAA65600 CJW65599:CJW65600 CTS65599:CTS65600 DDO65599:DDO65600 DNK65599:DNK65600 DXG65599:DXG65600 EHC65599:EHC65600 EQY65599:EQY65600 FAU65599:FAU65600 FKQ65599:FKQ65600 FUM65599:FUM65600 GEI65599:GEI65600 GOE65599:GOE65600 GYA65599:GYA65600 HHW65599:HHW65600 HRS65599:HRS65600 IBO65599:IBO65600 ILK65599:ILK65600 IVG65599:IVG65600 JFC65599:JFC65600 JOY65599:JOY65600 JYU65599:JYU65600 KIQ65599:KIQ65600 KSM65599:KSM65600 LCI65599:LCI65600 LME65599:LME65600 LWA65599:LWA65600 MFW65599:MFW65600 MPS65599:MPS65600 MZO65599:MZO65600 NJK65599:NJK65600 NTG65599:NTG65600 ODC65599:ODC65600 OMY65599:OMY65600 OWU65599:OWU65600 PGQ65599:PGQ65600 PQM65599:PQM65600 QAI65599:QAI65600 QKE65599:QKE65600 QUA65599:QUA65600 RDW65599:RDW65600 RNS65599:RNS65600 RXO65599:RXO65600 SHK65599:SHK65600 SRG65599:SRG65600 TBC65599:TBC65600 TKY65599:TKY65600 TUU65599:TUU65600 UEQ65599:UEQ65600 UOM65599:UOM65600 UYI65599:UYI65600 VIE65599:VIE65600 VSA65599:VSA65600 WBW65599:WBW65600 WLS65599:WLS65600 WVO65599:WVO65600 G131143:G131144 JC131135:JC131136 SY131135:SY131136 ACU131135:ACU131136 AMQ131135:AMQ131136 AWM131135:AWM131136 BGI131135:BGI131136 BQE131135:BQE131136 CAA131135:CAA131136 CJW131135:CJW131136 CTS131135:CTS131136 DDO131135:DDO131136 DNK131135:DNK131136 DXG131135:DXG131136 EHC131135:EHC131136 EQY131135:EQY131136 FAU131135:FAU131136 FKQ131135:FKQ131136 FUM131135:FUM131136 GEI131135:GEI131136 GOE131135:GOE131136 GYA131135:GYA131136 HHW131135:HHW131136 HRS131135:HRS131136 IBO131135:IBO131136 ILK131135:ILK131136 IVG131135:IVG131136 JFC131135:JFC131136 JOY131135:JOY131136 JYU131135:JYU131136 KIQ131135:KIQ131136 KSM131135:KSM131136 LCI131135:LCI131136 LME131135:LME131136 LWA131135:LWA131136 MFW131135:MFW131136 MPS131135:MPS131136 MZO131135:MZO131136 NJK131135:NJK131136 NTG131135:NTG131136 ODC131135:ODC131136 OMY131135:OMY131136 OWU131135:OWU131136 PGQ131135:PGQ131136 PQM131135:PQM131136 QAI131135:QAI131136 QKE131135:QKE131136 QUA131135:QUA131136 RDW131135:RDW131136 RNS131135:RNS131136 RXO131135:RXO131136 SHK131135:SHK131136 SRG131135:SRG131136 TBC131135:TBC131136 TKY131135:TKY131136 TUU131135:TUU131136 UEQ131135:UEQ131136 UOM131135:UOM131136 UYI131135:UYI131136 VIE131135:VIE131136 VSA131135:VSA131136 WBW131135:WBW131136 WLS131135:WLS131136 WVO131135:WVO131136 G196679:G196680 JC196671:JC196672 SY196671:SY196672 ACU196671:ACU196672 AMQ196671:AMQ196672 AWM196671:AWM196672 BGI196671:BGI196672 BQE196671:BQE196672 CAA196671:CAA196672 CJW196671:CJW196672 CTS196671:CTS196672 DDO196671:DDO196672 DNK196671:DNK196672 DXG196671:DXG196672 EHC196671:EHC196672 EQY196671:EQY196672 FAU196671:FAU196672 FKQ196671:FKQ196672 FUM196671:FUM196672 GEI196671:GEI196672 GOE196671:GOE196672 GYA196671:GYA196672 HHW196671:HHW196672 HRS196671:HRS196672 IBO196671:IBO196672 ILK196671:ILK196672 IVG196671:IVG196672 JFC196671:JFC196672 JOY196671:JOY196672 JYU196671:JYU196672 KIQ196671:KIQ196672 KSM196671:KSM196672 LCI196671:LCI196672 LME196671:LME196672 LWA196671:LWA196672 MFW196671:MFW196672 MPS196671:MPS196672 MZO196671:MZO196672 NJK196671:NJK196672 NTG196671:NTG196672 ODC196671:ODC196672 OMY196671:OMY196672 OWU196671:OWU196672 PGQ196671:PGQ196672 PQM196671:PQM196672 QAI196671:QAI196672 QKE196671:QKE196672 QUA196671:QUA196672 RDW196671:RDW196672 RNS196671:RNS196672 RXO196671:RXO196672 SHK196671:SHK196672 SRG196671:SRG196672 TBC196671:TBC196672 TKY196671:TKY196672 TUU196671:TUU196672 UEQ196671:UEQ196672 UOM196671:UOM196672 UYI196671:UYI196672 VIE196671:VIE196672 VSA196671:VSA196672 WBW196671:WBW196672 WLS196671:WLS196672 WVO196671:WVO196672 G262215:G262216 JC262207:JC262208 SY262207:SY262208 ACU262207:ACU262208 AMQ262207:AMQ262208 AWM262207:AWM262208 BGI262207:BGI262208 BQE262207:BQE262208 CAA262207:CAA262208 CJW262207:CJW262208 CTS262207:CTS262208 DDO262207:DDO262208 DNK262207:DNK262208 DXG262207:DXG262208 EHC262207:EHC262208 EQY262207:EQY262208 FAU262207:FAU262208 FKQ262207:FKQ262208 FUM262207:FUM262208 GEI262207:GEI262208 GOE262207:GOE262208 GYA262207:GYA262208 HHW262207:HHW262208 HRS262207:HRS262208 IBO262207:IBO262208 ILK262207:ILK262208 IVG262207:IVG262208 JFC262207:JFC262208 JOY262207:JOY262208 JYU262207:JYU262208 KIQ262207:KIQ262208 KSM262207:KSM262208 LCI262207:LCI262208 LME262207:LME262208 LWA262207:LWA262208 MFW262207:MFW262208 MPS262207:MPS262208 MZO262207:MZO262208 NJK262207:NJK262208 NTG262207:NTG262208 ODC262207:ODC262208 OMY262207:OMY262208 OWU262207:OWU262208 PGQ262207:PGQ262208 PQM262207:PQM262208 QAI262207:QAI262208 QKE262207:QKE262208 QUA262207:QUA262208 RDW262207:RDW262208 RNS262207:RNS262208 RXO262207:RXO262208 SHK262207:SHK262208 SRG262207:SRG262208 TBC262207:TBC262208 TKY262207:TKY262208 TUU262207:TUU262208 UEQ262207:UEQ262208 UOM262207:UOM262208 UYI262207:UYI262208 VIE262207:VIE262208 VSA262207:VSA262208 WBW262207:WBW262208 WLS262207:WLS262208 WVO262207:WVO262208 G327751:G327752 JC327743:JC327744 SY327743:SY327744 ACU327743:ACU327744 AMQ327743:AMQ327744 AWM327743:AWM327744 BGI327743:BGI327744 BQE327743:BQE327744 CAA327743:CAA327744 CJW327743:CJW327744 CTS327743:CTS327744 DDO327743:DDO327744 DNK327743:DNK327744 DXG327743:DXG327744 EHC327743:EHC327744 EQY327743:EQY327744 FAU327743:FAU327744 FKQ327743:FKQ327744 FUM327743:FUM327744 GEI327743:GEI327744 GOE327743:GOE327744 GYA327743:GYA327744 HHW327743:HHW327744 HRS327743:HRS327744 IBO327743:IBO327744 ILK327743:ILK327744 IVG327743:IVG327744 JFC327743:JFC327744 JOY327743:JOY327744 JYU327743:JYU327744 KIQ327743:KIQ327744 KSM327743:KSM327744 LCI327743:LCI327744 LME327743:LME327744 LWA327743:LWA327744 MFW327743:MFW327744 MPS327743:MPS327744 MZO327743:MZO327744 NJK327743:NJK327744 NTG327743:NTG327744 ODC327743:ODC327744 OMY327743:OMY327744 OWU327743:OWU327744 PGQ327743:PGQ327744 PQM327743:PQM327744 QAI327743:QAI327744 QKE327743:QKE327744 QUA327743:QUA327744 RDW327743:RDW327744 RNS327743:RNS327744 RXO327743:RXO327744 SHK327743:SHK327744 SRG327743:SRG327744 TBC327743:TBC327744 TKY327743:TKY327744 TUU327743:TUU327744 UEQ327743:UEQ327744 UOM327743:UOM327744 UYI327743:UYI327744 VIE327743:VIE327744 VSA327743:VSA327744 WBW327743:WBW327744 WLS327743:WLS327744 WVO327743:WVO327744 G393287:G393288 JC393279:JC393280 SY393279:SY393280 ACU393279:ACU393280 AMQ393279:AMQ393280 AWM393279:AWM393280 BGI393279:BGI393280 BQE393279:BQE393280 CAA393279:CAA393280 CJW393279:CJW393280 CTS393279:CTS393280 DDO393279:DDO393280 DNK393279:DNK393280 DXG393279:DXG393280 EHC393279:EHC393280 EQY393279:EQY393280 FAU393279:FAU393280 FKQ393279:FKQ393280 FUM393279:FUM393280 GEI393279:GEI393280 GOE393279:GOE393280 GYA393279:GYA393280 HHW393279:HHW393280 HRS393279:HRS393280 IBO393279:IBO393280 ILK393279:ILK393280 IVG393279:IVG393280 JFC393279:JFC393280 JOY393279:JOY393280 JYU393279:JYU393280 KIQ393279:KIQ393280 KSM393279:KSM393280 LCI393279:LCI393280 LME393279:LME393280 LWA393279:LWA393280 MFW393279:MFW393280 MPS393279:MPS393280 MZO393279:MZO393280 NJK393279:NJK393280 NTG393279:NTG393280 ODC393279:ODC393280 OMY393279:OMY393280 OWU393279:OWU393280 PGQ393279:PGQ393280 PQM393279:PQM393280 QAI393279:QAI393280 QKE393279:QKE393280 QUA393279:QUA393280 RDW393279:RDW393280 RNS393279:RNS393280 RXO393279:RXO393280 SHK393279:SHK393280 SRG393279:SRG393280 TBC393279:TBC393280 TKY393279:TKY393280 TUU393279:TUU393280 UEQ393279:UEQ393280 UOM393279:UOM393280 UYI393279:UYI393280 VIE393279:VIE393280 VSA393279:VSA393280 WBW393279:WBW393280 WLS393279:WLS393280 WVO393279:WVO393280 G458823:G458824 JC458815:JC458816 SY458815:SY458816 ACU458815:ACU458816 AMQ458815:AMQ458816 AWM458815:AWM458816 BGI458815:BGI458816 BQE458815:BQE458816 CAA458815:CAA458816 CJW458815:CJW458816 CTS458815:CTS458816 DDO458815:DDO458816 DNK458815:DNK458816 DXG458815:DXG458816 EHC458815:EHC458816 EQY458815:EQY458816 FAU458815:FAU458816 FKQ458815:FKQ458816 FUM458815:FUM458816 GEI458815:GEI458816 GOE458815:GOE458816 GYA458815:GYA458816 HHW458815:HHW458816 HRS458815:HRS458816 IBO458815:IBO458816 ILK458815:ILK458816 IVG458815:IVG458816 JFC458815:JFC458816 JOY458815:JOY458816 JYU458815:JYU458816 KIQ458815:KIQ458816 KSM458815:KSM458816 LCI458815:LCI458816 LME458815:LME458816 LWA458815:LWA458816 MFW458815:MFW458816 MPS458815:MPS458816 MZO458815:MZO458816 NJK458815:NJK458816 NTG458815:NTG458816 ODC458815:ODC458816 OMY458815:OMY458816 OWU458815:OWU458816 PGQ458815:PGQ458816 PQM458815:PQM458816 QAI458815:QAI458816 QKE458815:QKE458816 QUA458815:QUA458816 RDW458815:RDW458816 RNS458815:RNS458816 RXO458815:RXO458816 SHK458815:SHK458816 SRG458815:SRG458816 TBC458815:TBC458816 TKY458815:TKY458816 TUU458815:TUU458816 UEQ458815:UEQ458816 UOM458815:UOM458816 UYI458815:UYI458816 VIE458815:VIE458816 VSA458815:VSA458816 WBW458815:WBW458816 WLS458815:WLS458816 WVO458815:WVO458816 G524359:G524360 JC524351:JC524352 SY524351:SY524352 ACU524351:ACU524352 AMQ524351:AMQ524352 AWM524351:AWM524352 BGI524351:BGI524352 BQE524351:BQE524352 CAA524351:CAA524352 CJW524351:CJW524352 CTS524351:CTS524352 DDO524351:DDO524352 DNK524351:DNK524352 DXG524351:DXG524352 EHC524351:EHC524352 EQY524351:EQY524352 FAU524351:FAU524352 FKQ524351:FKQ524352 FUM524351:FUM524352 GEI524351:GEI524352 GOE524351:GOE524352 GYA524351:GYA524352 HHW524351:HHW524352 HRS524351:HRS524352 IBO524351:IBO524352 ILK524351:ILK524352 IVG524351:IVG524352 JFC524351:JFC524352 JOY524351:JOY524352 JYU524351:JYU524352 KIQ524351:KIQ524352 KSM524351:KSM524352 LCI524351:LCI524352 LME524351:LME524352 LWA524351:LWA524352 MFW524351:MFW524352 MPS524351:MPS524352 MZO524351:MZO524352 NJK524351:NJK524352 NTG524351:NTG524352 ODC524351:ODC524352 OMY524351:OMY524352 OWU524351:OWU524352 PGQ524351:PGQ524352 PQM524351:PQM524352 QAI524351:QAI524352 QKE524351:QKE524352 QUA524351:QUA524352 RDW524351:RDW524352 RNS524351:RNS524352 RXO524351:RXO524352 SHK524351:SHK524352 SRG524351:SRG524352 TBC524351:TBC524352 TKY524351:TKY524352 TUU524351:TUU524352 UEQ524351:UEQ524352 UOM524351:UOM524352 UYI524351:UYI524352 VIE524351:VIE524352 VSA524351:VSA524352 WBW524351:WBW524352 WLS524351:WLS524352 WVO524351:WVO524352 G589895:G589896 JC589887:JC589888 SY589887:SY589888 ACU589887:ACU589888 AMQ589887:AMQ589888 AWM589887:AWM589888 BGI589887:BGI589888 BQE589887:BQE589888 CAA589887:CAA589888 CJW589887:CJW589888 CTS589887:CTS589888 DDO589887:DDO589888 DNK589887:DNK589888 DXG589887:DXG589888 EHC589887:EHC589888 EQY589887:EQY589888 FAU589887:FAU589888 FKQ589887:FKQ589888 FUM589887:FUM589888 GEI589887:GEI589888 GOE589887:GOE589888 GYA589887:GYA589888 HHW589887:HHW589888 HRS589887:HRS589888 IBO589887:IBO589888 ILK589887:ILK589888 IVG589887:IVG589888 JFC589887:JFC589888 JOY589887:JOY589888 JYU589887:JYU589888 KIQ589887:KIQ589888 KSM589887:KSM589888 LCI589887:LCI589888 LME589887:LME589888 LWA589887:LWA589888 MFW589887:MFW589888 MPS589887:MPS589888 MZO589887:MZO589888 NJK589887:NJK589888 NTG589887:NTG589888 ODC589887:ODC589888 OMY589887:OMY589888 OWU589887:OWU589888 PGQ589887:PGQ589888 PQM589887:PQM589888 QAI589887:QAI589888 QKE589887:QKE589888 QUA589887:QUA589888 RDW589887:RDW589888 RNS589887:RNS589888 RXO589887:RXO589888 SHK589887:SHK589888 SRG589887:SRG589888 TBC589887:TBC589888 TKY589887:TKY589888 TUU589887:TUU589888 UEQ589887:UEQ589888 UOM589887:UOM589888 UYI589887:UYI589888 VIE589887:VIE589888 VSA589887:VSA589888 WBW589887:WBW589888 WLS589887:WLS589888 WVO589887:WVO589888 G655431:G655432 JC655423:JC655424 SY655423:SY655424 ACU655423:ACU655424 AMQ655423:AMQ655424 AWM655423:AWM655424 BGI655423:BGI655424 BQE655423:BQE655424 CAA655423:CAA655424 CJW655423:CJW655424 CTS655423:CTS655424 DDO655423:DDO655424 DNK655423:DNK655424 DXG655423:DXG655424 EHC655423:EHC655424 EQY655423:EQY655424 FAU655423:FAU655424 FKQ655423:FKQ655424 FUM655423:FUM655424 GEI655423:GEI655424 GOE655423:GOE655424 GYA655423:GYA655424 HHW655423:HHW655424 HRS655423:HRS655424 IBO655423:IBO655424 ILK655423:ILK655424 IVG655423:IVG655424 JFC655423:JFC655424 JOY655423:JOY655424 JYU655423:JYU655424 KIQ655423:KIQ655424 KSM655423:KSM655424 LCI655423:LCI655424 LME655423:LME655424 LWA655423:LWA655424 MFW655423:MFW655424 MPS655423:MPS655424 MZO655423:MZO655424 NJK655423:NJK655424 NTG655423:NTG655424 ODC655423:ODC655424 OMY655423:OMY655424 OWU655423:OWU655424 PGQ655423:PGQ655424 PQM655423:PQM655424 QAI655423:QAI655424 QKE655423:QKE655424 QUA655423:QUA655424 RDW655423:RDW655424 RNS655423:RNS655424 RXO655423:RXO655424 SHK655423:SHK655424 SRG655423:SRG655424 TBC655423:TBC655424 TKY655423:TKY655424 TUU655423:TUU655424 UEQ655423:UEQ655424 UOM655423:UOM655424 UYI655423:UYI655424 VIE655423:VIE655424 VSA655423:VSA655424 WBW655423:WBW655424 WLS655423:WLS655424 WVO655423:WVO655424 G720967:G720968 JC720959:JC720960 SY720959:SY720960 ACU720959:ACU720960 AMQ720959:AMQ720960 AWM720959:AWM720960 BGI720959:BGI720960 BQE720959:BQE720960 CAA720959:CAA720960 CJW720959:CJW720960 CTS720959:CTS720960 DDO720959:DDO720960 DNK720959:DNK720960 DXG720959:DXG720960 EHC720959:EHC720960 EQY720959:EQY720960 FAU720959:FAU720960 FKQ720959:FKQ720960 FUM720959:FUM720960 GEI720959:GEI720960 GOE720959:GOE720960 GYA720959:GYA720960 HHW720959:HHW720960 HRS720959:HRS720960 IBO720959:IBO720960 ILK720959:ILK720960 IVG720959:IVG720960 JFC720959:JFC720960 JOY720959:JOY720960 JYU720959:JYU720960 KIQ720959:KIQ720960 KSM720959:KSM720960 LCI720959:LCI720960 LME720959:LME720960 LWA720959:LWA720960 MFW720959:MFW720960 MPS720959:MPS720960 MZO720959:MZO720960 NJK720959:NJK720960 NTG720959:NTG720960 ODC720959:ODC720960 OMY720959:OMY720960 OWU720959:OWU720960 PGQ720959:PGQ720960 PQM720959:PQM720960 QAI720959:QAI720960 QKE720959:QKE720960 QUA720959:QUA720960 RDW720959:RDW720960 RNS720959:RNS720960 RXO720959:RXO720960 SHK720959:SHK720960 SRG720959:SRG720960 TBC720959:TBC720960 TKY720959:TKY720960 TUU720959:TUU720960 UEQ720959:UEQ720960 UOM720959:UOM720960 UYI720959:UYI720960 VIE720959:VIE720960 VSA720959:VSA720960 WBW720959:WBW720960 WLS720959:WLS720960 WVO720959:WVO720960 G786503:G786504 JC786495:JC786496 SY786495:SY786496 ACU786495:ACU786496 AMQ786495:AMQ786496 AWM786495:AWM786496 BGI786495:BGI786496 BQE786495:BQE786496 CAA786495:CAA786496 CJW786495:CJW786496 CTS786495:CTS786496 DDO786495:DDO786496 DNK786495:DNK786496 DXG786495:DXG786496 EHC786495:EHC786496 EQY786495:EQY786496 FAU786495:FAU786496 FKQ786495:FKQ786496 FUM786495:FUM786496 GEI786495:GEI786496 GOE786495:GOE786496 GYA786495:GYA786496 HHW786495:HHW786496 HRS786495:HRS786496 IBO786495:IBO786496 ILK786495:ILK786496 IVG786495:IVG786496 JFC786495:JFC786496 JOY786495:JOY786496 JYU786495:JYU786496 KIQ786495:KIQ786496 KSM786495:KSM786496 LCI786495:LCI786496 LME786495:LME786496 LWA786495:LWA786496 MFW786495:MFW786496 MPS786495:MPS786496 MZO786495:MZO786496 NJK786495:NJK786496 NTG786495:NTG786496 ODC786495:ODC786496 OMY786495:OMY786496 OWU786495:OWU786496 PGQ786495:PGQ786496 PQM786495:PQM786496 QAI786495:QAI786496 QKE786495:QKE786496 QUA786495:QUA786496 RDW786495:RDW786496 RNS786495:RNS786496 RXO786495:RXO786496 SHK786495:SHK786496 SRG786495:SRG786496 TBC786495:TBC786496 TKY786495:TKY786496 TUU786495:TUU786496 UEQ786495:UEQ786496 UOM786495:UOM786496 UYI786495:UYI786496 VIE786495:VIE786496 VSA786495:VSA786496 WBW786495:WBW786496 WLS786495:WLS786496 WVO786495:WVO786496 G852039:G852040 JC852031:JC852032 SY852031:SY852032 ACU852031:ACU852032 AMQ852031:AMQ852032 AWM852031:AWM852032 BGI852031:BGI852032 BQE852031:BQE852032 CAA852031:CAA852032 CJW852031:CJW852032 CTS852031:CTS852032 DDO852031:DDO852032 DNK852031:DNK852032 DXG852031:DXG852032 EHC852031:EHC852032 EQY852031:EQY852032 FAU852031:FAU852032 FKQ852031:FKQ852032 FUM852031:FUM852032 GEI852031:GEI852032 GOE852031:GOE852032 GYA852031:GYA852032 HHW852031:HHW852032 HRS852031:HRS852032 IBO852031:IBO852032 ILK852031:ILK852032 IVG852031:IVG852032 JFC852031:JFC852032 JOY852031:JOY852032 JYU852031:JYU852032 KIQ852031:KIQ852032 KSM852031:KSM852032 LCI852031:LCI852032 LME852031:LME852032 LWA852031:LWA852032 MFW852031:MFW852032 MPS852031:MPS852032 MZO852031:MZO852032 NJK852031:NJK852032 NTG852031:NTG852032 ODC852031:ODC852032 OMY852031:OMY852032 OWU852031:OWU852032 PGQ852031:PGQ852032 PQM852031:PQM852032 QAI852031:QAI852032 QKE852031:QKE852032 QUA852031:QUA852032 RDW852031:RDW852032 RNS852031:RNS852032 RXO852031:RXO852032 SHK852031:SHK852032 SRG852031:SRG852032 TBC852031:TBC852032 TKY852031:TKY852032 TUU852031:TUU852032 UEQ852031:UEQ852032 UOM852031:UOM852032 UYI852031:UYI852032 VIE852031:VIE852032 VSA852031:VSA852032 WBW852031:WBW852032 WLS852031:WLS852032 WVO852031:WVO852032 G917575:G917576 JC917567:JC917568 SY917567:SY917568 ACU917567:ACU917568 AMQ917567:AMQ917568 AWM917567:AWM917568 BGI917567:BGI917568 BQE917567:BQE917568 CAA917567:CAA917568 CJW917567:CJW917568 CTS917567:CTS917568 DDO917567:DDO917568 DNK917567:DNK917568 DXG917567:DXG917568 EHC917567:EHC917568 EQY917567:EQY917568 FAU917567:FAU917568 FKQ917567:FKQ917568 FUM917567:FUM917568 GEI917567:GEI917568 GOE917567:GOE917568 GYA917567:GYA917568 HHW917567:HHW917568 HRS917567:HRS917568 IBO917567:IBO917568 ILK917567:ILK917568 IVG917567:IVG917568 JFC917567:JFC917568 JOY917567:JOY917568 JYU917567:JYU917568 KIQ917567:KIQ917568 KSM917567:KSM917568 LCI917567:LCI917568 LME917567:LME917568 LWA917567:LWA917568 MFW917567:MFW917568 MPS917567:MPS917568 MZO917567:MZO917568 NJK917567:NJK917568 NTG917567:NTG917568 ODC917567:ODC917568 OMY917567:OMY917568 OWU917567:OWU917568 PGQ917567:PGQ917568 PQM917567:PQM917568 QAI917567:QAI917568 QKE917567:QKE917568 QUA917567:QUA917568 RDW917567:RDW917568 RNS917567:RNS917568 RXO917567:RXO917568 SHK917567:SHK917568 SRG917567:SRG917568 TBC917567:TBC917568 TKY917567:TKY917568 TUU917567:TUU917568 UEQ917567:UEQ917568 UOM917567:UOM917568 UYI917567:UYI917568 VIE917567:VIE917568 VSA917567:VSA917568 WBW917567:WBW917568 WLS917567:WLS917568 WVO917567:WVO917568 G983111:G983112 JC983103:JC983104 SY983103:SY983104 ACU983103:ACU983104 AMQ983103:AMQ983104 AWM983103:AWM983104 BGI983103:BGI983104 BQE983103:BQE983104 CAA983103:CAA983104 CJW983103:CJW983104 CTS983103:CTS983104 DDO983103:DDO983104 DNK983103:DNK983104 DXG983103:DXG983104 EHC983103:EHC983104 EQY983103:EQY983104 FAU983103:FAU983104 FKQ983103:FKQ983104 FUM983103:FUM983104 GEI983103:GEI983104 GOE983103:GOE983104 GYA983103:GYA983104 HHW983103:HHW983104 HRS983103:HRS983104 IBO983103:IBO983104 ILK983103:ILK983104 IVG983103:IVG983104 JFC983103:JFC983104 JOY983103:JOY983104 JYU983103:JYU983104 KIQ983103:KIQ983104 KSM983103:KSM983104 LCI983103:LCI983104 LME983103:LME983104 LWA983103:LWA983104 MFW983103:MFW983104 MPS983103:MPS983104 MZO983103:MZO983104 NJK983103:NJK983104 NTG983103:NTG983104 ODC983103:ODC983104 OMY983103:OMY983104 OWU983103:OWU983104 PGQ983103:PGQ983104 PQM983103:PQM983104 QAI983103:QAI983104 QKE983103:QKE983104 QUA983103:QUA983104 RDW983103:RDW983104 RNS983103:RNS983104 RXO983103:RXO983104 SHK983103:SHK983104 SRG983103:SRG983104 TBC983103:TBC983104 TKY983103:TKY983104 TUU983103:TUU983104 UEQ983103:UEQ983104 UOM983103:UOM983104 UYI983103:UYI983104 VIE983103:VIE983104 VSA983103:VSA983104 WBW983103:WBW983104 WLS983103:WLS983104 WVO983103:WVO983104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610 JC65602 SY65602 ACU65602 AMQ65602 AWM65602 BGI65602 BQE65602 CAA65602 CJW65602 CTS65602 DDO65602 DNK65602 DXG65602 EHC65602 EQY65602 FAU65602 FKQ65602 FUM65602 GEI65602 GOE65602 GYA65602 HHW65602 HRS65602 IBO65602 ILK65602 IVG65602 JFC65602 JOY65602 JYU65602 KIQ65602 KSM65602 LCI65602 LME65602 LWA65602 MFW65602 MPS65602 MZO65602 NJK65602 NTG65602 ODC65602 OMY65602 OWU65602 PGQ65602 PQM65602 QAI65602 QKE65602 QUA65602 RDW65602 RNS65602 RXO65602 SHK65602 SRG65602 TBC65602 TKY65602 TUU65602 UEQ65602 UOM65602 UYI65602 VIE65602 VSA65602 WBW65602 WLS65602 WVO65602 G131146 JC131138 SY131138 ACU131138 AMQ131138 AWM131138 BGI131138 BQE131138 CAA131138 CJW131138 CTS131138 DDO131138 DNK131138 DXG131138 EHC131138 EQY131138 FAU131138 FKQ131138 FUM131138 GEI131138 GOE131138 GYA131138 HHW131138 HRS131138 IBO131138 ILK131138 IVG131138 JFC131138 JOY131138 JYU131138 KIQ131138 KSM131138 LCI131138 LME131138 LWA131138 MFW131138 MPS131138 MZO131138 NJK131138 NTG131138 ODC131138 OMY131138 OWU131138 PGQ131138 PQM131138 QAI131138 QKE131138 QUA131138 RDW131138 RNS131138 RXO131138 SHK131138 SRG131138 TBC131138 TKY131138 TUU131138 UEQ131138 UOM131138 UYI131138 VIE131138 VSA131138 WBW131138 WLS131138 WVO131138 G196682 JC196674 SY196674 ACU196674 AMQ196674 AWM196674 BGI196674 BQE196674 CAA196674 CJW196674 CTS196674 DDO196674 DNK196674 DXG196674 EHC196674 EQY196674 FAU196674 FKQ196674 FUM196674 GEI196674 GOE196674 GYA196674 HHW196674 HRS196674 IBO196674 ILK196674 IVG196674 JFC196674 JOY196674 JYU196674 KIQ196674 KSM196674 LCI196674 LME196674 LWA196674 MFW196674 MPS196674 MZO196674 NJK196674 NTG196674 ODC196674 OMY196674 OWU196674 PGQ196674 PQM196674 QAI196674 QKE196674 QUA196674 RDW196674 RNS196674 RXO196674 SHK196674 SRG196674 TBC196674 TKY196674 TUU196674 UEQ196674 UOM196674 UYI196674 VIE196674 VSA196674 WBW196674 WLS196674 WVO196674 G262218 JC262210 SY262210 ACU262210 AMQ262210 AWM262210 BGI262210 BQE262210 CAA262210 CJW262210 CTS262210 DDO262210 DNK262210 DXG262210 EHC262210 EQY262210 FAU262210 FKQ262210 FUM262210 GEI262210 GOE262210 GYA262210 HHW262210 HRS262210 IBO262210 ILK262210 IVG262210 JFC262210 JOY262210 JYU262210 KIQ262210 KSM262210 LCI262210 LME262210 LWA262210 MFW262210 MPS262210 MZO262210 NJK262210 NTG262210 ODC262210 OMY262210 OWU262210 PGQ262210 PQM262210 QAI262210 QKE262210 QUA262210 RDW262210 RNS262210 RXO262210 SHK262210 SRG262210 TBC262210 TKY262210 TUU262210 UEQ262210 UOM262210 UYI262210 VIE262210 VSA262210 WBW262210 WLS262210 WVO262210 G327754 JC327746 SY327746 ACU327746 AMQ327746 AWM327746 BGI327746 BQE327746 CAA327746 CJW327746 CTS327746 DDO327746 DNK327746 DXG327746 EHC327746 EQY327746 FAU327746 FKQ327746 FUM327746 GEI327746 GOE327746 GYA327746 HHW327746 HRS327746 IBO327746 ILK327746 IVG327746 JFC327746 JOY327746 JYU327746 KIQ327746 KSM327746 LCI327746 LME327746 LWA327746 MFW327746 MPS327746 MZO327746 NJK327746 NTG327746 ODC327746 OMY327746 OWU327746 PGQ327746 PQM327746 QAI327746 QKE327746 QUA327746 RDW327746 RNS327746 RXO327746 SHK327746 SRG327746 TBC327746 TKY327746 TUU327746 UEQ327746 UOM327746 UYI327746 VIE327746 VSA327746 WBW327746 WLS327746 WVO327746 G393290 JC393282 SY393282 ACU393282 AMQ393282 AWM393282 BGI393282 BQE393282 CAA393282 CJW393282 CTS393282 DDO393282 DNK393282 DXG393282 EHC393282 EQY393282 FAU393282 FKQ393282 FUM393282 GEI393282 GOE393282 GYA393282 HHW393282 HRS393282 IBO393282 ILK393282 IVG393282 JFC393282 JOY393282 JYU393282 KIQ393282 KSM393282 LCI393282 LME393282 LWA393282 MFW393282 MPS393282 MZO393282 NJK393282 NTG393282 ODC393282 OMY393282 OWU393282 PGQ393282 PQM393282 QAI393282 QKE393282 QUA393282 RDW393282 RNS393282 RXO393282 SHK393282 SRG393282 TBC393282 TKY393282 TUU393282 UEQ393282 UOM393282 UYI393282 VIE393282 VSA393282 WBW393282 WLS393282 WVO393282 G458826 JC458818 SY458818 ACU458818 AMQ458818 AWM458818 BGI458818 BQE458818 CAA458818 CJW458818 CTS458818 DDO458818 DNK458818 DXG458818 EHC458818 EQY458818 FAU458818 FKQ458818 FUM458818 GEI458818 GOE458818 GYA458818 HHW458818 HRS458818 IBO458818 ILK458818 IVG458818 JFC458818 JOY458818 JYU458818 KIQ458818 KSM458818 LCI458818 LME458818 LWA458818 MFW458818 MPS458818 MZO458818 NJK458818 NTG458818 ODC458818 OMY458818 OWU458818 PGQ458818 PQM458818 QAI458818 QKE458818 QUA458818 RDW458818 RNS458818 RXO458818 SHK458818 SRG458818 TBC458818 TKY458818 TUU458818 UEQ458818 UOM458818 UYI458818 VIE458818 VSA458818 WBW458818 WLS458818 WVO458818 G524362 JC524354 SY524354 ACU524354 AMQ524354 AWM524354 BGI524354 BQE524354 CAA524354 CJW524354 CTS524354 DDO524354 DNK524354 DXG524354 EHC524354 EQY524354 FAU524354 FKQ524354 FUM524354 GEI524354 GOE524354 GYA524354 HHW524354 HRS524354 IBO524354 ILK524354 IVG524354 JFC524354 JOY524354 JYU524354 KIQ524354 KSM524354 LCI524354 LME524354 LWA524354 MFW524354 MPS524354 MZO524354 NJK524354 NTG524354 ODC524354 OMY524354 OWU524354 PGQ524354 PQM524354 QAI524354 QKE524354 QUA524354 RDW524354 RNS524354 RXO524354 SHK524354 SRG524354 TBC524354 TKY524354 TUU524354 UEQ524354 UOM524354 UYI524354 VIE524354 VSA524354 WBW524354 WLS524354 WVO524354 G589898 JC589890 SY589890 ACU589890 AMQ589890 AWM589890 BGI589890 BQE589890 CAA589890 CJW589890 CTS589890 DDO589890 DNK589890 DXG589890 EHC589890 EQY589890 FAU589890 FKQ589890 FUM589890 GEI589890 GOE589890 GYA589890 HHW589890 HRS589890 IBO589890 ILK589890 IVG589890 JFC589890 JOY589890 JYU589890 KIQ589890 KSM589890 LCI589890 LME589890 LWA589890 MFW589890 MPS589890 MZO589890 NJK589890 NTG589890 ODC589890 OMY589890 OWU589890 PGQ589890 PQM589890 QAI589890 QKE589890 QUA589890 RDW589890 RNS589890 RXO589890 SHK589890 SRG589890 TBC589890 TKY589890 TUU589890 UEQ589890 UOM589890 UYI589890 VIE589890 VSA589890 WBW589890 WLS589890 WVO589890 G655434 JC655426 SY655426 ACU655426 AMQ655426 AWM655426 BGI655426 BQE655426 CAA655426 CJW655426 CTS655426 DDO655426 DNK655426 DXG655426 EHC655426 EQY655426 FAU655426 FKQ655426 FUM655426 GEI655426 GOE655426 GYA655426 HHW655426 HRS655426 IBO655426 ILK655426 IVG655426 JFC655426 JOY655426 JYU655426 KIQ655426 KSM655426 LCI655426 LME655426 LWA655426 MFW655426 MPS655426 MZO655426 NJK655426 NTG655426 ODC655426 OMY655426 OWU655426 PGQ655426 PQM655426 QAI655426 QKE655426 QUA655426 RDW655426 RNS655426 RXO655426 SHK655426 SRG655426 TBC655426 TKY655426 TUU655426 UEQ655426 UOM655426 UYI655426 VIE655426 VSA655426 WBW655426 WLS655426 WVO655426 G720970 JC720962 SY720962 ACU720962 AMQ720962 AWM720962 BGI720962 BQE720962 CAA720962 CJW720962 CTS720962 DDO720962 DNK720962 DXG720962 EHC720962 EQY720962 FAU720962 FKQ720962 FUM720962 GEI720962 GOE720962 GYA720962 HHW720962 HRS720962 IBO720962 ILK720962 IVG720962 JFC720962 JOY720962 JYU720962 KIQ720962 KSM720962 LCI720962 LME720962 LWA720962 MFW720962 MPS720962 MZO720962 NJK720962 NTG720962 ODC720962 OMY720962 OWU720962 PGQ720962 PQM720962 QAI720962 QKE720962 QUA720962 RDW720962 RNS720962 RXO720962 SHK720962 SRG720962 TBC720962 TKY720962 TUU720962 UEQ720962 UOM720962 UYI720962 VIE720962 VSA720962 WBW720962 WLS720962 WVO720962 G786506 JC786498 SY786498 ACU786498 AMQ786498 AWM786498 BGI786498 BQE786498 CAA786498 CJW786498 CTS786498 DDO786498 DNK786498 DXG786498 EHC786498 EQY786498 FAU786498 FKQ786498 FUM786498 GEI786498 GOE786498 GYA786498 HHW786498 HRS786498 IBO786498 ILK786498 IVG786498 JFC786498 JOY786498 JYU786498 KIQ786498 KSM786498 LCI786498 LME786498 LWA786498 MFW786498 MPS786498 MZO786498 NJK786498 NTG786498 ODC786498 OMY786498 OWU786498 PGQ786498 PQM786498 QAI786498 QKE786498 QUA786498 RDW786498 RNS786498 RXO786498 SHK786498 SRG786498 TBC786498 TKY786498 TUU786498 UEQ786498 UOM786498 UYI786498 VIE786498 VSA786498 WBW786498 WLS786498 WVO786498 G852042 JC852034 SY852034 ACU852034 AMQ852034 AWM852034 BGI852034 BQE852034 CAA852034 CJW852034 CTS852034 DDO852034 DNK852034 DXG852034 EHC852034 EQY852034 FAU852034 FKQ852034 FUM852034 GEI852034 GOE852034 GYA852034 HHW852034 HRS852034 IBO852034 ILK852034 IVG852034 JFC852034 JOY852034 JYU852034 KIQ852034 KSM852034 LCI852034 LME852034 LWA852034 MFW852034 MPS852034 MZO852034 NJK852034 NTG852034 ODC852034 OMY852034 OWU852034 PGQ852034 PQM852034 QAI852034 QKE852034 QUA852034 RDW852034 RNS852034 RXO852034 SHK852034 SRG852034 TBC852034 TKY852034 TUU852034 UEQ852034 UOM852034 UYI852034 VIE852034 VSA852034 WBW852034 WLS852034 WVO852034 G917578 JC917570 SY917570 ACU917570 AMQ917570 AWM917570 BGI917570 BQE917570 CAA917570 CJW917570 CTS917570 DDO917570 DNK917570 DXG917570 EHC917570 EQY917570 FAU917570 FKQ917570 FUM917570 GEI917570 GOE917570 GYA917570 HHW917570 HRS917570 IBO917570 ILK917570 IVG917570 JFC917570 JOY917570 JYU917570 KIQ917570 KSM917570 LCI917570 LME917570 LWA917570 MFW917570 MPS917570 MZO917570 NJK917570 NTG917570 ODC917570 OMY917570 OWU917570 PGQ917570 PQM917570 QAI917570 QKE917570 QUA917570 RDW917570 RNS917570 RXO917570 SHK917570 SRG917570 TBC917570 TKY917570 TUU917570 UEQ917570 UOM917570 UYI917570 VIE917570 VSA917570 WBW917570 WLS917570 WVO917570 G983114 JC983106 SY983106 ACU983106 AMQ983106 AWM983106 BGI983106 BQE983106 CAA983106 CJW983106 CTS983106 DDO983106 DNK983106 DXG983106 EHC983106 EQY983106 FAU983106 FKQ983106 FUM983106 GEI983106 GOE983106 GYA983106 HHW983106 HRS983106 IBO983106 ILK983106 IVG983106 JFC983106 JOY983106 JYU983106 KIQ983106 KSM983106 LCI983106 LME983106 LWA983106 MFW983106 MPS983106 MZO983106 NJK983106 NTG983106 ODC983106 OMY983106 OWU983106 PGQ983106 PQM983106 QAI983106 QKE983106 QUA983106 RDW983106 RNS983106 RXO983106 SHK983106 SRG983106 TBC983106 TKY983106 TUU983106 UEQ983106 UOM983106 UYI983106 VIE983106 VSA983106 WBW983106 WLS983106 WVO983106 G11:G12 JC11:JC12 SY11:SY12 ACU11:ACU12 AMQ11:AMQ12 AWM11:AWM12 BGI11:BGI12 BQE11:BQE12 CAA11:CAA12 CJW11:CJW12 CTS11:CTS12 DDO11:DDO12 DNK11:DNK12 DXG11:DXG12 EHC11:EHC12 EQY11:EQY12 FAU11:FAU12 FKQ11:FKQ12 FUM11:FUM12 GEI11:GEI12 GOE11:GOE12 GYA11:GYA12 HHW11:HHW12 HRS11:HRS12 IBO11:IBO12 ILK11:ILK12 IVG11:IVG12 JFC11:JFC12 JOY11:JOY12 JYU11:JYU12 KIQ11:KIQ12 KSM11:KSM12 LCI11:LCI12 LME11:LME12 LWA11:LWA12 MFW11:MFW12 MPS11:MPS12 MZO11:MZO12 NJK11:NJK12 NTG11:NTG12 ODC11:ODC12 OMY11:OMY12 OWU11:OWU12 PGQ11:PGQ12 PQM11:PQM12 QAI11:QAI12 QKE11:QKE12 QUA11:QUA12 RDW11:RDW12 RNS11:RNS12 RXO11:RXO12 SHK11:SHK12 SRG11:SRG12 TBC11:TBC12 TKY11:TKY12 TUU11:TUU12 UEQ11:UEQ12 UOM11:UOM12 UYI11:UYI12 VIE11:VIE12 VSA11:VSA12 WBW11:WBW12 WLS11:WLS12 WVO11:WVO12 G65614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50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86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22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8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94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30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66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902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8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74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10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46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82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8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617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53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9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25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61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97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33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9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905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41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77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13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9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85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21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formula1>"Barrel,Bottle"</formula1>
    </dataValidation>
    <dataValidation type="list" allowBlank="1" showInputMessage="1" showErrorMessage="1" sqref="N99 P208">
      <formula1>"Classic,Premium,Selection Individuelle"</formula1>
    </dataValidation>
  </dataValidations>
  <pageMargins left="0.7" right="0.7" top="0.75" bottom="0.75" header="0.3" footer="0.3"/>
  <pageSetup paperSize="9" orientation="portrait" r:id="rId1"/>
  <ignoredErrors>
    <ignoredError sqref="E212 F212:L212 T46"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theme="9" tint="0.59999389629810485"/>
  </sheetPr>
  <dimension ref="B1:AG193"/>
  <sheetViews>
    <sheetView topLeftCell="A31" zoomScale="60" zoomScaleNormal="60" workbookViewId="0">
      <selection activeCell="O51" sqref="O51"/>
    </sheetView>
  </sheetViews>
  <sheetFormatPr defaultColWidth="9.140625" defaultRowHeight="12.75"/>
  <cols>
    <col min="1" max="1" width="3.85546875" style="120" customWidth="1"/>
    <col min="2" max="2" width="25.140625" style="120" bestFit="1" customWidth="1"/>
    <col min="3" max="4" width="17.7109375" style="120" customWidth="1"/>
    <col min="5" max="5" width="15.85546875" style="120" bestFit="1" customWidth="1"/>
    <col min="6" max="6" width="13.28515625" style="120" bestFit="1" customWidth="1"/>
    <col min="7" max="7" width="14.85546875" style="120" bestFit="1" customWidth="1"/>
    <col min="8" max="8" width="15" style="120" bestFit="1" customWidth="1"/>
    <col min="9" max="9" width="15.5703125" style="120" bestFit="1" customWidth="1"/>
    <col min="10" max="10" width="15.140625" style="120" bestFit="1" customWidth="1"/>
    <col min="11" max="11" width="14.85546875" style="120" bestFit="1" customWidth="1"/>
    <col min="12" max="12" width="1.7109375" style="120" customWidth="1"/>
    <col min="13" max="13" width="19.7109375" style="120" bestFit="1" customWidth="1"/>
    <col min="14" max="14" width="13" style="120" customWidth="1"/>
    <col min="15" max="15" width="16.5703125" style="120" bestFit="1" customWidth="1"/>
    <col min="16" max="16" width="16.28515625" style="120" bestFit="1" customWidth="1"/>
    <col min="17" max="17" width="14.85546875" style="120" bestFit="1" customWidth="1"/>
    <col min="18" max="18" width="15.42578125" style="120" bestFit="1" customWidth="1"/>
    <col min="19" max="20" width="16.28515625" style="120" bestFit="1" customWidth="1"/>
    <col min="21" max="21" width="15.5703125" style="120" bestFit="1" customWidth="1"/>
    <col min="22" max="22" width="3.85546875" style="120" customWidth="1"/>
    <col min="23" max="23" width="31.7109375" style="120" customWidth="1"/>
    <col min="24" max="24" width="9.140625" style="120"/>
    <col min="25" max="25" width="14.42578125" style="120" customWidth="1"/>
    <col min="26" max="26" width="13.7109375" style="120" bestFit="1" customWidth="1"/>
    <col min="27" max="27" width="14.7109375" style="120" bestFit="1" customWidth="1"/>
    <col min="28" max="29" width="14.42578125" style="120" bestFit="1" customWidth="1"/>
    <col min="30" max="31" width="14.85546875" style="120" bestFit="1" customWidth="1"/>
    <col min="32" max="32" width="3.7109375" style="120" customWidth="1"/>
    <col min="33" max="33" width="12.5703125" style="120" bestFit="1" customWidth="1"/>
    <col min="34" max="34" width="9.140625" style="120" customWidth="1"/>
    <col min="35" max="16384" width="9.140625" style="120"/>
  </cols>
  <sheetData>
    <row r="1" spans="2:31" ht="13.5" thickBot="1">
      <c r="E1" s="141"/>
      <c r="F1" s="141"/>
      <c r="G1" s="141"/>
      <c r="H1" s="141"/>
      <c r="I1" s="141"/>
      <c r="J1" s="141"/>
      <c r="K1" s="141"/>
    </row>
    <row r="2" spans="2:31" ht="13.5" thickBot="1">
      <c r="B2" s="75"/>
      <c r="C2" s="830"/>
      <c r="D2" s="76" t="s">
        <v>825</v>
      </c>
      <c r="E2" s="76">
        <f>Opex!D3</f>
        <v>2023</v>
      </c>
      <c r="F2" s="76">
        <f>Opex!E3</f>
        <v>2024</v>
      </c>
      <c r="G2" s="76">
        <f>Opex!F3</f>
        <v>2025</v>
      </c>
      <c r="H2" s="76">
        <f>Opex!G3</f>
        <v>2026</v>
      </c>
      <c r="I2" s="76">
        <f>Opex!H3</f>
        <v>2027</v>
      </c>
      <c r="J2" s="76">
        <f>Opex!I3</f>
        <v>2028</v>
      </c>
      <c r="K2" s="77">
        <f>Opex!J3</f>
        <v>2029</v>
      </c>
      <c r="M2" s="845" t="s">
        <v>781</v>
      </c>
      <c r="N2" s="830"/>
      <c r="O2" s="701">
        <f>E2</f>
        <v>2023</v>
      </c>
      <c r="P2" s="701">
        <f t="shared" ref="P2:U2" si="0">F2</f>
        <v>2024</v>
      </c>
      <c r="Q2" s="701">
        <f t="shared" si="0"/>
        <v>2025</v>
      </c>
      <c r="R2" s="701">
        <f t="shared" si="0"/>
        <v>2026</v>
      </c>
      <c r="S2" s="701">
        <f t="shared" si="0"/>
        <v>2027</v>
      </c>
      <c r="T2" s="701">
        <f t="shared" si="0"/>
        <v>2028</v>
      </c>
      <c r="U2" s="702">
        <f t="shared" si="0"/>
        <v>2029</v>
      </c>
      <c r="W2" s="139" t="s">
        <v>782</v>
      </c>
      <c r="X2" s="126"/>
      <c r="Y2" s="751">
        <f>O2</f>
        <v>2023</v>
      </c>
      <c r="Z2" s="751">
        <f t="shared" ref="Z2:AE2" si="1">P2</f>
        <v>2024</v>
      </c>
      <c r="AA2" s="751">
        <f t="shared" si="1"/>
        <v>2025</v>
      </c>
      <c r="AB2" s="751">
        <f t="shared" si="1"/>
        <v>2026</v>
      </c>
      <c r="AC2" s="751">
        <f t="shared" si="1"/>
        <v>2027</v>
      </c>
      <c r="AD2" s="751">
        <f t="shared" si="1"/>
        <v>2028</v>
      </c>
      <c r="AE2" s="752">
        <f t="shared" si="1"/>
        <v>2029</v>
      </c>
    </row>
    <row r="3" spans="2:31" ht="13.5" thickBot="1">
      <c r="B3" s="139" t="s">
        <v>887</v>
      </c>
      <c r="C3" s="126"/>
      <c r="D3" s="126"/>
      <c r="E3" s="126"/>
      <c r="F3" s="126"/>
      <c r="G3" s="126"/>
      <c r="H3" s="126"/>
      <c r="I3" s="126"/>
      <c r="J3" s="126"/>
      <c r="K3" s="130"/>
      <c r="M3" s="122"/>
      <c r="N3" s="937"/>
      <c r="O3" s="2806"/>
      <c r="P3" s="2806"/>
      <c r="Q3" s="2806"/>
      <c r="R3" s="2806"/>
      <c r="S3" s="2806"/>
      <c r="T3" s="2806"/>
      <c r="U3" s="728"/>
      <c r="W3" s="121"/>
      <c r="AE3" s="123"/>
    </row>
    <row r="4" spans="2:31">
      <c r="B4" s="247" t="str">
        <f>Opex!B4</f>
        <v>Direct staff</v>
      </c>
      <c r="D4" s="698" t="s">
        <v>827</v>
      </c>
      <c r="E4" s="206">
        <f>Opex!D4</f>
        <v>142385.28</v>
      </c>
      <c r="F4" s="206">
        <f>Opex!E4</f>
        <v>147368.76479999998</v>
      </c>
      <c r="G4" s="206">
        <f>Opex!F4</f>
        <v>150316.14009599999</v>
      </c>
      <c r="H4" s="206">
        <f>Opex!G4</f>
        <v>153322.46289791999</v>
      </c>
      <c r="I4" s="206">
        <f>Opex!H4</f>
        <v>156388.91215587838</v>
      </c>
      <c r="J4" s="206">
        <f>Opex!I4</f>
        <v>159516.69039899594</v>
      </c>
      <c r="K4" s="207">
        <f>Opex!J4</f>
        <v>162707.02420697585</v>
      </c>
      <c r="M4" s="122" t="s">
        <v>196</v>
      </c>
      <c r="N4" s="937"/>
      <c r="O4" s="2807" t="s">
        <v>975</v>
      </c>
      <c r="P4" s="937"/>
      <c r="Q4" s="937"/>
      <c r="R4" s="937"/>
      <c r="S4" s="937"/>
      <c r="T4" s="937"/>
      <c r="U4" s="123"/>
      <c r="W4" s="139" t="str">
        <f>M4</f>
        <v>White</v>
      </c>
      <c r="X4" s="126"/>
      <c r="Y4" s="126"/>
      <c r="Z4" s="126"/>
      <c r="AA4" s="126"/>
      <c r="AB4" s="126"/>
      <c r="AC4" s="126"/>
      <c r="AD4" s="126"/>
      <c r="AE4" s="130"/>
    </row>
    <row r="5" spans="2:31">
      <c r="B5" s="247" t="str">
        <f>Opex!B5</f>
        <v>Seasonal workers</v>
      </c>
      <c r="D5" s="698" t="s">
        <v>827</v>
      </c>
      <c r="E5" s="206">
        <f>Opex!D5</f>
        <v>20741.848099929732</v>
      </c>
      <c r="F5" s="206">
        <f>Opex!E5</f>
        <v>24833.207873690204</v>
      </c>
      <c r="G5" s="206">
        <f>Opex!F5</f>
        <v>27756.922074602702</v>
      </c>
      <c r="H5" s="206">
        <f>Opex!G5</f>
        <v>28399.304674640258</v>
      </c>
      <c r="I5" s="206">
        <f>Opex!H5</f>
        <v>28967.290768133062</v>
      </c>
      <c r="J5" s="206">
        <f>Opex!I5</f>
        <v>29546.636583495725</v>
      </c>
      <c r="K5" s="207">
        <f>Opex!J5</f>
        <v>30137.569315165645</v>
      </c>
      <c r="M5" s="121" t="str">
        <f t="shared" ref="M5:M11" si="2">B4</f>
        <v>Direct staff</v>
      </c>
      <c r="N5" s="937"/>
      <c r="O5" s="131">
        <f ca="1">(E$73*E4)/E66</f>
        <v>3.8177603196096048</v>
      </c>
      <c r="P5" s="131">
        <f t="shared" ref="P5:U5" ca="1" si="3">(F$73*F4)/F66</f>
        <v>2.7393363935888915</v>
      </c>
      <c r="Q5" s="131">
        <f t="shared" ca="1" si="3"/>
        <v>2.4025019794298865</v>
      </c>
      <c r="R5" s="131">
        <f t="shared" ca="1" si="3"/>
        <v>2.4479501684083469</v>
      </c>
      <c r="S5" s="131">
        <f t="shared" ca="1" si="3"/>
        <v>2.4969091717765135</v>
      </c>
      <c r="T5" s="131">
        <f t="shared" ca="1" si="3"/>
        <v>2.5468473552120434</v>
      </c>
      <c r="U5" s="708">
        <f t="shared" ca="1" si="3"/>
        <v>2.5977843023162848</v>
      </c>
      <c r="W5" s="124" t="s">
        <v>978</v>
      </c>
      <c r="AE5" s="123"/>
    </row>
    <row r="6" spans="2:31">
      <c r="B6" s="247" t="str">
        <f>Opex!B6</f>
        <v>Enological materials / addetives</v>
      </c>
      <c r="D6" s="698" t="s">
        <v>827</v>
      </c>
      <c r="E6" s="206">
        <f>Opex!D6</f>
        <v>3342.9045727750627</v>
      </c>
      <c r="F6" s="206">
        <f>Opex!E6</f>
        <v>3367.2581342333583</v>
      </c>
      <c r="G6" s="206">
        <f>Opex!F6</f>
        <v>3442.5617596276752</v>
      </c>
      <c r="H6" s="206">
        <f>Opex!G6</f>
        <v>3511.412994820229</v>
      </c>
      <c r="I6" s="206">
        <f>Opex!H6</f>
        <v>3581.6412547166337</v>
      </c>
      <c r="J6" s="206">
        <f>Opex!I6</f>
        <v>3653.2740798109662</v>
      </c>
      <c r="K6" s="207">
        <f>Opex!J6</f>
        <v>3726.3395614071856</v>
      </c>
      <c r="M6" s="121" t="str">
        <f t="shared" si="2"/>
        <v>Seasonal workers</v>
      </c>
      <c r="N6" s="937"/>
      <c r="O6" s="131">
        <f t="shared" ref="O6:U6" ca="1" si="4">(E73*E5)/E66</f>
        <v>0.55614881419822049</v>
      </c>
      <c r="P6" s="131">
        <f t="shared" ca="1" si="4"/>
        <v>0.46160738464680268</v>
      </c>
      <c r="Q6" s="131">
        <f t="shared" ca="1" si="4"/>
        <v>0.44363872159386736</v>
      </c>
      <c r="R6" s="131">
        <f t="shared" ca="1" si="4"/>
        <v>0.45342398854661692</v>
      </c>
      <c r="S6" s="131">
        <f t="shared" ca="1" si="4"/>
        <v>0.46249246831754925</v>
      </c>
      <c r="T6" s="131">
        <f t="shared" ca="1" si="4"/>
        <v>0.47174231768390024</v>
      </c>
      <c r="U6" s="708">
        <f t="shared" ca="1" si="4"/>
        <v>0.48117716403757838</v>
      </c>
      <c r="W6" s="124" t="s">
        <v>624</v>
      </c>
      <c r="X6" s="504" t="s">
        <v>831</v>
      </c>
      <c r="Y6" s="129">
        <f>SUM('Inv. wine'!C6:C12)</f>
        <v>1699.5</v>
      </c>
      <c r="Z6" s="129">
        <f>SUM('Inv. wine'!D6:D12)</f>
        <v>2804.25</v>
      </c>
      <c r="AA6" s="129">
        <f>SUM('Inv. wine'!E6:E12)</f>
        <v>3295.5</v>
      </c>
      <c r="AB6" s="129">
        <f>SUM('Inv. wine'!F6:F12)</f>
        <v>3312</v>
      </c>
      <c r="AC6" s="129">
        <f>SUM('Inv. wine'!G6:G12)</f>
        <v>3312</v>
      </c>
      <c r="AD6" s="129">
        <f>SUM('Inv. wine'!H6:H12)</f>
        <v>3312</v>
      </c>
      <c r="AE6" s="132">
        <f>SUM('Inv. wine'!I6:I12)</f>
        <v>3312</v>
      </c>
    </row>
    <row r="7" spans="2:31">
      <c r="B7" s="247" t="str">
        <f>Opex!B7</f>
        <v>Operational costs</v>
      </c>
      <c r="D7" s="698" t="s">
        <v>827</v>
      </c>
      <c r="E7" s="206">
        <f>Opex!D7</f>
        <v>17432.469119031208</v>
      </c>
      <c r="F7" s="206">
        <f>Opex!E7</f>
        <v>24682.085583753407</v>
      </c>
      <c r="G7" s="206">
        <f>Opex!F7</f>
        <v>25175.727295428471</v>
      </c>
      <c r="H7" s="206">
        <f>Opex!G7</f>
        <v>25679.24184133704</v>
      </c>
      <c r="I7" s="206">
        <f>Opex!H7</f>
        <v>26192.826678163783</v>
      </c>
      <c r="J7" s="206">
        <f>Opex!I7</f>
        <v>26716.683211727061</v>
      </c>
      <c r="K7" s="207">
        <f>Opex!J7</f>
        <v>27251.016875961599</v>
      </c>
      <c r="M7" s="121" t="str">
        <f t="shared" si="2"/>
        <v>Enological materials / addetives</v>
      </c>
      <c r="N7" s="937"/>
      <c r="O7" s="131">
        <f t="shared" ref="O7:U7" ca="1" si="5">(E$73*E6)/E66</f>
        <v>8.9632920131787017E-2</v>
      </c>
      <c r="P7" s="131">
        <f t="shared" ca="1" si="5"/>
        <v>6.259164054358464E-2</v>
      </c>
      <c r="Q7" s="131">
        <f t="shared" ca="1" si="5"/>
        <v>5.5022444273335976E-2</v>
      </c>
      <c r="R7" s="131">
        <f t="shared" ca="1" si="5"/>
        <v>5.6063305203650292E-2</v>
      </c>
      <c r="S7" s="131">
        <f t="shared" ca="1" si="5"/>
        <v>5.7184571307723302E-2</v>
      </c>
      <c r="T7" s="131">
        <f t="shared" ca="1" si="5"/>
        <v>5.8328262733877763E-2</v>
      </c>
      <c r="U7" s="708">
        <f t="shared" ca="1" si="5"/>
        <v>5.9494827988555321E-2</v>
      </c>
      <c r="W7" s="124" t="s">
        <v>357</v>
      </c>
      <c r="Y7" s="721">
        <f t="shared" ref="Y7:AE7" ca="1" si="6">O12</f>
        <v>6.8319268345058832</v>
      </c>
      <c r="Z7" s="721">
        <f t="shared" ca="1" si="6"/>
        <v>5.7497670426344714</v>
      </c>
      <c r="AA7" s="721">
        <f t="shared" ca="1" si="6"/>
        <v>5.4970070342265718</v>
      </c>
      <c r="AB7" s="721">
        <f t="shared" ca="1" si="6"/>
        <v>5.7669606874332766</v>
      </c>
      <c r="AC7" s="721">
        <f t="shared" ca="1" si="6"/>
        <v>5.8954084876945547</v>
      </c>
      <c r="AD7" s="721">
        <f t="shared" ca="1" si="6"/>
        <v>6.0887274707054306</v>
      </c>
      <c r="AE7" s="785">
        <f t="shared" ca="1" si="6"/>
        <v>6.239049321139758</v>
      </c>
    </row>
    <row r="8" spans="2:31">
      <c r="B8" s="247" t="str">
        <f>Opex!B8</f>
        <v>Waste</v>
      </c>
      <c r="D8" s="698" t="s">
        <v>827</v>
      </c>
      <c r="E8" s="206">
        <f>Opex!D8</f>
        <v>300.55353822503321</v>
      </c>
      <c r="F8" s="206">
        <f ca="1">Opex!E8</f>
        <v>6695.4816075098552</v>
      </c>
      <c r="G8" s="206">
        <f ca="1">Opex!F8</f>
        <v>3299.2500849763428</v>
      </c>
      <c r="H8" s="206">
        <f ca="1">Opex!G8</f>
        <v>5371.3372588669035</v>
      </c>
      <c r="I8" s="206">
        <f ca="1">Opex!H8</f>
        <v>6413.7719452652655</v>
      </c>
      <c r="J8" s="206">
        <f ca="1">Opex!I8</f>
        <v>6669.833846046984</v>
      </c>
      <c r="K8" s="207">
        <f ca="1">Opex!J8</f>
        <v>6803.2305229679232</v>
      </c>
      <c r="M8" s="121" t="str">
        <f t="shared" si="2"/>
        <v>Operational costs</v>
      </c>
      <c r="N8" s="937"/>
      <c r="O8" s="131">
        <f t="shared" ref="O8:U8" ca="1" si="7">(E$73*E7)/E66</f>
        <v>0.46741481194865891</v>
      </c>
      <c r="P8" s="131">
        <f t="shared" ca="1" si="7"/>
        <v>0.45879827656159761</v>
      </c>
      <c r="Q8" s="131">
        <f t="shared" ca="1" si="7"/>
        <v>0.40238350068212975</v>
      </c>
      <c r="R8" s="131">
        <f t="shared" ca="1" si="7"/>
        <v>0.4099953992517848</v>
      </c>
      <c r="S8" s="131">
        <f t="shared" ca="1" si="7"/>
        <v>0.41819530723682058</v>
      </c>
      <c r="T8" s="131">
        <f t="shared" ca="1" si="7"/>
        <v>0.426559213381557</v>
      </c>
      <c r="U8" s="708">
        <f t="shared" ca="1" si="7"/>
        <v>0.43509039764918811</v>
      </c>
      <c r="W8" s="124" t="s">
        <v>913</v>
      </c>
      <c r="Y8" s="129">
        <f ca="1">(Y6+Y5)*Y7</f>
        <v>11610.859655242748</v>
      </c>
      <c r="Z8" s="129">
        <f t="shared" ref="Z8:AE8" ca="1" si="8">Z6*Z7</f>
        <v>16123.784229307716</v>
      </c>
      <c r="AA8" s="129">
        <f t="shared" ca="1" si="8"/>
        <v>18115.386681293669</v>
      </c>
      <c r="AB8" s="129">
        <f t="shared" ca="1" si="8"/>
        <v>19100.17379677901</v>
      </c>
      <c r="AC8" s="129">
        <f t="shared" ca="1" si="8"/>
        <v>19525.592911244366</v>
      </c>
      <c r="AD8" s="129">
        <f t="shared" ca="1" si="8"/>
        <v>20165.865382976386</v>
      </c>
      <c r="AE8" s="132">
        <f t="shared" ca="1" si="8"/>
        <v>20663.731351614879</v>
      </c>
    </row>
    <row r="9" spans="2:31">
      <c r="B9" s="722" t="s">
        <v>824</v>
      </c>
      <c r="D9" s="698" t="s">
        <v>827</v>
      </c>
      <c r="E9" s="141">
        <f t="shared" ref="E9:K9" ca="1" si="9">E40</f>
        <v>66911.861933664579</v>
      </c>
      <c r="F9" s="141">
        <f t="shared" ca="1" si="9"/>
        <v>102206.1307143857</v>
      </c>
      <c r="G9" s="141">
        <f t="shared" ca="1" si="9"/>
        <v>133769.16297550683</v>
      </c>
      <c r="H9" s="141">
        <f t="shared" ca="1" si="9"/>
        <v>144749.56274762927</v>
      </c>
      <c r="I9" s="141">
        <f t="shared" ca="1" si="9"/>
        <v>147533.95068682119</v>
      </c>
      <c r="J9" s="141">
        <f t="shared" ca="1" si="9"/>
        <v>155083.42323182186</v>
      </c>
      <c r="K9" s="713">
        <f t="shared" ca="1" si="9"/>
        <v>159976.46932767349</v>
      </c>
      <c r="M9" s="121" t="str">
        <f t="shared" si="2"/>
        <v>Waste</v>
      </c>
      <c r="N9" s="937"/>
      <c r="O9" s="131">
        <f t="shared" ref="O9:U9" ca="1" si="10">(E$73*E8)/E66</f>
        <v>8.0587078394185156E-3</v>
      </c>
      <c r="P9" s="131">
        <f t="shared" ca="1" si="10"/>
        <v>0.12445769267964171</v>
      </c>
      <c r="Q9" s="131">
        <f t="shared" ca="1" si="10"/>
        <v>5.2731894623741823E-2</v>
      </c>
      <c r="R9" s="131">
        <f t="shared" ca="1" si="10"/>
        <v>8.5758901200116602E-2</v>
      </c>
      <c r="S9" s="131">
        <f t="shared" ca="1" si="10"/>
        <v>0.10240243873461698</v>
      </c>
      <c r="T9" s="131">
        <f t="shared" ca="1" si="10"/>
        <v>0.10649072926487609</v>
      </c>
      <c r="U9" s="708">
        <f t="shared" ca="1" si="10"/>
        <v>0.1086205438501736</v>
      </c>
      <c r="W9" s="121"/>
      <c r="Y9" s="129"/>
      <c r="Z9" s="129"/>
      <c r="AA9" s="129"/>
      <c r="AB9" s="129"/>
      <c r="AC9" s="129"/>
      <c r="AD9" s="129"/>
      <c r="AE9" s="132"/>
    </row>
    <row r="10" spans="2:31">
      <c r="B10" s="722" t="s">
        <v>823</v>
      </c>
      <c r="D10" s="698" t="s">
        <v>827</v>
      </c>
      <c r="E10" s="697">
        <f>RCV!P51</f>
        <v>3685.2099926885285</v>
      </c>
      <c r="F10" s="697">
        <f>RCV!Q51</f>
        <v>168.7263207947521</v>
      </c>
      <c r="G10" s="697">
        <f>RCV!R51</f>
        <v>168.7263207947521</v>
      </c>
      <c r="H10" s="697">
        <f>RCV!S51</f>
        <v>168.7263207947521</v>
      </c>
      <c r="I10" s="697">
        <f>RCV!T51</f>
        <v>168.7263207947521</v>
      </c>
      <c r="J10" s="697">
        <f>RCV!U51</f>
        <v>168.7263207947521</v>
      </c>
      <c r="K10" s="714">
        <f>RCV!V51</f>
        <v>168.7263207947521</v>
      </c>
      <c r="M10" s="121" t="str">
        <f t="shared" si="2"/>
        <v>Cost settlement with RCE</v>
      </c>
      <c r="N10" s="937"/>
      <c r="O10" s="131">
        <f t="shared" ref="O10:U10" ca="1" si="11">(E$73*E9)/E66</f>
        <v>1.7941001443515863</v>
      </c>
      <c r="P10" s="131">
        <f t="shared" ca="1" si="11"/>
        <v>1.8998393173328694</v>
      </c>
      <c r="Q10" s="131">
        <f t="shared" ca="1" si="11"/>
        <v>2.1380317418347969</v>
      </c>
      <c r="R10" s="131">
        <f t="shared" ca="1" si="11"/>
        <v>2.311075036284854</v>
      </c>
      <c r="S10" s="131">
        <f t="shared" ca="1" si="11"/>
        <v>2.3555306417834241</v>
      </c>
      <c r="T10" s="131">
        <f t="shared" ca="1" si="11"/>
        <v>2.476065703891269</v>
      </c>
      <c r="U10" s="708">
        <f t="shared" ca="1" si="11"/>
        <v>2.5541881967600704</v>
      </c>
      <c r="W10" s="124" t="s">
        <v>890</v>
      </c>
      <c r="Y10" s="120">
        <f>SUM('Inv. wine'!C34:C45)</f>
        <v>0</v>
      </c>
      <c r="Z10" s="120">
        <f>SUM('Inv. wine'!D34:D45)</f>
        <v>0</v>
      </c>
      <c r="AA10" s="120">
        <f>SUM('Inv. wine'!E34:E45)</f>
        <v>0</v>
      </c>
      <c r="AB10" s="120">
        <f>SUM('Inv. wine'!F34:F45)</f>
        <v>0</v>
      </c>
      <c r="AC10" s="120">
        <f>SUM('Inv. wine'!G34:G45)</f>
        <v>0</v>
      </c>
      <c r="AD10" s="120">
        <f>SUM('Inv. wine'!H34:H45)</f>
        <v>0</v>
      </c>
      <c r="AE10" s="123">
        <f>SUM('Inv. wine'!I34:I45)</f>
        <v>0</v>
      </c>
    </row>
    <row r="11" spans="2:31">
      <c r="B11" s="121"/>
      <c r="E11" s="715">
        <f t="shared" ref="E11:K11" ca="1" si="12">SUM(E4:E10)</f>
        <v>254800.12725631412</v>
      </c>
      <c r="F11" s="715">
        <f t="shared" ca="1" si="12"/>
        <v>309321.65503436723</v>
      </c>
      <c r="G11" s="715">
        <f t="shared" ca="1" si="12"/>
        <v>343928.49060693674</v>
      </c>
      <c r="H11" s="715">
        <f t="shared" ca="1" si="12"/>
        <v>361202.04873600841</v>
      </c>
      <c r="I11" s="715">
        <f t="shared" ca="1" si="12"/>
        <v>369247.11980977305</v>
      </c>
      <c r="J11" s="715">
        <f t="shared" ca="1" si="12"/>
        <v>381355.2676726933</v>
      </c>
      <c r="K11" s="716">
        <f t="shared" ca="1" si="12"/>
        <v>390770.37613094645</v>
      </c>
      <c r="M11" s="709" t="str">
        <f t="shared" si="2"/>
        <v>Cost settlement with RCV</v>
      </c>
      <c r="N11" s="937"/>
      <c r="O11" s="699">
        <f t="shared" ref="O11:U11" ca="1" si="13">(E$73*E10)/E66</f>
        <v>9.8811116426607198E-2</v>
      </c>
      <c r="P11" s="699">
        <f t="shared" ca="1" si="13"/>
        <v>3.1363372810831805E-3</v>
      </c>
      <c r="Q11" s="699">
        <f t="shared" ca="1" si="13"/>
        <v>2.6967517888127372E-3</v>
      </c>
      <c r="R11" s="699">
        <f t="shared" ca="1" si="13"/>
        <v>2.6938885379073664E-3</v>
      </c>
      <c r="S11" s="699">
        <f t="shared" ca="1" si="13"/>
        <v>2.6938885379073664E-3</v>
      </c>
      <c r="T11" s="699">
        <f t="shared" ca="1" si="13"/>
        <v>2.6938885379073664E-3</v>
      </c>
      <c r="U11" s="710">
        <f t="shared" ca="1" si="13"/>
        <v>2.6938885379073664E-3</v>
      </c>
      <c r="W11" s="121"/>
      <c r="Y11" s="127"/>
      <c r="Z11" s="127"/>
      <c r="AA11" s="127"/>
      <c r="AB11" s="127"/>
      <c r="AC11" s="127"/>
      <c r="AD11" s="127"/>
      <c r="AE11" s="136"/>
    </row>
    <row r="12" spans="2:31">
      <c r="B12" s="247"/>
      <c r="C12" s="504"/>
      <c r="D12" s="504"/>
      <c r="E12" s="206"/>
      <c r="F12" s="206"/>
      <c r="G12" s="206"/>
      <c r="H12" s="206"/>
      <c r="I12" s="206"/>
      <c r="J12" s="206"/>
      <c r="K12" s="207"/>
      <c r="M12" s="122" t="s">
        <v>788</v>
      </c>
      <c r="N12" s="937"/>
      <c r="O12" s="2808">
        <f t="shared" ref="O12:U12" ca="1" si="14">SUM(O5:O11)</f>
        <v>6.8319268345058832</v>
      </c>
      <c r="P12" s="2808">
        <f t="shared" ca="1" si="14"/>
        <v>5.7497670426344714</v>
      </c>
      <c r="Q12" s="2808">
        <f t="shared" ca="1" si="14"/>
        <v>5.4970070342265718</v>
      </c>
      <c r="R12" s="2808">
        <f t="shared" ca="1" si="14"/>
        <v>5.7669606874332766</v>
      </c>
      <c r="S12" s="2808">
        <f t="shared" ca="1" si="14"/>
        <v>5.8954084876945547</v>
      </c>
      <c r="T12" s="2808">
        <f t="shared" ca="1" si="14"/>
        <v>6.0887274707054306</v>
      </c>
      <c r="U12" s="711">
        <f t="shared" ca="1" si="14"/>
        <v>6.239049321139758</v>
      </c>
      <c r="W12" s="122" t="s">
        <v>844</v>
      </c>
      <c r="Y12" s="129">
        <f ca="1">Y8+Y10</f>
        <v>11610.859655242748</v>
      </c>
      <c r="Z12" s="129">
        <f t="shared" ref="Z12:AE12" ca="1" si="15">Z8+Z10</f>
        <v>16123.784229307716</v>
      </c>
      <c r="AA12" s="129">
        <f t="shared" ca="1" si="15"/>
        <v>18115.386681293669</v>
      </c>
      <c r="AB12" s="129">
        <f t="shared" ca="1" si="15"/>
        <v>19100.17379677901</v>
      </c>
      <c r="AC12" s="129">
        <f t="shared" ca="1" si="15"/>
        <v>19525.592911244366</v>
      </c>
      <c r="AD12" s="129">
        <f t="shared" ca="1" si="15"/>
        <v>20165.865382976386</v>
      </c>
      <c r="AE12" s="132">
        <f t="shared" ca="1" si="15"/>
        <v>20663.731351614879</v>
      </c>
    </row>
    <row r="13" spans="2:31">
      <c r="B13" s="122" t="s">
        <v>886</v>
      </c>
      <c r="K13" s="123"/>
      <c r="M13" s="722" t="str">
        <f>M37</f>
        <v>Barrels</v>
      </c>
      <c r="N13" s="937"/>
      <c r="O13" s="2808">
        <f t="shared" ref="O13:U13" si="16">IF(E96=0,0,(E$103*E23)/E96)</f>
        <v>0</v>
      </c>
      <c r="P13" s="2808">
        <f t="shared" si="16"/>
        <v>0</v>
      </c>
      <c r="Q13" s="2808">
        <f t="shared" si="16"/>
        <v>0</v>
      </c>
      <c r="R13" s="2808">
        <f t="shared" si="16"/>
        <v>0</v>
      </c>
      <c r="S13" s="2808">
        <f t="shared" si="16"/>
        <v>0</v>
      </c>
      <c r="T13" s="2808">
        <f t="shared" si="16"/>
        <v>0</v>
      </c>
      <c r="U13" s="711">
        <f t="shared" si="16"/>
        <v>0</v>
      </c>
      <c r="W13" s="121"/>
      <c r="AE13" s="123"/>
    </row>
    <row r="14" spans="2:31">
      <c r="B14" s="121" t="str">
        <f>B57</f>
        <v>White</v>
      </c>
      <c r="E14" s="127">
        <f ca="1">Y6*Y7</f>
        <v>11610.859655242748</v>
      </c>
      <c r="F14" s="127">
        <f t="shared" ref="F14:K14" ca="1" si="17">Z8</f>
        <v>16123.784229307716</v>
      </c>
      <c r="G14" s="127">
        <f t="shared" ca="1" si="17"/>
        <v>18115.386681293669</v>
      </c>
      <c r="H14" s="127">
        <f t="shared" ca="1" si="17"/>
        <v>19100.17379677901</v>
      </c>
      <c r="I14" s="127">
        <f t="shared" ca="1" si="17"/>
        <v>19525.592911244366</v>
      </c>
      <c r="J14" s="127">
        <f t="shared" ca="1" si="17"/>
        <v>20165.865382976386</v>
      </c>
      <c r="K14" s="136">
        <f t="shared" ca="1" si="17"/>
        <v>20663.731351614879</v>
      </c>
      <c r="M14" s="121" t="str">
        <f>M38</f>
        <v>Bottling</v>
      </c>
      <c r="N14" s="937"/>
      <c r="O14" s="131">
        <f>IF('Inv. mat'!O11&gt;0,'Inv. mat'!O11,'Inv. mat'!C11+(('Inv. mat'!$G$11-'Inv. mat'!$F$11)*Opex!D29))</f>
        <v>1.8784502191371635</v>
      </c>
      <c r="P14" s="131">
        <f>'Inv. mat'!P11</f>
        <v>1.978166595511081</v>
      </c>
      <c r="Q14" s="131">
        <f>'Inv. mat'!Q11</f>
        <v>2.0096340407640851</v>
      </c>
      <c r="R14" s="131">
        <f>'Inv. mat'!R11</f>
        <v>2.0513097845684682</v>
      </c>
      <c r="S14" s="131">
        <f>'Inv. mat'!S11</f>
        <v>2.0916711020596672</v>
      </c>
      <c r="T14" s="131">
        <f>'Inv. mat'!T11</f>
        <v>2.1334207054649807</v>
      </c>
      <c r="U14" s="708">
        <f>'Inv. mat'!U11</f>
        <v>2.1761942964325982</v>
      </c>
      <c r="W14" s="122" t="s">
        <v>841</v>
      </c>
      <c r="AE14" s="123"/>
    </row>
    <row r="15" spans="2:31">
      <c r="B15" s="121" t="str">
        <f>B58</f>
        <v>Rose</v>
      </c>
      <c r="E15" s="127">
        <f ca="1">Y22*Y23</f>
        <v>0</v>
      </c>
      <c r="F15" s="127">
        <f t="shared" ref="F15:K15" ca="1" si="18">Z24</f>
        <v>0</v>
      </c>
      <c r="G15" s="127">
        <f t="shared" ca="1" si="18"/>
        <v>0</v>
      </c>
      <c r="H15" s="127">
        <f t="shared" ca="1" si="18"/>
        <v>0</v>
      </c>
      <c r="I15" s="127">
        <f t="shared" ca="1" si="18"/>
        <v>0</v>
      </c>
      <c r="J15" s="127">
        <f t="shared" ca="1" si="18"/>
        <v>0</v>
      </c>
      <c r="K15" s="136">
        <f t="shared" ca="1" si="18"/>
        <v>0</v>
      </c>
      <c r="M15" s="122"/>
      <c r="N15" s="937"/>
      <c r="O15" s="2808"/>
      <c r="P15" s="2808"/>
      <c r="Q15" s="2808"/>
      <c r="R15" s="2808"/>
      <c r="S15" s="2808"/>
      <c r="T15" s="2808"/>
      <c r="U15" s="711"/>
      <c r="W15" s="124" t="s">
        <v>842</v>
      </c>
      <c r="Y15" s="787">
        <f ca="1">'Inv. start'!F170</f>
        <v>15299.777294724012</v>
      </c>
      <c r="Z15" s="127">
        <f t="shared" ref="Z15:AE15" ca="1" si="19">Y18</f>
        <v>0</v>
      </c>
      <c r="AA15" s="127">
        <f t="shared" ca="1" si="19"/>
        <v>0</v>
      </c>
      <c r="AB15" s="127">
        <f t="shared" ca="1" si="19"/>
        <v>0</v>
      </c>
      <c r="AC15" s="127">
        <f t="shared" ca="1" si="19"/>
        <v>0</v>
      </c>
      <c r="AD15" s="127">
        <f t="shared" ca="1" si="19"/>
        <v>0</v>
      </c>
      <c r="AE15" s="136">
        <f t="shared" ca="1" si="19"/>
        <v>0</v>
      </c>
    </row>
    <row r="16" spans="2:31">
      <c r="B16" s="121" t="str">
        <f>B59</f>
        <v>Classic</v>
      </c>
      <c r="E16" s="127">
        <f ca="1">Y38*Y39</f>
        <v>0</v>
      </c>
      <c r="F16" s="127">
        <f t="shared" ref="F16:K16" ca="1" si="20">Z40</f>
        <v>0</v>
      </c>
      <c r="G16" s="127">
        <f t="shared" ca="1" si="20"/>
        <v>0</v>
      </c>
      <c r="H16" s="127">
        <f t="shared" ca="1" si="20"/>
        <v>0</v>
      </c>
      <c r="I16" s="127">
        <f t="shared" ca="1" si="20"/>
        <v>0</v>
      </c>
      <c r="J16" s="127">
        <f t="shared" ca="1" si="20"/>
        <v>0</v>
      </c>
      <c r="K16" s="136">
        <f t="shared" ca="1" si="20"/>
        <v>0</v>
      </c>
      <c r="M16" s="122" t="str">
        <f>B74</f>
        <v>Rose</v>
      </c>
      <c r="N16" s="937"/>
      <c r="O16" s="937"/>
      <c r="P16" s="937"/>
      <c r="Q16" s="937"/>
      <c r="R16" s="937"/>
      <c r="S16" s="937"/>
      <c r="T16" s="937"/>
      <c r="U16" s="123"/>
      <c r="W16" s="124" t="str">
        <f>W32</f>
        <v>Ready product in fiscal year</v>
      </c>
      <c r="Y16" s="129">
        <f ca="1">'Inv. wine'!C202-Y15</f>
        <v>0</v>
      </c>
      <c r="Z16" s="129">
        <f ca="1">'Inv. wine'!D202</f>
        <v>14972.753784313831</v>
      </c>
      <c r="AA16" s="129">
        <f ca="1">'Inv. wine'!E202</f>
        <v>21759.3004881204</v>
      </c>
      <c r="AB16" s="129">
        <f ca="1">'Inv. wine'!F202</f>
        <v>24875.478076339055</v>
      </c>
      <c r="AC16" s="129">
        <f ca="1">'Inv. wine'!G202</f>
        <v>26027.788486800629</v>
      </c>
      <c r="AD16" s="129">
        <f ca="1">'Inv. wine'!H202</f>
        <v>26591.48228774438</v>
      </c>
      <c r="AE16" s="132">
        <f ca="1">'Inv. wine'!I202</f>
        <v>27373.420892761151</v>
      </c>
    </row>
    <row r="17" spans="2:31">
      <c r="B17" s="121" t="str">
        <f>B60</f>
        <v>Premium</v>
      </c>
      <c r="E17" s="127">
        <f ca="1">Y54*Y55</f>
        <v>213982.78038355874</v>
      </c>
      <c r="F17" s="127">
        <f t="shared" ref="F17:K17" ca="1" si="21">Z56</f>
        <v>260855.43119024066</v>
      </c>
      <c r="G17" s="127">
        <f t="shared" ca="1" si="21"/>
        <v>289945.13302731473</v>
      </c>
      <c r="H17" s="127">
        <f t="shared" ca="1" si="21"/>
        <v>304472.45645372727</v>
      </c>
      <c r="I17" s="127">
        <f t="shared" ca="1" si="21"/>
        <v>311253.98651632172</v>
      </c>
      <c r="J17" s="127">
        <f t="shared" ca="1" si="21"/>
        <v>321460.45554336393</v>
      </c>
      <c r="K17" s="136">
        <f t="shared" ca="1" si="21"/>
        <v>329396.84795889462</v>
      </c>
      <c r="M17" s="121" t="str">
        <f t="shared" ref="M17:M26" si="22">M5</f>
        <v>Direct staff</v>
      </c>
      <c r="N17" s="937"/>
      <c r="O17" s="131">
        <f ca="1">IF(E67=0,O5,(E$74*E4)/E67)</f>
        <v>3.8177603196096048</v>
      </c>
      <c r="P17" s="131">
        <f t="shared" ref="P17:U17" ca="1" si="23">IF(F67=0,P5,(F$74*F4)/F67)</f>
        <v>2.7393363935888915</v>
      </c>
      <c r="Q17" s="131">
        <f t="shared" ca="1" si="23"/>
        <v>2.4025019794298865</v>
      </c>
      <c r="R17" s="131">
        <f t="shared" ca="1" si="23"/>
        <v>2.4479501684083469</v>
      </c>
      <c r="S17" s="131">
        <f t="shared" ca="1" si="23"/>
        <v>2.4969091717765135</v>
      </c>
      <c r="T17" s="131">
        <f t="shared" ca="1" si="23"/>
        <v>2.5468473552120434</v>
      </c>
      <c r="U17" s="708">
        <f t="shared" ca="1" si="23"/>
        <v>2.5977843023162848</v>
      </c>
      <c r="W17" s="124" t="s">
        <v>358</v>
      </c>
      <c r="Y17" s="128">
        <f ca="1">-'Inv. wine'!C246</f>
        <v>-15299.777294724012</v>
      </c>
      <c r="Z17" s="128">
        <f ca="1">-'Inv. wine'!D246</f>
        <v>-14972.753784313831</v>
      </c>
      <c r="AA17" s="128">
        <f ca="1">-'Inv. wine'!E246</f>
        <v>-21759.3004881204</v>
      </c>
      <c r="AB17" s="128">
        <f ca="1">-'Inv. wine'!F246</f>
        <v>-24875.478076339055</v>
      </c>
      <c r="AC17" s="128">
        <f ca="1">-'Inv. wine'!G246</f>
        <v>-26027.788486800629</v>
      </c>
      <c r="AD17" s="128">
        <f ca="1">-'Inv. wine'!H246</f>
        <v>-26591.48228774438</v>
      </c>
      <c r="AE17" s="133">
        <f ca="1">-'Inv. wine'!I246</f>
        <v>-27373.420892761151</v>
      </c>
    </row>
    <row r="18" spans="2:31">
      <c r="B18" s="121" t="str">
        <f>B61</f>
        <v>Selection individuelle</v>
      </c>
      <c r="E18" s="753">
        <f ca="1">Y70*Y71</f>
        <v>29206.487217512647</v>
      </c>
      <c r="F18" s="753">
        <f t="shared" ref="F18:K18" ca="1" si="24">Z72</f>
        <v>32342.439614818897</v>
      </c>
      <c r="G18" s="753">
        <f t="shared" ca="1" si="24"/>
        <v>35867.970898328378</v>
      </c>
      <c r="H18" s="753">
        <f t="shared" ca="1" si="24"/>
        <v>37629.418485502138</v>
      </c>
      <c r="I18" s="753">
        <f t="shared" ca="1" si="24"/>
        <v>38467.540382206978</v>
      </c>
      <c r="J18" s="753">
        <f t="shared" ca="1" si="24"/>
        <v>39728.946746352944</v>
      </c>
      <c r="K18" s="790">
        <f t="shared" ca="1" si="24"/>
        <v>40709.796820436917</v>
      </c>
      <c r="M18" s="121" t="str">
        <f t="shared" si="22"/>
        <v>Seasonal workers</v>
      </c>
      <c r="N18" s="937"/>
      <c r="O18" s="131">
        <f ca="1">IF(E67=0,O6,(E$74*E5)/E67)</f>
        <v>0.55614881419822049</v>
      </c>
      <c r="P18" s="131">
        <f t="shared" ref="P18:U18" ca="1" si="25">IF(F67=0,P6,(F$74*F5)/F67)</f>
        <v>0.46160738464680268</v>
      </c>
      <c r="Q18" s="131">
        <f t="shared" ca="1" si="25"/>
        <v>0.44363872159386736</v>
      </c>
      <c r="R18" s="131">
        <f t="shared" ca="1" si="25"/>
        <v>0.45342398854661692</v>
      </c>
      <c r="S18" s="131">
        <f t="shared" ca="1" si="25"/>
        <v>0.46249246831754925</v>
      </c>
      <c r="T18" s="131">
        <f t="shared" ca="1" si="25"/>
        <v>0.47174231768390024</v>
      </c>
      <c r="U18" s="708">
        <f t="shared" ca="1" si="25"/>
        <v>0.48117716403757838</v>
      </c>
      <c r="W18" s="124" t="s">
        <v>429</v>
      </c>
      <c r="Y18" s="127">
        <f ca="1">Y15+Y16+Y17</f>
        <v>0</v>
      </c>
      <c r="Z18" s="127">
        <f t="shared" ref="Z18:AE18" ca="1" si="26">Z15+Z16+Z17</f>
        <v>0</v>
      </c>
      <c r="AA18" s="127">
        <f t="shared" ca="1" si="26"/>
        <v>0</v>
      </c>
      <c r="AB18" s="127">
        <f t="shared" ca="1" si="26"/>
        <v>0</v>
      </c>
      <c r="AC18" s="127">
        <f t="shared" ca="1" si="26"/>
        <v>0</v>
      </c>
      <c r="AD18" s="127">
        <f t="shared" ca="1" si="26"/>
        <v>0</v>
      </c>
      <c r="AE18" s="136">
        <f t="shared" ca="1" si="26"/>
        <v>0</v>
      </c>
    </row>
    <row r="19" spans="2:31" ht="13.5" thickBot="1">
      <c r="B19" s="122" t="s">
        <v>885</v>
      </c>
      <c r="E19" s="717">
        <f ca="1">SUM(E14:E18)</f>
        <v>254800.12725631412</v>
      </c>
      <c r="F19" s="717">
        <f t="shared" ref="F19:K19" ca="1" si="27">SUM(F14:F18)</f>
        <v>309321.65503436729</v>
      </c>
      <c r="G19" s="717">
        <f t="shared" ca="1" si="27"/>
        <v>343928.49060693674</v>
      </c>
      <c r="H19" s="717">
        <f t="shared" ca="1" si="27"/>
        <v>361202.04873600841</v>
      </c>
      <c r="I19" s="717">
        <f t="shared" ca="1" si="27"/>
        <v>369247.11980977305</v>
      </c>
      <c r="J19" s="717">
        <f t="shared" ca="1" si="27"/>
        <v>381355.26767269324</v>
      </c>
      <c r="K19" s="718">
        <f t="shared" ca="1" si="27"/>
        <v>390770.37613094639</v>
      </c>
      <c r="M19" s="121" t="str">
        <f t="shared" si="22"/>
        <v>Enological materials / addetives</v>
      </c>
      <c r="N19" s="937"/>
      <c r="O19" s="131">
        <f ca="1">IF(E67=0,O7,(E$74*E6)/E67)</f>
        <v>8.9632920131787017E-2</v>
      </c>
      <c r="P19" s="131">
        <f t="shared" ref="P19:U19" ca="1" si="28">IF(F67=0,P7,(F$74*F6)/F67)</f>
        <v>6.259164054358464E-2</v>
      </c>
      <c r="Q19" s="131">
        <f t="shared" ca="1" si="28"/>
        <v>5.5022444273335976E-2</v>
      </c>
      <c r="R19" s="131">
        <f t="shared" ca="1" si="28"/>
        <v>5.6063305203650292E-2</v>
      </c>
      <c r="S19" s="131">
        <f t="shared" ca="1" si="28"/>
        <v>5.7184571307723302E-2</v>
      </c>
      <c r="T19" s="131">
        <f t="shared" ca="1" si="28"/>
        <v>5.8328262733877763E-2</v>
      </c>
      <c r="U19" s="708">
        <f t="shared" ca="1" si="28"/>
        <v>5.9494827988555321E-2</v>
      </c>
      <c r="W19" s="712"/>
      <c r="X19" s="202"/>
      <c r="Y19" s="202"/>
      <c r="Z19" s="202"/>
      <c r="AA19" s="202"/>
      <c r="AB19" s="202"/>
      <c r="AC19" s="202"/>
      <c r="AD19" s="202"/>
      <c r="AE19" s="788"/>
    </row>
    <row r="20" spans="2:31">
      <c r="B20" s="121"/>
      <c r="K20" s="123"/>
      <c r="M20" s="121" t="str">
        <f t="shared" si="22"/>
        <v>Operational costs</v>
      </c>
      <c r="N20" s="937"/>
      <c r="O20" s="131">
        <f ca="1">IF(E67=0,O8,(E$74*E7)/E67)</f>
        <v>0.46741481194865891</v>
      </c>
      <c r="P20" s="131">
        <f t="shared" ref="P20:U20" ca="1" si="29">IF(F67=0,P8,(F$74*F7)/F67)</f>
        <v>0.45879827656159761</v>
      </c>
      <c r="Q20" s="131">
        <f t="shared" ca="1" si="29"/>
        <v>0.40238350068212975</v>
      </c>
      <c r="R20" s="131">
        <f t="shared" ca="1" si="29"/>
        <v>0.4099953992517848</v>
      </c>
      <c r="S20" s="131">
        <f t="shared" ca="1" si="29"/>
        <v>0.41819530723682058</v>
      </c>
      <c r="T20" s="131">
        <f t="shared" ca="1" si="29"/>
        <v>0.426559213381557</v>
      </c>
      <c r="U20" s="708">
        <f t="shared" ca="1" si="29"/>
        <v>0.43509039764918811</v>
      </c>
      <c r="W20" s="139" t="str">
        <f>B15</f>
        <v>Rose</v>
      </c>
      <c r="X20" s="126"/>
      <c r="Y20" s="126"/>
      <c r="Z20" s="126"/>
      <c r="AA20" s="126"/>
      <c r="AB20" s="126"/>
      <c r="AC20" s="126"/>
      <c r="AD20" s="126"/>
      <c r="AE20" s="130"/>
    </row>
    <row r="21" spans="2:31">
      <c r="B21" s="247"/>
      <c r="C21" s="504"/>
      <c r="D21" s="504"/>
      <c r="E21" s="206"/>
      <c r="F21" s="206"/>
      <c r="G21" s="206"/>
      <c r="H21" s="206"/>
      <c r="I21" s="206"/>
      <c r="J21" s="206"/>
      <c r="K21" s="207"/>
      <c r="M21" s="121" t="str">
        <f t="shared" si="22"/>
        <v>Waste</v>
      </c>
      <c r="N21" s="937"/>
      <c r="O21" s="131">
        <f ca="1">IF(E67=0,O9,(E$74*E8)/E67)</f>
        <v>8.0587078394185156E-3</v>
      </c>
      <c r="P21" s="131">
        <f t="shared" ref="P21:U21" ca="1" si="30">IF(F67=0,P9,(F$74*F8)/F67)</f>
        <v>0.12445769267964171</v>
      </c>
      <c r="Q21" s="131">
        <f t="shared" ca="1" si="30"/>
        <v>5.2731894623741823E-2</v>
      </c>
      <c r="R21" s="131">
        <f t="shared" ca="1" si="30"/>
        <v>8.5758901200116602E-2</v>
      </c>
      <c r="S21" s="131">
        <f t="shared" ca="1" si="30"/>
        <v>0.10240243873461698</v>
      </c>
      <c r="T21" s="131">
        <f t="shared" ca="1" si="30"/>
        <v>0.10649072926487609</v>
      </c>
      <c r="U21" s="708">
        <f t="shared" ca="1" si="30"/>
        <v>0.1086205438501736</v>
      </c>
      <c r="W21" s="124" t="str">
        <f>W5</f>
        <v>Previous years</v>
      </c>
      <c r="AE21" s="123"/>
    </row>
    <row r="22" spans="2:31">
      <c r="B22" s="254" t="s">
        <v>916</v>
      </c>
      <c r="C22" s="504"/>
      <c r="D22" s="504"/>
      <c r="E22" s="206"/>
      <c r="F22" s="206"/>
      <c r="G22" s="206"/>
      <c r="H22" s="206"/>
      <c r="I22" s="206"/>
      <c r="J22" s="206"/>
      <c r="K22" s="207"/>
      <c r="M22" s="121" t="str">
        <f t="shared" si="22"/>
        <v>Cost settlement with RCE</v>
      </c>
      <c r="N22" s="937"/>
      <c r="O22" s="131">
        <f ca="1">IF(E67=0,O10,(E$74*E9)/E67)</f>
        <v>1.7941001443515863</v>
      </c>
      <c r="P22" s="131">
        <f t="shared" ref="P22:U22" ca="1" si="31">IF(F67=0,P10,(F$74*F9)/F67)</f>
        <v>1.8998393173328694</v>
      </c>
      <c r="Q22" s="131">
        <f t="shared" ca="1" si="31"/>
        <v>2.1380317418347969</v>
      </c>
      <c r="R22" s="131">
        <f t="shared" ca="1" si="31"/>
        <v>2.311075036284854</v>
      </c>
      <c r="S22" s="131">
        <f t="shared" ca="1" si="31"/>
        <v>2.3555306417834241</v>
      </c>
      <c r="T22" s="131">
        <f t="shared" ca="1" si="31"/>
        <v>2.476065703891269</v>
      </c>
      <c r="U22" s="708">
        <f t="shared" ca="1" si="31"/>
        <v>2.5541881967600704</v>
      </c>
      <c r="W22" s="124" t="s">
        <v>624</v>
      </c>
      <c r="X22" s="504" t="s">
        <v>831</v>
      </c>
      <c r="Y22" s="129">
        <f>SUM('Inv. wine'!L6:L12)</f>
        <v>0</v>
      </c>
      <c r="Z22" s="129">
        <f>SUM('Inv. wine'!M6:M12)</f>
        <v>0</v>
      </c>
      <c r="AA22" s="129">
        <f>SUM('Inv. wine'!N6:N12)</f>
        <v>0</v>
      </c>
      <c r="AB22" s="129">
        <f>SUM('Inv. wine'!O6:O12)</f>
        <v>0</v>
      </c>
      <c r="AC22" s="129">
        <f>SUM('Inv. wine'!P6:P12)</f>
        <v>0</v>
      </c>
      <c r="AD22" s="129">
        <f>SUM('Inv. wine'!Q6:Q12)</f>
        <v>0</v>
      </c>
      <c r="AE22" s="132">
        <f>SUM('Inv. wine'!R6:R12)</f>
        <v>0</v>
      </c>
    </row>
    <row r="23" spans="2:31">
      <c r="B23" s="247" t="s">
        <v>888</v>
      </c>
      <c r="D23" s="504"/>
      <c r="E23" s="210">
        <f t="shared" ref="E23:K23" si="32">-E38-E39</f>
        <v>41055</v>
      </c>
      <c r="F23" s="210">
        <f t="shared" ca="1" si="32"/>
        <v>42427.529645999995</v>
      </c>
      <c r="G23" s="210">
        <f t="shared" ca="1" si="32"/>
        <v>95870.363377109985</v>
      </c>
      <c r="H23" s="210">
        <f t="shared" ca="1" si="32"/>
        <v>91839.3631124034</v>
      </c>
      <c r="I23" s="210">
        <f ca="1">-I38-I39</f>
        <v>76669.464189478036</v>
      </c>
      <c r="J23" s="210">
        <f t="shared" ca="1" si="32"/>
        <v>126732.31197657638</v>
      </c>
      <c r="K23" s="211">
        <f t="shared" ca="1" si="32"/>
        <v>98778.126137846935</v>
      </c>
      <c r="M23" s="709" t="str">
        <f t="shared" si="22"/>
        <v>Cost settlement with RCV</v>
      </c>
      <c r="N23" s="937"/>
      <c r="O23" s="699">
        <f ca="1">IF(E67=0,O11,(E$74*E10)/E67)</f>
        <v>9.8811116426607198E-2</v>
      </c>
      <c r="P23" s="699">
        <f t="shared" ref="P23:U23" ca="1" si="33">IF(F67=0,P11,(F$74*F10)/F67)</f>
        <v>3.1363372810831805E-3</v>
      </c>
      <c r="Q23" s="699">
        <f t="shared" ca="1" si="33"/>
        <v>2.6967517888127372E-3</v>
      </c>
      <c r="R23" s="699">
        <f t="shared" ca="1" si="33"/>
        <v>2.6938885379073664E-3</v>
      </c>
      <c r="S23" s="699">
        <f t="shared" ca="1" si="33"/>
        <v>2.6938885379073664E-3</v>
      </c>
      <c r="T23" s="699">
        <f t="shared" ca="1" si="33"/>
        <v>2.6938885379073664E-3</v>
      </c>
      <c r="U23" s="710">
        <f t="shared" ca="1" si="33"/>
        <v>2.6938885379073664E-3</v>
      </c>
      <c r="W23" s="124" t="s">
        <v>357</v>
      </c>
      <c r="Y23" s="721">
        <f t="shared" ref="Y23:AE23" ca="1" si="34">O24</f>
        <v>6.8319268345058832</v>
      </c>
      <c r="Z23" s="721">
        <f t="shared" ca="1" si="34"/>
        <v>5.7497670426344714</v>
      </c>
      <c r="AA23" s="721">
        <f t="shared" ca="1" si="34"/>
        <v>5.4970070342265718</v>
      </c>
      <c r="AB23" s="721">
        <f t="shared" ca="1" si="34"/>
        <v>5.7669606874332766</v>
      </c>
      <c r="AC23" s="721">
        <f t="shared" ca="1" si="34"/>
        <v>5.8954084876945547</v>
      </c>
      <c r="AD23" s="721">
        <f t="shared" ca="1" si="34"/>
        <v>6.0887274707054306</v>
      </c>
      <c r="AE23" s="785">
        <f t="shared" ca="1" si="34"/>
        <v>6.239049321139758</v>
      </c>
    </row>
    <row r="24" spans="2:31">
      <c r="B24" s="124" t="s">
        <v>889</v>
      </c>
      <c r="E24" s="896">
        <f>SUM(E23)</f>
        <v>41055</v>
      </c>
      <c r="F24" s="715">
        <f t="shared" ref="F24:K24" ca="1" si="35">SUM(F23)</f>
        <v>42427.529645999995</v>
      </c>
      <c r="G24" s="715">
        <f t="shared" ca="1" si="35"/>
        <v>95870.363377109985</v>
      </c>
      <c r="H24" s="715">
        <f t="shared" ca="1" si="35"/>
        <v>91839.3631124034</v>
      </c>
      <c r="I24" s="715">
        <f t="shared" ca="1" si="35"/>
        <v>76669.464189478036</v>
      </c>
      <c r="J24" s="715">
        <f t="shared" ca="1" si="35"/>
        <v>126732.31197657638</v>
      </c>
      <c r="K24" s="716">
        <f t="shared" ca="1" si="35"/>
        <v>98778.126137846935</v>
      </c>
      <c r="M24" s="122" t="str">
        <f t="shared" si="22"/>
        <v>Costprice in production</v>
      </c>
      <c r="N24" s="937"/>
      <c r="O24" s="2808">
        <f t="shared" ref="O24:U24" ca="1" si="36">SUM(O17:O23)</f>
        <v>6.8319268345058832</v>
      </c>
      <c r="P24" s="2808">
        <f t="shared" ca="1" si="36"/>
        <v>5.7497670426344714</v>
      </c>
      <c r="Q24" s="2808">
        <f t="shared" ca="1" si="36"/>
        <v>5.4970070342265718</v>
      </c>
      <c r="R24" s="2808">
        <f t="shared" ca="1" si="36"/>
        <v>5.7669606874332766</v>
      </c>
      <c r="S24" s="2808">
        <f t="shared" ca="1" si="36"/>
        <v>5.8954084876945547</v>
      </c>
      <c r="T24" s="2808">
        <f t="shared" ca="1" si="36"/>
        <v>6.0887274707054306</v>
      </c>
      <c r="U24" s="711">
        <f t="shared" ca="1" si="36"/>
        <v>6.239049321139758</v>
      </c>
      <c r="W24" s="124" t="str">
        <f>W8</f>
        <v>semi-finished products in tanks</v>
      </c>
      <c r="Y24" s="129">
        <f ca="1">(Y22+Y21)*Y23</f>
        <v>0</v>
      </c>
      <c r="Z24" s="129">
        <f t="shared" ref="Z24:AE24" ca="1" si="37">Z22*Z23</f>
        <v>0</v>
      </c>
      <c r="AA24" s="129">
        <f t="shared" ca="1" si="37"/>
        <v>0</v>
      </c>
      <c r="AB24" s="129">
        <f t="shared" ca="1" si="37"/>
        <v>0</v>
      </c>
      <c r="AC24" s="129">
        <f t="shared" ca="1" si="37"/>
        <v>0</v>
      </c>
      <c r="AD24" s="129">
        <f t="shared" ca="1" si="37"/>
        <v>0</v>
      </c>
      <c r="AE24" s="132">
        <f t="shared" ca="1" si="37"/>
        <v>0</v>
      </c>
    </row>
    <row r="25" spans="2:31">
      <c r="B25" s="121"/>
      <c r="K25" s="123"/>
      <c r="M25" s="121" t="str">
        <f t="shared" si="22"/>
        <v>Barrels</v>
      </c>
      <c r="N25" s="937"/>
      <c r="O25" s="2808">
        <f t="shared" ref="O25:U25" si="38">IF(E97=0,0,(E$104*E23)/E97)</f>
        <v>0</v>
      </c>
      <c r="P25" s="2808">
        <f t="shared" si="38"/>
        <v>0</v>
      </c>
      <c r="Q25" s="2808">
        <f t="shared" si="38"/>
        <v>0</v>
      </c>
      <c r="R25" s="2808">
        <f t="shared" si="38"/>
        <v>0</v>
      </c>
      <c r="S25" s="2808">
        <f t="shared" si="38"/>
        <v>0</v>
      </c>
      <c r="T25" s="2808">
        <f t="shared" si="38"/>
        <v>0</v>
      </c>
      <c r="U25" s="711">
        <f t="shared" si="38"/>
        <v>0</v>
      </c>
      <c r="W25" s="121"/>
      <c r="AE25" s="123"/>
    </row>
    <row r="26" spans="2:31">
      <c r="B26" s="122" t="s">
        <v>884</v>
      </c>
      <c r="C26" s="504"/>
      <c r="E26" s="504"/>
      <c r="F26" s="686"/>
      <c r="G26" s="686"/>
      <c r="H26" s="686"/>
      <c r="I26" s="686"/>
      <c r="J26" s="686"/>
      <c r="K26" s="431"/>
      <c r="M26" s="121" t="str">
        <f t="shared" si="22"/>
        <v>Bottling</v>
      </c>
      <c r="N26" s="937"/>
      <c r="O26" s="131">
        <f>IF('Inv. mat'!Z11=0,O14,'Inv. mat'!Z11)</f>
        <v>1.9073329325137274</v>
      </c>
      <c r="P26" s="131">
        <f>'Inv. mat'!AA11</f>
        <v>0</v>
      </c>
      <c r="Q26" s="131">
        <f>'Inv. mat'!AB11</f>
        <v>0</v>
      </c>
      <c r="R26" s="131">
        <f>'Inv. mat'!AC11</f>
        <v>0</v>
      </c>
      <c r="S26" s="131">
        <f>'Inv. mat'!AD11</f>
        <v>0</v>
      </c>
      <c r="T26" s="131">
        <f>'Inv. mat'!AE11</f>
        <v>0</v>
      </c>
      <c r="U26" s="708">
        <f>'Inv. mat'!AF11</f>
        <v>0</v>
      </c>
      <c r="W26" s="124" t="s">
        <v>890</v>
      </c>
      <c r="Y26" s="129">
        <f ca="1">'Inv. wine'!L129</f>
        <v>0</v>
      </c>
      <c r="Z26" s="129">
        <f ca="1">'Inv. wine'!M129</f>
        <v>0</v>
      </c>
      <c r="AA26" s="129">
        <f ca="1">'Inv. wine'!N129</f>
        <v>0</v>
      </c>
      <c r="AB26" s="129">
        <f ca="1">'Inv. wine'!O129</f>
        <v>0</v>
      </c>
      <c r="AC26" s="129">
        <f ca="1">'Inv. wine'!P129</f>
        <v>0</v>
      </c>
      <c r="AD26" s="129">
        <f ca="1">'Inv. wine'!Q129</f>
        <v>0</v>
      </c>
      <c r="AE26" s="132">
        <f ca="1">'Inv. wine'!R129</f>
        <v>0</v>
      </c>
    </row>
    <row r="27" spans="2:31">
      <c r="B27" s="124" t="str">
        <f>B48</f>
        <v>White</v>
      </c>
      <c r="E27" s="686">
        <f>'Inv. wine'!C171</f>
        <v>0</v>
      </c>
      <c r="F27" s="686">
        <f>'Inv. wine'!D171</f>
        <v>3361.8941290710823</v>
      </c>
      <c r="G27" s="686">
        <f>'Inv. wine'!E171</f>
        <v>5635.5162588126859</v>
      </c>
      <c r="H27" s="686">
        <f>'Inv. wine'!F171</f>
        <v>6760.0913950453869</v>
      </c>
      <c r="I27" s="686">
        <f>'Inv. wine'!G171</f>
        <v>6927.6146900216181</v>
      </c>
      <c r="J27" s="686">
        <f>'Inv. wine'!H171</f>
        <v>7065.8893765000166</v>
      </c>
      <c r="K27" s="431">
        <f>'Inv. wine'!I171</f>
        <v>7207.5555097847655</v>
      </c>
      <c r="M27" s="122"/>
      <c r="N27" s="937"/>
      <c r="O27" s="2808"/>
      <c r="P27" s="2808"/>
      <c r="Q27" s="2808"/>
      <c r="R27" s="2808"/>
      <c r="S27" s="2808"/>
      <c r="T27" s="2808"/>
      <c r="U27" s="711"/>
      <c r="W27" s="121"/>
      <c r="Y27" s="127"/>
      <c r="Z27" s="127"/>
      <c r="AA27" s="127"/>
      <c r="AB27" s="127"/>
      <c r="AC27" s="127"/>
      <c r="AD27" s="127"/>
      <c r="AE27" s="136"/>
    </row>
    <row r="28" spans="2:31">
      <c r="B28" s="124" t="str">
        <f>B49</f>
        <v>Rose</v>
      </c>
      <c r="E28" s="686">
        <f>'Inv. wine'!L171</f>
        <v>7533.9650834292233</v>
      </c>
      <c r="F28" s="686">
        <f>'Inv. wine'!M171</f>
        <v>0</v>
      </c>
      <c r="G28" s="686">
        <f>'Inv. wine'!N171</f>
        <v>0</v>
      </c>
      <c r="H28" s="686">
        <f>'Inv. wine'!O171</f>
        <v>0</v>
      </c>
      <c r="I28" s="686">
        <f>'Inv. wine'!P171</f>
        <v>0</v>
      </c>
      <c r="J28" s="686">
        <f>'Inv. wine'!Q171</f>
        <v>0</v>
      </c>
      <c r="K28" s="431">
        <f>'Inv. wine'!R171</f>
        <v>0</v>
      </c>
      <c r="M28" s="122" t="str">
        <f>B59</f>
        <v>Classic</v>
      </c>
      <c r="N28" s="937"/>
      <c r="O28" s="937"/>
      <c r="P28" s="937"/>
      <c r="Q28" s="937"/>
      <c r="R28" s="937"/>
      <c r="S28" s="937"/>
      <c r="T28" s="937"/>
      <c r="U28" s="123"/>
      <c r="W28" s="122" t="str">
        <f>W12</f>
        <v>semi-finished products</v>
      </c>
      <c r="Y28" s="129">
        <f ca="1">Y24+Y26</f>
        <v>0</v>
      </c>
      <c r="Z28" s="129">
        <f t="shared" ref="Z28:AE28" ca="1" si="39">Z24+Z26</f>
        <v>0</v>
      </c>
      <c r="AA28" s="129">
        <f t="shared" ca="1" si="39"/>
        <v>0</v>
      </c>
      <c r="AB28" s="129">
        <f t="shared" ca="1" si="39"/>
        <v>0</v>
      </c>
      <c r="AC28" s="129">
        <f t="shared" ca="1" si="39"/>
        <v>0</v>
      </c>
      <c r="AD28" s="129">
        <f t="shared" ca="1" si="39"/>
        <v>0</v>
      </c>
      <c r="AE28" s="132">
        <f t="shared" ca="1" si="39"/>
        <v>0</v>
      </c>
    </row>
    <row r="29" spans="2:31">
      <c r="B29" s="124" t="str">
        <f>B50</f>
        <v>Classic</v>
      </c>
      <c r="E29" s="686">
        <f>'Inv. wine'!U171</f>
        <v>0</v>
      </c>
      <c r="F29" s="686">
        <f>'Inv. wine'!V171</f>
        <v>105919.05806659698</v>
      </c>
      <c r="G29" s="686">
        <f>'Inv. wine'!W171</f>
        <v>0</v>
      </c>
      <c r="H29" s="686">
        <f>'Inv. wine'!X171</f>
        <v>0</v>
      </c>
      <c r="I29" s="686">
        <f>'Inv. wine'!Y171</f>
        <v>0</v>
      </c>
      <c r="J29" s="686">
        <f>'Inv. wine'!Z171</f>
        <v>0</v>
      </c>
      <c r="K29" s="431">
        <f>'Inv. wine'!AA171</f>
        <v>0</v>
      </c>
      <c r="M29" s="121" t="str">
        <f t="shared" ref="M29:M36" si="40">M17</f>
        <v>Direct staff</v>
      </c>
      <c r="N29" s="937"/>
      <c r="O29" s="131">
        <f ca="1">IF(E68=0,O41,(E$75*E4)/E68)</f>
        <v>3.8177603196096039</v>
      </c>
      <c r="P29" s="131">
        <f t="shared" ref="P29:U29" ca="1" si="41">IF(F68=0,P41,(F$75*F4)/F68)</f>
        <v>2.739336393588891</v>
      </c>
      <c r="Q29" s="131">
        <f t="shared" ca="1" si="41"/>
        <v>2.4025019794298861</v>
      </c>
      <c r="R29" s="131">
        <f t="shared" ca="1" si="41"/>
        <v>2.4479501684083469</v>
      </c>
      <c r="S29" s="131">
        <f t="shared" ca="1" si="41"/>
        <v>2.4969091717765135</v>
      </c>
      <c r="T29" s="131">
        <f t="shared" ca="1" si="41"/>
        <v>2.5468473552120439</v>
      </c>
      <c r="U29" s="708">
        <f t="shared" ca="1" si="41"/>
        <v>2.5977843023162843</v>
      </c>
      <c r="W29" s="121"/>
      <c r="AE29" s="123"/>
    </row>
    <row r="30" spans="2:31">
      <c r="B30" s="124" t="str">
        <f>B51</f>
        <v>Premium</v>
      </c>
      <c r="E30" s="686">
        <f ca="1">'Inv. wine'!AD171</f>
        <v>0</v>
      </c>
      <c r="F30" s="686">
        <f ca="1">'Inv. wine'!AE171</f>
        <v>73432.258245905701</v>
      </c>
      <c r="G30" s="686">
        <f ca="1">'Inv. wine'!AF171</f>
        <v>83454.451736143412</v>
      </c>
      <c r="H30" s="686">
        <f ca="1">'Inv. wine'!AG171</f>
        <v>123354.66117643152</v>
      </c>
      <c r="I30" s="686">
        <f ca="1">'Inv. wine'!AH171</f>
        <v>146222.06830855759</v>
      </c>
      <c r="J30" s="686">
        <f ca="1">'Inv. wine'!AI171</f>
        <v>149252.37817330522</v>
      </c>
      <c r="K30" s="431">
        <f ca="1">'Inv. wine'!AJ171</f>
        <v>152240.49395629214</v>
      </c>
      <c r="M30" s="121" t="str">
        <f t="shared" si="40"/>
        <v>Seasonal workers</v>
      </c>
      <c r="N30" s="937"/>
      <c r="O30" s="131">
        <f ca="1">IF(E68=0,O42,(E$75*E5)/E68)</f>
        <v>0.55614881419822038</v>
      </c>
      <c r="P30" s="131">
        <f t="shared" ref="P30:U30" ca="1" si="42">IF(F68=0,P42,(F$75*F5)/F68)</f>
        <v>0.46160738464680268</v>
      </c>
      <c r="Q30" s="131">
        <f t="shared" ca="1" si="42"/>
        <v>0.4436387215938673</v>
      </c>
      <c r="R30" s="131">
        <f t="shared" ca="1" si="42"/>
        <v>0.45342398854661692</v>
      </c>
      <c r="S30" s="131">
        <f t="shared" ca="1" si="42"/>
        <v>0.4624924683175492</v>
      </c>
      <c r="T30" s="131">
        <f t="shared" ca="1" si="42"/>
        <v>0.47174231768390024</v>
      </c>
      <c r="U30" s="708">
        <f t="shared" ca="1" si="42"/>
        <v>0.48117716403757832</v>
      </c>
      <c r="W30" s="122" t="s">
        <v>841</v>
      </c>
      <c r="AE30" s="123"/>
    </row>
    <row r="31" spans="2:31">
      <c r="B31" s="124" t="str">
        <f>B52</f>
        <v>Selection individuelle</v>
      </c>
      <c r="E31" s="834">
        <f>'Inv. wine'!AM171</f>
        <v>0</v>
      </c>
      <c r="F31" s="834">
        <f>'Inv. wine'!AN171</f>
        <v>0</v>
      </c>
      <c r="G31" s="834">
        <f>'Inv. wine'!AO171</f>
        <v>0</v>
      </c>
      <c r="H31" s="834">
        <f>'Inv. wine'!AP171</f>
        <v>15049.106492672847</v>
      </c>
      <c r="I31" s="834">
        <f>'Inv. wine'!AQ171</f>
        <v>20159.454265294968</v>
      </c>
      <c r="J31" s="834">
        <f>'Inv. wine'!AR171</f>
        <v>23852.983856368395</v>
      </c>
      <c r="K31" s="835">
        <f>'Inv. wine'!AS171</f>
        <v>24324.164665075696</v>
      </c>
      <c r="M31" s="121" t="str">
        <f t="shared" si="40"/>
        <v>Enological materials / addetives</v>
      </c>
      <c r="N31" s="937"/>
      <c r="O31" s="131">
        <f ca="1">IF(E68=0,O43,(E$75*E6)/E68)</f>
        <v>8.9632920131787017E-2</v>
      </c>
      <c r="P31" s="131">
        <f t="shared" ref="P31:U31" ca="1" si="43">IF(F68=0,P43,(F$75*F6)/F68)</f>
        <v>6.2591640543584626E-2</v>
      </c>
      <c r="Q31" s="131">
        <f t="shared" ca="1" si="43"/>
        <v>5.5022444273335969E-2</v>
      </c>
      <c r="R31" s="131">
        <f t="shared" ca="1" si="43"/>
        <v>5.6063305203650292E-2</v>
      </c>
      <c r="S31" s="131">
        <f t="shared" ca="1" si="43"/>
        <v>5.7184571307723302E-2</v>
      </c>
      <c r="T31" s="131">
        <f t="shared" ca="1" si="43"/>
        <v>5.8328262733877763E-2</v>
      </c>
      <c r="U31" s="708">
        <f t="shared" ca="1" si="43"/>
        <v>5.9494827988555314E-2</v>
      </c>
      <c r="W31" s="124" t="s">
        <v>842</v>
      </c>
      <c r="Y31" s="787">
        <f ca="1">'Inv. start'!F171</f>
        <v>0</v>
      </c>
      <c r="Z31" s="127">
        <f t="shared" ref="Z31:AE31" ca="1" si="44">Y34</f>
        <v>0</v>
      </c>
      <c r="AA31" s="127">
        <f t="shared" ca="1" si="44"/>
        <v>0</v>
      </c>
      <c r="AB31" s="127">
        <f t="shared" ca="1" si="44"/>
        <v>0</v>
      </c>
      <c r="AC31" s="127">
        <f t="shared" ca="1" si="44"/>
        <v>0</v>
      </c>
      <c r="AD31" s="127">
        <f t="shared" ca="1" si="44"/>
        <v>0</v>
      </c>
      <c r="AE31" s="136">
        <f t="shared" ca="1" si="44"/>
        <v>0</v>
      </c>
    </row>
    <row r="32" spans="2:31">
      <c r="B32" s="122" t="s">
        <v>899</v>
      </c>
      <c r="E32" s="134">
        <f ca="1">SUM(E27:E31)</f>
        <v>7533.9650834292233</v>
      </c>
      <c r="F32" s="134">
        <f t="shared" ref="F32:K32" ca="1" si="45">SUM(F27:F31)</f>
        <v>182713.21044157376</v>
      </c>
      <c r="G32" s="134">
        <f ca="1">SUM(G27:G31)</f>
        <v>89089.967994956096</v>
      </c>
      <c r="H32" s="134">
        <f ca="1">SUM(H27:H31)</f>
        <v>145163.85906414976</v>
      </c>
      <c r="I32" s="134">
        <f t="shared" ca="1" si="45"/>
        <v>173309.13726387417</v>
      </c>
      <c r="J32" s="134">
        <f t="shared" ca="1" si="45"/>
        <v>180171.25140617363</v>
      </c>
      <c r="K32" s="135">
        <f t="shared" ca="1" si="45"/>
        <v>183772.21413115258</v>
      </c>
      <c r="M32" s="121" t="str">
        <f t="shared" si="40"/>
        <v>Operational costs</v>
      </c>
      <c r="N32" s="937"/>
      <c r="O32" s="131">
        <f ca="1">IF(E68=0,O44,(E$75*E7)/E68)</f>
        <v>0.46741481194865891</v>
      </c>
      <c r="P32" s="131">
        <f t="shared" ref="P32:U32" ca="1" si="46">IF(F68=0,P44,(F$75*F7)/F68)</f>
        <v>0.45879827656159761</v>
      </c>
      <c r="Q32" s="131">
        <f t="shared" ca="1" si="46"/>
        <v>0.40238350068212975</v>
      </c>
      <c r="R32" s="131">
        <f t="shared" ca="1" si="46"/>
        <v>0.4099953992517848</v>
      </c>
      <c r="S32" s="131">
        <f t="shared" ca="1" si="46"/>
        <v>0.41819530723682058</v>
      </c>
      <c r="T32" s="131">
        <f t="shared" ca="1" si="46"/>
        <v>0.426559213381557</v>
      </c>
      <c r="U32" s="708">
        <f t="shared" ca="1" si="46"/>
        <v>0.43509039764918805</v>
      </c>
      <c r="W32" s="124" t="s">
        <v>909</v>
      </c>
      <c r="Y32" s="129">
        <f ca="1">'Inv. wine'!L202-Y31</f>
        <v>34520.076079727463</v>
      </c>
      <c r="Z32" s="129">
        <f ca="1">'Inv. wine'!M202</f>
        <v>0</v>
      </c>
      <c r="AA32" s="129">
        <f ca="1">'Inv. wine'!N202</f>
        <v>0</v>
      </c>
      <c r="AB32" s="129">
        <f ca="1">'Inv. wine'!O202</f>
        <v>0</v>
      </c>
      <c r="AC32" s="129">
        <f ca="1">'Inv. wine'!P202</f>
        <v>0</v>
      </c>
      <c r="AD32" s="129">
        <f ca="1">'Inv. wine'!Q202</f>
        <v>0</v>
      </c>
      <c r="AE32" s="132">
        <f ca="1">'Inv. wine'!R202</f>
        <v>0</v>
      </c>
    </row>
    <row r="33" spans="2:31" ht="13.5" thickBot="1">
      <c r="B33" s="723"/>
      <c r="C33" s="202"/>
      <c r="D33" s="202"/>
      <c r="E33" s="203"/>
      <c r="F33" s="203"/>
      <c r="G33" s="203"/>
      <c r="H33" s="203"/>
      <c r="I33" s="203"/>
      <c r="J33" s="203"/>
      <c r="K33" s="505"/>
      <c r="M33" s="121" t="str">
        <f t="shared" si="40"/>
        <v>Waste</v>
      </c>
      <c r="N33" s="937"/>
      <c r="O33" s="131">
        <f ca="1">IF(E68=0,O45,(E$75*E8)/E68)</f>
        <v>8.0587078394185139E-3</v>
      </c>
      <c r="P33" s="131">
        <f t="shared" ref="P33:U33" ca="1" si="47">IF(F68=0,P45,(F$75*F8)/F68)</f>
        <v>0.12445769267964171</v>
      </c>
      <c r="Q33" s="131">
        <f t="shared" ca="1" si="47"/>
        <v>5.2731894623741817E-2</v>
      </c>
      <c r="R33" s="131">
        <f t="shared" ca="1" si="47"/>
        <v>8.5758901200116602E-2</v>
      </c>
      <c r="S33" s="131">
        <f t="shared" ca="1" si="47"/>
        <v>0.10240243873461698</v>
      </c>
      <c r="T33" s="131">
        <f t="shared" ca="1" si="47"/>
        <v>0.10649072926487609</v>
      </c>
      <c r="U33" s="708">
        <f t="shared" ca="1" si="47"/>
        <v>0.1086205438501736</v>
      </c>
      <c r="W33" s="124" t="s">
        <v>358</v>
      </c>
      <c r="Y33" s="128">
        <f ca="1">-'Inv. wine'!L246</f>
        <v>-34520.076079727463</v>
      </c>
      <c r="Z33" s="128">
        <f ca="1">-'Inv. wine'!M246</f>
        <v>0</v>
      </c>
      <c r="AA33" s="128">
        <f ca="1">-'Inv. wine'!N246</f>
        <v>0</v>
      </c>
      <c r="AB33" s="128">
        <f ca="1">-'Inv. wine'!O246</f>
        <v>0</v>
      </c>
      <c r="AC33" s="128">
        <f ca="1">-'Inv. wine'!P246</f>
        <v>0</v>
      </c>
      <c r="AD33" s="128">
        <f ca="1">-'Inv. wine'!Q246</f>
        <v>0</v>
      </c>
      <c r="AE33" s="133">
        <f ca="1">-'Inv. wine'!R246</f>
        <v>0</v>
      </c>
    </row>
    <row r="34" spans="2:31" ht="13.5" thickBot="1">
      <c r="B34" s="723" t="s">
        <v>915</v>
      </c>
      <c r="C34" s="202"/>
      <c r="D34" s="202"/>
      <c r="E34" s="719">
        <f t="shared" ref="E34:K34" ca="1" si="48">E11+E24+E32</f>
        <v>303389.09233974339</v>
      </c>
      <c r="F34" s="719">
        <f t="shared" ca="1" si="48"/>
        <v>534462.39512194099</v>
      </c>
      <c r="G34" s="719">
        <f t="shared" ca="1" si="48"/>
        <v>528888.82197900279</v>
      </c>
      <c r="H34" s="719">
        <f t="shared" ca="1" si="48"/>
        <v>598205.27091256157</v>
      </c>
      <c r="I34" s="719">
        <f t="shared" ca="1" si="48"/>
        <v>619225.72126312531</v>
      </c>
      <c r="J34" s="719">
        <f t="shared" ca="1" si="48"/>
        <v>688258.83105544327</v>
      </c>
      <c r="K34" s="720">
        <f t="shared" ca="1" si="48"/>
        <v>673320.71639994602</v>
      </c>
      <c r="M34" s="121" t="str">
        <f t="shared" si="40"/>
        <v>Cost settlement with RCE</v>
      </c>
      <c r="N34" s="937"/>
      <c r="O34" s="131">
        <f ca="1">IF(E68=0,O46,(E$75*E9)/E68)</f>
        <v>1.794100144351586</v>
      </c>
      <c r="P34" s="131">
        <f t="shared" ref="P34:U34" ca="1" si="49">IF(F68=0,P46,(F$75*F9)/F68)</f>
        <v>1.8998393173328691</v>
      </c>
      <c r="Q34" s="131">
        <f t="shared" ca="1" si="49"/>
        <v>2.1380317418347969</v>
      </c>
      <c r="R34" s="131">
        <f t="shared" ca="1" si="49"/>
        <v>2.311075036284854</v>
      </c>
      <c r="S34" s="131">
        <f t="shared" ca="1" si="49"/>
        <v>2.3555306417834236</v>
      </c>
      <c r="T34" s="131">
        <f t="shared" ca="1" si="49"/>
        <v>2.476065703891269</v>
      </c>
      <c r="U34" s="708">
        <f t="shared" ca="1" si="49"/>
        <v>2.5541881967600704</v>
      </c>
      <c r="W34" s="124" t="s">
        <v>429</v>
      </c>
      <c r="Y34" s="125">
        <f ca="1">Y31+Y32+Y33</f>
        <v>0</v>
      </c>
      <c r="Z34" s="125">
        <f t="shared" ref="Z34:AE34" ca="1" si="50">Z31+Z32+Z33</f>
        <v>0</v>
      </c>
      <c r="AA34" s="125">
        <f t="shared" ca="1" si="50"/>
        <v>0</v>
      </c>
      <c r="AB34" s="125">
        <f t="shared" ca="1" si="50"/>
        <v>0</v>
      </c>
      <c r="AC34" s="125">
        <f t="shared" ca="1" si="50"/>
        <v>0</v>
      </c>
      <c r="AD34" s="125">
        <f t="shared" ca="1" si="50"/>
        <v>0</v>
      </c>
      <c r="AE34" s="786">
        <f t="shared" ca="1" si="50"/>
        <v>0</v>
      </c>
    </row>
    <row r="35" spans="2:31" ht="13.5" thickBot="1">
      <c r="B35" s="723"/>
      <c r="C35" s="202"/>
      <c r="D35" s="202"/>
      <c r="E35" s="203"/>
      <c r="F35" s="203"/>
      <c r="G35" s="203"/>
      <c r="H35" s="203"/>
      <c r="I35" s="203"/>
      <c r="J35" s="203"/>
      <c r="K35" s="505"/>
      <c r="M35" s="709" t="str">
        <f t="shared" si="40"/>
        <v>Cost settlement with RCV</v>
      </c>
      <c r="N35" s="937"/>
      <c r="O35" s="699">
        <f t="shared" ref="O35:U35" ca="1" si="51">IF(E68=0,O47,(E$75*E10)/E68)</f>
        <v>9.8811116426607185E-2</v>
      </c>
      <c r="P35" s="699">
        <f t="shared" ca="1" si="51"/>
        <v>3.1363372810831796E-3</v>
      </c>
      <c r="Q35" s="699">
        <f t="shared" ca="1" si="51"/>
        <v>2.6967517888127368E-3</v>
      </c>
      <c r="R35" s="699">
        <f t="shared" ca="1" si="51"/>
        <v>2.6938885379073664E-3</v>
      </c>
      <c r="S35" s="699">
        <f t="shared" ca="1" si="51"/>
        <v>2.6938885379073664E-3</v>
      </c>
      <c r="T35" s="699">
        <f t="shared" ca="1" si="51"/>
        <v>2.6938885379073664E-3</v>
      </c>
      <c r="U35" s="710">
        <f t="shared" ca="1" si="51"/>
        <v>2.6938885379073664E-3</v>
      </c>
      <c r="W35" s="712"/>
      <c r="X35" s="202"/>
      <c r="Y35" s="202"/>
      <c r="Z35" s="202"/>
      <c r="AA35" s="202"/>
      <c r="AB35" s="202"/>
      <c r="AC35" s="202"/>
      <c r="AD35" s="202"/>
      <c r="AE35" s="788"/>
    </row>
    <row r="36" spans="2:31">
      <c r="B36" s="139" t="s">
        <v>786</v>
      </c>
      <c r="C36" s="126"/>
      <c r="D36" s="126"/>
      <c r="E36" s="126"/>
      <c r="F36" s="126"/>
      <c r="G36" s="126"/>
      <c r="H36" s="126"/>
      <c r="I36" s="126"/>
      <c r="J36" s="126"/>
      <c r="K36" s="130"/>
      <c r="M36" s="122" t="str">
        <f t="shared" si="40"/>
        <v>Costprice in production</v>
      </c>
      <c r="N36" s="937"/>
      <c r="O36" s="2808">
        <f t="shared" ref="O36:U36" ca="1" si="52">SUM(O29:O35)</f>
        <v>6.8319268345058823</v>
      </c>
      <c r="P36" s="2808">
        <f t="shared" ca="1" si="52"/>
        <v>5.7497670426344705</v>
      </c>
      <c r="Q36" s="2808">
        <f t="shared" ca="1" si="52"/>
        <v>5.4970070342265709</v>
      </c>
      <c r="R36" s="2808">
        <f t="shared" ca="1" si="52"/>
        <v>5.7669606874332766</v>
      </c>
      <c r="S36" s="2808">
        <f t="shared" ca="1" si="52"/>
        <v>5.8954084876945547</v>
      </c>
      <c r="T36" s="2808">
        <f t="shared" ca="1" si="52"/>
        <v>6.0887274707054306</v>
      </c>
      <c r="U36" s="711">
        <f t="shared" ca="1" si="52"/>
        <v>6.2390493211397571</v>
      </c>
      <c r="W36" s="139" t="str">
        <f>M28</f>
        <v>Classic</v>
      </c>
      <c r="X36" s="126"/>
      <c r="Y36" s="126"/>
      <c r="Z36" s="126"/>
      <c r="AA36" s="126"/>
      <c r="AB36" s="126"/>
      <c r="AC36" s="126"/>
      <c r="AD36" s="126"/>
      <c r="AE36" s="130"/>
    </row>
    <row r="37" spans="2:31">
      <c r="B37" s="709" t="str">
        <f>B9</f>
        <v>Cost settlement with RCE</v>
      </c>
      <c r="E37" s="129">
        <f ca="1">RCE!P61</f>
        <v>107966.86193366458</v>
      </c>
      <c r="F37" s="129">
        <f ca="1">RCE!Q61</f>
        <v>144633.66036038569</v>
      </c>
      <c r="G37" s="129">
        <f ca="1">RCE!R61</f>
        <v>229639.52635261681</v>
      </c>
      <c r="H37" s="129">
        <f ca="1">RCE!S61</f>
        <v>236588.92586003267</v>
      </c>
      <c r="I37" s="129">
        <f ca="1">RCE!T61</f>
        <v>224203.41487629924</v>
      </c>
      <c r="J37" s="129">
        <f ca="1">RCE!U61</f>
        <v>281815.73520839826</v>
      </c>
      <c r="K37" s="132">
        <f ca="1">RCE!V61</f>
        <v>258754.59546552043</v>
      </c>
      <c r="M37" s="722" t="s">
        <v>264</v>
      </c>
      <c r="N37" s="937"/>
      <c r="O37" s="2773">
        <f>IF(E98=0,(E$108*E23)/E101,(E$105*E23)/E98)</f>
        <v>1.1338654441007512</v>
      </c>
      <c r="P37" s="131">
        <f t="shared" ref="P37:U37" si="53">IF(F68=0,0,(F$105*F23)/F98)</f>
        <v>0</v>
      </c>
      <c r="Q37" s="131">
        <f t="shared" si="53"/>
        <v>0</v>
      </c>
      <c r="R37" s="131">
        <f t="shared" si="53"/>
        <v>0</v>
      </c>
      <c r="S37" s="131">
        <f t="shared" si="53"/>
        <v>0</v>
      </c>
      <c r="T37" s="131">
        <f t="shared" si="53"/>
        <v>0</v>
      </c>
      <c r="U37" s="708">
        <f t="shared" si="53"/>
        <v>0</v>
      </c>
      <c r="W37" s="124" t="str">
        <f>W21</f>
        <v>Previous years</v>
      </c>
      <c r="AE37" s="123"/>
    </row>
    <row r="38" spans="2:31">
      <c r="B38" s="124" t="s">
        <v>783</v>
      </c>
      <c r="E38" s="129">
        <f>-'RCE PP&amp;E'!F113</f>
        <v>-41055</v>
      </c>
      <c r="F38" s="129">
        <f ca="1">-'RCE PP&amp;E'!G113</f>
        <v>-84855.059291999991</v>
      </c>
      <c r="G38" s="129">
        <f ca="1">-'RCE PP&amp;E'!H113</f>
        <v>-191740.72675421997</v>
      </c>
      <c r="H38" s="129">
        <f ca="1">-'RCE PP&amp;E'!I113</f>
        <v>-183678.7262248068</v>
      </c>
      <c r="I38" s="129">
        <f ca="1">-'RCE PP&amp;E'!J113</f>
        <v>-153338.92837895607</v>
      </c>
      <c r="J38" s="129">
        <f ca="1">-'RCE PP&amp;E'!K113</f>
        <v>-253464.62395315277</v>
      </c>
      <c r="K38" s="132">
        <f ca="1">-'RCE PP&amp;E'!L113</f>
        <v>-197556.25227569387</v>
      </c>
      <c r="M38" s="124" t="s">
        <v>337</v>
      </c>
      <c r="N38" s="937"/>
      <c r="O38" s="131">
        <f>IF('Inv. mat'!AK11=0,O26,'Inv. mat'!AK11)</f>
        <v>1.9073329325137274</v>
      </c>
      <c r="P38" s="131">
        <f>'Inv. mat'!AL11</f>
        <v>2.4400815072474424</v>
      </c>
      <c r="Q38" s="131">
        <f>'Inv. mat'!AM11</f>
        <v>0</v>
      </c>
      <c r="R38" s="131">
        <f>'Inv. mat'!AN11</f>
        <v>0</v>
      </c>
      <c r="S38" s="131">
        <f>'Inv. mat'!AO11</f>
        <v>0</v>
      </c>
      <c r="T38" s="131">
        <f>'Inv. mat'!AP11</f>
        <v>0</v>
      </c>
      <c r="U38" s="708">
        <f>'Inv. mat'!AQ11</f>
        <v>0</v>
      </c>
      <c r="W38" s="124" t="s">
        <v>624</v>
      </c>
      <c r="X38" s="504" t="s">
        <v>831</v>
      </c>
      <c r="Y38" s="129">
        <f>SUM('Inv. wine'!U6:U12)</f>
        <v>0</v>
      </c>
      <c r="Z38" s="129">
        <f>SUM('Inv. wine'!V6:V12)</f>
        <v>0</v>
      </c>
      <c r="AA38" s="129">
        <f>SUM('Inv. wine'!W6:W12)</f>
        <v>0</v>
      </c>
      <c r="AB38" s="129">
        <f>SUM('Inv. wine'!X6:X12)</f>
        <v>0</v>
      </c>
      <c r="AC38" s="129">
        <f>SUM('Inv. wine'!Y6:Y12)</f>
        <v>0</v>
      </c>
      <c r="AD38" s="129">
        <f>SUM('Inv. wine'!Z6:Z12)</f>
        <v>0</v>
      </c>
      <c r="AE38" s="132">
        <f>SUM('Inv. wine'!AA6:AA12)</f>
        <v>0</v>
      </c>
    </row>
    <row r="39" spans="2:31">
      <c r="B39" s="124" t="s">
        <v>785</v>
      </c>
      <c r="E39" s="128">
        <f>'RCE PP&amp;E'!F115</f>
        <v>0</v>
      </c>
      <c r="F39" s="128">
        <f ca="1">'RCE PP&amp;E'!G115</f>
        <v>42427.529645999995</v>
      </c>
      <c r="G39" s="128">
        <f ca="1">'RCE PP&amp;E'!H115</f>
        <v>95870.363377109985</v>
      </c>
      <c r="H39" s="128">
        <f ca="1">'RCE PP&amp;E'!I115</f>
        <v>91839.3631124034</v>
      </c>
      <c r="I39" s="128">
        <f ca="1">'RCE PP&amp;E'!J115</f>
        <v>76669.464189478036</v>
      </c>
      <c r="J39" s="128">
        <f ca="1">'RCE PP&amp;E'!K115</f>
        <v>126732.31197657638</v>
      </c>
      <c r="K39" s="133">
        <f ca="1">'RCE PP&amp;E'!L115</f>
        <v>98778.126137846935</v>
      </c>
      <c r="M39" s="121"/>
      <c r="N39" s="937"/>
      <c r="O39" s="937"/>
      <c r="P39" s="937"/>
      <c r="Q39" s="937"/>
      <c r="R39" s="937"/>
      <c r="S39" s="937"/>
      <c r="T39" s="937"/>
      <c r="U39" s="123"/>
      <c r="W39" s="124" t="s">
        <v>357</v>
      </c>
      <c r="Y39" s="721">
        <f ca="1">O36</f>
        <v>6.8319268345058823</v>
      </c>
      <c r="Z39" s="721">
        <f t="shared" ref="Z39:AE39" ca="1" si="54">P36</f>
        <v>5.7497670426344705</v>
      </c>
      <c r="AA39" s="721">
        <f t="shared" ca="1" si="54"/>
        <v>5.4970070342265709</v>
      </c>
      <c r="AB39" s="721">
        <f t="shared" ca="1" si="54"/>
        <v>5.7669606874332766</v>
      </c>
      <c r="AC39" s="721">
        <f t="shared" ca="1" si="54"/>
        <v>5.8954084876945547</v>
      </c>
      <c r="AD39" s="721">
        <f t="shared" ca="1" si="54"/>
        <v>6.0887274707054306</v>
      </c>
      <c r="AE39" s="785">
        <f t="shared" ca="1" si="54"/>
        <v>6.2390493211397571</v>
      </c>
    </row>
    <row r="40" spans="2:31">
      <c r="B40" s="124" t="s">
        <v>784</v>
      </c>
      <c r="E40" s="134">
        <f ca="1">E37+E38+E39</f>
        <v>66911.861933664579</v>
      </c>
      <c r="F40" s="134">
        <f t="shared" ref="F40:K40" ca="1" si="55">F37+F38+F39</f>
        <v>102206.1307143857</v>
      </c>
      <c r="G40" s="134">
        <f t="shared" ca="1" si="55"/>
        <v>133769.16297550683</v>
      </c>
      <c r="H40" s="134">
        <f t="shared" ca="1" si="55"/>
        <v>144749.56274762927</v>
      </c>
      <c r="I40" s="134">
        <f t="shared" ca="1" si="55"/>
        <v>147533.95068682119</v>
      </c>
      <c r="J40" s="134">
        <f t="shared" ca="1" si="55"/>
        <v>155083.42323182186</v>
      </c>
      <c r="K40" s="135">
        <f t="shared" ca="1" si="55"/>
        <v>159976.46932767349</v>
      </c>
      <c r="M40" s="122" t="str">
        <f>B60</f>
        <v>Premium</v>
      </c>
      <c r="N40" s="937"/>
      <c r="O40" s="937"/>
      <c r="P40" s="937"/>
      <c r="Q40" s="937"/>
      <c r="R40" s="937"/>
      <c r="S40" s="937"/>
      <c r="T40" s="937"/>
      <c r="U40" s="123"/>
      <c r="W40" s="124" t="str">
        <f>W24</f>
        <v>semi-finished products in tanks</v>
      </c>
      <c r="Y40" s="129">
        <f ca="1">(Y38+Y37)*Y39</f>
        <v>0</v>
      </c>
      <c r="Z40" s="129">
        <f t="shared" ref="Z40:AE40" ca="1" si="56">Z38*Z39</f>
        <v>0</v>
      </c>
      <c r="AA40" s="129">
        <f t="shared" ca="1" si="56"/>
        <v>0</v>
      </c>
      <c r="AB40" s="129">
        <f t="shared" ca="1" si="56"/>
        <v>0</v>
      </c>
      <c r="AC40" s="129">
        <f t="shared" ca="1" si="56"/>
        <v>0</v>
      </c>
      <c r="AD40" s="129">
        <f t="shared" ca="1" si="56"/>
        <v>0</v>
      </c>
      <c r="AE40" s="132">
        <f t="shared" ca="1" si="56"/>
        <v>0</v>
      </c>
    </row>
    <row r="41" spans="2:31">
      <c r="B41" s="121"/>
      <c r="K41" s="123"/>
      <c r="M41" s="121" t="str">
        <f t="shared" ref="M41:M50" si="57">M29</f>
        <v>Direct staff</v>
      </c>
      <c r="N41" s="937"/>
      <c r="O41" s="131">
        <f ca="1">(E$76*E4)/E69</f>
        <v>3.8177603196096039</v>
      </c>
      <c r="P41" s="131">
        <f t="shared" ref="P41:U41" ca="1" si="58">(F$76*F4)/F69</f>
        <v>2.739336393588891</v>
      </c>
      <c r="Q41" s="131">
        <f t="shared" ca="1" si="58"/>
        <v>2.4025019794298861</v>
      </c>
      <c r="R41" s="131">
        <f t="shared" ca="1" si="58"/>
        <v>2.4479501684083469</v>
      </c>
      <c r="S41" s="131">
        <f t="shared" ca="1" si="58"/>
        <v>2.4969091717765135</v>
      </c>
      <c r="T41" s="131">
        <f t="shared" ca="1" si="58"/>
        <v>2.5468473552120439</v>
      </c>
      <c r="U41" s="708">
        <f t="shared" ca="1" si="58"/>
        <v>2.5977843023162843</v>
      </c>
      <c r="W41" s="121"/>
      <c r="Y41" s="129"/>
      <c r="Z41" s="129"/>
      <c r="AA41" s="129"/>
      <c r="AB41" s="129"/>
      <c r="AC41" s="129"/>
      <c r="AD41" s="129"/>
      <c r="AE41" s="132"/>
    </row>
    <row r="42" spans="2:31" ht="13.5" thickBot="1">
      <c r="B42" s="723" t="s">
        <v>787</v>
      </c>
      <c r="C42" s="202"/>
      <c r="D42" s="202"/>
      <c r="E42" s="725">
        <f>-E38-E39</f>
        <v>41055</v>
      </c>
      <c r="F42" s="725">
        <f t="shared" ref="F42:K42" ca="1" si="59">-F38-F39</f>
        <v>42427.529645999995</v>
      </c>
      <c r="G42" s="725">
        <f t="shared" ca="1" si="59"/>
        <v>95870.363377109985</v>
      </c>
      <c r="H42" s="725">
        <f t="shared" ca="1" si="59"/>
        <v>91839.3631124034</v>
      </c>
      <c r="I42" s="725">
        <f t="shared" ca="1" si="59"/>
        <v>76669.464189478036</v>
      </c>
      <c r="J42" s="725">
        <f t="shared" ca="1" si="59"/>
        <v>126732.31197657638</v>
      </c>
      <c r="K42" s="726">
        <f t="shared" ca="1" si="59"/>
        <v>98778.126137846935</v>
      </c>
      <c r="M42" s="121" t="str">
        <f t="shared" si="57"/>
        <v>Seasonal workers</v>
      </c>
      <c r="N42" s="937"/>
      <c r="O42" s="131">
        <f t="shared" ref="O42:U42" ca="1" si="60">(E$76*E5)/E69</f>
        <v>0.55614881419822038</v>
      </c>
      <c r="P42" s="131">
        <f t="shared" ca="1" si="60"/>
        <v>0.46160738464680268</v>
      </c>
      <c r="Q42" s="131">
        <f t="shared" ca="1" si="60"/>
        <v>0.4436387215938673</v>
      </c>
      <c r="R42" s="131">
        <f t="shared" ca="1" si="60"/>
        <v>0.45342398854661692</v>
      </c>
      <c r="S42" s="131">
        <f t="shared" ca="1" si="60"/>
        <v>0.4624924683175492</v>
      </c>
      <c r="T42" s="131">
        <f t="shared" ca="1" si="60"/>
        <v>0.47174231768390024</v>
      </c>
      <c r="U42" s="708">
        <f t="shared" ca="1" si="60"/>
        <v>0.48117716403757832</v>
      </c>
      <c r="W42" s="124" t="s">
        <v>890</v>
      </c>
      <c r="Y42" s="129">
        <f ca="1">'Inv. wine'!U129</f>
        <v>345779.11122975673</v>
      </c>
      <c r="Z42" s="129">
        <f ca="1">'Inv. wine'!V129</f>
        <v>0</v>
      </c>
      <c r="AA42" s="129">
        <f ca="1">'Inv. wine'!W129</f>
        <v>0</v>
      </c>
      <c r="AB42" s="129">
        <f ca="1">'Inv. wine'!X129</f>
        <v>0</v>
      </c>
      <c r="AC42" s="129">
        <f ca="1">'Inv. wine'!Y129</f>
        <v>0</v>
      </c>
      <c r="AD42" s="129">
        <f ca="1">'Inv. wine'!Z129</f>
        <v>0</v>
      </c>
      <c r="AE42" s="132">
        <f ca="1">'Inv. wine'!AA129</f>
        <v>0</v>
      </c>
    </row>
    <row r="43" spans="2:31" ht="13.5" thickBot="1">
      <c r="F43" s="127"/>
      <c r="M43" s="121" t="str">
        <f t="shared" si="57"/>
        <v>Enological materials / addetives</v>
      </c>
      <c r="N43" s="937"/>
      <c r="O43" s="131">
        <f t="shared" ref="O43:U43" ca="1" si="61">(E$76*E6)/E69</f>
        <v>8.9632920131787017E-2</v>
      </c>
      <c r="P43" s="131">
        <f t="shared" ca="1" si="61"/>
        <v>6.2591640543584626E-2</v>
      </c>
      <c r="Q43" s="131">
        <f t="shared" ca="1" si="61"/>
        <v>5.5022444273335969E-2</v>
      </c>
      <c r="R43" s="131">
        <f t="shared" ca="1" si="61"/>
        <v>5.6063305203650292E-2</v>
      </c>
      <c r="S43" s="131">
        <f t="shared" ca="1" si="61"/>
        <v>5.7184571307723302E-2</v>
      </c>
      <c r="T43" s="131">
        <f t="shared" ca="1" si="61"/>
        <v>5.8328262733877763E-2</v>
      </c>
      <c r="U43" s="708">
        <f t="shared" ca="1" si="61"/>
        <v>5.9494827988555314E-2</v>
      </c>
      <c r="W43" s="121"/>
      <c r="AE43" s="123"/>
    </row>
    <row r="44" spans="2:31">
      <c r="B44" s="139" t="s">
        <v>917</v>
      </c>
      <c r="C44" s="826"/>
      <c r="D44" s="826"/>
      <c r="E44" s="826"/>
      <c r="F44" s="826"/>
      <c r="G44" s="826"/>
      <c r="H44" s="826"/>
      <c r="I44" s="826"/>
      <c r="J44" s="826"/>
      <c r="K44" s="846"/>
      <c r="M44" s="121" t="str">
        <f t="shared" si="57"/>
        <v>Operational costs</v>
      </c>
      <c r="N44" s="937"/>
      <c r="O44" s="131">
        <f t="shared" ref="O44:U44" ca="1" si="62">(E$76*E7)/E69</f>
        <v>0.46741481194865891</v>
      </c>
      <c r="P44" s="131">
        <f t="shared" ca="1" si="62"/>
        <v>0.45879827656159761</v>
      </c>
      <c r="Q44" s="131">
        <f t="shared" ca="1" si="62"/>
        <v>0.40238350068212975</v>
      </c>
      <c r="R44" s="131">
        <f t="shared" ca="1" si="62"/>
        <v>0.4099953992517848</v>
      </c>
      <c r="S44" s="131">
        <f t="shared" ca="1" si="62"/>
        <v>0.41819530723682058</v>
      </c>
      <c r="T44" s="131">
        <f t="shared" ca="1" si="62"/>
        <v>0.426559213381557</v>
      </c>
      <c r="U44" s="708">
        <f t="shared" ca="1" si="62"/>
        <v>0.43509039764918805</v>
      </c>
      <c r="W44" s="122" t="str">
        <f>W28</f>
        <v>semi-finished products</v>
      </c>
      <c r="Y44" s="129">
        <f t="shared" ref="Y44:AE44" ca="1" si="63">Y40+Y42</f>
        <v>345779.11122975673</v>
      </c>
      <c r="Z44" s="129">
        <f t="shared" ca="1" si="63"/>
        <v>0</v>
      </c>
      <c r="AA44" s="129">
        <f t="shared" ca="1" si="63"/>
        <v>0</v>
      </c>
      <c r="AB44" s="129">
        <f t="shared" ca="1" si="63"/>
        <v>0</v>
      </c>
      <c r="AC44" s="129">
        <f t="shared" ca="1" si="63"/>
        <v>0</v>
      </c>
      <c r="AD44" s="129">
        <f t="shared" ca="1" si="63"/>
        <v>0</v>
      </c>
      <c r="AE44" s="132">
        <f t="shared" ca="1" si="63"/>
        <v>0</v>
      </c>
    </row>
    <row r="45" spans="2:31">
      <c r="B45" s="124" t="str">
        <f>B19</f>
        <v>Semi-finished products in tanks</v>
      </c>
      <c r="C45" s="504"/>
      <c r="D45" s="504"/>
      <c r="E45" s="825">
        <f ca="1">Y89</f>
        <v>254800.12725631412</v>
      </c>
      <c r="F45" s="825">
        <f t="shared" ref="F45:K45" ca="1" si="64">F19</f>
        <v>309321.65503436729</v>
      </c>
      <c r="G45" s="825">
        <f t="shared" ca="1" si="64"/>
        <v>343928.49060693674</v>
      </c>
      <c r="H45" s="825">
        <f t="shared" ca="1" si="64"/>
        <v>361202.04873600841</v>
      </c>
      <c r="I45" s="825">
        <f t="shared" ca="1" si="64"/>
        <v>369247.11980977305</v>
      </c>
      <c r="J45" s="825">
        <f t="shared" ca="1" si="64"/>
        <v>381355.26767269324</v>
      </c>
      <c r="K45" s="827">
        <f t="shared" ca="1" si="64"/>
        <v>390770.37613094639</v>
      </c>
      <c r="M45" s="121" t="str">
        <f t="shared" si="57"/>
        <v>Waste</v>
      </c>
      <c r="N45" s="937"/>
      <c r="O45" s="131">
        <f t="shared" ref="O45:U45" ca="1" si="65">(E$76*E8)/E69</f>
        <v>8.0587078394185139E-3</v>
      </c>
      <c r="P45" s="131">
        <f t="shared" ca="1" si="65"/>
        <v>0.12445769267964171</v>
      </c>
      <c r="Q45" s="131">
        <f t="shared" ca="1" si="65"/>
        <v>5.2731894623741817E-2</v>
      </c>
      <c r="R45" s="131">
        <f t="shared" ca="1" si="65"/>
        <v>8.5758901200116602E-2</v>
      </c>
      <c r="S45" s="131">
        <f t="shared" ca="1" si="65"/>
        <v>0.10240243873461698</v>
      </c>
      <c r="T45" s="131">
        <f t="shared" ca="1" si="65"/>
        <v>0.10649072926487609</v>
      </c>
      <c r="U45" s="708">
        <f t="shared" ca="1" si="65"/>
        <v>0.1086205438501736</v>
      </c>
      <c r="W45" s="122"/>
      <c r="Y45" s="129"/>
      <c r="Z45" s="129"/>
      <c r="AA45" s="129"/>
      <c r="AB45" s="129"/>
      <c r="AC45" s="129"/>
      <c r="AD45" s="129"/>
      <c r="AE45" s="132"/>
    </row>
    <row r="46" spans="2:31">
      <c r="B46" s="124"/>
      <c r="C46" s="504"/>
      <c r="D46" s="504"/>
      <c r="E46" s="504"/>
      <c r="F46" s="504"/>
      <c r="G46" s="504"/>
      <c r="H46" s="504"/>
      <c r="I46" s="504"/>
      <c r="J46" s="504"/>
      <c r="K46" s="847"/>
      <c r="M46" s="121" t="str">
        <f t="shared" si="57"/>
        <v>Cost settlement with RCE</v>
      </c>
      <c r="N46" s="937"/>
      <c r="O46" s="131">
        <f t="shared" ref="O46:U46" ca="1" si="66">(E$76*E9)/E69</f>
        <v>1.794100144351586</v>
      </c>
      <c r="P46" s="131">
        <f t="shared" ca="1" si="66"/>
        <v>1.8998393173328691</v>
      </c>
      <c r="Q46" s="131">
        <f t="shared" ca="1" si="66"/>
        <v>2.1380317418347969</v>
      </c>
      <c r="R46" s="131">
        <f t="shared" ca="1" si="66"/>
        <v>2.311075036284854</v>
      </c>
      <c r="S46" s="131">
        <f t="shared" ca="1" si="66"/>
        <v>2.3555306417834236</v>
      </c>
      <c r="T46" s="131">
        <f t="shared" ca="1" si="66"/>
        <v>2.476065703891269</v>
      </c>
      <c r="U46" s="708">
        <f t="shared" ca="1" si="66"/>
        <v>2.5541881967600704</v>
      </c>
      <c r="W46" s="122" t="s">
        <v>841</v>
      </c>
      <c r="AE46" s="123"/>
    </row>
    <row r="47" spans="2:31">
      <c r="B47" s="122" t="s">
        <v>912</v>
      </c>
      <c r="C47" s="504"/>
      <c r="D47" s="504"/>
      <c r="E47" s="504"/>
      <c r="F47" s="504"/>
      <c r="G47" s="504"/>
      <c r="H47" s="504"/>
      <c r="I47" s="504"/>
      <c r="J47" s="504"/>
      <c r="K47" s="847"/>
      <c r="M47" s="709" t="str">
        <f t="shared" si="57"/>
        <v>Cost settlement with RCV</v>
      </c>
      <c r="N47" s="937"/>
      <c r="O47" s="699">
        <f t="shared" ref="O47:U47" ca="1" si="67">(E$76*E10)/E69</f>
        <v>9.8811116426607185E-2</v>
      </c>
      <c r="P47" s="699">
        <f ca="1">(F$76*F10)/F69</f>
        <v>3.1363372810831796E-3</v>
      </c>
      <c r="Q47" s="699">
        <f t="shared" ca="1" si="67"/>
        <v>2.6967517888127368E-3</v>
      </c>
      <c r="R47" s="699">
        <f t="shared" ca="1" si="67"/>
        <v>2.6938885379073664E-3</v>
      </c>
      <c r="S47" s="699">
        <f t="shared" ca="1" si="67"/>
        <v>2.6938885379073664E-3</v>
      </c>
      <c r="T47" s="699">
        <f t="shared" ca="1" si="67"/>
        <v>2.6938885379073664E-3</v>
      </c>
      <c r="U47" s="710">
        <f t="shared" ca="1" si="67"/>
        <v>2.6938885379073664E-3</v>
      </c>
      <c r="W47" s="124" t="s">
        <v>842</v>
      </c>
      <c r="Y47" s="729">
        <f ca="1">'Inv. start'!F156</f>
        <v>159811.3412297997</v>
      </c>
      <c r="Z47" s="129">
        <f t="shared" ref="Z47:AE47" ca="1" si="68">Y50</f>
        <v>159811.3412297997</v>
      </c>
      <c r="AA47" s="129">
        <f t="shared" ca="1" si="68"/>
        <v>555595.53417427605</v>
      </c>
      <c r="AB47" s="129">
        <f t="shared" ca="1" si="68"/>
        <v>451700.63757765654</v>
      </c>
      <c r="AC47" s="129">
        <f t="shared" ca="1" si="68"/>
        <v>451700.63757765654</v>
      </c>
      <c r="AD47" s="129">
        <f t="shared" ca="1" si="68"/>
        <v>451700.63757765654</v>
      </c>
      <c r="AE47" s="132">
        <f t="shared" ca="1" si="68"/>
        <v>451700.63757765654</v>
      </c>
    </row>
    <row r="48" spans="2:31">
      <c r="B48" s="124" t="str">
        <f>M4</f>
        <v>White</v>
      </c>
      <c r="C48" s="504"/>
      <c r="D48" s="504"/>
      <c r="E48" s="848">
        <f>Y10</f>
        <v>0</v>
      </c>
      <c r="F48" s="848">
        <f t="shared" ref="F48:K48" si="69">Z10</f>
        <v>0</v>
      </c>
      <c r="G48" s="848">
        <f t="shared" si="69"/>
        <v>0</v>
      </c>
      <c r="H48" s="848">
        <f t="shared" si="69"/>
        <v>0</v>
      </c>
      <c r="I48" s="848">
        <f t="shared" si="69"/>
        <v>0</v>
      </c>
      <c r="J48" s="848">
        <f t="shared" si="69"/>
        <v>0</v>
      </c>
      <c r="K48" s="849">
        <f t="shared" si="69"/>
        <v>0</v>
      </c>
      <c r="M48" s="122" t="str">
        <f t="shared" si="57"/>
        <v>Costprice in production</v>
      </c>
      <c r="N48" s="937"/>
      <c r="O48" s="684">
        <f ca="1">SUM(O41:O47)</f>
        <v>6.8319268345058823</v>
      </c>
      <c r="P48" s="684">
        <f t="shared" ref="P48:U48" ca="1" si="70">SUM(P41:P47)</f>
        <v>5.7497670426344705</v>
      </c>
      <c r="Q48" s="684">
        <f t="shared" ca="1" si="70"/>
        <v>5.4970070342265709</v>
      </c>
      <c r="R48" s="684">
        <f t="shared" ca="1" si="70"/>
        <v>5.7669606874332766</v>
      </c>
      <c r="S48" s="684">
        <f t="shared" ca="1" si="70"/>
        <v>5.8954084876945547</v>
      </c>
      <c r="T48" s="684">
        <f t="shared" ca="1" si="70"/>
        <v>6.0887274707054306</v>
      </c>
      <c r="U48" s="685">
        <f t="shared" ca="1" si="70"/>
        <v>6.2390493211397571</v>
      </c>
      <c r="W48" s="124" t="str">
        <f>W32</f>
        <v>Ready product in fiscal year</v>
      </c>
      <c r="Y48" s="129">
        <f ca="1">'Inv. wine'!U202-Y47</f>
        <v>0</v>
      </c>
      <c r="Z48" s="129">
        <f ca="1">'Inv. wine'!V202</f>
        <v>451698.16929635371</v>
      </c>
      <c r="AA48" s="129">
        <f ca="1">'Inv. wine'!W202</f>
        <v>0</v>
      </c>
      <c r="AB48" s="129">
        <f ca="1">'Inv. wine'!X202</f>
        <v>0</v>
      </c>
      <c r="AC48" s="129">
        <f ca="1">'Inv. wine'!Y202</f>
        <v>0</v>
      </c>
      <c r="AD48" s="129">
        <f ca="1">'Inv. wine'!Z202</f>
        <v>0</v>
      </c>
      <c r="AE48" s="132">
        <f ca="1">'Inv. wine'!AA202</f>
        <v>0</v>
      </c>
    </row>
    <row r="49" spans="2:31">
      <c r="B49" s="124" t="str">
        <f>B15</f>
        <v>Rose</v>
      </c>
      <c r="C49" s="504"/>
      <c r="D49" s="504"/>
      <c r="E49" s="825">
        <f ca="1">Y26</f>
        <v>0</v>
      </c>
      <c r="F49" s="848">
        <f t="shared" ref="F49:K49" ca="1" si="71">Z26</f>
        <v>0</v>
      </c>
      <c r="G49" s="848">
        <f t="shared" ca="1" si="71"/>
        <v>0</v>
      </c>
      <c r="H49" s="848">
        <f t="shared" ca="1" si="71"/>
        <v>0</v>
      </c>
      <c r="I49" s="848">
        <f t="shared" ca="1" si="71"/>
        <v>0</v>
      </c>
      <c r="J49" s="848">
        <f t="shared" ca="1" si="71"/>
        <v>0</v>
      </c>
      <c r="K49" s="849">
        <f t="shared" ca="1" si="71"/>
        <v>0</v>
      </c>
      <c r="M49" s="709" t="str">
        <f t="shared" si="57"/>
        <v>Barrels</v>
      </c>
      <c r="N49" s="937"/>
      <c r="O49" s="131">
        <f>O37</f>
        <v>1.1338654441007512</v>
      </c>
      <c r="P49" s="131">
        <f t="shared" ref="P49:U49" ca="1" si="72">(F$106*F23)/F99</f>
        <v>1.1919184640409033</v>
      </c>
      <c r="Q49" s="131">
        <f t="shared" ca="1" si="72"/>
        <v>1.880069095309356</v>
      </c>
      <c r="R49" s="131">
        <f t="shared" ca="1" si="72"/>
        <v>1.5494822613487778</v>
      </c>
      <c r="S49" s="131">
        <f t="shared" ca="1" si="72"/>
        <v>1.2924506361908605</v>
      </c>
      <c r="T49" s="131">
        <f t="shared" ca="1" si="72"/>
        <v>2.1363819216900657</v>
      </c>
      <c r="U49" s="708">
        <f t="shared" ca="1" si="72"/>
        <v>1.6651460045826423</v>
      </c>
      <c r="W49" s="124" t="s">
        <v>358</v>
      </c>
      <c r="Y49" s="128">
        <f ca="1">-'Inv. wine'!U246</f>
        <v>0</v>
      </c>
      <c r="Z49" s="128">
        <f ca="1">-'Inv. wine'!V246</f>
        <v>-55913.976351877383</v>
      </c>
      <c r="AA49" s="128">
        <f ca="1">-'Inv. wine'!W246</f>
        <v>-103894.89659661948</v>
      </c>
      <c r="AB49" s="128">
        <f ca="1">-'Inv. wine'!X246</f>
        <v>0</v>
      </c>
      <c r="AC49" s="128">
        <f ca="1">-'Inv. wine'!Y246</f>
        <v>0</v>
      </c>
      <c r="AD49" s="128">
        <f ca="1">-'Inv. wine'!Z246</f>
        <v>0</v>
      </c>
      <c r="AE49" s="133">
        <f ca="1">-'Inv. wine'!AA246</f>
        <v>0</v>
      </c>
    </row>
    <row r="50" spans="2:31">
      <c r="B50" s="124" t="str">
        <f>B16</f>
        <v>Classic</v>
      </c>
      <c r="C50" s="504"/>
      <c r="D50" s="504"/>
      <c r="E50" s="825">
        <f ca="1">Y42</f>
        <v>345779.11122975673</v>
      </c>
      <c r="F50" s="825">
        <f t="shared" ref="F50:K50" ca="1" si="73">Z42</f>
        <v>0</v>
      </c>
      <c r="G50" s="825">
        <f t="shared" ca="1" si="73"/>
        <v>0</v>
      </c>
      <c r="H50" s="825">
        <f t="shared" ca="1" si="73"/>
        <v>0</v>
      </c>
      <c r="I50" s="825">
        <f t="shared" ca="1" si="73"/>
        <v>0</v>
      </c>
      <c r="J50" s="825">
        <f t="shared" ca="1" si="73"/>
        <v>0</v>
      </c>
      <c r="K50" s="827">
        <f t="shared" ca="1" si="73"/>
        <v>0</v>
      </c>
      <c r="M50" s="121" t="str">
        <f t="shared" si="57"/>
        <v>Bottling</v>
      </c>
      <c r="N50" s="937"/>
      <c r="O50" s="131">
        <f>IF('Inv. mat'!AV11=0,O38,'Inv. mat'!AV11)</f>
        <v>1.9073329325137274</v>
      </c>
      <c r="P50" s="131">
        <f ca="1">IF('Inv. mat'!AW11=0,O50*(1+Opex!E28),'Inv. mat'!AW11)</f>
        <v>2.6109247376322027</v>
      </c>
      <c r="Q50" s="131">
        <f ca="1">IF('Inv. mat'!AX11=0,P50*(1+Opex!F28),'Inv. mat'!AX11)</f>
        <v>2.6644887371457942</v>
      </c>
      <c r="R50" s="131">
        <f ca="1">IF('Inv. mat'!AY11=0,Q50*(1+Opex!G28),'Inv. mat'!AY11)</f>
        <v>2.7189794828167764</v>
      </c>
      <c r="S50" s="131">
        <f ca="1">IF('Inv. mat'!AZ11=0,R50*(1+Opex!H28),'Inv. mat'!AZ11)</f>
        <v>2.7721925512561634</v>
      </c>
      <c r="T50" s="131">
        <f ca="1">IF('Inv. mat'!BA11=0,S50*(1+Opex!I28),'Inv. mat'!BA11)</f>
        <v>2.8269637505361245</v>
      </c>
      <c r="U50" s="708">
        <f ca="1">IF('Inv. mat'!BB11=0,T50*(1+Opex!J28),'Inv. mat'!BB11)</f>
        <v>2.8835611401676666</v>
      </c>
      <c r="W50" s="124" t="s">
        <v>429</v>
      </c>
      <c r="Y50" s="129">
        <f t="shared" ref="Y50:AE50" ca="1" si="74">Y47+Y48+Y49</f>
        <v>159811.3412297997</v>
      </c>
      <c r="Z50" s="129">
        <f t="shared" ca="1" si="74"/>
        <v>555595.53417427605</v>
      </c>
      <c r="AA50" s="129">
        <f t="shared" ca="1" si="74"/>
        <v>451700.63757765654</v>
      </c>
      <c r="AB50" s="129">
        <f t="shared" ca="1" si="74"/>
        <v>451700.63757765654</v>
      </c>
      <c r="AC50" s="129">
        <f t="shared" ca="1" si="74"/>
        <v>451700.63757765654</v>
      </c>
      <c r="AD50" s="129">
        <f t="shared" ca="1" si="74"/>
        <v>451700.63757765654</v>
      </c>
      <c r="AE50" s="132">
        <f t="shared" ca="1" si="74"/>
        <v>451700.63757765654</v>
      </c>
    </row>
    <row r="51" spans="2:31" ht="13.5" thickBot="1">
      <c r="B51" s="124" t="str">
        <f>B17</f>
        <v>Premium</v>
      </c>
      <c r="C51" s="504"/>
      <c r="D51" s="504"/>
      <c r="E51" s="825">
        <f ca="1">+Y58</f>
        <v>224037.90783581155</v>
      </c>
      <c r="F51" s="825">
        <f t="shared" ref="F51:K51" ca="1" si="75">+Z58</f>
        <v>251314.85859578388</v>
      </c>
      <c r="G51" s="825">
        <f t="shared" ca="1" si="75"/>
        <v>346150.40590623551</v>
      </c>
      <c r="H51" s="825">
        <f t="shared" ca="1" si="75"/>
        <v>371674.12438441737</v>
      </c>
      <c r="I51" s="825">
        <f t="shared" ca="1" si="75"/>
        <v>372708.68024205993</v>
      </c>
      <c r="J51" s="825">
        <f t="shared" ca="1" si="75"/>
        <v>424046.40645387041</v>
      </c>
      <c r="K51" s="827">
        <f t="shared" ca="1" si="75"/>
        <v>409373.50400130911</v>
      </c>
      <c r="M51" s="121"/>
      <c r="N51" s="937"/>
      <c r="O51" s="937"/>
      <c r="P51" s="937"/>
      <c r="Q51" s="937"/>
      <c r="R51" s="937"/>
      <c r="S51" s="937"/>
      <c r="T51" s="937"/>
      <c r="U51" s="123"/>
      <c r="W51" s="712"/>
      <c r="X51" s="202"/>
      <c r="Y51" s="202"/>
      <c r="Z51" s="202"/>
      <c r="AA51" s="202"/>
      <c r="AB51" s="202"/>
      <c r="AC51" s="202"/>
      <c r="AD51" s="202"/>
      <c r="AE51" s="788"/>
    </row>
    <row r="52" spans="2:31">
      <c r="B52" s="124" t="str">
        <f>B18</f>
        <v>Selection individuelle</v>
      </c>
      <c r="C52" s="504"/>
      <c r="D52" s="504"/>
      <c r="E52" s="824">
        <f t="shared" ref="E52:K52" ca="1" si="76">+Y74</f>
        <v>0</v>
      </c>
      <c r="F52" s="824">
        <f t="shared" ca="1" si="76"/>
        <v>34301.938651287506</v>
      </c>
      <c r="G52" s="824">
        <f t="shared" ca="1" si="76"/>
        <v>77219.766927221528</v>
      </c>
      <c r="H52" s="824">
        <f t="shared" ca="1" si="76"/>
        <v>88896.170929563174</v>
      </c>
      <c r="I52" s="824">
        <f t="shared" ca="1" si="76"/>
        <v>92041.001540276658</v>
      </c>
      <c r="J52" s="824">
        <f t="shared" ca="1" si="76"/>
        <v>98470.091307882161</v>
      </c>
      <c r="K52" s="828">
        <f t="shared" ca="1" si="76"/>
        <v>103001.45684748935</v>
      </c>
      <c r="M52" s="122"/>
      <c r="N52" s="937"/>
      <c r="O52" s="2808"/>
      <c r="P52" s="2808"/>
      <c r="Q52" s="2808"/>
      <c r="R52" s="2808"/>
      <c r="S52" s="2808"/>
      <c r="T52" s="2808"/>
      <c r="U52" s="711"/>
      <c r="W52" s="139" t="str">
        <f>M40</f>
        <v>Premium</v>
      </c>
      <c r="X52" s="126"/>
      <c r="Y52" s="126"/>
      <c r="Z52" s="126"/>
      <c r="AA52" s="126"/>
      <c r="AB52" s="126"/>
      <c r="AC52" s="126"/>
      <c r="AD52" s="126"/>
      <c r="AE52" s="130"/>
    </row>
    <row r="53" spans="2:31">
      <c r="B53" s="124" t="s">
        <v>26</v>
      </c>
      <c r="C53" s="504"/>
      <c r="D53" s="504"/>
      <c r="E53" s="825">
        <f t="shared" ref="E53:K53" ca="1" si="77">SUM(E48:E52)</f>
        <v>569817.01906556822</v>
      </c>
      <c r="F53" s="825">
        <f t="shared" ca="1" si="77"/>
        <v>285616.7972470714</v>
      </c>
      <c r="G53" s="825">
        <f t="shared" ca="1" si="77"/>
        <v>423370.17283345701</v>
      </c>
      <c r="H53" s="825">
        <f t="shared" ca="1" si="77"/>
        <v>460570.29531398055</v>
      </c>
      <c r="I53" s="825">
        <f t="shared" ca="1" si="77"/>
        <v>464749.68178233656</v>
      </c>
      <c r="J53" s="825">
        <f t="shared" ca="1" si="77"/>
        <v>522516.49776175257</v>
      </c>
      <c r="K53" s="827">
        <f t="shared" ca="1" si="77"/>
        <v>512374.96084879845</v>
      </c>
      <c r="M53" s="122" t="str">
        <f>B61</f>
        <v>Selection individuelle</v>
      </c>
      <c r="N53" s="937"/>
      <c r="O53" s="937"/>
      <c r="P53" s="937"/>
      <c r="Q53" s="937"/>
      <c r="R53" s="937"/>
      <c r="S53" s="937"/>
      <c r="T53" s="937"/>
      <c r="U53" s="123"/>
      <c r="W53" s="124" t="str">
        <f>W37</f>
        <v>Previous years</v>
      </c>
      <c r="AE53" s="123"/>
    </row>
    <row r="54" spans="2:31">
      <c r="B54" s="124"/>
      <c r="C54" s="504"/>
      <c r="D54" s="504"/>
      <c r="E54" s="504"/>
      <c r="F54" s="504"/>
      <c r="G54" s="504"/>
      <c r="H54" s="504"/>
      <c r="I54" s="504"/>
      <c r="J54" s="504"/>
      <c r="K54" s="847"/>
      <c r="M54" s="121" t="str">
        <f t="shared" ref="M54:M63" si="78">M41</f>
        <v>Direct staff</v>
      </c>
      <c r="N54" s="937"/>
      <c r="O54" s="131">
        <f t="shared" ref="O54:U54" ca="1" si="79">(E$77*E4)/E70</f>
        <v>3.8177603196096044</v>
      </c>
      <c r="P54" s="131">
        <f t="shared" ca="1" si="79"/>
        <v>2.7393363935888915</v>
      </c>
      <c r="Q54" s="131">
        <f t="shared" ca="1" si="79"/>
        <v>2.4025019794298865</v>
      </c>
      <c r="R54" s="131">
        <f t="shared" ca="1" si="79"/>
        <v>2.4479501684083473</v>
      </c>
      <c r="S54" s="131">
        <f t="shared" ca="1" si="79"/>
        <v>2.4969091717765139</v>
      </c>
      <c r="T54" s="131">
        <f t="shared" ca="1" si="79"/>
        <v>2.5468473552120439</v>
      </c>
      <c r="U54" s="708">
        <f t="shared" ca="1" si="79"/>
        <v>2.5977843023162848</v>
      </c>
      <c r="W54" s="124" t="s">
        <v>624</v>
      </c>
      <c r="X54" s="504" t="s">
        <v>831</v>
      </c>
      <c r="Y54" s="129">
        <f ca="1">SUM('Inv. wine'!AD6:AD12)</f>
        <v>31321</v>
      </c>
      <c r="Z54" s="129">
        <f ca="1">SUM('Inv. wine'!AE6:AE12)</f>
        <v>45368</v>
      </c>
      <c r="AA54" s="129">
        <f ca="1">SUM('Inv. wine'!AF6:AF12)</f>
        <v>52746</v>
      </c>
      <c r="AB54" s="129">
        <f ca="1">SUM('Inv. wine'!AG6:AG12)</f>
        <v>52796</v>
      </c>
      <c r="AC54" s="129">
        <f ca="1">SUM('Inv. wine'!AH6:AH12)</f>
        <v>52796</v>
      </c>
      <c r="AD54" s="129">
        <f ca="1">SUM('Inv. wine'!AI6:AI12)</f>
        <v>52796</v>
      </c>
      <c r="AE54" s="132">
        <f ca="1">SUM('Inv. wine'!AJ6:AJ12)</f>
        <v>52796</v>
      </c>
    </row>
    <row r="55" spans="2:31" ht="13.5" thickBot="1">
      <c r="B55" s="723" t="s">
        <v>891</v>
      </c>
      <c r="C55" s="823"/>
      <c r="D55" s="823"/>
      <c r="E55" s="719">
        <f ca="1">E45+E53</f>
        <v>824617.14632188238</v>
      </c>
      <c r="F55" s="719">
        <f t="shared" ref="F55:K55" ca="1" si="80">F19+F53</f>
        <v>594938.45228143875</v>
      </c>
      <c r="G55" s="719">
        <f t="shared" ca="1" si="80"/>
        <v>767298.66344039375</v>
      </c>
      <c r="H55" s="719">
        <f t="shared" ca="1" si="80"/>
        <v>821772.34404998901</v>
      </c>
      <c r="I55" s="719">
        <f t="shared" ca="1" si="80"/>
        <v>833996.80159210961</v>
      </c>
      <c r="J55" s="719">
        <f t="shared" ca="1" si="80"/>
        <v>903871.76543444581</v>
      </c>
      <c r="K55" s="720">
        <f t="shared" ca="1" si="80"/>
        <v>903145.33697974484</v>
      </c>
      <c r="M55" s="121" t="str">
        <f t="shared" si="78"/>
        <v>Seasonal workers</v>
      </c>
      <c r="N55" s="937"/>
      <c r="O55" s="131">
        <f t="shared" ref="O55:U55" ca="1" si="81">(E$77*E5)/E70</f>
        <v>0.55614881419822049</v>
      </c>
      <c r="P55" s="131">
        <f t="shared" ca="1" si="81"/>
        <v>0.46160738464680268</v>
      </c>
      <c r="Q55" s="131">
        <f t="shared" ca="1" si="81"/>
        <v>0.44363872159386736</v>
      </c>
      <c r="R55" s="131">
        <f t="shared" ca="1" si="81"/>
        <v>0.45342398854661692</v>
      </c>
      <c r="S55" s="131">
        <f t="shared" ca="1" si="81"/>
        <v>0.46249246831754931</v>
      </c>
      <c r="T55" s="131">
        <f t="shared" ca="1" si="81"/>
        <v>0.47174231768390029</v>
      </c>
      <c r="U55" s="708">
        <f t="shared" ca="1" si="81"/>
        <v>0.48117716403757838</v>
      </c>
      <c r="W55" s="124" t="s">
        <v>357</v>
      </c>
      <c r="Y55" s="721">
        <f t="shared" ref="Y55:AE55" ca="1" si="82">O48</f>
        <v>6.8319268345058823</v>
      </c>
      <c r="Z55" s="721">
        <f t="shared" ca="1" si="82"/>
        <v>5.7497670426344705</v>
      </c>
      <c r="AA55" s="721">
        <f t="shared" ca="1" si="82"/>
        <v>5.4970070342265709</v>
      </c>
      <c r="AB55" s="721">
        <f t="shared" ca="1" si="82"/>
        <v>5.7669606874332766</v>
      </c>
      <c r="AC55" s="721">
        <f t="shared" ca="1" si="82"/>
        <v>5.8954084876945547</v>
      </c>
      <c r="AD55" s="721">
        <f t="shared" ca="1" si="82"/>
        <v>6.0887274707054306</v>
      </c>
      <c r="AE55" s="785">
        <f t="shared" ca="1" si="82"/>
        <v>6.2390493211397571</v>
      </c>
    </row>
    <row r="56" spans="2:31">
      <c r="B56" s="139" t="s">
        <v>900</v>
      </c>
      <c r="C56" s="126"/>
      <c r="D56" s="126"/>
      <c r="E56" s="226"/>
      <c r="F56" s="226"/>
      <c r="G56" s="226"/>
      <c r="H56" s="226"/>
      <c r="I56" s="226"/>
      <c r="J56" s="226"/>
      <c r="K56" s="836"/>
      <c r="M56" s="121" t="str">
        <f t="shared" si="78"/>
        <v>Enological materials / addetives</v>
      </c>
      <c r="N56" s="937"/>
      <c r="O56" s="131">
        <f t="shared" ref="O56:U56" ca="1" si="83">(E$77*E6)/E70</f>
        <v>8.9632920131787017E-2</v>
      </c>
      <c r="P56" s="131">
        <f t="shared" ca="1" si="83"/>
        <v>6.2591640543584626E-2</v>
      </c>
      <c r="Q56" s="131">
        <f t="shared" ca="1" si="83"/>
        <v>5.5022444273335976E-2</v>
      </c>
      <c r="R56" s="131">
        <f t="shared" ca="1" si="83"/>
        <v>5.6063305203650299E-2</v>
      </c>
      <c r="S56" s="131">
        <f t="shared" ca="1" si="83"/>
        <v>5.7184571307723302E-2</v>
      </c>
      <c r="T56" s="131">
        <f t="shared" ca="1" si="83"/>
        <v>5.832826273387777E-2</v>
      </c>
      <c r="U56" s="708">
        <f t="shared" ca="1" si="83"/>
        <v>5.9494827988555321E-2</v>
      </c>
      <c r="W56" s="124" t="str">
        <f>W40</f>
        <v>semi-finished products in tanks</v>
      </c>
      <c r="Y56" s="129">
        <f ca="1">(Y54+Y53)*Y55</f>
        <v>213982.78038355874</v>
      </c>
      <c r="Z56" s="129">
        <f t="shared" ref="Z56:AE56" ca="1" si="84">Z54*Z55</f>
        <v>260855.43119024066</v>
      </c>
      <c r="AA56" s="129">
        <f t="shared" ca="1" si="84"/>
        <v>289945.13302731473</v>
      </c>
      <c r="AB56" s="129">
        <f t="shared" ca="1" si="84"/>
        <v>304472.45645372727</v>
      </c>
      <c r="AC56" s="129">
        <f t="shared" ca="1" si="84"/>
        <v>311253.98651632172</v>
      </c>
      <c r="AD56" s="129">
        <f t="shared" ca="1" si="84"/>
        <v>321460.45554336393</v>
      </c>
      <c r="AE56" s="132">
        <f t="shared" ca="1" si="84"/>
        <v>329396.84795889462</v>
      </c>
    </row>
    <row r="57" spans="2:31">
      <c r="B57" s="121" t="str">
        <f>B66</f>
        <v>White</v>
      </c>
      <c r="E57" s="129">
        <f ca="1">Y18</f>
        <v>0</v>
      </c>
      <c r="F57" s="129">
        <f t="shared" ref="F57:K57" ca="1" si="85">Z18</f>
        <v>0</v>
      </c>
      <c r="G57" s="129">
        <f t="shared" ca="1" si="85"/>
        <v>0</v>
      </c>
      <c r="H57" s="129">
        <f t="shared" ca="1" si="85"/>
        <v>0</v>
      </c>
      <c r="I57" s="129">
        <f t="shared" ca="1" si="85"/>
        <v>0</v>
      </c>
      <c r="J57" s="129">
        <f t="shared" ca="1" si="85"/>
        <v>0</v>
      </c>
      <c r="K57" s="132">
        <f t="shared" ca="1" si="85"/>
        <v>0</v>
      </c>
      <c r="M57" s="121" t="str">
        <f t="shared" si="78"/>
        <v>Operational costs</v>
      </c>
      <c r="N57" s="937"/>
      <c r="O57" s="131">
        <f t="shared" ref="O57:U57" ca="1" si="86">(E$77*E7)/E70</f>
        <v>0.46741481194865886</v>
      </c>
      <c r="P57" s="131">
        <f t="shared" ca="1" si="86"/>
        <v>0.45879827656159761</v>
      </c>
      <c r="Q57" s="131">
        <f t="shared" ca="1" si="86"/>
        <v>0.4023835006821298</v>
      </c>
      <c r="R57" s="131">
        <f t="shared" ca="1" si="86"/>
        <v>0.40999539925178485</v>
      </c>
      <c r="S57" s="131">
        <f t="shared" ca="1" si="86"/>
        <v>0.41819530723682063</v>
      </c>
      <c r="T57" s="131">
        <f t="shared" ca="1" si="86"/>
        <v>0.42655921338155706</v>
      </c>
      <c r="U57" s="708">
        <f t="shared" ca="1" si="86"/>
        <v>0.43509039764918817</v>
      </c>
      <c r="W57" s="121"/>
      <c r="AE57" s="123"/>
    </row>
    <row r="58" spans="2:31">
      <c r="B58" s="121" t="str">
        <f>B67</f>
        <v>Rose</v>
      </c>
      <c r="E58" s="129">
        <f ca="1">Y34</f>
        <v>0</v>
      </c>
      <c r="F58" s="129">
        <f t="shared" ref="F58:K58" ca="1" si="87">Z34</f>
        <v>0</v>
      </c>
      <c r="G58" s="129">
        <f t="shared" ca="1" si="87"/>
        <v>0</v>
      </c>
      <c r="H58" s="129">
        <f t="shared" ca="1" si="87"/>
        <v>0</v>
      </c>
      <c r="I58" s="129">
        <f t="shared" ca="1" si="87"/>
        <v>0</v>
      </c>
      <c r="J58" s="129">
        <f t="shared" ca="1" si="87"/>
        <v>0</v>
      </c>
      <c r="K58" s="132">
        <f t="shared" ca="1" si="87"/>
        <v>0</v>
      </c>
      <c r="M58" s="121" t="str">
        <f t="shared" si="78"/>
        <v>Waste</v>
      </c>
      <c r="N58" s="937"/>
      <c r="O58" s="131">
        <f t="shared" ref="O58:U58" ca="1" si="88">(E$77*E8)/E70</f>
        <v>8.0587078394185139E-3</v>
      </c>
      <c r="P58" s="131">
        <f t="shared" ca="1" si="88"/>
        <v>0.12445769267964171</v>
      </c>
      <c r="Q58" s="131">
        <f t="shared" ca="1" si="88"/>
        <v>5.273189462374183E-2</v>
      </c>
      <c r="R58" s="131">
        <f t="shared" ca="1" si="88"/>
        <v>8.5758901200116616E-2</v>
      </c>
      <c r="S58" s="131">
        <f t="shared" ca="1" si="88"/>
        <v>0.10240243873461699</v>
      </c>
      <c r="T58" s="131">
        <f t="shared" ca="1" si="88"/>
        <v>0.1064907292648761</v>
      </c>
      <c r="U58" s="708">
        <f t="shared" ca="1" si="88"/>
        <v>0.10862054385017361</v>
      </c>
      <c r="W58" s="121" t="str">
        <f>W42</f>
        <v>Semi-finished products in barrels</v>
      </c>
      <c r="Y58" s="129">
        <f ca="1">'Inv. wine'!AD129</f>
        <v>224037.90783581155</v>
      </c>
      <c r="Z58" s="129">
        <f ca="1">'Inv. wine'!AE129</f>
        <v>251314.85859578388</v>
      </c>
      <c r="AA58" s="129">
        <f ca="1">'Inv. wine'!AF129</f>
        <v>346150.40590623551</v>
      </c>
      <c r="AB58" s="129">
        <f ca="1">'Inv. wine'!AG129</f>
        <v>371674.12438441737</v>
      </c>
      <c r="AC58" s="129">
        <f ca="1">'Inv. wine'!AH129</f>
        <v>372708.68024205993</v>
      </c>
      <c r="AD58" s="129">
        <f ca="1">'Inv. wine'!AI129</f>
        <v>424046.40645387041</v>
      </c>
      <c r="AE58" s="132">
        <f ca="1">'Inv. wine'!AJ129</f>
        <v>409373.50400130911</v>
      </c>
    </row>
    <row r="59" spans="2:31">
      <c r="B59" s="121" t="str">
        <f>B68</f>
        <v>Classic</v>
      </c>
      <c r="E59" s="129">
        <f ca="1">Y50</f>
        <v>159811.3412297997</v>
      </c>
      <c r="F59" s="129">
        <f t="shared" ref="F59:K59" ca="1" si="89">Z50</f>
        <v>555595.53417427605</v>
      </c>
      <c r="G59" s="129">
        <f ca="1">AA50</f>
        <v>451700.63757765654</v>
      </c>
      <c r="H59" s="129">
        <f t="shared" ca="1" si="89"/>
        <v>451700.63757765654</v>
      </c>
      <c r="I59" s="129">
        <f t="shared" ca="1" si="89"/>
        <v>451700.63757765654</v>
      </c>
      <c r="J59" s="129">
        <f ca="1">AD50</f>
        <v>451700.63757765654</v>
      </c>
      <c r="K59" s="132">
        <f t="shared" ca="1" si="89"/>
        <v>451700.63757765654</v>
      </c>
      <c r="M59" s="121" t="str">
        <f t="shared" si="78"/>
        <v>Cost settlement with RCE</v>
      </c>
      <c r="N59" s="937"/>
      <c r="O59" s="131">
        <f t="shared" ref="O59:U59" ca="1" si="90">(E$77*E9)/E70</f>
        <v>1.794100144351586</v>
      </c>
      <c r="P59" s="131">
        <f t="shared" ca="1" si="90"/>
        <v>1.8998393173328691</v>
      </c>
      <c r="Q59" s="131">
        <f t="shared" ca="1" si="90"/>
        <v>2.1380317418347969</v>
      </c>
      <c r="R59" s="131">
        <f t="shared" ca="1" si="90"/>
        <v>2.311075036284854</v>
      </c>
      <c r="S59" s="131">
        <f t="shared" ca="1" si="90"/>
        <v>2.3555306417834241</v>
      </c>
      <c r="T59" s="131">
        <f t="shared" ca="1" si="90"/>
        <v>2.4760657038912695</v>
      </c>
      <c r="U59" s="708">
        <f t="shared" ca="1" si="90"/>
        <v>2.5541881967600708</v>
      </c>
      <c r="W59" s="121"/>
      <c r="Y59" s="129"/>
      <c r="Z59" s="129"/>
      <c r="AA59" s="129"/>
      <c r="AB59" s="129"/>
      <c r="AC59" s="129"/>
      <c r="AD59" s="129"/>
      <c r="AE59" s="132"/>
    </row>
    <row r="60" spans="2:31">
      <c r="B60" s="121" t="str">
        <f>B69</f>
        <v>Premium</v>
      </c>
      <c r="E60" s="129">
        <f ca="1">Y66</f>
        <v>162388.22690990212</v>
      </c>
      <c r="F60" s="129">
        <f t="shared" ref="F60:K60" ca="1" si="91">Z66</f>
        <v>0</v>
      </c>
      <c r="G60" s="129">
        <f t="shared" ca="1" si="91"/>
        <v>0</v>
      </c>
      <c r="H60" s="129">
        <f t="shared" ca="1" si="91"/>
        <v>0</v>
      </c>
      <c r="I60" s="129">
        <f t="shared" ca="1" si="91"/>
        <v>0</v>
      </c>
      <c r="J60" s="129">
        <f t="shared" ca="1" si="91"/>
        <v>0</v>
      </c>
      <c r="K60" s="132">
        <f t="shared" ca="1" si="91"/>
        <v>0</v>
      </c>
      <c r="M60" s="709" t="str">
        <f t="shared" si="78"/>
        <v>Cost settlement with RCV</v>
      </c>
      <c r="N60" s="937"/>
      <c r="O60" s="699">
        <f t="shared" ref="O60:U60" ca="1" si="92">(E$77*E10)/E70</f>
        <v>9.8811116426607185E-2</v>
      </c>
      <c r="P60" s="699">
        <f t="shared" ca="1" si="92"/>
        <v>3.1363372810831801E-3</v>
      </c>
      <c r="Q60" s="699">
        <f t="shared" ca="1" si="92"/>
        <v>2.6967517888127372E-3</v>
      </c>
      <c r="R60" s="699">
        <f t="shared" ca="1" si="92"/>
        <v>2.6938885379073664E-3</v>
      </c>
      <c r="S60" s="699">
        <f t="shared" ca="1" si="92"/>
        <v>2.6938885379073664E-3</v>
      </c>
      <c r="T60" s="699">
        <f t="shared" ca="1" si="92"/>
        <v>2.6938885379073664E-3</v>
      </c>
      <c r="U60" s="710">
        <f t="shared" ca="1" si="92"/>
        <v>2.6938885379073664E-3</v>
      </c>
      <c r="W60" s="122" t="str">
        <f>W44</f>
        <v>semi-finished products</v>
      </c>
      <c r="Y60" s="129">
        <f ca="1">Y56+Y58</f>
        <v>438020.68821937032</v>
      </c>
      <c r="Z60" s="129">
        <f t="shared" ref="Z60:AE60" ca="1" si="93">Z56+Z58</f>
        <v>512170.28978602454</v>
      </c>
      <c r="AA60" s="129">
        <f t="shared" ca="1" si="93"/>
        <v>636095.53893355024</v>
      </c>
      <c r="AB60" s="129">
        <f t="shared" ca="1" si="93"/>
        <v>676146.58083814464</v>
      </c>
      <c r="AC60" s="129">
        <f t="shared" ca="1" si="93"/>
        <v>683962.66675838165</v>
      </c>
      <c r="AD60" s="129">
        <f t="shared" ca="1" si="93"/>
        <v>745506.8619972344</v>
      </c>
      <c r="AE60" s="132">
        <f t="shared" ca="1" si="93"/>
        <v>738770.35196020373</v>
      </c>
    </row>
    <row r="61" spans="2:31">
      <c r="B61" s="121" t="str">
        <f>B70</f>
        <v>Selection individuelle</v>
      </c>
      <c r="E61" s="128">
        <f ca="1">Y82</f>
        <v>28504.566460100243</v>
      </c>
      <c r="F61" s="128"/>
      <c r="G61" s="128"/>
      <c r="H61" s="128"/>
      <c r="I61" s="128"/>
      <c r="J61" s="128"/>
      <c r="K61" s="133"/>
      <c r="M61" s="122" t="str">
        <f t="shared" si="78"/>
        <v>Costprice in production</v>
      </c>
      <c r="N61" s="937"/>
      <c r="O61" s="684">
        <f t="shared" ref="O61:U61" ca="1" si="94">SUM(O54:O60)</f>
        <v>6.8319268345058823</v>
      </c>
      <c r="P61" s="684">
        <f t="shared" ca="1" si="94"/>
        <v>5.7497670426344705</v>
      </c>
      <c r="Q61" s="684">
        <f t="shared" ca="1" si="94"/>
        <v>5.4970070342265718</v>
      </c>
      <c r="R61" s="684">
        <f t="shared" ca="1" si="94"/>
        <v>5.7669606874332775</v>
      </c>
      <c r="S61" s="684">
        <f t="shared" ca="1" si="94"/>
        <v>5.8954084876945556</v>
      </c>
      <c r="T61" s="684">
        <f t="shared" ca="1" si="94"/>
        <v>6.0887274707054315</v>
      </c>
      <c r="U61" s="685">
        <f t="shared" ca="1" si="94"/>
        <v>6.239049321139758</v>
      </c>
      <c r="W61" s="121"/>
      <c r="AE61" s="123"/>
    </row>
    <row r="62" spans="2:31" ht="13.5" thickBot="1">
      <c r="B62" s="723" t="s">
        <v>918</v>
      </c>
      <c r="C62" s="202"/>
      <c r="D62" s="202"/>
      <c r="E62" s="203">
        <f t="shared" ref="E62:K62" ca="1" si="95">SUM(E57:E61)</f>
        <v>350704.13459980208</v>
      </c>
      <c r="F62" s="203">
        <f t="shared" ca="1" si="95"/>
        <v>555595.53417427605</v>
      </c>
      <c r="G62" s="203">
        <f t="shared" ca="1" si="95"/>
        <v>451700.63757765654</v>
      </c>
      <c r="H62" s="203">
        <f t="shared" ca="1" si="95"/>
        <v>451700.63757765654</v>
      </c>
      <c r="I62" s="203">
        <f t="shared" ca="1" si="95"/>
        <v>451700.63757765654</v>
      </c>
      <c r="J62" s="203">
        <f t="shared" ca="1" si="95"/>
        <v>451700.63757765654</v>
      </c>
      <c r="K62" s="505">
        <f t="shared" ca="1" si="95"/>
        <v>451700.63757765654</v>
      </c>
      <c r="M62" s="709" t="str">
        <f t="shared" si="78"/>
        <v>Barrels</v>
      </c>
      <c r="N62" s="937"/>
      <c r="O62" s="131">
        <f>IF(E100=0,O49,(E$107*E23)/E100)</f>
        <v>1.1338654441007512</v>
      </c>
      <c r="P62" s="131">
        <f ca="1">IF(F100=0,P49,(F$107*F23)/F100)</f>
        <v>1.1919184640409033</v>
      </c>
      <c r="Q62" s="131">
        <f ca="1">IF(G100=0,0,(G$107*G23)/G100)</f>
        <v>1.8800690953093557</v>
      </c>
      <c r="R62" s="131">
        <f ca="1">IF(H100=0,0,(H$107*H23)/H100)</f>
        <v>1.5494822613487775</v>
      </c>
      <c r="S62" s="131">
        <f ca="1">IF(I100=0,0,(I$107*I23)/I100)</f>
        <v>1.2924506361908605</v>
      </c>
      <c r="T62" s="131">
        <f ca="1">IF(J100=0,0,(J$107*J23)/J100)</f>
        <v>2.1363819216900657</v>
      </c>
      <c r="U62" s="708">
        <f ca="1">IF(K100=0,0,(K$107*K23)/K100)</f>
        <v>1.6651460045826425</v>
      </c>
      <c r="W62" s="122" t="s">
        <v>841</v>
      </c>
      <c r="AE62" s="123"/>
    </row>
    <row r="63" spans="2:31" ht="13.5" thickBot="1">
      <c r="E63" s="717"/>
      <c r="F63" s="717"/>
      <c r="G63" s="717"/>
      <c r="H63" s="717"/>
      <c r="I63" s="717"/>
      <c r="J63" s="717"/>
      <c r="K63" s="717"/>
      <c r="M63" s="712" t="str">
        <f t="shared" si="78"/>
        <v>Bottling</v>
      </c>
      <c r="N63" s="202"/>
      <c r="O63" s="727">
        <f>IF('Inv. mat'!BG11&gt;0,'Inv. mat'!BG11,O50+(('Inv. mat'!$G$11-'Inv. mat'!$F$11)*Opex!D29))</f>
        <v>2.4620718004496105</v>
      </c>
      <c r="P63" s="727">
        <f ca="1">IF('Inv. mat'!BH11&gt;0,'Inv. mat'!BH11,P50+(('Inv. mat'!$G$11-'Inv. mat'!$F$11)*Opex!E29))</f>
        <v>3.1850794659458415</v>
      </c>
      <c r="Q63" s="727">
        <f ca="1">IF('Inv. mat'!BI11&gt;0,'Inv. mat'!BI11,Q50+(('Inv. mat'!$G$11-'Inv. mat'!$F$11)*Opex!F29))</f>
        <v>3.2501265600257057</v>
      </c>
      <c r="R63" s="727">
        <f>IF('Inv. mat'!BJ11&gt;0,'Inv. mat'!BJ11,R50+(('Inv. mat'!$G$11-'Inv. mat'!$F$11)*Opex!G29))</f>
        <v>3.5202588286954026</v>
      </c>
      <c r="S63" s="727">
        <f>IF('Inv. mat'!BK11&gt;0,'Inv. mat'!BK11,S50*Opex!H29)</f>
        <v>3.5839029804968829</v>
      </c>
      <c r="T63" s="727">
        <f>IF('Inv. mat'!BL11=0,S63*(1+Opex!I28),'Inv. mat'!BL11)</f>
        <v>3.65562970978826</v>
      </c>
      <c r="U63" s="2900">
        <f>IF('Inv. mat'!BM11=0,T63*(1+Opex!J28),'Inv. mat'!BM11)</f>
        <v>3.7278413279809497</v>
      </c>
      <c r="W63" s="124" t="s">
        <v>842</v>
      </c>
      <c r="Y63" s="729">
        <f ca="1">'Inv. start'!F173</f>
        <v>162388.22690990212</v>
      </c>
      <c r="Z63" s="129">
        <f t="shared" ref="Z63:AE63" ca="1" si="96">Y66</f>
        <v>162388.22690990212</v>
      </c>
      <c r="AA63" s="129">
        <f t="shared" ca="1" si="96"/>
        <v>0</v>
      </c>
      <c r="AB63" s="129">
        <f t="shared" ca="1" si="96"/>
        <v>0</v>
      </c>
      <c r="AC63" s="129">
        <f t="shared" ca="1" si="96"/>
        <v>0</v>
      </c>
      <c r="AD63" s="129">
        <f t="shared" ca="1" si="96"/>
        <v>0</v>
      </c>
      <c r="AE63" s="132">
        <f t="shared" ca="1" si="96"/>
        <v>0</v>
      </c>
    </row>
    <row r="64" spans="2:31" ht="13.5" thickBot="1">
      <c r="B64" s="779"/>
      <c r="C64" s="126"/>
      <c r="D64" s="126"/>
      <c r="E64" s="76">
        <f t="shared" ref="E64:K64" si="97">E2</f>
        <v>2023</v>
      </c>
      <c r="F64" s="76">
        <f t="shared" si="97"/>
        <v>2024</v>
      </c>
      <c r="G64" s="76">
        <f t="shared" si="97"/>
        <v>2025</v>
      </c>
      <c r="H64" s="76">
        <f t="shared" si="97"/>
        <v>2026</v>
      </c>
      <c r="I64" s="76">
        <f t="shared" si="97"/>
        <v>2027</v>
      </c>
      <c r="J64" s="76">
        <f t="shared" si="97"/>
        <v>2028</v>
      </c>
      <c r="K64" s="77">
        <f t="shared" si="97"/>
        <v>2029</v>
      </c>
      <c r="W64" s="124" t="s">
        <v>843</v>
      </c>
      <c r="Y64" s="129">
        <f ca="1">'Inv. wine'!AD202-Y63</f>
        <v>0</v>
      </c>
      <c r="Z64" s="129">
        <f ca="1">'Inv. wine'!AE202</f>
        <v>297470.1660817173</v>
      </c>
      <c r="AA64" s="129">
        <f ca="1">'Inv. wine'!AF202</f>
        <v>334769.31033192726</v>
      </c>
      <c r="AB64" s="129">
        <f ca="1">'Inv. wine'!AG202</f>
        <v>469505.06708266702</v>
      </c>
      <c r="AC64" s="129">
        <f ca="1">'Inv. wine'!AH202</f>
        <v>517896.19269297499</v>
      </c>
      <c r="AD64" s="129">
        <f ca="1">'Inv. wine'!AI202</f>
        <v>521961.05841536517</v>
      </c>
      <c r="AE64" s="132">
        <f ca="1">'Inv. wine'!AJ202</f>
        <v>576286.90041016252</v>
      </c>
    </row>
    <row r="65" spans="2:31">
      <c r="B65" s="780" t="str">
        <f>D5</f>
        <v>Litres in tanks</v>
      </c>
      <c r="K65" s="123"/>
      <c r="M65" s="139" t="s">
        <v>358</v>
      </c>
      <c r="N65" s="126"/>
      <c r="O65" s="831"/>
      <c r="P65" s="831"/>
      <c r="Q65" s="831"/>
      <c r="R65" s="831"/>
      <c r="S65" s="831"/>
      <c r="T65" s="831"/>
      <c r="U65" s="832"/>
      <c r="W65" s="124" t="s">
        <v>358</v>
      </c>
      <c r="Y65" s="128">
        <f ca="1">-'Inv. wine'!AD246</f>
        <v>0</v>
      </c>
      <c r="Z65" s="128">
        <f ca="1">-'Inv. wine'!AE246</f>
        <v>-459858.39299161942</v>
      </c>
      <c r="AA65" s="128">
        <f ca="1">-'Inv. wine'!AF246</f>
        <v>-334769.31033192726</v>
      </c>
      <c r="AB65" s="128">
        <f ca="1">-'Inv. wine'!AG246</f>
        <v>-469505.06708266702</v>
      </c>
      <c r="AC65" s="128">
        <f ca="1">-'Inv. wine'!AH246</f>
        <v>-517896.19269297499</v>
      </c>
      <c r="AD65" s="128">
        <f ca="1">-'Inv. wine'!AI246</f>
        <v>-521961.05841536517</v>
      </c>
      <c r="AE65" s="133">
        <f ca="1">-'Inv. wine'!AJ246</f>
        <v>-576286.90041016252</v>
      </c>
    </row>
    <row r="66" spans="2:31">
      <c r="B66" s="121" t="str">
        <f>'Prod info'!B254</f>
        <v>White</v>
      </c>
      <c r="E66" s="129">
        <f>SUM('Inv. wine'!C6:C12)</f>
        <v>1699.5</v>
      </c>
      <c r="F66" s="129">
        <f>SUM('Inv. wine'!D6:D12)</f>
        <v>2804.25</v>
      </c>
      <c r="G66" s="129">
        <f>SUM('Inv. wine'!E6:E12)</f>
        <v>3295.5</v>
      </c>
      <c r="H66" s="129">
        <f>SUM('Inv. wine'!F6:F12)</f>
        <v>3312</v>
      </c>
      <c r="I66" s="129">
        <f>SUM('Inv. wine'!G6:G12)</f>
        <v>3312</v>
      </c>
      <c r="J66" s="129">
        <f>SUM('Inv. wine'!H6:H12)</f>
        <v>3312</v>
      </c>
      <c r="K66" s="132">
        <f>SUM('Inv. wine'!I6:I12)</f>
        <v>3312</v>
      </c>
      <c r="M66" s="833">
        <f>'Inv. wine'!AL250</f>
        <v>2018</v>
      </c>
      <c r="N66" s="937"/>
      <c r="O66" s="129">
        <f ca="1">'Inv. wine'!C234+'Inv. wine'!L234+'Inv. wine'!U234+'Inv. wine'!AD234+'Inv. wine'!AM234</f>
        <v>0</v>
      </c>
      <c r="P66" s="129">
        <f ca="1">'Inv. wine'!D234+'Inv. wine'!M234+'Inv. wine'!V234+'Inv. wine'!AE234+'Inv. wine'!AN234</f>
        <v>118953.7208745597</v>
      </c>
      <c r="Q66" s="129">
        <f ca="1">'Inv. wine'!E234+'Inv. wine'!N234+'Inv. wine'!W234+'Inv. wine'!AF234+'Inv. wine'!AO234</f>
        <v>103894.89659661948</v>
      </c>
      <c r="R66" s="129">
        <f ca="1">'Inv. wine'!F234+'Inv. wine'!O234+'Inv. wine'!X234+'Inv. wine'!AG234+'Inv. wine'!AP234</f>
        <v>0</v>
      </c>
      <c r="S66" s="129">
        <f ca="1">'Inv. wine'!G234+'Inv. wine'!P234+'Inv. wine'!Y234+'Inv. wine'!AH234+'Inv. wine'!AQ234</f>
        <v>0</v>
      </c>
      <c r="T66" s="129">
        <f ca="1">'Inv. wine'!H234+'Inv. wine'!Q234+'Inv. wine'!Z234+'Inv. wine'!AI234+'Inv. wine'!AR234</f>
        <v>0</v>
      </c>
      <c r="U66" s="132">
        <f ca="1">'Inv. wine'!I234+'Inv. wine'!R234+'Inv. wine'!AA234+'Inv. wine'!AJ234+'Inv. wine'!AS234</f>
        <v>0</v>
      </c>
      <c r="W66" s="124" t="s">
        <v>429</v>
      </c>
      <c r="Y66" s="129">
        <f ca="1">Y63+Y64+Y65</f>
        <v>162388.22690990212</v>
      </c>
      <c r="Z66" s="129">
        <f t="shared" ref="Z66:AE66" ca="1" si="98">Z63+Z64+Z65</f>
        <v>0</v>
      </c>
      <c r="AA66" s="129">
        <f t="shared" ca="1" si="98"/>
        <v>0</v>
      </c>
      <c r="AB66" s="129">
        <f t="shared" ca="1" si="98"/>
        <v>0</v>
      </c>
      <c r="AC66" s="129">
        <f t="shared" ca="1" si="98"/>
        <v>0</v>
      </c>
      <c r="AD66" s="129">
        <f t="shared" ca="1" si="98"/>
        <v>0</v>
      </c>
      <c r="AE66" s="132">
        <f t="shared" ca="1" si="98"/>
        <v>0</v>
      </c>
    </row>
    <row r="67" spans="2:31" ht="13.5" thickBot="1">
      <c r="B67" s="121" t="str">
        <f>'Prod info'!B255</f>
        <v>Rose</v>
      </c>
      <c r="E67" s="129">
        <f>SUM('Inv. wine'!L6:L12)</f>
        <v>0</v>
      </c>
      <c r="F67" s="129">
        <f>SUM('Inv. wine'!M6:M12)</f>
        <v>0</v>
      </c>
      <c r="G67" s="129">
        <f>SUM('Inv. wine'!N6:N12)</f>
        <v>0</v>
      </c>
      <c r="H67" s="129">
        <f>SUM('Inv. wine'!O6:O12)</f>
        <v>0</v>
      </c>
      <c r="I67" s="129">
        <f>SUM('Inv. wine'!P6:P12)</f>
        <v>0</v>
      </c>
      <c r="J67" s="129">
        <f>SUM('Inv. wine'!Q6:Q12)</f>
        <v>0</v>
      </c>
      <c r="K67" s="132">
        <f>SUM('Inv. wine'!R6:R12)</f>
        <v>0</v>
      </c>
      <c r="M67" s="833">
        <v>2019</v>
      </c>
      <c r="N67" s="937"/>
      <c r="O67" s="129">
        <f ca="1">'Inv. wine'!C235+'Inv. wine'!L235+'Inv. wine'!U235+'Inv. wine'!AD235+'Inv. wine'!AM235</f>
        <v>0</v>
      </c>
      <c r="P67" s="129">
        <f ca="1">'Inv. wine'!D235+'Inv. wine'!M235+'Inv. wine'!V235+'Inv. wine'!AE235+'Inv. wine'!AN235</f>
        <v>127853.04884732005</v>
      </c>
      <c r="Q67" s="129">
        <f ca="1">'Inv. wine'!E235+'Inv. wine'!N235+'Inv. wine'!W235+'Inv. wine'!AF235+'Inv. wine'!AO235</f>
        <v>0</v>
      </c>
      <c r="R67" s="129">
        <f ca="1">'Inv. wine'!F235+'Inv. wine'!O235+'Inv. wine'!X235+'Inv. wine'!AG235+'Inv. wine'!AP235</f>
        <v>0</v>
      </c>
      <c r="S67" s="129">
        <f ca="1">'Inv. wine'!G235+'Inv. wine'!P235+'Inv. wine'!Y235+'Inv. wine'!AH235+'Inv. wine'!AQ235</f>
        <v>0</v>
      </c>
      <c r="T67" s="129">
        <f ca="1">'Inv. wine'!H235+'Inv. wine'!Q235+'Inv. wine'!Z235+'Inv. wine'!AI235+'Inv. wine'!AR235</f>
        <v>0</v>
      </c>
      <c r="U67" s="132">
        <f ca="1">'Inv. wine'!I235+'Inv. wine'!R235+'Inv. wine'!AA235+'Inv. wine'!AJ235+'Inv. wine'!AS235</f>
        <v>0</v>
      </c>
      <c r="W67" s="712"/>
      <c r="X67" s="202"/>
      <c r="Y67" s="202"/>
      <c r="Z67" s="202"/>
      <c r="AA67" s="202"/>
      <c r="AB67" s="202"/>
      <c r="AC67" s="202"/>
      <c r="AD67" s="202"/>
      <c r="AE67" s="788"/>
    </row>
    <row r="68" spans="2:31">
      <c r="B68" s="121" t="str">
        <f>'Prod info'!B256</f>
        <v>Classic</v>
      </c>
      <c r="E68" s="129">
        <f>SUM('Inv. wine'!U6:U12)</f>
        <v>0</v>
      </c>
      <c r="F68" s="129">
        <f>SUM('Inv. wine'!V6:V12)</f>
        <v>0</v>
      </c>
      <c r="G68" s="129">
        <f>SUM('Inv. wine'!W6:W12)</f>
        <v>0</v>
      </c>
      <c r="H68" s="129">
        <f>SUM('Inv. wine'!X6:X12)</f>
        <v>0</v>
      </c>
      <c r="I68" s="129">
        <f>SUM('Inv. wine'!Y6:Y12)</f>
        <v>0</v>
      </c>
      <c r="J68" s="129">
        <f>SUM('Inv. wine'!Z6:Z12)</f>
        <v>0</v>
      </c>
      <c r="K68" s="132">
        <f>SUM('Inv. wine'!AA6:AA12)</f>
        <v>0</v>
      </c>
      <c r="M68" s="833">
        <f>'Inv. wine'!AL252</f>
        <v>2020</v>
      </c>
      <c r="N68" s="937"/>
      <c r="O68" s="129">
        <f ca="1">'Inv. wine'!C236+'Inv. wine'!L236+'Inv. wine'!U236+'Inv. wine'!AD236+'Inv. wine'!AM236</f>
        <v>0</v>
      </c>
      <c r="P68" s="129">
        <f ca="1">'Inv. wine'!D236+'Inv. wine'!M236+'Inv. wine'!V236+'Inv. wine'!AE236+'Inv. wine'!AN236</f>
        <v>97570.214474803259</v>
      </c>
      <c r="Q68" s="129">
        <f ca="1">'Inv. wine'!E236+'Inv. wine'!N236+'Inv. wine'!W236+'Inv. wine'!AF236+'Inv. wine'!AO236</f>
        <v>0</v>
      </c>
      <c r="R68" s="129">
        <f ca="1">'Inv. wine'!F236+'Inv. wine'!O236+'Inv. wine'!X236+'Inv. wine'!AG236+'Inv. wine'!AP236</f>
        <v>0</v>
      </c>
      <c r="S68" s="129">
        <f ca="1">'Inv. wine'!G236+'Inv. wine'!P236+'Inv. wine'!Y236+'Inv. wine'!AH236+'Inv. wine'!AQ236</f>
        <v>0</v>
      </c>
      <c r="T68" s="129">
        <f ca="1">'Inv. wine'!H236+'Inv. wine'!Q236+'Inv. wine'!Z236+'Inv. wine'!AI236+'Inv. wine'!AR236</f>
        <v>0</v>
      </c>
      <c r="U68" s="132">
        <f ca="1">'Inv. wine'!I236+'Inv. wine'!R236+'Inv. wine'!AA236+'Inv. wine'!AJ236+'Inv. wine'!AS236</f>
        <v>0</v>
      </c>
      <c r="W68" s="139" t="str">
        <f>M53</f>
        <v>Selection individuelle</v>
      </c>
      <c r="X68" s="126"/>
      <c r="Y68" s="126"/>
      <c r="Z68" s="126"/>
      <c r="AA68" s="126"/>
      <c r="AB68" s="126"/>
      <c r="AC68" s="126"/>
      <c r="AD68" s="126"/>
      <c r="AE68" s="130"/>
    </row>
    <row r="69" spans="2:31">
      <c r="B69" s="121" t="str">
        <f>'Prod info'!B257</f>
        <v>Premium</v>
      </c>
      <c r="E69" s="129">
        <f ca="1">SUM('Inv. wine'!AD6:AD12)</f>
        <v>31321</v>
      </c>
      <c r="F69" s="129">
        <f ca="1">SUM('Inv. wine'!AE6:AE12)</f>
        <v>45368</v>
      </c>
      <c r="G69" s="129">
        <f ca="1">SUM('Inv. wine'!AF6:AF12)</f>
        <v>52746</v>
      </c>
      <c r="H69" s="129">
        <f ca="1">SUM('Inv. wine'!AG6:AG12)</f>
        <v>52796</v>
      </c>
      <c r="I69" s="129">
        <f ca="1">SUM('Inv. wine'!AH6:AH12)</f>
        <v>52796</v>
      </c>
      <c r="J69" s="129">
        <f ca="1">SUM('Inv. wine'!AI6:AI12)</f>
        <v>52796</v>
      </c>
      <c r="K69" s="132">
        <f ca="1">SUM('Inv. wine'!AJ6:AJ12)</f>
        <v>52796</v>
      </c>
      <c r="M69" s="833">
        <f>'Inv. wine'!AL253</f>
        <v>2021</v>
      </c>
      <c r="N69" s="937"/>
      <c r="O69" s="129">
        <f ca="1">'Inv. wine'!C237+'Inv. wine'!L237+'Inv. wine'!U237+'Inv. wine'!AD237+'Inv. wine'!AM237</f>
        <v>49819.853374451472</v>
      </c>
      <c r="P69" s="129">
        <f ca="1">'Inv. wine'!D237+'Inv. wine'!M237+'Inv. wine'!V237+'Inv. wine'!AE237+'Inv. wine'!AN237</f>
        <v>199899.95160691402</v>
      </c>
      <c r="Q69" s="129">
        <f ca="1">'Inv. wine'!E237+'Inv. wine'!N237+'Inv. wine'!W237+'Inv. wine'!AF237+'Inv. wine'!AO237</f>
        <v>0</v>
      </c>
      <c r="R69" s="129">
        <f ca="1">'Inv. wine'!F237+'Inv. wine'!O237+'Inv. wine'!X237+'Inv. wine'!AG237+'Inv. wine'!AP237</f>
        <v>0</v>
      </c>
      <c r="S69" s="129">
        <f ca="1">'Inv. wine'!G237+'Inv. wine'!P237+'Inv. wine'!Y237+'Inv. wine'!AH237+'Inv. wine'!AQ237</f>
        <v>0</v>
      </c>
      <c r="T69" s="129">
        <f ca="1">'Inv. wine'!H237+'Inv. wine'!Q237+'Inv. wine'!Z237+'Inv. wine'!AI237+'Inv. wine'!AR237</f>
        <v>0</v>
      </c>
      <c r="U69" s="132">
        <f ca="1">'Inv. wine'!I237+'Inv. wine'!R237+'Inv. wine'!AA237+'Inv. wine'!AJ237+'Inv. wine'!AS237</f>
        <v>0</v>
      </c>
      <c r="W69" s="124" t="str">
        <f>W53</f>
        <v>Previous years</v>
      </c>
      <c r="AE69" s="123"/>
    </row>
    <row r="70" spans="2:31">
      <c r="B70" s="121" t="str">
        <f>'Prod info'!B258</f>
        <v>Selection individuelle</v>
      </c>
      <c r="E70" s="128">
        <f>SUM('Inv. wine'!AM6:AM12)</f>
        <v>4275</v>
      </c>
      <c r="F70" s="128">
        <f>SUM('Inv. wine'!AN6:AN12)</f>
        <v>5625</v>
      </c>
      <c r="G70" s="128">
        <f>SUM('Inv. wine'!AO6:AO12)</f>
        <v>6525</v>
      </c>
      <c r="H70" s="128">
        <f>SUM('Inv. wine'!AP6:AP12)</f>
        <v>6525</v>
      </c>
      <c r="I70" s="128">
        <f>SUM('Inv. wine'!AQ6:AQ12)</f>
        <v>6525</v>
      </c>
      <c r="J70" s="128">
        <f>SUM('Inv. wine'!AR6:AR12)</f>
        <v>6525</v>
      </c>
      <c r="K70" s="133">
        <f>SUM('Inv. wine'!AS6:AS12)</f>
        <v>6525</v>
      </c>
      <c r="M70" s="833">
        <f>'Inv. wine'!AL254</f>
        <v>2022</v>
      </c>
      <c r="N70" s="937"/>
      <c r="O70" s="129">
        <f ca="1">'Inv. wine'!C238+'Inv. wine'!L238+'Inv. wine'!U238+'Inv. wine'!AD238+'Inv. wine'!AM238</f>
        <v>0</v>
      </c>
      <c r="P70" s="129">
        <f ca="1">'Inv. wine'!D238+'Inv. wine'!M238+'Inv. wine'!V238+'Inv. wine'!AE238+'Inv. wine'!AN238</f>
        <v>0</v>
      </c>
      <c r="Q70" s="129">
        <f ca="1">'Inv. wine'!E238+'Inv. wine'!N238+'Inv. wine'!W238+'Inv. wine'!AF238+'Inv. wine'!AO238</f>
        <v>0</v>
      </c>
      <c r="R70" s="129">
        <f ca="1">'Inv. wine'!F238+'Inv. wine'!O238+'Inv. wine'!X238+'Inv. wine'!AG238+'Inv. wine'!AP238</f>
        <v>0</v>
      </c>
      <c r="S70" s="129">
        <f ca="1">'Inv. wine'!G238+'Inv. wine'!P238+'Inv. wine'!Y238+'Inv. wine'!AH238+'Inv. wine'!AQ238</f>
        <v>0</v>
      </c>
      <c r="T70" s="129">
        <f ca="1">'Inv. wine'!H238+'Inv. wine'!Q238+'Inv. wine'!Z238+'Inv. wine'!AI238+'Inv. wine'!AR238</f>
        <v>0</v>
      </c>
      <c r="U70" s="132">
        <f ca="1">'Inv. wine'!I238+'Inv. wine'!R238+'Inv. wine'!AA238+'Inv. wine'!AJ238+'Inv. wine'!AS238</f>
        <v>0</v>
      </c>
      <c r="W70" s="124" t="s">
        <v>624</v>
      </c>
      <c r="X70" s="504" t="s">
        <v>831</v>
      </c>
      <c r="Y70" s="129">
        <f>SUM('Inv. wine'!AM6:AM12)</f>
        <v>4275</v>
      </c>
      <c r="Z70" s="129">
        <f>SUM('Inv. wine'!AN6:AN12)</f>
        <v>5625</v>
      </c>
      <c r="AA70" s="129">
        <f>SUM('Inv. wine'!AO6:AO12)</f>
        <v>6525</v>
      </c>
      <c r="AB70" s="129">
        <f>SUM('Inv. wine'!AP6:AP12)</f>
        <v>6525</v>
      </c>
      <c r="AC70" s="129">
        <f>SUM('Inv. wine'!AQ6:AQ12)</f>
        <v>6525</v>
      </c>
      <c r="AD70" s="129">
        <f>SUM('Inv. wine'!AR6:AR12)</f>
        <v>6525</v>
      </c>
      <c r="AE70" s="132">
        <f>SUM('Inv. wine'!AS6:AS12)</f>
        <v>6525</v>
      </c>
    </row>
    <row r="71" spans="2:31">
      <c r="B71" s="122" t="s">
        <v>26</v>
      </c>
      <c r="E71" s="129">
        <f ca="1">SUM(E66:E70)</f>
        <v>37295.5</v>
      </c>
      <c r="F71" s="129">
        <f t="shared" ref="F71:K71" ca="1" si="99">SUM(F66:F70)</f>
        <v>53797.25</v>
      </c>
      <c r="G71" s="129">
        <f t="shared" ca="1" si="99"/>
        <v>62566.5</v>
      </c>
      <c r="H71" s="129">
        <f t="shared" ca="1" si="99"/>
        <v>62633</v>
      </c>
      <c r="I71" s="129">
        <f t="shared" ca="1" si="99"/>
        <v>62633</v>
      </c>
      <c r="J71" s="129">
        <f t="shared" ca="1" si="99"/>
        <v>62633</v>
      </c>
      <c r="K71" s="132">
        <f t="shared" ca="1" si="99"/>
        <v>62633</v>
      </c>
      <c r="M71" s="833">
        <f>'Inv. wine'!AL255</f>
        <v>2023</v>
      </c>
      <c r="N71" s="937"/>
      <c r="O71" s="129">
        <f ca="1">'Inv. wine'!C239+'Inv. wine'!L239+'Inv. wine'!U239+'Inv. wine'!AD239+'Inv. wine'!AM239</f>
        <v>0</v>
      </c>
      <c r="P71" s="129">
        <f ca="1">'Inv. wine'!D239+'Inv. wine'!M239+'Inv. wine'!V239+'Inv. wine'!AE239+'Inv. wine'!AN239</f>
        <v>14972.753784313831</v>
      </c>
      <c r="Q71" s="129">
        <f ca="1">'Inv. wine'!E239+'Inv. wine'!N239+'Inv. wine'!W239+'Inv. wine'!AF239+'Inv. wine'!AO239</f>
        <v>334769.31033192726</v>
      </c>
      <c r="R71" s="129">
        <f ca="1">'Inv. wine'!F239+'Inv. wine'!O239+'Inv. wine'!X239+'Inv. wine'!AG239+'Inv. wine'!AP239</f>
        <v>49351.045143960349</v>
      </c>
      <c r="S71" s="129">
        <f ca="1">'Inv. wine'!G239+'Inv. wine'!P239+'Inv. wine'!Y239+'Inv. wine'!AH239+'Inv. wine'!AQ239</f>
        <v>0</v>
      </c>
      <c r="T71" s="129">
        <f ca="1">'Inv. wine'!H239+'Inv. wine'!Q239+'Inv. wine'!Z239+'Inv. wine'!AI239+'Inv. wine'!AR239</f>
        <v>0</v>
      </c>
      <c r="U71" s="132">
        <f ca="1">'Inv. wine'!I239+'Inv. wine'!R239+'Inv. wine'!AA239+'Inv. wine'!AJ239+'Inv. wine'!AS239</f>
        <v>0</v>
      </c>
      <c r="W71" s="124" t="s">
        <v>357</v>
      </c>
      <c r="Y71" s="721">
        <f t="shared" ref="Y71:AE71" ca="1" si="100">O61</f>
        <v>6.8319268345058823</v>
      </c>
      <c r="Z71" s="721">
        <f t="shared" ca="1" si="100"/>
        <v>5.7497670426344705</v>
      </c>
      <c r="AA71" s="721">
        <f t="shared" ca="1" si="100"/>
        <v>5.4970070342265718</v>
      </c>
      <c r="AB71" s="721">
        <f t="shared" ca="1" si="100"/>
        <v>5.7669606874332775</v>
      </c>
      <c r="AC71" s="721">
        <f t="shared" ca="1" si="100"/>
        <v>5.8954084876945556</v>
      </c>
      <c r="AD71" s="721">
        <f t="shared" ca="1" si="100"/>
        <v>6.0887274707054315</v>
      </c>
      <c r="AE71" s="785">
        <f t="shared" ca="1" si="100"/>
        <v>6.239049321139758</v>
      </c>
    </row>
    <row r="72" spans="2:31">
      <c r="B72" s="121"/>
      <c r="K72" s="123"/>
      <c r="M72" s="833">
        <f>'Inv. wine'!AL256</f>
        <v>2024</v>
      </c>
      <c r="N72" s="937"/>
      <c r="O72" s="129">
        <f ca="1">'Inv. wine'!C240+'Inv. wine'!L240+'Inv. wine'!U240+'Inv. wine'!AD240+'Inv. wine'!AM240</f>
        <v>0</v>
      </c>
      <c r="P72" s="129">
        <f ca="1">'Inv. wine'!D240+'Inv. wine'!M240+'Inv. wine'!V240+'Inv. wine'!AE240+'Inv. wine'!AN240</f>
        <v>0</v>
      </c>
      <c r="Q72" s="129">
        <f ca="1">'Inv. wine'!E240+'Inv. wine'!N240+'Inv. wine'!W240+'Inv. wine'!AF240+'Inv. wine'!AO240</f>
        <v>21759.3004881204</v>
      </c>
      <c r="R72" s="129">
        <f ca="1">'Inv. wine'!F240+'Inv. wine'!O240+'Inv. wine'!X240+'Inv. wine'!AG240+'Inv. wine'!AP240</f>
        <v>469505.06708266702</v>
      </c>
      <c r="S72" s="129">
        <f ca="1">'Inv. wine'!G240+'Inv. wine'!P240+'Inv. wine'!Y240+'Inv. wine'!AH240+'Inv. wine'!AQ240</f>
        <v>63077.282541228997</v>
      </c>
      <c r="T72" s="129">
        <f ca="1">'Inv. wine'!H240+'Inv. wine'!Q240+'Inv. wine'!Z240+'Inv. wine'!AI240+'Inv. wine'!AR240</f>
        <v>0</v>
      </c>
      <c r="U72" s="132">
        <f ca="1">'Inv. wine'!I240+'Inv. wine'!R240+'Inv. wine'!AA240+'Inv. wine'!AJ240+'Inv. wine'!AS240</f>
        <v>0</v>
      </c>
      <c r="W72" s="124" t="str">
        <f>W56</f>
        <v>semi-finished products in tanks</v>
      </c>
      <c r="Y72" s="129">
        <f ca="1">(Y70+Y69)*Y71</f>
        <v>29206.487217512647</v>
      </c>
      <c r="Z72" s="129">
        <f t="shared" ref="Z72:AE72" ca="1" si="101">Z70*Z71</f>
        <v>32342.439614818897</v>
      </c>
      <c r="AA72" s="129">
        <f t="shared" ca="1" si="101"/>
        <v>35867.970898328378</v>
      </c>
      <c r="AB72" s="129">
        <f t="shared" ca="1" si="101"/>
        <v>37629.418485502138</v>
      </c>
      <c r="AC72" s="129">
        <f t="shared" ca="1" si="101"/>
        <v>38467.540382206978</v>
      </c>
      <c r="AD72" s="129">
        <f t="shared" ca="1" si="101"/>
        <v>39728.946746352944</v>
      </c>
      <c r="AE72" s="132">
        <f t="shared" ca="1" si="101"/>
        <v>40709.796820436917</v>
      </c>
    </row>
    <row r="73" spans="2:31">
      <c r="B73" s="121" t="str">
        <f>B66</f>
        <v>White</v>
      </c>
      <c r="E73" s="703">
        <f ca="1">E66/$E$71</f>
        <v>4.5568500221206315E-2</v>
      </c>
      <c r="F73" s="703">
        <f ca="1">F66/$F$71</f>
        <v>5.2126270394862194E-2</v>
      </c>
      <c r="G73" s="703">
        <f ca="1">G66/$G$71</f>
        <v>5.2671957037711874E-2</v>
      </c>
      <c r="H73" s="703">
        <f ca="1">H66/$H$71</f>
        <v>5.2879472482557116E-2</v>
      </c>
      <c r="I73" s="703">
        <f ca="1">I66/$I$71</f>
        <v>5.2879472482557116E-2</v>
      </c>
      <c r="J73" s="703">
        <f ca="1">J66/$J$71</f>
        <v>5.2879472482557116E-2</v>
      </c>
      <c r="K73" s="704">
        <f ca="1">K66/$K$71</f>
        <v>5.2879472482557116E-2</v>
      </c>
      <c r="M73" s="833">
        <f>'Inv. wine'!AL257</f>
        <v>2025</v>
      </c>
      <c r="N73" s="937"/>
      <c r="O73" s="129">
        <f ca="1">'Inv. wine'!C241+'Inv. wine'!L241+'Inv. wine'!U241+'Inv. wine'!AD241+'Inv. wine'!AM241</f>
        <v>0</v>
      </c>
      <c r="P73" s="129">
        <f ca="1">'Inv. wine'!D241+'Inv. wine'!M241+'Inv. wine'!V241+'Inv. wine'!AE241+'Inv. wine'!AN241</f>
        <v>0</v>
      </c>
      <c r="Q73" s="129">
        <f ca="1">'Inv. wine'!E241+'Inv. wine'!N241+'Inv. wine'!W241+'Inv. wine'!AF241+'Inv. wine'!AO241</f>
        <v>0</v>
      </c>
      <c r="R73" s="129">
        <f ca="1">'Inv. wine'!F241+'Inv. wine'!O241+'Inv. wine'!X241+'Inv. wine'!AG241+'Inv. wine'!AP241</f>
        <v>24875.478076339055</v>
      </c>
      <c r="S73" s="129">
        <f ca="1">'Inv. wine'!G241+'Inv. wine'!P241+'Inv. wine'!Y241+'Inv. wine'!AH241+'Inv. wine'!AQ241</f>
        <v>517896.19269297499</v>
      </c>
      <c r="T73" s="129">
        <f ca="1">'Inv. wine'!H241+'Inv. wine'!Q241+'Inv. wine'!Z241+'Inv. wine'!AI241+'Inv. wine'!AR241</f>
        <v>69831.326509997554</v>
      </c>
      <c r="U73" s="132">
        <f ca="1">'Inv. wine'!I241+'Inv. wine'!R241+'Inv. wine'!AA241+'Inv. wine'!AJ241+'Inv. wine'!AS241</f>
        <v>0</v>
      </c>
      <c r="W73" s="121"/>
      <c r="AE73" s="123"/>
    </row>
    <row r="74" spans="2:31">
      <c r="B74" s="121" t="str">
        <f>B67</f>
        <v>Rose</v>
      </c>
      <c r="E74" s="703">
        <f ca="1">E67/$E$71</f>
        <v>0</v>
      </c>
      <c r="F74" s="703">
        <f ca="1">F67/$F$71</f>
        <v>0</v>
      </c>
      <c r="G74" s="703">
        <f ca="1">G67/$G$71</f>
        <v>0</v>
      </c>
      <c r="H74" s="703">
        <f ca="1">H67/$H$71</f>
        <v>0</v>
      </c>
      <c r="I74" s="703">
        <f ca="1">I67/$I$71</f>
        <v>0</v>
      </c>
      <c r="J74" s="703">
        <f ca="1">J67/$J$71</f>
        <v>0</v>
      </c>
      <c r="K74" s="704">
        <f ca="1">K67/$K$71</f>
        <v>0</v>
      </c>
      <c r="M74" s="833">
        <f>'Inv. wine'!AL258</f>
        <v>2026</v>
      </c>
      <c r="N74" s="937"/>
      <c r="O74" s="129">
        <f ca="1">'Inv. wine'!C242+'Inv. wine'!L242+'Inv. wine'!U242+'Inv. wine'!AD242+'Inv. wine'!AM242</f>
        <v>0</v>
      </c>
      <c r="P74" s="129">
        <f ca="1">'Inv. wine'!D242+'Inv. wine'!M242+'Inv. wine'!V242+'Inv. wine'!AE242+'Inv. wine'!AN242</f>
        <v>0</v>
      </c>
      <c r="Q74" s="129">
        <f ca="1">'Inv. wine'!E242+'Inv. wine'!N242+'Inv. wine'!W242+'Inv. wine'!AF242+'Inv. wine'!AO242</f>
        <v>0</v>
      </c>
      <c r="R74" s="129">
        <f ca="1">'Inv. wine'!F242+'Inv. wine'!O242+'Inv. wine'!X242+'Inv. wine'!AG242+'Inv. wine'!AP242</f>
        <v>0</v>
      </c>
      <c r="S74" s="129">
        <f ca="1">'Inv. wine'!G242+'Inv. wine'!P242+'Inv. wine'!Y242+'Inv. wine'!AH242+'Inv. wine'!AQ242</f>
        <v>26027.788486800629</v>
      </c>
      <c r="T74" s="129">
        <f ca="1">'Inv. wine'!H242+'Inv. wine'!Q242+'Inv. wine'!Z242+'Inv. wine'!AI242+'Inv. wine'!AR242</f>
        <v>521961.05841536517</v>
      </c>
      <c r="U74" s="132">
        <f ca="1">'Inv. wine'!I242+'Inv. wine'!R242+'Inv. wine'!AA242+'Inv. wine'!AJ242+'Inv. wine'!AS242</f>
        <v>70386.823551723195</v>
      </c>
      <c r="W74" s="121" t="str">
        <f>W58</f>
        <v>Semi-finished products in barrels</v>
      </c>
      <c r="Y74" s="129">
        <f ca="1">'Inv. wine'!AM129</f>
        <v>0</v>
      </c>
      <c r="Z74" s="129">
        <f ca="1">'Inv. wine'!AN129</f>
        <v>34301.938651287506</v>
      </c>
      <c r="AA74" s="129">
        <f ca="1">'Inv. wine'!AO129</f>
        <v>77219.766927221528</v>
      </c>
      <c r="AB74" s="129">
        <f ca="1">'Inv. wine'!AP129</f>
        <v>88896.170929563174</v>
      </c>
      <c r="AC74" s="129">
        <f ca="1">'Inv. wine'!AQ129</f>
        <v>92041.001540276658</v>
      </c>
      <c r="AD74" s="129">
        <f ca="1">'Inv. wine'!AR129</f>
        <v>98470.091307882161</v>
      </c>
      <c r="AE74" s="132">
        <f ca="1">'Inv. wine'!AS129</f>
        <v>103001.45684748935</v>
      </c>
    </row>
    <row r="75" spans="2:31">
      <c r="B75" s="121" t="str">
        <f>B68</f>
        <v>Classic</v>
      </c>
      <c r="E75" s="703">
        <f ca="1">E68/$E$71</f>
        <v>0</v>
      </c>
      <c r="F75" s="703">
        <f ca="1">F68/$F$71</f>
        <v>0</v>
      </c>
      <c r="G75" s="703">
        <f ca="1">G68/$G$71</f>
        <v>0</v>
      </c>
      <c r="H75" s="703">
        <f ca="1">H68/$H$71</f>
        <v>0</v>
      </c>
      <c r="I75" s="703">
        <f ca="1">I68/$I$71</f>
        <v>0</v>
      </c>
      <c r="J75" s="703">
        <f ca="1">J68/$J$71</f>
        <v>0</v>
      </c>
      <c r="K75" s="704">
        <f ca="1">K68/$K$71</f>
        <v>0</v>
      </c>
      <c r="M75" s="833">
        <f>'Inv. wine'!AL259</f>
        <v>2027</v>
      </c>
      <c r="N75" s="937"/>
      <c r="O75" s="129">
        <f ca="1">'Inv. wine'!C243+'Inv. wine'!L243+'Inv. wine'!U243+'Inv. wine'!AD243+'Inv. wine'!AM243</f>
        <v>0</v>
      </c>
      <c r="P75" s="129">
        <f ca="1">'Inv. wine'!D243+'Inv. wine'!M243+'Inv. wine'!V243+'Inv. wine'!AE243+'Inv. wine'!AN243</f>
        <v>0</v>
      </c>
      <c r="Q75" s="129">
        <f ca="1">'Inv. wine'!E243+'Inv. wine'!N243+'Inv. wine'!W243+'Inv. wine'!AF243+'Inv. wine'!AO243</f>
        <v>0</v>
      </c>
      <c r="R75" s="129">
        <f ca="1">'Inv. wine'!F243+'Inv. wine'!O243+'Inv. wine'!X243+'Inv. wine'!AG243+'Inv. wine'!AP243</f>
        <v>0</v>
      </c>
      <c r="S75" s="129">
        <f ca="1">'Inv. wine'!G243+'Inv. wine'!P243+'Inv. wine'!Y243+'Inv. wine'!AH243+'Inv. wine'!AQ243</f>
        <v>0</v>
      </c>
      <c r="T75" s="129">
        <f ca="1">'Inv. wine'!H243+'Inv. wine'!Q243+'Inv. wine'!Z243+'Inv. wine'!AI243+'Inv. wine'!AR243</f>
        <v>26591.48228774438</v>
      </c>
      <c r="U75" s="132">
        <f ca="1">'Inv. wine'!I243+'Inv. wine'!R243+'Inv. wine'!AA243+'Inv. wine'!AJ243+'Inv. wine'!AS243</f>
        <v>576286.90041016252</v>
      </c>
      <c r="W75" s="121"/>
      <c r="AE75" s="123"/>
    </row>
    <row r="76" spans="2:31">
      <c r="B76" s="121" t="str">
        <f>B69</f>
        <v>Premium</v>
      </c>
      <c r="E76" s="703">
        <f ca="1">E69/$E$71</f>
        <v>0.83980641096110786</v>
      </c>
      <c r="F76" s="703">
        <f ca="1">F69/$F$71</f>
        <v>0.84331448168819034</v>
      </c>
      <c r="G76" s="703">
        <f ca="1">G69/$G$71</f>
        <v>0.84303900649708707</v>
      </c>
      <c r="H76" s="703">
        <f ca="1">H69/$H$71</f>
        <v>0.84294221895805721</v>
      </c>
      <c r="I76" s="703">
        <f ca="1">I69/$I$71</f>
        <v>0.84294221895805721</v>
      </c>
      <c r="J76" s="703">
        <f ca="1">J69/$J$71</f>
        <v>0.84294221895805721</v>
      </c>
      <c r="K76" s="704">
        <f ca="1">K69/$K$71</f>
        <v>0.84294221895805721</v>
      </c>
      <c r="M76" s="833">
        <f>'Inv. wine'!AL260</f>
        <v>2028</v>
      </c>
      <c r="N76" s="937"/>
      <c r="O76" s="129">
        <f ca="1">'Inv. wine'!C244+'Inv. wine'!L244+'Inv. wine'!U244+'Inv. wine'!AD244+'Inv. wine'!AM244</f>
        <v>0</v>
      </c>
      <c r="P76" s="129">
        <f ca="1">'Inv. wine'!D244+'Inv. wine'!M244+'Inv. wine'!V244+'Inv. wine'!AE244+'Inv. wine'!AN244</f>
        <v>0</v>
      </c>
      <c r="Q76" s="129">
        <f ca="1">'Inv. wine'!E244+'Inv. wine'!N244+'Inv. wine'!W244+'Inv. wine'!AF244+'Inv. wine'!AO244</f>
        <v>0</v>
      </c>
      <c r="R76" s="129">
        <f ca="1">'Inv. wine'!F244+'Inv. wine'!O244+'Inv. wine'!X244+'Inv. wine'!AG244+'Inv. wine'!AP244</f>
        <v>0</v>
      </c>
      <c r="S76" s="129">
        <f ca="1">'Inv. wine'!G244+'Inv. wine'!P244+'Inv. wine'!Y244+'Inv. wine'!AH244+'Inv. wine'!AQ244</f>
        <v>0</v>
      </c>
      <c r="T76" s="129">
        <f ca="1">'Inv. wine'!H244+'Inv. wine'!Q244+'Inv. wine'!Z244+'Inv. wine'!AI244+'Inv. wine'!AR244</f>
        <v>0</v>
      </c>
      <c r="U76" s="132">
        <f ca="1">'Inv. wine'!I244+'Inv. wine'!R244+'Inv. wine'!AA244+'Inv. wine'!AJ244+'Inv. wine'!AS244</f>
        <v>27373.420892761151</v>
      </c>
      <c r="W76" s="122" t="str">
        <f>W60</f>
        <v>semi-finished products</v>
      </c>
      <c r="Y76" s="129">
        <f ca="1">Y74+Y72</f>
        <v>29206.487217512647</v>
      </c>
      <c r="Z76" s="129">
        <f t="shared" ref="Z76:AE76" ca="1" si="102">Z74+Z72</f>
        <v>66644.378266106403</v>
      </c>
      <c r="AA76" s="129">
        <f t="shared" ca="1" si="102"/>
        <v>113087.73782554991</v>
      </c>
      <c r="AB76" s="129">
        <f t="shared" ca="1" si="102"/>
        <v>126525.5894150653</v>
      </c>
      <c r="AC76" s="129">
        <f t="shared" ca="1" si="102"/>
        <v>130508.54192248364</v>
      </c>
      <c r="AD76" s="129">
        <f t="shared" ca="1" si="102"/>
        <v>138199.0380542351</v>
      </c>
      <c r="AE76" s="132">
        <f t="shared" ca="1" si="102"/>
        <v>143711.25366792627</v>
      </c>
    </row>
    <row r="77" spans="2:31">
      <c r="B77" s="121" t="str">
        <f>B70</f>
        <v>Selection individuelle</v>
      </c>
      <c r="E77" s="700">
        <f ca="1">E70/$E$71</f>
        <v>0.11462508881768578</v>
      </c>
      <c r="F77" s="700">
        <f ca="1">F70/$F$71</f>
        <v>0.10455924791694743</v>
      </c>
      <c r="G77" s="700">
        <f ca="1">G70/$G$71</f>
        <v>0.10428903646520103</v>
      </c>
      <c r="H77" s="700">
        <f ca="1">H70/$H$71</f>
        <v>0.10417830855938563</v>
      </c>
      <c r="I77" s="700">
        <f ca="1">I70/$I$71</f>
        <v>0.10417830855938563</v>
      </c>
      <c r="J77" s="700">
        <f ca="1">J70/$J$71</f>
        <v>0.10417830855938563</v>
      </c>
      <c r="K77" s="705">
        <f ca="1">K70/$K$71</f>
        <v>0.10417830855938563</v>
      </c>
      <c r="M77" s="833">
        <f>'Inv. wine'!AL261</f>
        <v>2029</v>
      </c>
      <c r="N77" s="937"/>
      <c r="O77" s="129">
        <f ca="1">'Inv. wine'!C245+'Inv. wine'!L245+'Inv. wine'!U245+'Inv. wine'!AD245+'Inv. wine'!AM245</f>
        <v>0</v>
      </c>
      <c r="P77" s="129">
        <f ca="1">'Inv. wine'!D245+'Inv. wine'!M245+'Inv. wine'!V245+'Inv. wine'!AE245+'Inv. wine'!AN245</f>
        <v>0</v>
      </c>
      <c r="Q77" s="129">
        <f ca="1">'Inv. wine'!E245+'Inv. wine'!N245+'Inv. wine'!W245+'Inv. wine'!AF245+'Inv. wine'!AO245</f>
        <v>0</v>
      </c>
      <c r="R77" s="129">
        <f ca="1">'Inv. wine'!F245+'Inv. wine'!O245+'Inv. wine'!X245+'Inv. wine'!AG245+'Inv. wine'!AP245</f>
        <v>0</v>
      </c>
      <c r="S77" s="129">
        <f ca="1">'Inv. wine'!G245+'Inv. wine'!P245+'Inv. wine'!Y245+'Inv. wine'!AH245+'Inv. wine'!AQ245</f>
        <v>0</v>
      </c>
      <c r="T77" s="129">
        <f ca="1">'Inv. wine'!H245+'Inv. wine'!Q245+'Inv. wine'!Z245+'Inv. wine'!AI245+'Inv. wine'!AR245</f>
        <v>0</v>
      </c>
      <c r="U77" s="132">
        <f ca="1">'Inv. wine'!I245+'Inv. wine'!R245+'Inv. wine'!AA245+'Inv. wine'!AJ245+'Inv. wine'!AS245</f>
        <v>0</v>
      </c>
      <c r="W77" s="121"/>
      <c r="AE77" s="123"/>
    </row>
    <row r="78" spans="2:31" ht="13.5" thickBot="1">
      <c r="B78" s="124"/>
      <c r="C78" s="504"/>
      <c r="D78" s="504"/>
      <c r="E78" s="706">
        <f ca="1">SUM(E73:E77)</f>
        <v>0.99999999999999989</v>
      </c>
      <c r="F78" s="706">
        <f t="shared" ref="F78:K78" ca="1" si="103">SUM(F73:F77)</f>
        <v>1</v>
      </c>
      <c r="G78" s="706">
        <f t="shared" ca="1" si="103"/>
        <v>1</v>
      </c>
      <c r="H78" s="706">
        <f t="shared" ca="1" si="103"/>
        <v>0.99999999999999989</v>
      </c>
      <c r="I78" s="706">
        <f t="shared" ca="1" si="103"/>
        <v>0.99999999999999989</v>
      </c>
      <c r="J78" s="706">
        <f t="shared" ca="1" si="103"/>
        <v>0.99999999999999989</v>
      </c>
      <c r="K78" s="707">
        <f t="shared" ca="1" si="103"/>
        <v>0.99999999999999989</v>
      </c>
      <c r="M78" s="723" t="s">
        <v>26</v>
      </c>
      <c r="N78" s="202"/>
      <c r="O78" s="719">
        <f ca="1">SUM(O66:O77)</f>
        <v>49819.853374451472</v>
      </c>
      <c r="P78" s="719">
        <f t="shared" ref="P78:U78" ca="1" si="104">SUM(P66:P77)</f>
        <v>559249.68958791078</v>
      </c>
      <c r="Q78" s="719">
        <f t="shared" ca="1" si="104"/>
        <v>460423.50741666718</v>
      </c>
      <c r="R78" s="719">
        <f t="shared" ca="1" si="104"/>
        <v>543731.59030296642</v>
      </c>
      <c r="S78" s="719">
        <f t="shared" ca="1" si="104"/>
        <v>607001.26372100459</v>
      </c>
      <c r="T78" s="719">
        <f t="shared" ca="1" si="104"/>
        <v>618383.86721310718</v>
      </c>
      <c r="U78" s="720">
        <f t="shared" ca="1" si="104"/>
        <v>674047.14485464687</v>
      </c>
      <c r="W78" s="122" t="s">
        <v>841</v>
      </c>
      <c r="AE78" s="123"/>
    </row>
    <row r="79" spans="2:31" ht="13.5" thickBot="1">
      <c r="B79" s="122" t="s">
        <v>828</v>
      </c>
      <c r="E79" s="125"/>
      <c r="K79" s="123"/>
      <c r="O79" s="127">
        <f t="shared" ref="O79:U79" ca="1" si="105">O78+Y86</f>
        <v>0</v>
      </c>
      <c r="P79" s="127">
        <f t="shared" ca="1" si="105"/>
        <v>0</v>
      </c>
      <c r="Q79" s="127">
        <f t="shared" ca="1" si="105"/>
        <v>0</v>
      </c>
      <c r="R79" s="127">
        <f t="shared" ca="1" si="105"/>
        <v>0</v>
      </c>
      <c r="S79" s="127">
        <f t="shared" ca="1" si="105"/>
        <v>0</v>
      </c>
      <c r="T79" s="127">
        <f t="shared" ca="1" si="105"/>
        <v>0</v>
      </c>
      <c r="U79" s="127">
        <f t="shared" ca="1" si="105"/>
        <v>0</v>
      </c>
      <c r="W79" s="124" t="s">
        <v>842</v>
      </c>
      <c r="Y79" s="729">
        <f ca="1">'Inv. start'!F174</f>
        <v>28504.566460100243</v>
      </c>
      <c r="Z79" s="129">
        <f t="shared" ref="Z79:AE79" ca="1" si="106">Y82</f>
        <v>28504.566460100243</v>
      </c>
      <c r="AA79" s="129">
        <f t="shared" ca="1" si="106"/>
        <v>0</v>
      </c>
      <c r="AB79" s="129">
        <f t="shared" ca="1" si="106"/>
        <v>0</v>
      </c>
      <c r="AC79" s="129">
        <f t="shared" ca="1" si="106"/>
        <v>0</v>
      </c>
      <c r="AD79" s="129">
        <f t="shared" ca="1" si="106"/>
        <v>0</v>
      </c>
      <c r="AE79" s="132">
        <f t="shared" ca="1" si="106"/>
        <v>0</v>
      </c>
    </row>
    <row r="80" spans="2:31">
      <c r="B80" s="121" t="str">
        <f t="shared" ref="B80:B85" si="107">B66</f>
        <v>White</v>
      </c>
      <c r="E80" s="120">
        <f>SUM('Inv. wine'!C34:C44)</f>
        <v>0</v>
      </c>
      <c r="F80" s="120">
        <f>SUM('Inv. wine'!D34:D44)</f>
        <v>0</v>
      </c>
      <c r="G80" s="120">
        <f>SUM('Inv. wine'!E34:E44)</f>
        <v>0</v>
      </c>
      <c r="H80" s="120">
        <f>SUM('Inv. wine'!F34:F44)</f>
        <v>0</v>
      </c>
      <c r="I80" s="120">
        <f>SUM('Inv. wine'!G34:G44)</f>
        <v>0</v>
      </c>
      <c r="J80" s="120">
        <f>SUM('Inv. wine'!H34:H44)</f>
        <v>0</v>
      </c>
      <c r="K80" s="123">
        <f>SUM('Inv. wine'!I34:I44)</f>
        <v>0</v>
      </c>
      <c r="M80" s="139" t="s">
        <v>935</v>
      </c>
      <c r="N80" s="126"/>
      <c r="O80" s="899">
        <f t="shared" ref="O80:U80" si="108">O2</f>
        <v>2023</v>
      </c>
      <c r="P80" s="899">
        <f t="shared" si="108"/>
        <v>2024</v>
      </c>
      <c r="Q80" s="899">
        <f t="shared" si="108"/>
        <v>2025</v>
      </c>
      <c r="R80" s="899">
        <f t="shared" si="108"/>
        <v>2026</v>
      </c>
      <c r="S80" s="899">
        <f t="shared" si="108"/>
        <v>2027</v>
      </c>
      <c r="T80" s="899">
        <f t="shared" si="108"/>
        <v>2028</v>
      </c>
      <c r="U80" s="900">
        <f t="shared" si="108"/>
        <v>2029</v>
      </c>
      <c r="W80" s="124" t="str">
        <f>W48</f>
        <v>Ready product in fiscal year</v>
      </c>
      <c r="Y80" s="129">
        <f ca="1">'Inv. wine'!AM202-Y79</f>
        <v>0</v>
      </c>
      <c r="Z80" s="129">
        <f ca="1">'Inv. wine'!AN202</f>
        <v>0</v>
      </c>
      <c r="AA80" s="129">
        <f ca="1">'Inv. wine'!AO202</f>
        <v>0</v>
      </c>
      <c r="AB80" s="129">
        <f ca="1">'Inv. wine'!AP202</f>
        <v>49351.045143960349</v>
      </c>
      <c r="AC80" s="129">
        <f ca="1">'Inv. wine'!AQ202</f>
        <v>63077.282541228997</v>
      </c>
      <c r="AD80" s="129">
        <f ca="1">'Inv. wine'!AR202</f>
        <v>69831.326509997554</v>
      </c>
      <c r="AE80" s="132">
        <f ca="1">'Inv. wine'!AS202</f>
        <v>70386.823551723195</v>
      </c>
    </row>
    <row r="81" spans="2:31">
      <c r="B81" s="121" t="str">
        <f t="shared" si="107"/>
        <v>Rose</v>
      </c>
      <c r="E81" s="120">
        <f>SUM('Inv. wine'!L34:L44)</f>
        <v>0</v>
      </c>
      <c r="F81" s="120">
        <f>SUM('Inv. wine'!M34:M44)</f>
        <v>0</v>
      </c>
      <c r="G81" s="120">
        <f>SUM('Inv. wine'!N34:N44)</f>
        <v>0</v>
      </c>
      <c r="H81" s="120">
        <f>SUM('Inv. wine'!O34:O44)</f>
        <v>0</v>
      </c>
      <c r="I81" s="120">
        <f>SUM('Inv. wine'!P34:P44)</f>
        <v>0</v>
      </c>
      <c r="J81" s="120">
        <f>SUM('Inv. wine'!Q34:Q44)</f>
        <v>0</v>
      </c>
      <c r="K81" s="123">
        <f>SUM('Inv. wine'!R34:R44)</f>
        <v>0</v>
      </c>
      <c r="M81" s="121"/>
      <c r="U81" s="123"/>
      <c r="W81" s="124" t="s">
        <v>358</v>
      </c>
      <c r="Y81" s="128">
        <f ca="1">-'Inv. wine'!AM246</f>
        <v>0</v>
      </c>
      <c r="Z81" s="128">
        <f ca="1">-'Inv. wine'!AN246</f>
        <v>-28504.566460100243</v>
      </c>
      <c r="AA81" s="128">
        <f ca="1">-'Inv. wine'!AO246</f>
        <v>0</v>
      </c>
      <c r="AB81" s="128">
        <f ca="1">-'Inv. wine'!AP246</f>
        <v>-49351.045143960349</v>
      </c>
      <c r="AC81" s="128">
        <f ca="1">-'Inv. wine'!AQ246</f>
        <v>-63077.282541228997</v>
      </c>
      <c r="AD81" s="128">
        <f ca="1">-'Inv. wine'!AR246</f>
        <v>-69831.326509997554</v>
      </c>
      <c r="AE81" s="133">
        <f ca="1">-'Inv. wine'!AS246</f>
        <v>-70386.823551723195</v>
      </c>
    </row>
    <row r="82" spans="2:31" ht="13.5" thickBot="1">
      <c r="B82" s="121" t="str">
        <f t="shared" si="107"/>
        <v>Classic</v>
      </c>
      <c r="E82" s="129">
        <f>SUM('Inv. wine'!U34:U45)</f>
        <v>43408</v>
      </c>
      <c r="F82" s="129">
        <f>SUM('Inv. wine'!V34:V45)</f>
        <v>0</v>
      </c>
      <c r="G82" s="129">
        <f>SUM('Inv. wine'!W34:W45)</f>
        <v>0</v>
      </c>
      <c r="H82" s="129">
        <f>SUM('Inv. wine'!X34:X45)</f>
        <v>0</v>
      </c>
      <c r="I82" s="129">
        <f>SUM('Inv. wine'!Y34:Y45)</f>
        <v>0</v>
      </c>
      <c r="J82" s="129">
        <f>SUM('Inv. wine'!Z34:Z45)</f>
        <v>0</v>
      </c>
      <c r="K82" s="132">
        <f>SUM('Inv. wine'!AA34:AA45)</f>
        <v>0</v>
      </c>
      <c r="M82" s="122" t="s">
        <v>936</v>
      </c>
      <c r="U82" s="123"/>
      <c r="W82" s="829" t="s">
        <v>429</v>
      </c>
      <c r="X82" s="202"/>
      <c r="Y82" s="837">
        <f t="shared" ref="Y82:AE82" ca="1" si="109">Y79+Y80+Y81</f>
        <v>28504.566460100243</v>
      </c>
      <c r="Z82" s="837">
        <f t="shared" ca="1" si="109"/>
        <v>0</v>
      </c>
      <c r="AA82" s="837">
        <f t="shared" ca="1" si="109"/>
        <v>0</v>
      </c>
      <c r="AB82" s="837">
        <f t="shared" ca="1" si="109"/>
        <v>0</v>
      </c>
      <c r="AC82" s="837">
        <f t="shared" ca="1" si="109"/>
        <v>0</v>
      </c>
      <c r="AD82" s="837">
        <f t="shared" ca="1" si="109"/>
        <v>0</v>
      </c>
      <c r="AE82" s="838">
        <f t="shared" ca="1" si="109"/>
        <v>0</v>
      </c>
    </row>
    <row r="83" spans="2:31" ht="13.5" thickBot="1">
      <c r="B83" s="121" t="str">
        <f t="shared" si="107"/>
        <v>Premium</v>
      </c>
      <c r="E83" s="129">
        <f>SUM('Inv. wine'!AD34:AD45)</f>
        <v>28125</v>
      </c>
      <c r="F83" s="129">
        <f ca="1">SUM('Inv. wine'!AE34:AE45)</f>
        <v>31321</v>
      </c>
      <c r="G83" s="129">
        <f ca="1">SUM('Inv. wine'!AF34:AF45)</f>
        <v>45368</v>
      </c>
      <c r="H83" s="129">
        <f ca="1">SUM('Inv. wine'!AG34:AG45)</f>
        <v>52746</v>
      </c>
      <c r="I83" s="129">
        <f ca="1">SUM('Inv. wine'!AH34:AH45)</f>
        <v>52796</v>
      </c>
      <c r="J83" s="129">
        <f ca="1">SUM('Inv. wine'!AI34:AI45)</f>
        <v>52796</v>
      </c>
      <c r="K83" s="132">
        <f ca="1">SUM('Inv. wine'!AJ34:AJ45)</f>
        <v>52796</v>
      </c>
      <c r="M83" s="124" t="str">
        <f>M96</f>
        <v>Stock</v>
      </c>
      <c r="O83" s="127">
        <f ca="1">'Inv. start'!F175</f>
        <v>366003.9118945261</v>
      </c>
      <c r="P83" s="127">
        <f ca="1">O96</f>
        <v>350704.13459980208</v>
      </c>
      <c r="Q83" s="127">
        <f t="shared" ref="Q83:U84" ca="1" si="110">P96</f>
        <v>555595.53417427605</v>
      </c>
      <c r="R83" s="127">
        <f t="shared" ca="1" si="110"/>
        <v>451700.63757765654</v>
      </c>
      <c r="S83" s="127">
        <f t="shared" ca="1" si="110"/>
        <v>451700.63757765654</v>
      </c>
      <c r="T83" s="127">
        <f t="shared" ca="1" si="110"/>
        <v>451700.63757765654</v>
      </c>
      <c r="U83" s="136">
        <f t="shared" ca="1" si="110"/>
        <v>451700.63757765654</v>
      </c>
    </row>
    <row r="84" spans="2:31">
      <c r="B84" s="121" t="str">
        <f t="shared" si="107"/>
        <v>Selection individuelle</v>
      </c>
      <c r="E84" s="128">
        <f>SUM('Inv. wine'!AM34:AM45)</f>
        <v>0</v>
      </c>
      <c r="F84" s="128">
        <f>SUM('Inv. wine'!AN34:AN45)</f>
        <v>4275</v>
      </c>
      <c r="G84" s="128">
        <f>SUM('Inv. wine'!AO34:AO45)</f>
        <v>9900</v>
      </c>
      <c r="H84" s="128">
        <f>SUM('Inv. wine'!AP34:AP45)</f>
        <v>12150</v>
      </c>
      <c r="I84" s="128">
        <f>SUM('Inv. wine'!AQ34:AQ45)</f>
        <v>13050</v>
      </c>
      <c r="J84" s="128">
        <f>SUM('Inv. wine'!AR34:AR45)</f>
        <v>13050</v>
      </c>
      <c r="K84" s="133">
        <f>SUM('Inv. wine'!AS34:AS45)</f>
        <v>13050</v>
      </c>
      <c r="M84" s="121" t="str">
        <f>M97</f>
        <v>Semi-finished products</v>
      </c>
      <c r="O84" s="753">
        <f ca="1">'Inv. start'!F180</f>
        <v>555748.1300618666</v>
      </c>
      <c r="P84" s="697">
        <f ca="1">O97</f>
        <v>824617.14632188238</v>
      </c>
      <c r="Q84" s="697">
        <f t="shared" ca="1" si="110"/>
        <v>594938.45228143875</v>
      </c>
      <c r="R84" s="697">
        <f t="shared" ca="1" si="110"/>
        <v>767298.66344039375</v>
      </c>
      <c r="S84" s="697">
        <f t="shared" ca="1" si="110"/>
        <v>821772.34404998901</v>
      </c>
      <c r="T84" s="697">
        <f t="shared" ca="1" si="110"/>
        <v>833996.80159210961</v>
      </c>
      <c r="U84" s="714">
        <f t="shared" ca="1" si="110"/>
        <v>903871.76543444581</v>
      </c>
      <c r="W84" s="779" t="s">
        <v>979</v>
      </c>
      <c r="X84" s="126"/>
      <c r="Y84" s="831">
        <f ca="1">Y79+Y63+Y47+Y31+Y15</f>
        <v>366003.9118945261</v>
      </c>
      <c r="Z84" s="831">
        <f ca="1">Z79+Z63+Z47+Z31+Z15</f>
        <v>350704.13459980208</v>
      </c>
      <c r="AA84" s="831">
        <f t="shared" ref="Z84:AE86" ca="1" si="111">AA79+AA63+AA47+AA31+AA15</f>
        <v>555595.53417427605</v>
      </c>
      <c r="AB84" s="831">
        <f t="shared" ca="1" si="111"/>
        <v>451700.63757765654</v>
      </c>
      <c r="AC84" s="831">
        <f t="shared" ca="1" si="111"/>
        <v>451700.63757765654</v>
      </c>
      <c r="AD84" s="831">
        <f t="shared" ca="1" si="111"/>
        <v>451700.63757765654</v>
      </c>
      <c r="AE84" s="832">
        <f t="shared" ca="1" si="111"/>
        <v>451700.63757765654</v>
      </c>
    </row>
    <row r="85" spans="2:31">
      <c r="B85" s="122" t="str">
        <f t="shared" si="107"/>
        <v>Total</v>
      </c>
      <c r="E85" s="127">
        <f>SUM(E80:E84)</f>
        <v>71533</v>
      </c>
      <c r="F85" s="127">
        <f t="shared" ref="F85:K85" ca="1" si="112">SUM(F80:F84)</f>
        <v>35596</v>
      </c>
      <c r="G85" s="127">
        <f t="shared" ca="1" si="112"/>
        <v>55268</v>
      </c>
      <c r="H85" s="127">
        <f t="shared" ca="1" si="112"/>
        <v>64896</v>
      </c>
      <c r="I85" s="127">
        <f t="shared" ca="1" si="112"/>
        <v>65846</v>
      </c>
      <c r="J85" s="127">
        <f t="shared" ca="1" si="112"/>
        <v>65846</v>
      </c>
      <c r="K85" s="136">
        <f t="shared" ca="1" si="112"/>
        <v>65846</v>
      </c>
      <c r="M85" s="121"/>
      <c r="O85" s="127">
        <f ca="1">SUM(O83:O84)</f>
        <v>921752.0419563927</v>
      </c>
      <c r="P85" s="127">
        <f t="shared" ref="P85:U85" ca="1" si="113">P83+P84</f>
        <v>1175321.2809216846</v>
      </c>
      <c r="Q85" s="127">
        <f t="shared" ca="1" si="113"/>
        <v>1150533.9864557148</v>
      </c>
      <c r="R85" s="127">
        <f t="shared" ca="1" si="113"/>
        <v>1218999.3010180504</v>
      </c>
      <c r="S85" s="127">
        <f t="shared" ca="1" si="113"/>
        <v>1273472.9816276454</v>
      </c>
      <c r="T85" s="127">
        <f t="shared" ca="1" si="113"/>
        <v>1285697.4391697661</v>
      </c>
      <c r="U85" s="136">
        <f t="shared" ca="1" si="113"/>
        <v>1355572.4030121025</v>
      </c>
      <c r="W85" s="121" t="str">
        <f>W80</f>
        <v>Ready product in fiscal year</v>
      </c>
      <c r="Y85" s="127">
        <f ca="1">Y80+Y64+Y48+Y32+Y16</f>
        <v>34520.076079727463</v>
      </c>
      <c r="Z85" s="127">
        <f t="shared" ca="1" si="111"/>
        <v>764141.08916238486</v>
      </c>
      <c r="AA85" s="127">
        <f t="shared" ca="1" si="111"/>
        <v>356528.61082004767</v>
      </c>
      <c r="AB85" s="127">
        <f t="shared" ca="1" si="111"/>
        <v>543731.59030296642</v>
      </c>
      <c r="AC85" s="127">
        <f t="shared" ca="1" si="111"/>
        <v>607001.26372100459</v>
      </c>
      <c r="AD85" s="127">
        <f t="shared" ca="1" si="111"/>
        <v>618383.86721310718</v>
      </c>
      <c r="AE85" s="136">
        <f t="shared" ca="1" si="111"/>
        <v>674047.14485464687</v>
      </c>
    </row>
    <row r="86" spans="2:31">
      <c r="B86" s="122"/>
      <c r="E86" s="127"/>
      <c r="F86" s="127"/>
      <c r="G86" s="127"/>
      <c r="H86" s="127"/>
      <c r="I86" s="127"/>
      <c r="J86" s="127"/>
      <c r="K86" s="136"/>
      <c r="M86" s="121"/>
      <c r="P86"/>
      <c r="U86" s="123"/>
      <c r="W86" s="121" t="str">
        <f>W81</f>
        <v>Cost of goods sold</v>
      </c>
      <c r="Y86" s="753">
        <f ca="1">Y81+Y65+Y49+Y33+Y17</f>
        <v>-49819.853374451472</v>
      </c>
      <c r="Z86" s="753">
        <f ca="1">Z81+Z65+Z49+Z33+Z17</f>
        <v>-559249.68958791089</v>
      </c>
      <c r="AA86" s="753">
        <f t="shared" ca="1" si="111"/>
        <v>-460423.50741666718</v>
      </c>
      <c r="AB86" s="753">
        <f t="shared" ca="1" si="111"/>
        <v>-543731.59030296642</v>
      </c>
      <c r="AC86" s="753">
        <f t="shared" ca="1" si="111"/>
        <v>-607001.26372100459</v>
      </c>
      <c r="AD86" s="753">
        <f t="shared" ca="1" si="111"/>
        <v>-618383.86721310718</v>
      </c>
      <c r="AE86" s="790">
        <f t="shared" ca="1" si="111"/>
        <v>-674047.14485464687</v>
      </c>
    </row>
    <row r="87" spans="2:31">
      <c r="B87" s="122" t="s">
        <v>892</v>
      </c>
      <c r="E87" s="127"/>
      <c r="F87" s="127"/>
      <c r="G87" s="127"/>
      <c r="H87" s="127"/>
      <c r="I87" s="127"/>
      <c r="J87" s="127"/>
      <c r="K87" s="136"/>
      <c r="M87" s="121" t="str">
        <f>B34</f>
        <v>Total made costs in production year</v>
      </c>
      <c r="O87" s="127">
        <f ca="1">E11+E24+E32</f>
        <v>303389.09233974339</v>
      </c>
      <c r="P87" s="127">
        <f t="shared" ref="P87:U87" ca="1" si="114">F11+F24+F32</f>
        <v>534462.39512194099</v>
      </c>
      <c r="Q87" s="127">
        <f t="shared" ca="1" si="114"/>
        <v>528888.82197900279</v>
      </c>
      <c r="R87" s="127">
        <f t="shared" ca="1" si="114"/>
        <v>598205.27091256157</v>
      </c>
      <c r="S87" s="127">
        <f t="shared" ca="1" si="114"/>
        <v>619225.72126312531</v>
      </c>
      <c r="T87" s="127">
        <f t="shared" ca="1" si="114"/>
        <v>688258.83105544327</v>
      </c>
      <c r="U87" s="136">
        <f t="shared" ca="1" si="114"/>
        <v>673320.71639994602</v>
      </c>
      <c r="W87" s="122" t="s">
        <v>943</v>
      </c>
      <c r="Y87" s="127">
        <f t="shared" ref="Y87:AE87" ca="1" si="115">SUM(Y84:Y86)</f>
        <v>350704.13459980208</v>
      </c>
      <c r="Z87" s="127">
        <f t="shared" ca="1" si="115"/>
        <v>555595.53417427605</v>
      </c>
      <c r="AA87" s="127">
        <f t="shared" ca="1" si="115"/>
        <v>451700.63757765654</v>
      </c>
      <c r="AB87" s="127">
        <f t="shared" ca="1" si="115"/>
        <v>451700.63757765654</v>
      </c>
      <c r="AC87" s="127">
        <f t="shared" ca="1" si="115"/>
        <v>451700.63757765666</v>
      </c>
      <c r="AD87" s="127">
        <f t="shared" ca="1" si="115"/>
        <v>451700.63757765666</v>
      </c>
      <c r="AE87" s="136">
        <f t="shared" ca="1" si="115"/>
        <v>451700.63757765642</v>
      </c>
    </row>
    <row r="88" spans="2:31">
      <c r="B88" s="124" t="str">
        <f t="shared" ref="B88:B93" si="116">B80</f>
        <v>White</v>
      </c>
      <c r="E88" s="127">
        <f>E80-E96</f>
        <v>0</v>
      </c>
      <c r="F88" s="127">
        <f t="shared" ref="F88:K88" si="117">F80-F96</f>
        <v>0</v>
      </c>
      <c r="G88" s="127">
        <f t="shared" si="117"/>
        <v>0</v>
      </c>
      <c r="H88" s="127">
        <f t="shared" si="117"/>
        <v>0</v>
      </c>
      <c r="I88" s="127">
        <f t="shared" si="117"/>
        <v>0</v>
      </c>
      <c r="J88" s="127">
        <f t="shared" si="117"/>
        <v>0</v>
      </c>
      <c r="K88" s="136">
        <f t="shared" si="117"/>
        <v>0</v>
      </c>
      <c r="M88" s="121"/>
      <c r="U88" s="123"/>
      <c r="W88" s="121"/>
      <c r="AE88" s="123"/>
    </row>
    <row r="89" spans="2:31">
      <c r="B89" s="124" t="str">
        <f t="shared" si="116"/>
        <v>Rose</v>
      </c>
      <c r="E89" s="127">
        <f>E81-E97</f>
        <v>0</v>
      </c>
      <c r="F89" s="127">
        <f t="shared" ref="F89:K92" si="118">F81-F97</f>
        <v>0</v>
      </c>
      <c r="G89" s="127">
        <f t="shared" si="118"/>
        <v>0</v>
      </c>
      <c r="H89" s="127">
        <f t="shared" si="118"/>
        <v>0</v>
      </c>
      <c r="I89" s="127">
        <f t="shared" si="118"/>
        <v>0</v>
      </c>
      <c r="J89" s="127">
        <f t="shared" si="118"/>
        <v>0</v>
      </c>
      <c r="K89" s="136">
        <f t="shared" si="118"/>
        <v>0</v>
      </c>
      <c r="M89" s="124" t="s">
        <v>26</v>
      </c>
      <c r="O89" s="717">
        <f t="shared" ref="O89:U89" ca="1" si="119">O85+O87</f>
        <v>1225141.134296136</v>
      </c>
      <c r="P89" s="717">
        <f ca="1">P85+P87</f>
        <v>1709783.6760436255</v>
      </c>
      <c r="Q89" s="717">
        <f t="shared" ca="1" si="119"/>
        <v>1679422.8084347176</v>
      </c>
      <c r="R89" s="717">
        <f t="shared" ca="1" si="119"/>
        <v>1817204.571930612</v>
      </c>
      <c r="S89" s="717">
        <f t="shared" ca="1" si="119"/>
        <v>1892698.7028907707</v>
      </c>
      <c r="T89" s="717">
        <f t="shared" ca="1" si="119"/>
        <v>1973956.2702252094</v>
      </c>
      <c r="U89" s="718">
        <f t="shared" ca="1" si="119"/>
        <v>2028893.1194120485</v>
      </c>
      <c r="W89" s="121" t="str">
        <f>W72</f>
        <v>semi-finished products in tanks</v>
      </c>
      <c r="Y89" s="127">
        <f ca="1">Y8+Y24+Y40+Y56+Y72</f>
        <v>254800.12725631412</v>
      </c>
      <c r="Z89" s="127">
        <f t="shared" ref="Z89:AE89" ca="1" si="120">Z8+Z24+Z40+Z56+Z72</f>
        <v>309321.65503436729</v>
      </c>
      <c r="AA89" s="127">
        <f t="shared" ca="1" si="120"/>
        <v>343928.49060693674</v>
      </c>
      <c r="AB89" s="127">
        <f t="shared" ca="1" si="120"/>
        <v>361202.04873600841</v>
      </c>
      <c r="AC89" s="127">
        <f t="shared" ca="1" si="120"/>
        <v>369247.11980977305</v>
      </c>
      <c r="AD89" s="127">
        <f t="shared" ca="1" si="120"/>
        <v>381355.26767269324</v>
      </c>
      <c r="AE89" s="136">
        <f t="shared" ca="1" si="120"/>
        <v>390770.37613094639</v>
      </c>
    </row>
    <row r="90" spans="2:31">
      <c r="B90" s="124" t="str">
        <f t="shared" si="116"/>
        <v>Classic</v>
      </c>
      <c r="E90" s="127">
        <f>E82-E98</f>
        <v>7200</v>
      </c>
      <c r="F90" s="127">
        <f t="shared" si="118"/>
        <v>0</v>
      </c>
      <c r="G90" s="127">
        <f t="shared" si="118"/>
        <v>0</v>
      </c>
      <c r="H90" s="127">
        <f t="shared" si="118"/>
        <v>0</v>
      </c>
      <c r="I90" s="127">
        <f t="shared" si="118"/>
        <v>0</v>
      </c>
      <c r="J90" s="127">
        <f t="shared" si="118"/>
        <v>0</v>
      </c>
      <c r="K90" s="136">
        <f t="shared" si="118"/>
        <v>0</v>
      </c>
      <c r="M90" s="121"/>
      <c r="U90" s="123"/>
      <c r="W90" s="121" t="str">
        <f>W74</f>
        <v>Semi-finished products in barrels</v>
      </c>
      <c r="Y90" s="753">
        <f ca="1">Y10+Y26+Y42+Y58+Y74</f>
        <v>569817.01906556822</v>
      </c>
      <c r="Z90" s="753">
        <f t="shared" ref="Z90:AE90" ca="1" si="121">Z10+Z26+Z42+Z58+Z74</f>
        <v>285616.7972470714</v>
      </c>
      <c r="AA90" s="753">
        <f t="shared" ca="1" si="121"/>
        <v>423370.17283345701</v>
      </c>
      <c r="AB90" s="753">
        <f t="shared" ca="1" si="121"/>
        <v>460570.29531398055</v>
      </c>
      <c r="AC90" s="753">
        <f t="shared" ca="1" si="121"/>
        <v>464749.68178233656</v>
      </c>
      <c r="AD90" s="753">
        <f t="shared" ca="1" si="121"/>
        <v>522516.49776175257</v>
      </c>
      <c r="AE90" s="790">
        <f t="shared" ca="1" si="121"/>
        <v>512374.96084879845</v>
      </c>
    </row>
    <row r="91" spans="2:31">
      <c r="B91" s="124" t="str">
        <f t="shared" si="116"/>
        <v>Premium</v>
      </c>
      <c r="E91" s="127">
        <f>E83-E99</f>
        <v>28125</v>
      </c>
      <c r="F91" s="127">
        <f t="shared" ca="1" si="118"/>
        <v>0</v>
      </c>
      <c r="G91" s="127">
        <f t="shared" ca="1" si="118"/>
        <v>0</v>
      </c>
      <c r="H91" s="127">
        <f t="shared" ca="1" si="118"/>
        <v>0</v>
      </c>
      <c r="I91" s="127">
        <f t="shared" ca="1" si="118"/>
        <v>0</v>
      </c>
      <c r="J91" s="127">
        <f t="shared" ca="1" si="118"/>
        <v>0</v>
      </c>
      <c r="K91" s="136">
        <f t="shared" ca="1" si="118"/>
        <v>0</v>
      </c>
      <c r="M91" s="121" t="str">
        <f>M65</f>
        <v>Cost of goods sold</v>
      </c>
      <c r="O91" s="127">
        <f t="shared" ref="O91:U91" ca="1" si="122">-O78</f>
        <v>-49819.853374451472</v>
      </c>
      <c r="P91" s="127">
        <f t="shared" ca="1" si="122"/>
        <v>-559249.68958791078</v>
      </c>
      <c r="Q91" s="127">
        <f t="shared" ca="1" si="122"/>
        <v>-460423.50741666718</v>
      </c>
      <c r="R91" s="127">
        <f t="shared" ca="1" si="122"/>
        <v>-543731.59030296642</v>
      </c>
      <c r="S91" s="127">
        <f t="shared" ca="1" si="122"/>
        <v>-607001.26372100459</v>
      </c>
      <c r="T91" s="127">
        <f t="shared" ca="1" si="122"/>
        <v>-618383.86721310718</v>
      </c>
      <c r="U91" s="136">
        <f t="shared" ca="1" si="122"/>
        <v>-674047.14485464687</v>
      </c>
      <c r="W91" s="868" t="str">
        <f>W76</f>
        <v>semi-finished products</v>
      </c>
      <c r="Y91" s="129">
        <f ca="1">Y89+Y90</f>
        <v>824617.14632188238</v>
      </c>
      <c r="Z91" s="129">
        <f t="shared" ref="Z91:AE91" ca="1" si="123">Z89+Z90</f>
        <v>594938.45228143875</v>
      </c>
      <c r="AA91" s="129">
        <f t="shared" ca="1" si="123"/>
        <v>767298.66344039375</v>
      </c>
      <c r="AB91" s="129">
        <f t="shared" ca="1" si="123"/>
        <v>821772.34404998901</v>
      </c>
      <c r="AC91" s="129">
        <f t="shared" ca="1" si="123"/>
        <v>833996.80159210961</v>
      </c>
      <c r="AD91" s="129">
        <f t="shared" ca="1" si="123"/>
        <v>903871.76543444581</v>
      </c>
      <c r="AE91" s="132">
        <f t="shared" ca="1" si="123"/>
        <v>903145.33697974484</v>
      </c>
    </row>
    <row r="92" spans="2:31">
      <c r="B92" s="124" t="str">
        <f t="shared" si="116"/>
        <v>Selection individuelle</v>
      </c>
      <c r="E92" s="753">
        <f>E84-E100</f>
        <v>0</v>
      </c>
      <c r="F92" s="753">
        <f t="shared" si="118"/>
        <v>0</v>
      </c>
      <c r="G92" s="753">
        <f t="shared" si="118"/>
        <v>4275</v>
      </c>
      <c r="H92" s="753">
        <f t="shared" si="118"/>
        <v>5625</v>
      </c>
      <c r="I92" s="753">
        <f t="shared" si="118"/>
        <v>6525</v>
      </c>
      <c r="J92" s="753">
        <f t="shared" si="118"/>
        <v>6525</v>
      </c>
      <c r="K92" s="790">
        <f t="shared" si="118"/>
        <v>6525</v>
      </c>
      <c r="M92" s="121"/>
      <c r="O92" s="129"/>
      <c r="P92" s="129"/>
      <c r="Q92" s="129"/>
      <c r="R92" s="129"/>
      <c r="S92" s="129"/>
      <c r="T92" s="129"/>
      <c r="U92" s="132"/>
      <c r="W92" s="833"/>
      <c r="Y92" s="129"/>
      <c r="Z92" s="129"/>
      <c r="AA92" s="129"/>
      <c r="AB92" s="129"/>
      <c r="AC92" s="129"/>
      <c r="AD92" s="129"/>
      <c r="AE92" s="132"/>
    </row>
    <row r="93" spans="2:31" ht="13.5" thickBot="1">
      <c r="B93" s="122" t="str">
        <f t="shared" si="116"/>
        <v>Total</v>
      </c>
      <c r="E93" s="127">
        <f>SUM(E88:E92)</f>
        <v>35325</v>
      </c>
      <c r="F93" s="127">
        <f t="shared" ref="F93:K93" ca="1" si="124">SUM(F88:F92)</f>
        <v>0</v>
      </c>
      <c r="G93" s="127">
        <f t="shared" ca="1" si="124"/>
        <v>4275</v>
      </c>
      <c r="H93" s="127">
        <f t="shared" ca="1" si="124"/>
        <v>5625</v>
      </c>
      <c r="I93" s="127">
        <f t="shared" ca="1" si="124"/>
        <v>6525</v>
      </c>
      <c r="J93" s="127">
        <f t="shared" ca="1" si="124"/>
        <v>6525</v>
      </c>
      <c r="K93" s="136">
        <f t="shared" ca="1" si="124"/>
        <v>6525</v>
      </c>
      <c r="M93" s="124" t="s">
        <v>938</v>
      </c>
      <c r="O93" s="129">
        <f ca="1">O89+O91</f>
        <v>1175321.2809216846</v>
      </c>
      <c r="P93" s="129">
        <f t="shared" ref="P93:U93" ca="1" si="125">P89+P91</f>
        <v>1150533.9864557148</v>
      </c>
      <c r="Q93" s="129">
        <f t="shared" ca="1" si="125"/>
        <v>1218999.3010180504</v>
      </c>
      <c r="R93" s="129">
        <f t="shared" ca="1" si="125"/>
        <v>1273472.9816276454</v>
      </c>
      <c r="S93" s="129">
        <f t="shared" ca="1" si="125"/>
        <v>1285697.4391697661</v>
      </c>
      <c r="T93" s="129">
        <f t="shared" ca="1" si="125"/>
        <v>1355572.4030121022</v>
      </c>
      <c r="U93" s="132">
        <f t="shared" ca="1" si="125"/>
        <v>1354845.9745574016</v>
      </c>
      <c r="W93" s="864" t="s">
        <v>833</v>
      </c>
      <c r="X93" s="202"/>
      <c r="Y93" s="203">
        <f ca="1">Y87+Y91</f>
        <v>1175321.2809216846</v>
      </c>
      <c r="Z93" s="203">
        <f t="shared" ref="Z93:AE93" ca="1" si="126">Z87+Z91</f>
        <v>1150533.9864557148</v>
      </c>
      <c r="AA93" s="203">
        <f t="shared" ca="1" si="126"/>
        <v>1218999.3010180504</v>
      </c>
      <c r="AB93" s="203">
        <f t="shared" ca="1" si="126"/>
        <v>1273472.9816276454</v>
      </c>
      <c r="AC93" s="203">
        <f t="shared" ca="1" si="126"/>
        <v>1285697.4391697664</v>
      </c>
      <c r="AD93" s="203">
        <f t="shared" ca="1" si="126"/>
        <v>1355572.4030121025</v>
      </c>
      <c r="AE93" s="505">
        <f t="shared" ca="1" si="126"/>
        <v>1354845.9745574011</v>
      </c>
    </row>
    <row r="94" spans="2:31">
      <c r="B94" s="122"/>
      <c r="E94" s="127"/>
      <c r="F94" s="127"/>
      <c r="G94" s="127"/>
      <c r="H94" s="127"/>
      <c r="I94" s="127"/>
      <c r="J94" s="127"/>
      <c r="K94" s="136"/>
      <c r="M94" s="121"/>
      <c r="O94" s="129"/>
      <c r="P94" s="129"/>
      <c r="Q94" s="129"/>
      <c r="R94" s="129"/>
      <c r="S94" s="129"/>
      <c r="T94" s="129"/>
      <c r="U94" s="132"/>
    </row>
    <row r="95" spans="2:31">
      <c r="B95" s="122" t="s">
        <v>874</v>
      </c>
      <c r="E95" s="127"/>
      <c r="F95" s="127"/>
      <c r="G95" s="127"/>
      <c r="H95" s="127"/>
      <c r="I95" s="127"/>
      <c r="J95" s="127"/>
      <c r="K95" s="136"/>
      <c r="M95" s="122" t="s">
        <v>937</v>
      </c>
      <c r="O95" s="129"/>
      <c r="P95" s="129"/>
      <c r="Q95" s="129"/>
      <c r="R95" s="129"/>
      <c r="S95" s="129"/>
      <c r="T95" s="129"/>
      <c r="U95" s="132"/>
      <c r="W95" s="793"/>
      <c r="Y95" s="776"/>
      <c r="Z95" s="776"/>
      <c r="AA95" s="776"/>
      <c r="AB95" s="776"/>
      <c r="AC95" s="776"/>
      <c r="AD95" s="776"/>
      <c r="AE95" s="776"/>
    </row>
    <row r="96" spans="2:31">
      <c r="B96" s="124" t="str">
        <f t="shared" ref="B96:B101" si="127">B88</f>
        <v>White</v>
      </c>
      <c r="E96" s="127">
        <f>'Inv. wine'!C60</f>
        <v>0</v>
      </c>
      <c r="F96" s="127">
        <f>'Inv. wine'!D60</f>
        <v>0</v>
      </c>
      <c r="G96" s="127">
        <f>'Inv. wine'!E60</f>
        <v>0</v>
      </c>
      <c r="H96" s="127">
        <f>'Inv. wine'!F60</f>
        <v>0</v>
      </c>
      <c r="I96" s="127">
        <f>'Inv. wine'!G60</f>
        <v>0</v>
      </c>
      <c r="J96" s="127">
        <f>'Inv. wine'!H60</f>
        <v>0</v>
      </c>
      <c r="K96" s="136">
        <f>'Inv. wine'!I60</f>
        <v>0</v>
      </c>
      <c r="M96" s="121" t="str">
        <f>EN!B14</f>
        <v>Stock</v>
      </c>
      <c r="O96" s="129">
        <f ca="1">EN!D14</f>
        <v>350704.13459980208</v>
      </c>
      <c r="P96" s="129">
        <f ca="1">EN!E14</f>
        <v>555595.53417427605</v>
      </c>
      <c r="Q96" s="129">
        <f ca="1">EN!F14</f>
        <v>451700.63757765654</v>
      </c>
      <c r="R96" s="129">
        <f ca="1">EN!G14</f>
        <v>451700.63757765654</v>
      </c>
      <c r="S96" s="129">
        <f ca="1">EN!H14</f>
        <v>451700.63757765654</v>
      </c>
      <c r="T96" s="129">
        <f ca="1">EN!I14</f>
        <v>451700.63757765654</v>
      </c>
      <c r="U96" s="132">
        <f ca="1">EN!J14</f>
        <v>451700.63757765654</v>
      </c>
      <c r="W96" s="793"/>
      <c r="Y96" s="127">
        <f ca="1">O87-Y89</f>
        <v>48588.96508342927</v>
      </c>
      <c r="Z96" s="127"/>
      <c r="AA96" s="776"/>
      <c r="AB96" s="776"/>
      <c r="AC96" s="776"/>
      <c r="AD96" s="776"/>
      <c r="AE96" s="776"/>
    </row>
    <row r="97" spans="2:31">
      <c r="B97" s="124" t="str">
        <f t="shared" si="127"/>
        <v>Rose</v>
      </c>
      <c r="E97" s="127">
        <f>'Inv. wine'!L60</f>
        <v>0</v>
      </c>
      <c r="F97" s="127">
        <f>'Inv. wine'!M60</f>
        <v>0</v>
      </c>
      <c r="G97" s="127">
        <f>'Inv. wine'!N60</f>
        <v>0</v>
      </c>
      <c r="H97" s="127">
        <f>'Inv. wine'!O60</f>
        <v>0</v>
      </c>
      <c r="I97" s="127">
        <f>'Inv. wine'!P60</f>
        <v>0</v>
      </c>
      <c r="J97" s="127">
        <f>'Inv. wine'!Q60</f>
        <v>0</v>
      </c>
      <c r="K97" s="136">
        <f>'Inv. wine'!R60</f>
        <v>0</v>
      </c>
      <c r="M97" s="121" t="str">
        <f>EN!B15</f>
        <v>Semi-finished products</v>
      </c>
      <c r="O97" s="128">
        <f ca="1">EN!D15</f>
        <v>824617.14632188238</v>
      </c>
      <c r="P97" s="128">
        <f ca="1">EN!E15</f>
        <v>594938.45228143875</v>
      </c>
      <c r="Q97" s="128">
        <f ca="1">EN!F15</f>
        <v>767298.66344039375</v>
      </c>
      <c r="R97" s="128">
        <f ca="1">EN!G15</f>
        <v>821772.34404998901</v>
      </c>
      <c r="S97" s="128">
        <f ca="1">EN!H15</f>
        <v>833996.80159210961</v>
      </c>
      <c r="T97" s="128">
        <f ca="1">EN!I15</f>
        <v>903871.76543444581</v>
      </c>
      <c r="U97" s="133">
        <f ca="1">EN!J15</f>
        <v>903145.33697974484</v>
      </c>
      <c r="W97" s="793"/>
      <c r="Y97" s="776"/>
      <c r="Z97" s="776"/>
      <c r="AA97" s="776"/>
      <c r="AB97" s="776"/>
      <c r="AC97" s="776"/>
      <c r="AD97" s="776"/>
      <c r="AE97" s="776"/>
    </row>
    <row r="98" spans="2:31">
      <c r="B98" s="124" t="str">
        <f t="shared" si="127"/>
        <v>Classic</v>
      </c>
      <c r="E98" s="127">
        <f>'Inv. wine'!U60</f>
        <v>36208</v>
      </c>
      <c r="F98" s="127">
        <f>'Inv. wine'!V60</f>
        <v>0</v>
      </c>
      <c r="G98" s="127">
        <f>'Inv. wine'!W60</f>
        <v>0</v>
      </c>
      <c r="H98" s="127">
        <f>'Inv. wine'!X60</f>
        <v>0</v>
      </c>
      <c r="I98" s="127">
        <f>'Inv. wine'!Y60</f>
        <v>0</v>
      </c>
      <c r="J98" s="127">
        <f>'Inv. wine'!Z60</f>
        <v>0</v>
      </c>
      <c r="K98" s="136">
        <f>'Inv. wine'!AA60</f>
        <v>0</v>
      </c>
      <c r="M98" s="121"/>
      <c r="O98" s="129">
        <f t="shared" ref="O98:U98" ca="1" si="128">O96+O97</f>
        <v>1175321.2809216846</v>
      </c>
      <c r="P98" s="129">
        <f t="shared" ca="1" si="128"/>
        <v>1150533.9864557148</v>
      </c>
      <c r="Q98" s="129">
        <f t="shared" ca="1" si="128"/>
        <v>1218999.3010180504</v>
      </c>
      <c r="R98" s="129">
        <f t="shared" ca="1" si="128"/>
        <v>1273472.9816276454</v>
      </c>
      <c r="S98" s="129">
        <f t="shared" ca="1" si="128"/>
        <v>1285697.4391697661</v>
      </c>
      <c r="T98" s="129">
        <f t="shared" ca="1" si="128"/>
        <v>1355572.4030121025</v>
      </c>
      <c r="U98" s="132">
        <f t="shared" ca="1" si="128"/>
        <v>1354845.9745574014</v>
      </c>
      <c r="W98" s="793"/>
      <c r="Y98" s="776"/>
      <c r="Z98" s="776"/>
      <c r="AA98" s="776"/>
      <c r="AB98" s="776"/>
      <c r="AC98" s="776"/>
      <c r="AD98" s="776"/>
      <c r="AE98" s="776"/>
    </row>
    <row r="99" spans="2:31">
      <c r="B99" s="124" t="str">
        <f t="shared" si="127"/>
        <v>Premium</v>
      </c>
      <c r="E99" s="127">
        <f>'Inv. wine'!AD60</f>
        <v>0</v>
      </c>
      <c r="F99" s="127">
        <f ca="1">'Inv. wine'!AE60</f>
        <v>31321</v>
      </c>
      <c r="G99" s="127">
        <f ca="1">'Inv. wine'!AF60</f>
        <v>45368</v>
      </c>
      <c r="H99" s="127">
        <f ca="1">'Inv. wine'!AG60</f>
        <v>52746</v>
      </c>
      <c r="I99" s="127">
        <f ca="1">'Inv. wine'!AH60</f>
        <v>52796</v>
      </c>
      <c r="J99" s="127">
        <f ca="1">'Inv. wine'!AI60</f>
        <v>52796</v>
      </c>
      <c r="K99" s="136">
        <f ca="1">'Inv. wine'!AJ60</f>
        <v>52796</v>
      </c>
      <c r="M99" s="121"/>
      <c r="O99" s="134"/>
      <c r="P99" s="134"/>
      <c r="Q99" s="134"/>
      <c r="R99" s="134"/>
      <c r="S99" s="134"/>
      <c r="T99" s="134"/>
      <c r="U99" s="135"/>
      <c r="W99" s="793"/>
      <c r="Y99" s="776"/>
      <c r="Z99" s="776"/>
      <c r="AA99" s="776"/>
      <c r="AB99" s="776"/>
      <c r="AC99" s="776"/>
      <c r="AD99" s="776"/>
      <c r="AE99" s="776"/>
    </row>
    <row r="100" spans="2:31" ht="13.5" thickBot="1">
      <c r="B100" s="124" t="str">
        <f t="shared" si="127"/>
        <v>Selection individuelle</v>
      </c>
      <c r="E100" s="753">
        <f>'Inv. wine'!AM60</f>
        <v>0</v>
      </c>
      <c r="F100" s="753">
        <f>'Inv. wine'!AN60</f>
        <v>4275</v>
      </c>
      <c r="G100" s="753">
        <f>'Inv. wine'!AO60</f>
        <v>5625</v>
      </c>
      <c r="H100" s="753">
        <f>'Inv. wine'!AP60</f>
        <v>6525</v>
      </c>
      <c r="I100" s="753">
        <f>'Inv. wine'!AQ60</f>
        <v>6525</v>
      </c>
      <c r="J100" s="753">
        <f>'Inv. wine'!AR60</f>
        <v>6525</v>
      </c>
      <c r="K100" s="790">
        <f>'Inv. wine'!AS60</f>
        <v>6525</v>
      </c>
      <c r="M100" s="723" t="s">
        <v>875</v>
      </c>
      <c r="N100" s="202"/>
      <c r="O100" s="203">
        <f ca="1">O93-O98</f>
        <v>0</v>
      </c>
      <c r="P100" s="203">
        <f t="shared" ref="P100:U100" ca="1" si="129">P93-P98</f>
        <v>0</v>
      </c>
      <c r="Q100" s="203">
        <f t="shared" ca="1" si="129"/>
        <v>0</v>
      </c>
      <c r="R100" s="203">
        <f t="shared" ca="1" si="129"/>
        <v>0</v>
      </c>
      <c r="S100" s="203">
        <f t="shared" ca="1" si="129"/>
        <v>0</v>
      </c>
      <c r="T100" s="203">
        <f t="shared" ca="1" si="129"/>
        <v>0</v>
      </c>
      <c r="U100" s="505">
        <f t="shared" ca="1" si="129"/>
        <v>0</v>
      </c>
      <c r="W100" s="793"/>
      <c r="Y100" s="776">
        <f ca="1">Y58+Y42</f>
        <v>569817.01906556822</v>
      </c>
      <c r="Z100" s="776"/>
      <c r="AA100" s="776"/>
      <c r="AB100" s="776"/>
      <c r="AC100" s="776"/>
      <c r="AD100" s="776"/>
      <c r="AE100" s="776"/>
    </row>
    <row r="101" spans="2:31">
      <c r="B101" s="122" t="str">
        <f t="shared" si="127"/>
        <v>Total</v>
      </c>
      <c r="E101" s="127">
        <f t="shared" ref="E101:K101" si="130">SUM(E96:E100)</f>
        <v>36208</v>
      </c>
      <c r="F101" s="127">
        <f t="shared" ca="1" si="130"/>
        <v>35596</v>
      </c>
      <c r="G101" s="127">
        <f t="shared" ca="1" si="130"/>
        <v>50993</v>
      </c>
      <c r="H101" s="127">
        <f t="shared" ca="1" si="130"/>
        <v>59271</v>
      </c>
      <c r="I101" s="127">
        <f t="shared" ca="1" si="130"/>
        <v>59321</v>
      </c>
      <c r="J101" s="127">
        <f t="shared" ca="1" si="130"/>
        <v>59321</v>
      </c>
      <c r="K101" s="136">
        <f t="shared" ca="1" si="130"/>
        <v>59321</v>
      </c>
      <c r="Y101" s="776">
        <f>E24</f>
        <v>41055</v>
      </c>
      <c r="Z101" s="776"/>
      <c r="AA101" s="776"/>
      <c r="AB101" s="776"/>
      <c r="AC101" s="776"/>
      <c r="AD101" s="776"/>
      <c r="AE101" s="776"/>
    </row>
    <row r="102" spans="2:31">
      <c r="B102" s="124"/>
      <c r="K102" s="123"/>
      <c r="W102" s="793"/>
      <c r="Y102" s="776">
        <f ca="1">Y100-Y101</f>
        <v>528762.01906556822</v>
      </c>
      <c r="Z102" s="776"/>
      <c r="AA102" s="776"/>
      <c r="AB102" s="776"/>
      <c r="AC102" s="776"/>
      <c r="AD102" s="776"/>
      <c r="AE102" s="776"/>
    </row>
    <row r="103" spans="2:31">
      <c r="B103" s="121" t="str">
        <f>B80</f>
        <v>White</v>
      </c>
      <c r="E103" s="777">
        <f t="shared" ref="E103:K107" si="131">E96/E$101</f>
        <v>0</v>
      </c>
      <c r="F103" s="777">
        <f t="shared" ca="1" si="131"/>
        <v>0</v>
      </c>
      <c r="G103" s="777">
        <f t="shared" ca="1" si="131"/>
        <v>0</v>
      </c>
      <c r="H103" s="777">
        <f t="shared" ca="1" si="131"/>
        <v>0</v>
      </c>
      <c r="I103" s="777">
        <f t="shared" ca="1" si="131"/>
        <v>0</v>
      </c>
      <c r="J103" s="777">
        <f t="shared" ca="1" si="131"/>
        <v>0</v>
      </c>
      <c r="K103" s="781">
        <f t="shared" ca="1" si="131"/>
        <v>0</v>
      </c>
      <c r="O103" s="127"/>
      <c r="W103" s="793"/>
      <c r="Y103" s="776">
        <v>261669</v>
      </c>
      <c r="Z103" s="776"/>
      <c r="AA103" s="776"/>
      <c r="AB103" s="776"/>
      <c r="AC103" s="776"/>
      <c r="AD103" s="776"/>
      <c r="AE103" s="776"/>
    </row>
    <row r="104" spans="2:31">
      <c r="B104" s="121" t="str">
        <f>B81</f>
        <v>Rose</v>
      </c>
      <c r="E104" s="777">
        <f t="shared" si="131"/>
        <v>0</v>
      </c>
      <c r="F104" s="777">
        <f t="shared" ca="1" si="131"/>
        <v>0</v>
      </c>
      <c r="G104" s="777">
        <f t="shared" ca="1" si="131"/>
        <v>0</v>
      </c>
      <c r="H104" s="777">
        <f t="shared" ca="1" si="131"/>
        <v>0</v>
      </c>
      <c r="I104" s="777">
        <f t="shared" ca="1" si="131"/>
        <v>0</v>
      </c>
      <c r="J104" s="777">
        <f t="shared" ca="1" si="131"/>
        <v>0</v>
      </c>
      <c r="K104" s="781">
        <f t="shared" ca="1" si="131"/>
        <v>0</v>
      </c>
      <c r="M104" s="724"/>
      <c r="O104" s="127"/>
      <c r="W104" s="793"/>
      <c r="Y104" s="776">
        <f ca="1">Y102-Y103</f>
        <v>267093.01906556822</v>
      </c>
      <c r="Z104" s="775"/>
      <c r="AA104" s="776"/>
      <c r="AB104" s="776"/>
      <c r="AC104" s="776"/>
      <c r="AD104" s="776"/>
      <c r="AE104" s="776"/>
    </row>
    <row r="105" spans="2:31">
      <c r="B105" s="121" t="str">
        <f>B82</f>
        <v>Classic</v>
      </c>
      <c r="E105" s="777">
        <f t="shared" si="131"/>
        <v>1</v>
      </c>
      <c r="F105" s="777">
        <f t="shared" ca="1" si="131"/>
        <v>0</v>
      </c>
      <c r="G105" s="777">
        <f t="shared" ca="1" si="131"/>
        <v>0</v>
      </c>
      <c r="H105" s="777">
        <f t="shared" ca="1" si="131"/>
        <v>0</v>
      </c>
      <c r="I105" s="777">
        <f t="shared" ca="1" si="131"/>
        <v>0</v>
      </c>
      <c r="J105" s="777">
        <f t="shared" ca="1" si="131"/>
        <v>0</v>
      </c>
      <c r="K105" s="781">
        <f t="shared" ca="1" si="131"/>
        <v>0</v>
      </c>
      <c r="O105" s="776"/>
      <c r="Y105" s="776"/>
      <c r="Z105" s="776"/>
      <c r="AA105" s="776"/>
      <c r="AB105" s="776"/>
      <c r="AC105" s="776"/>
      <c r="AD105" s="776"/>
      <c r="AE105" s="776"/>
    </row>
    <row r="106" spans="2:31">
      <c r="B106" s="121" t="str">
        <f>B83</f>
        <v>Premium</v>
      </c>
      <c r="E106" s="777">
        <f t="shared" si="131"/>
        <v>0</v>
      </c>
      <c r="F106" s="777">
        <f t="shared" ca="1" si="131"/>
        <v>0.87990223620631536</v>
      </c>
      <c r="G106" s="777">
        <f t="shared" ca="1" si="131"/>
        <v>0.88969074186653074</v>
      </c>
      <c r="H106" s="777">
        <f t="shared" ca="1" si="131"/>
        <v>0.88991243609859794</v>
      </c>
      <c r="I106" s="777">
        <f t="shared" ca="1" si="131"/>
        <v>0.89000522580536401</v>
      </c>
      <c r="J106" s="777">
        <f t="shared" ca="1" si="131"/>
        <v>0.89000522580536401</v>
      </c>
      <c r="K106" s="781">
        <f t="shared" ca="1" si="131"/>
        <v>0.89000522580536401</v>
      </c>
    </row>
    <row r="107" spans="2:31">
      <c r="B107" s="121" t="str">
        <f>B84</f>
        <v>Selection individuelle</v>
      </c>
      <c r="E107" s="778">
        <f t="shared" si="131"/>
        <v>0</v>
      </c>
      <c r="F107" s="778">
        <f t="shared" ca="1" si="131"/>
        <v>0.12009776379368468</v>
      </c>
      <c r="G107" s="778">
        <f t="shared" ca="1" si="131"/>
        <v>0.1103092581334693</v>
      </c>
      <c r="H107" s="778">
        <f t="shared" ca="1" si="131"/>
        <v>0.11008756390140204</v>
      </c>
      <c r="I107" s="778">
        <f t="shared" ca="1" si="131"/>
        <v>0.10999477419463596</v>
      </c>
      <c r="J107" s="778">
        <f t="shared" ca="1" si="131"/>
        <v>0.10999477419463596</v>
      </c>
      <c r="K107" s="782">
        <f t="shared" ca="1" si="131"/>
        <v>0.10999477419463596</v>
      </c>
      <c r="W107" s="793"/>
    </row>
    <row r="108" spans="2:31">
      <c r="B108" s="121"/>
      <c r="E108" s="783">
        <f>SUM(E103:E107)</f>
        <v>1</v>
      </c>
      <c r="F108" s="783">
        <f t="shared" ref="F108:K108" ca="1" si="132">SUM(F103:F107)</f>
        <v>1</v>
      </c>
      <c r="G108" s="783">
        <f t="shared" ca="1" si="132"/>
        <v>1</v>
      </c>
      <c r="H108" s="783">
        <f t="shared" ca="1" si="132"/>
        <v>1</v>
      </c>
      <c r="I108" s="783">
        <f t="shared" ca="1" si="132"/>
        <v>1</v>
      </c>
      <c r="J108" s="783">
        <f t="shared" ca="1" si="132"/>
        <v>1</v>
      </c>
      <c r="K108" s="784">
        <f t="shared" ca="1" si="132"/>
        <v>1</v>
      </c>
    </row>
    <row r="109" spans="2:31">
      <c r="B109" s="121"/>
      <c r="K109" s="123"/>
      <c r="O109" s="141"/>
      <c r="W109" s="793"/>
    </row>
    <row r="110" spans="2:31">
      <c r="B110" s="122" t="s">
        <v>826</v>
      </c>
      <c r="K110" s="123"/>
    </row>
    <row r="111" spans="2:31">
      <c r="B111" s="121" t="str">
        <f>B103</f>
        <v>White</v>
      </c>
      <c r="E111" s="129">
        <f>SUM('Inv. wine'!C136:C143)</f>
        <v>0</v>
      </c>
      <c r="F111" s="129">
        <f>SUM('Inv. wine'!D133:D143)</f>
        <v>1699.5</v>
      </c>
      <c r="G111" s="129">
        <f>SUM('Inv. wine'!E133:E143)</f>
        <v>2804.25</v>
      </c>
      <c r="H111" s="129">
        <f>SUM('Inv. wine'!F133:F143)</f>
        <v>3295.5</v>
      </c>
      <c r="I111" s="129">
        <f>SUM('Inv. wine'!G133:G143)</f>
        <v>3312</v>
      </c>
      <c r="J111" s="129">
        <f>SUM('Inv. wine'!H133:H143)</f>
        <v>3312</v>
      </c>
      <c r="K111" s="132">
        <f>SUM('Inv. wine'!I133:I143)</f>
        <v>3312</v>
      </c>
    </row>
    <row r="112" spans="2:31">
      <c r="B112" s="121" t="str">
        <f>B104</f>
        <v>Rose</v>
      </c>
      <c r="E112" s="129">
        <f>SUM('Inv. wine'!L133:L143)</f>
        <v>3950</v>
      </c>
      <c r="F112" s="129">
        <f>SUM('Inv. wine'!M133:M143)</f>
        <v>0</v>
      </c>
      <c r="G112" s="129">
        <f>SUM('Inv. wine'!N133:N143)</f>
        <v>0</v>
      </c>
      <c r="H112" s="129">
        <f>SUM('Inv. wine'!O133:O143)</f>
        <v>0</v>
      </c>
      <c r="I112" s="129">
        <f>SUM('Inv. wine'!P133:P143)</f>
        <v>0</v>
      </c>
      <c r="J112" s="129">
        <f>SUM('Inv. wine'!Q133:Q143)</f>
        <v>0</v>
      </c>
      <c r="K112" s="132">
        <f>SUM('Inv. wine'!R133:R143)</f>
        <v>0</v>
      </c>
    </row>
    <row r="113" spans="2:31">
      <c r="B113" s="121" t="str">
        <f>B105</f>
        <v>Classic</v>
      </c>
      <c r="E113" s="129">
        <f>SUM('Inv. wine'!U132:U143)</f>
        <v>16186.5</v>
      </c>
      <c r="F113" s="129">
        <f>SUM('Inv. wine'!V132:V143)</f>
        <v>43408</v>
      </c>
      <c r="G113" s="129">
        <f>SUM('Inv. wine'!W132:W143)</f>
        <v>0</v>
      </c>
      <c r="H113" s="129">
        <f>SUM('Inv. wine'!X132:X143)</f>
        <v>0</v>
      </c>
      <c r="I113" s="129">
        <f>SUM('Inv. wine'!Y132:Y143)</f>
        <v>0</v>
      </c>
      <c r="J113" s="129">
        <f>SUM('Inv. wine'!Z132:Z143)</f>
        <v>0</v>
      </c>
      <c r="K113" s="132">
        <f>SUM('Inv. wine'!AA132:AA143)</f>
        <v>0</v>
      </c>
    </row>
    <row r="114" spans="2:31">
      <c r="B114" s="121" t="str">
        <f>B106</f>
        <v>Premium</v>
      </c>
      <c r="E114" s="129">
        <f>SUM('Inv. wine'!AD132:AD143)</f>
        <v>16447.5</v>
      </c>
      <c r="F114" s="129">
        <f ca="1">SUM('Inv. wine'!AE132:AE143)</f>
        <v>28125</v>
      </c>
      <c r="G114" s="129">
        <f ca="1">SUM('Inv. wine'!AF132:AF143)</f>
        <v>31321</v>
      </c>
      <c r="H114" s="129">
        <f ca="1">SUM('Inv. wine'!AG132:AG143)</f>
        <v>45368</v>
      </c>
      <c r="I114" s="129">
        <f ca="1">SUM('Inv. wine'!AH132:AH143)</f>
        <v>52746</v>
      </c>
      <c r="J114" s="129">
        <f ca="1">SUM('Inv. wine'!AI132:AI143)</f>
        <v>52796</v>
      </c>
      <c r="K114" s="132">
        <f ca="1">SUM('Inv. wine'!AJ132:AJ143)</f>
        <v>52796</v>
      </c>
      <c r="W114" s="776"/>
      <c r="X114" s="776"/>
      <c r="Y114" s="776"/>
      <c r="Z114" s="776"/>
      <c r="AA114" s="776"/>
      <c r="AB114" s="776"/>
      <c r="AC114" s="776"/>
      <c r="AD114" s="776"/>
      <c r="AE114" s="776"/>
    </row>
    <row r="115" spans="2:31">
      <c r="B115" s="121" t="str">
        <f>B107</f>
        <v>Selection individuelle</v>
      </c>
      <c r="E115" s="128">
        <f>SUM('Inv. wine'!AM132:AM143)</f>
        <v>2733.5</v>
      </c>
      <c r="F115" s="128">
        <f>SUM('Inv. wine'!AN132:AN143)</f>
        <v>0</v>
      </c>
      <c r="G115" s="128">
        <f>SUM('Inv. wine'!AO132:AO143)</f>
        <v>0</v>
      </c>
      <c r="H115" s="128">
        <f>SUM('Inv. wine'!AP132:AP143)</f>
        <v>4275</v>
      </c>
      <c r="I115" s="128">
        <f>SUM('Inv. wine'!AQ132:AQ143)</f>
        <v>5625</v>
      </c>
      <c r="J115" s="128">
        <f>SUM('Inv. wine'!AR132:AR143)</f>
        <v>6525</v>
      </c>
      <c r="K115" s="133">
        <f>SUM('Inv. wine'!AS132:AS143)</f>
        <v>6525</v>
      </c>
      <c r="W115" s="776"/>
      <c r="X115" s="776"/>
      <c r="Y115" s="776"/>
      <c r="Z115" s="776"/>
      <c r="AA115" s="776"/>
      <c r="AB115" s="776"/>
      <c r="AC115" s="776"/>
      <c r="AD115" s="776"/>
      <c r="AE115" s="776"/>
    </row>
    <row r="116" spans="2:31">
      <c r="B116" s="122" t="str">
        <f>B71</f>
        <v>Total</v>
      </c>
      <c r="E116" s="127">
        <f>SUM(E111:E115)</f>
        <v>39317.5</v>
      </c>
      <c r="F116" s="127">
        <f t="shared" ref="F116:K116" ca="1" si="133">SUM(F111:F115)</f>
        <v>73232.5</v>
      </c>
      <c r="G116" s="127">
        <f t="shared" ca="1" si="133"/>
        <v>34125.25</v>
      </c>
      <c r="H116" s="127">
        <f t="shared" ca="1" si="133"/>
        <v>52938.5</v>
      </c>
      <c r="I116" s="127">
        <f t="shared" ca="1" si="133"/>
        <v>61683</v>
      </c>
      <c r="J116" s="127">
        <f t="shared" ca="1" si="133"/>
        <v>62633</v>
      </c>
      <c r="K116" s="136">
        <f t="shared" ca="1" si="133"/>
        <v>62633</v>
      </c>
      <c r="W116" s="776"/>
      <c r="X116" s="776"/>
      <c r="Y116" s="776"/>
      <c r="Z116" s="776"/>
      <c r="AA116" s="776"/>
      <c r="AB116" s="776"/>
      <c r="AC116" s="776"/>
      <c r="AD116" s="776"/>
      <c r="AE116" s="776"/>
    </row>
    <row r="117" spans="2:31" ht="13.5" thickBot="1">
      <c r="B117" s="712"/>
      <c r="C117" s="202"/>
      <c r="D117" s="202"/>
      <c r="E117" s="202"/>
      <c r="F117" s="202"/>
      <c r="G117" s="202"/>
      <c r="H117" s="202"/>
      <c r="I117" s="202"/>
      <c r="J117" s="202"/>
      <c r="K117" s="788"/>
      <c r="R117" s="775"/>
      <c r="S117" s="775"/>
      <c r="T117" s="775"/>
      <c r="U117" s="775"/>
      <c r="W117" s="776"/>
      <c r="X117" s="776"/>
      <c r="Y117" s="776"/>
      <c r="Z117" s="776"/>
      <c r="AA117" s="776"/>
      <c r="AB117" s="776"/>
      <c r="AC117" s="776"/>
      <c r="AD117" s="776"/>
      <c r="AE117" s="776"/>
    </row>
    <row r="118" spans="2:31">
      <c r="B118" s="139" t="s">
        <v>875</v>
      </c>
      <c r="C118" s="126"/>
      <c r="D118" s="126"/>
      <c r="E118" s="126"/>
      <c r="F118" s="126"/>
      <c r="G118" s="126"/>
      <c r="H118" s="126"/>
      <c r="I118" s="126"/>
      <c r="J118" s="126"/>
      <c r="K118" s="130"/>
      <c r="R118" s="775"/>
      <c r="S118" s="775"/>
      <c r="T118" s="775"/>
      <c r="U118" s="775"/>
    </row>
    <row r="119" spans="2:31">
      <c r="B119" s="121"/>
      <c r="K119" s="123"/>
      <c r="R119" s="775"/>
      <c r="S119" s="775"/>
      <c r="T119" s="775"/>
      <c r="U119" s="775"/>
      <c r="W119" s="776"/>
      <c r="X119" s="776"/>
      <c r="Y119" s="776"/>
      <c r="Z119" s="776"/>
      <c r="AA119" s="776"/>
      <c r="AB119" s="776"/>
      <c r="AC119" s="776"/>
      <c r="AD119" s="776"/>
      <c r="AE119" s="776"/>
    </row>
    <row r="120" spans="2:31">
      <c r="B120" s="122" t="s">
        <v>624</v>
      </c>
      <c r="K120" s="123"/>
      <c r="W120" s="776"/>
      <c r="X120" s="776"/>
      <c r="Y120" s="776"/>
      <c r="Z120" s="776"/>
      <c r="AA120" s="776"/>
      <c r="AB120" s="776"/>
      <c r="AC120" s="776"/>
      <c r="AD120" s="776"/>
      <c r="AE120" s="776"/>
    </row>
    <row r="121" spans="2:31">
      <c r="B121" s="121" t="str">
        <f>B126</f>
        <v xml:space="preserve">Costs in year </v>
      </c>
      <c r="E121" s="141">
        <f ca="1">E4+E5+E6+E7+E8+E9+E10</f>
        <v>254800.12725631412</v>
      </c>
      <c r="F121" s="141">
        <f t="shared" ref="F121:K121" ca="1" si="134">F4+F5+F6+F7+F8+F9+F10</f>
        <v>309321.65503436723</v>
      </c>
      <c r="G121" s="141">
        <f t="shared" ca="1" si="134"/>
        <v>343928.49060693674</v>
      </c>
      <c r="H121" s="141">
        <f t="shared" ca="1" si="134"/>
        <v>361202.04873600841</v>
      </c>
      <c r="I121" s="141">
        <f t="shared" ca="1" si="134"/>
        <v>369247.11980977305</v>
      </c>
      <c r="J121" s="141">
        <f t="shared" ca="1" si="134"/>
        <v>381355.2676726933</v>
      </c>
      <c r="K121" s="713">
        <f t="shared" ca="1" si="134"/>
        <v>390770.37613094645</v>
      </c>
      <c r="V121" s="775"/>
      <c r="W121" s="776"/>
      <c r="X121" s="776"/>
      <c r="Y121" s="776"/>
      <c r="Z121" s="776"/>
      <c r="AA121" s="776"/>
      <c r="AB121" s="776"/>
      <c r="AC121" s="776"/>
      <c r="AD121" s="776"/>
      <c r="AE121" s="776"/>
    </row>
    <row r="122" spans="2:31">
      <c r="B122" s="121" t="str">
        <f>B127</f>
        <v>Production costs current year</v>
      </c>
      <c r="E122" s="697">
        <f t="shared" ref="E122:K122" ca="1" si="135">E66*O12+O24*E67+O36*E68+O48*E69+O61*E70</f>
        <v>254800.12725631412</v>
      </c>
      <c r="F122" s="697">
        <f t="shared" ca="1" si="135"/>
        <v>309321.65503436729</v>
      </c>
      <c r="G122" s="697">
        <f t="shared" ca="1" si="135"/>
        <v>343928.49060693674</v>
      </c>
      <c r="H122" s="697">
        <f t="shared" ca="1" si="135"/>
        <v>361202.04873600841</v>
      </c>
      <c r="I122" s="697">
        <f t="shared" ca="1" si="135"/>
        <v>369247.11980977305</v>
      </c>
      <c r="J122" s="697">
        <f t="shared" ca="1" si="135"/>
        <v>381355.26767269324</v>
      </c>
      <c r="K122" s="714">
        <f t="shared" ca="1" si="135"/>
        <v>390770.37613094639</v>
      </c>
      <c r="O122" s="125"/>
      <c r="P122" s="125"/>
      <c r="Q122" s="125"/>
      <c r="R122" s="125"/>
      <c r="S122" s="125"/>
      <c r="T122" s="125"/>
      <c r="V122" s="775"/>
      <c r="W122" s="776"/>
      <c r="X122" s="776"/>
      <c r="Y122" s="776"/>
      <c r="Z122" s="776"/>
      <c r="AA122" s="776"/>
      <c r="AB122" s="776"/>
      <c r="AC122" s="776"/>
      <c r="AD122" s="776"/>
      <c r="AE122" s="776"/>
    </row>
    <row r="123" spans="2:31">
      <c r="B123" s="121" t="str">
        <f>B128</f>
        <v>Control</v>
      </c>
      <c r="E123" s="127">
        <f ca="1">E121-E122</f>
        <v>0</v>
      </c>
      <c r="F123" s="127">
        <f t="shared" ref="F123:K123" ca="1" si="136">F121-F122</f>
        <v>0</v>
      </c>
      <c r="G123" s="127">
        <f t="shared" ca="1" si="136"/>
        <v>0</v>
      </c>
      <c r="H123" s="127">
        <f t="shared" ca="1" si="136"/>
        <v>0</v>
      </c>
      <c r="I123" s="127">
        <f t="shared" ca="1" si="136"/>
        <v>0</v>
      </c>
      <c r="J123" s="127">
        <f t="shared" ca="1" si="136"/>
        <v>0</v>
      </c>
      <c r="K123" s="136">
        <f t="shared" ca="1" si="136"/>
        <v>0</v>
      </c>
      <c r="O123" s="125"/>
      <c r="P123" s="125"/>
      <c r="Q123" s="125"/>
      <c r="R123" s="125"/>
      <c r="S123" s="125"/>
      <c r="T123" s="125"/>
    </row>
    <row r="124" spans="2:31">
      <c r="B124" s="121"/>
      <c r="K124" s="123"/>
      <c r="O124" s="125"/>
      <c r="P124" s="125"/>
      <c r="Q124" s="125"/>
      <c r="R124" s="125"/>
      <c r="S124" s="125"/>
      <c r="T124" s="125"/>
    </row>
    <row r="125" spans="2:31">
      <c r="B125" s="122" t="str">
        <f>M62</f>
        <v>Barrels</v>
      </c>
      <c r="H125" s="125"/>
      <c r="I125" s="125"/>
      <c r="J125" s="125"/>
      <c r="K125" s="123"/>
      <c r="O125" s="125"/>
      <c r="P125" s="125"/>
      <c r="Q125" s="125"/>
      <c r="R125" s="125"/>
      <c r="S125" s="125"/>
      <c r="T125" s="125"/>
    </row>
    <row r="126" spans="2:31">
      <c r="B126" s="124" t="s">
        <v>872</v>
      </c>
      <c r="E126" s="129">
        <f>E23</f>
        <v>41055</v>
      </c>
      <c r="F126" s="141">
        <f t="shared" ref="F126:K126" ca="1" si="137">F23</f>
        <v>42427.529645999995</v>
      </c>
      <c r="G126" s="141">
        <f t="shared" ca="1" si="137"/>
        <v>95870.363377109985</v>
      </c>
      <c r="H126" s="141">
        <f t="shared" ca="1" si="137"/>
        <v>91839.3631124034</v>
      </c>
      <c r="I126" s="141">
        <f t="shared" ca="1" si="137"/>
        <v>76669.464189478036</v>
      </c>
      <c r="J126" s="141">
        <f t="shared" ca="1" si="137"/>
        <v>126732.31197657638</v>
      </c>
      <c r="K126" s="713">
        <f t="shared" ca="1" si="137"/>
        <v>98778.126137846935</v>
      </c>
      <c r="M126" s="127"/>
      <c r="O126" s="125"/>
      <c r="P126" s="125"/>
      <c r="Q126" s="125"/>
      <c r="R126" s="125"/>
      <c r="S126" s="125"/>
      <c r="T126" s="125"/>
    </row>
    <row r="127" spans="2:31">
      <c r="B127" s="124" t="s">
        <v>871</v>
      </c>
      <c r="E127" s="128">
        <f t="shared" ref="E127:K127" si="138">E96*O13+E97*O25+E98*O37+E99*O49+E100*O62</f>
        <v>41055</v>
      </c>
      <c r="F127" s="697">
        <f t="shared" ca="1" si="138"/>
        <v>42427.529645999995</v>
      </c>
      <c r="G127" s="697">
        <f t="shared" ca="1" si="138"/>
        <v>95870.363377109985</v>
      </c>
      <c r="H127" s="697">
        <f t="shared" ca="1" si="138"/>
        <v>91839.3631124034</v>
      </c>
      <c r="I127" s="697">
        <f t="shared" ca="1" si="138"/>
        <v>76669.464189478036</v>
      </c>
      <c r="J127" s="697">
        <f t="shared" ca="1" si="138"/>
        <v>126732.31197657638</v>
      </c>
      <c r="K127" s="714">
        <f t="shared" ca="1" si="138"/>
        <v>98778.126137846935</v>
      </c>
      <c r="M127" s="127"/>
      <c r="O127" s="125"/>
      <c r="P127" s="125"/>
      <c r="Q127" s="125"/>
      <c r="R127" s="125"/>
      <c r="S127" s="125"/>
      <c r="T127" s="125"/>
    </row>
    <row r="128" spans="2:31">
      <c r="B128" s="124" t="s">
        <v>875</v>
      </c>
      <c r="E128" s="127">
        <f>E126-E127</f>
        <v>0</v>
      </c>
      <c r="F128" s="127">
        <f t="shared" ref="F128:K128" ca="1" si="139">F126-F127</f>
        <v>0</v>
      </c>
      <c r="G128" s="127">
        <f t="shared" ca="1" si="139"/>
        <v>0</v>
      </c>
      <c r="H128" s="127">
        <f t="shared" ca="1" si="139"/>
        <v>0</v>
      </c>
      <c r="I128" s="127">
        <f t="shared" ca="1" si="139"/>
        <v>0</v>
      </c>
      <c r="J128" s="127">
        <f t="shared" ca="1" si="139"/>
        <v>0</v>
      </c>
      <c r="K128" s="136">
        <f t="shared" ca="1" si="139"/>
        <v>0</v>
      </c>
      <c r="M128" s="127"/>
      <c r="O128" s="125"/>
      <c r="P128" s="125"/>
      <c r="Q128" s="125"/>
      <c r="R128" s="125"/>
      <c r="S128" s="125"/>
      <c r="T128" s="125"/>
    </row>
    <row r="129" spans="2:33">
      <c r="B129" s="121"/>
      <c r="K129" s="123"/>
      <c r="M129" s="127"/>
      <c r="N129" s="125"/>
      <c r="O129" s="125"/>
      <c r="P129" s="125"/>
      <c r="Q129" s="125"/>
      <c r="R129" s="125"/>
      <c r="S129" s="125"/>
      <c r="T129" s="125"/>
    </row>
    <row r="130" spans="2:33">
      <c r="B130" s="122" t="s">
        <v>241</v>
      </c>
      <c r="K130" s="123"/>
      <c r="M130" s="127"/>
      <c r="N130" s="125"/>
      <c r="O130" s="125"/>
      <c r="P130" s="125"/>
      <c r="Q130" s="125"/>
      <c r="R130" s="125"/>
      <c r="S130" s="125"/>
      <c r="T130" s="125"/>
    </row>
    <row r="131" spans="2:33">
      <c r="B131" s="124" t="s">
        <v>883</v>
      </c>
      <c r="E131" s="129">
        <f t="shared" ref="E131:K131" ca="1" si="140">E32</f>
        <v>7533.9650834292233</v>
      </c>
      <c r="F131" s="2772">
        <f ca="1">F32</f>
        <v>182713.21044157376</v>
      </c>
      <c r="G131" s="2772">
        <f t="shared" ca="1" si="140"/>
        <v>89089.967994956096</v>
      </c>
      <c r="H131" s="2772">
        <f t="shared" ca="1" si="140"/>
        <v>145163.85906414976</v>
      </c>
      <c r="I131" s="2772">
        <f t="shared" ca="1" si="140"/>
        <v>173309.13726387417</v>
      </c>
      <c r="J131" s="2772">
        <f t="shared" ca="1" si="140"/>
        <v>180171.25140617363</v>
      </c>
      <c r="K131" s="713">
        <f t="shared" ca="1" si="140"/>
        <v>183772.21413115258</v>
      </c>
      <c r="M131" s="127"/>
      <c r="N131" s="125"/>
      <c r="O131" s="125"/>
    </row>
    <row r="132" spans="2:33">
      <c r="B132" s="121" t="str">
        <f>B127</f>
        <v>Production costs current year</v>
      </c>
      <c r="E132" s="129">
        <f t="shared" ref="E132:K132" si="141">E111*O14+E112*O26+E113*O38+E114*O50+E115*O63</f>
        <v>76507.941269611212</v>
      </c>
      <c r="F132" s="129">
        <f t="shared" ca="1" si="141"/>
        <v>182713.21044157376</v>
      </c>
      <c r="G132" s="129">
        <f t="shared" ca="1" si="141"/>
        <v>89089.967994956096</v>
      </c>
      <c r="H132" s="129">
        <f t="shared" ca="1" si="141"/>
        <v>145163.85906414976</v>
      </c>
      <c r="I132" s="129">
        <f t="shared" ca="1" si="141"/>
        <v>173309.13726387417</v>
      </c>
      <c r="J132" s="129">
        <f t="shared" ca="1" si="141"/>
        <v>180171.25140617363</v>
      </c>
      <c r="K132" s="713">
        <f t="shared" ca="1" si="141"/>
        <v>183772.21413115258</v>
      </c>
      <c r="M132" s="127"/>
      <c r="O132" s="125"/>
      <c r="AF132" s="776"/>
      <c r="AG132" s="127"/>
    </row>
    <row r="133" spans="2:33">
      <c r="B133" s="124" t="s">
        <v>1033</v>
      </c>
      <c r="E133" s="128">
        <f ca="1">-('Inv. start'!F141*('Inv. start'!B149-'Inv. start'!C90)+'Inv. start'!F126*('Inv. start'!B150-'Inv. start'!C91)+'Inv. start'!F127*('Inv. start'!B151-'Inv. start'!C92))</f>
        <v>-68973.976186181972</v>
      </c>
      <c r="F133" s="128"/>
      <c r="G133" s="128"/>
      <c r="H133" s="128"/>
      <c r="I133" s="128"/>
      <c r="J133" s="128"/>
      <c r="K133" s="133"/>
      <c r="O133" s="125"/>
      <c r="U133" s="776"/>
      <c r="AF133" s="776"/>
    </row>
    <row r="134" spans="2:33" ht="13.5" thickBot="1">
      <c r="B134" s="829" t="s">
        <v>1032</v>
      </c>
      <c r="C134" s="202"/>
      <c r="D134" s="202"/>
      <c r="E134" s="725">
        <f ca="1">E131-E132-E133</f>
        <v>0</v>
      </c>
      <c r="F134" s="725">
        <f t="shared" ref="F134:K134" ca="1" si="142">F131-F132</f>
        <v>0</v>
      </c>
      <c r="G134" s="725">
        <f t="shared" ca="1" si="142"/>
        <v>0</v>
      </c>
      <c r="H134" s="725">
        <f t="shared" ca="1" si="142"/>
        <v>0</v>
      </c>
      <c r="I134" s="725">
        <f t="shared" ca="1" si="142"/>
        <v>0</v>
      </c>
      <c r="J134" s="725">
        <f t="shared" ca="1" si="142"/>
        <v>0</v>
      </c>
      <c r="K134" s="726">
        <f t="shared" ca="1" si="142"/>
        <v>0</v>
      </c>
      <c r="U134" s="776"/>
      <c r="AF134" s="776"/>
    </row>
    <row r="135" spans="2:33">
      <c r="U135" s="776"/>
      <c r="AF135" s="776"/>
    </row>
    <row r="136" spans="2:33">
      <c r="B136" s="724"/>
      <c r="E136" s="127"/>
      <c r="F136" s="127"/>
      <c r="G136" s="127"/>
      <c r="H136" s="127"/>
      <c r="I136" s="127"/>
      <c r="J136" s="127"/>
      <c r="K136" s="127"/>
      <c r="L136" s="127"/>
      <c r="U136" s="776"/>
      <c r="AF136" s="776"/>
    </row>
    <row r="137" spans="2:33">
      <c r="E137" s="127"/>
      <c r="V137" s="776"/>
    </row>
    <row r="138" spans="2:33">
      <c r="M138" s="504"/>
      <c r="O138" s="775"/>
      <c r="P138" s="775"/>
      <c r="Q138" s="775"/>
      <c r="U138" s="776"/>
      <c r="V138" s="776"/>
      <c r="AF138" s="776"/>
    </row>
    <row r="139" spans="2:33">
      <c r="M139" s="504"/>
      <c r="O139" s="775"/>
      <c r="P139" s="775"/>
      <c r="Q139" s="775"/>
      <c r="U139" s="776"/>
      <c r="V139" s="776"/>
      <c r="AF139" s="776"/>
    </row>
    <row r="140" spans="2:33">
      <c r="M140" s="504"/>
      <c r="O140" s="504"/>
      <c r="Q140" s="775"/>
      <c r="R140" s="141"/>
      <c r="U140" s="776"/>
      <c r="V140" s="776"/>
      <c r="AF140" s="776"/>
    </row>
    <row r="141" spans="2:33">
      <c r="U141" s="776"/>
      <c r="AF141" s="776"/>
    </row>
    <row r="142" spans="2:33">
      <c r="V142" s="776"/>
      <c r="AG142" s="776"/>
    </row>
    <row r="143" spans="2:33">
      <c r="V143" s="776"/>
      <c r="AG143" s="776"/>
    </row>
    <row r="144" spans="2:33">
      <c r="O144" s="675"/>
      <c r="P144" s="125"/>
      <c r="Q144" s="125"/>
      <c r="V144" s="776"/>
      <c r="AG144" s="776"/>
    </row>
    <row r="145" spans="22:33">
      <c r="V145" s="776"/>
      <c r="AG145" s="776"/>
    </row>
    <row r="147" spans="22:33">
      <c r="AG147" s="776"/>
    </row>
    <row r="148" spans="22:33">
      <c r="AG148" s="776"/>
    </row>
    <row r="149" spans="22:33">
      <c r="AG149" s="776"/>
    </row>
    <row r="150" spans="22:33">
      <c r="AG150" s="776"/>
    </row>
    <row r="185" spans="2:11" ht="13.5" thickBot="1">
      <c r="B185" s="712" t="str">
        <f>B128</f>
        <v>Control</v>
      </c>
      <c r="C185" s="202"/>
      <c r="D185" s="202"/>
      <c r="E185" s="725">
        <f t="shared" ref="E185:K185" ca="1" si="143">E131-E132</f>
        <v>-68973.976186181986</v>
      </c>
      <c r="F185" s="725">
        <f t="shared" ca="1" si="143"/>
        <v>0</v>
      </c>
      <c r="G185" s="725">
        <f t="shared" ca="1" si="143"/>
        <v>0</v>
      </c>
      <c r="H185" s="725">
        <f t="shared" ca="1" si="143"/>
        <v>0</v>
      </c>
      <c r="I185" s="725">
        <f t="shared" ca="1" si="143"/>
        <v>0</v>
      </c>
      <c r="J185" s="725">
        <f t="shared" ca="1" si="143"/>
        <v>0</v>
      </c>
      <c r="K185" s="726">
        <f t="shared" ca="1" si="143"/>
        <v>0</v>
      </c>
    </row>
    <row r="193" spans="6:6">
      <c r="F193" s="127"/>
    </row>
  </sheetData>
  <sheetProtection password="CD53"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T120"/>
  <sheetViews>
    <sheetView topLeftCell="A19" zoomScale="60" zoomScaleNormal="60" zoomScalePageLayoutView="60" workbookViewId="0">
      <selection activeCell="B93" sqref="B93"/>
    </sheetView>
  </sheetViews>
  <sheetFormatPr defaultRowHeight="12.75"/>
  <cols>
    <col min="1" max="1" width="2.140625" style="945" customWidth="1"/>
    <col min="2" max="2" width="37.42578125" style="945" customWidth="1"/>
    <col min="3" max="3" width="21.42578125" style="945" customWidth="1"/>
    <col min="4" max="4" width="15" style="945" customWidth="1"/>
    <col min="5" max="5" width="14.85546875" style="945" bestFit="1" customWidth="1"/>
    <col min="6" max="6" width="16.7109375" style="945" customWidth="1"/>
    <col min="7" max="7" width="16.5703125" style="945" customWidth="1"/>
    <col min="8" max="8" width="15.5703125" style="945" bestFit="1" customWidth="1"/>
    <col min="9" max="9" width="16.7109375" style="945" customWidth="1"/>
    <col min="10" max="10" width="2" style="945" customWidth="1"/>
    <col min="11" max="11" width="31.5703125" style="945" bestFit="1" customWidth="1"/>
    <col min="12" max="12" width="43.7109375" style="945" customWidth="1"/>
    <col min="13" max="13" width="14" style="945" customWidth="1"/>
    <col min="14" max="14" width="14.7109375" style="945" customWidth="1"/>
    <col min="15" max="15" width="15.28515625" style="945" bestFit="1" customWidth="1"/>
    <col min="16" max="16" width="17" style="945" customWidth="1"/>
    <col min="17" max="17" width="16.42578125" style="945" bestFit="1" customWidth="1"/>
    <col min="18" max="18" width="17" style="945" bestFit="1" customWidth="1"/>
    <col min="19" max="19" width="9.140625" style="945"/>
    <col min="20" max="20" width="11.28515625" style="945" bestFit="1" customWidth="1"/>
    <col min="21" max="16384" width="9.140625" style="945"/>
  </cols>
  <sheetData>
    <row r="1" spans="1:18" ht="13.5" thickBot="1"/>
    <row r="2" spans="1:18">
      <c r="B2" s="946" t="s">
        <v>1211</v>
      </c>
      <c r="C2" s="985"/>
      <c r="D2" s="985"/>
      <c r="E2" s="986"/>
    </row>
    <row r="3" spans="1:18">
      <c r="B3" s="976"/>
      <c r="C3" s="1161" t="s">
        <v>1160</v>
      </c>
      <c r="D3" s="1161" t="s">
        <v>134</v>
      </c>
      <c r="E3" s="1162" t="s">
        <v>26</v>
      </c>
      <c r="H3" s="973"/>
    </row>
    <row r="4" spans="1:18">
      <c r="B4" s="955" t="s">
        <v>1161</v>
      </c>
      <c r="C4" s="1158">
        <f ca="1">I44</f>
        <v>4489970.3419374013</v>
      </c>
      <c r="D4" s="1158"/>
      <c r="E4" s="1140">
        <f t="shared" ref="E4:E9" ca="1" si="0">C4+D4</f>
        <v>4489970.3419374013</v>
      </c>
    </row>
    <row r="5" spans="1:18">
      <c r="A5" s="965"/>
      <c r="B5" s="955" t="s">
        <v>1140</v>
      </c>
      <c r="C5" s="956">
        <f ca="1">I54</f>
        <v>2120502.2458630535</v>
      </c>
      <c r="D5" s="956"/>
      <c r="E5" s="1140">
        <f t="shared" ca="1" si="0"/>
        <v>2120502.2458630535</v>
      </c>
    </row>
    <row r="6" spans="1:18">
      <c r="A6" s="968"/>
      <c r="B6" s="955" t="s">
        <v>1058</v>
      </c>
      <c r="C6" s="956">
        <f>N41</f>
        <v>318169.94</v>
      </c>
      <c r="D6" s="956">
        <f>N44</f>
        <v>0</v>
      </c>
      <c r="E6" s="1140">
        <f t="shared" si="0"/>
        <v>318169.94</v>
      </c>
    </row>
    <row r="7" spans="1:18">
      <c r="A7" s="968"/>
      <c r="B7" s="955" t="s">
        <v>96</v>
      </c>
      <c r="C7" s="956">
        <f>N51</f>
        <v>634249</v>
      </c>
      <c r="D7" s="956">
        <f>N55</f>
        <v>0</v>
      </c>
      <c r="E7" s="1140">
        <f t="shared" si="0"/>
        <v>634249</v>
      </c>
      <c r="G7" s="2863"/>
    </row>
    <row r="8" spans="1:18">
      <c r="A8" s="979"/>
      <c r="B8" s="955" t="s">
        <v>458</v>
      </c>
      <c r="C8" s="956">
        <f>M28</f>
        <v>224475</v>
      </c>
      <c r="D8" s="956">
        <f>M35</f>
        <v>0</v>
      </c>
      <c r="E8" s="1140">
        <f t="shared" si="0"/>
        <v>224475</v>
      </c>
      <c r="G8" s="973"/>
    </row>
    <row r="9" spans="1:18">
      <c r="A9" s="982"/>
      <c r="B9" s="955" t="s">
        <v>264</v>
      </c>
      <c r="C9" s="1163">
        <v>0</v>
      </c>
      <c r="D9" s="1020">
        <f>M17</f>
        <v>123165</v>
      </c>
      <c r="E9" s="1159">
        <f t="shared" si="0"/>
        <v>123165</v>
      </c>
      <c r="G9" s="973"/>
    </row>
    <row r="10" spans="1:18" ht="13.5" thickBot="1">
      <c r="A10" s="965"/>
      <c r="B10" s="1005" t="s">
        <v>1064</v>
      </c>
      <c r="C10" s="1160">
        <f ca="1">SUM(C4:C9)</f>
        <v>7787366.5278004548</v>
      </c>
      <c r="D10" s="995">
        <f>SUM(D4:D9)</f>
        <v>123165</v>
      </c>
      <c r="E10" s="1141">
        <f ca="1">SUM(E4:E9)</f>
        <v>7910531.5278004548</v>
      </c>
      <c r="H10" s="1970" t="s">
        <v>478</v>
      </c>
      <c r="I10" s="945">
        <v>1.95583</v>
      </c>
    </row>
    <row r="11" spans="1:18" ht="13.5" thickBot="1"/>
    <row r="12" spans="1:18">
      <c r="B12" s="1142" t="s">
        <v>1157</v>
      </c>
      <c r="C12" s="1143" t="s">
        <v>1136</v>
      </c>
      <c r="D12" s="1143"/>
      <c r="E12" s="1144">
        <v>2023</v>
      </c>
      <c r="F12" s="1144">
        <v>2024</v>
      </c>
      <c r="G12" s="1144">
        <v>2025</v>
      </c>
      <c r="H12" s="1144">
        <v>2026</v>
      </c>
      <c r="I12" s="1145">
        <v>2027</v>
      </c>
      <c r="K12" s="1142" t="s">
        <v>264</v>
      </c>
      <c r="L12" s="1144"/>
      <c r="M12" s="1144" t="s">
        <v>846</v>
      </c>
      <c r="N12" s="1144">
        <f>N25</f>
        <v>2023</v>
      </c>
      <c r="O12" s="1144">
        <f>N12+1</f>
        <v>2024</v>
      </c>
      <c r="P12" s="1144">
        <f>O12+1</f>
        <v>2025</v>
      </c>
      <c r="Q12" s="1144">
        <f>P12+1</f>
        <v>2026</v>
      </c>
      <c r="R12" s="1145">
        <f>Q12+1</f>
        <v>2027</v>
      </c>
    </row>
    <row r="13" spans="1:18">
      <c r="B13" s="955" t="str">
        <f>K39</f>
        <v>Plots of land</v>
      </c>
      <c r="C13" s="963" t="s">
        <v>1134</v>
      </c>
      <c r="D13" s="963"/>
      <c r="E13" s="858">
        <f>N46</f>
        <v>318169.94</v>
      </c>
      <c r="F13" s="858"/>
      <c r="G13" s="858"/>
      <c r="H13" s="858"/>
      <c r="I13" s="861"/>
      <c r="K13" s="955" t="s">
        <v>264</v>
      </c>
      <c r="L13" s="963"/>
      <c r="M13" s="1007"/>
      <c r="N13" s="963"/>
      <c r="O13" s="963"/>
      <c r="P13" s="963"/>
      <c r="Q13" s="963"/>
      <c r="R13" s="964"/>
    </row>
    <row r="14" spans="1:18">
      <c r="B14" s="955" t="s">
        <v>748</v>
      </c>
      <c r="C14" s="963" t="s">
        <v>1134</v>
      </c>
      <c r="D14" s="963"/>
      <c r="E14" s="858">
        <f>N57</f>
        <v>634249</v>
      </c>
      <c r="F14" s="858"/>
      <c r="G14" s="858"/>
      <c r="H14" s="858"/>
      <c r="I14" s="861"/>
      <c r="K14" s="976" t="s">
        <v>1139</v>
      </c>
      <c r="L14" s="963"/>
      <c r="M14" s="977">
        <f>SUM(M13)</f>
        <v>0</v>
      </c>
      <c r="N14" s="963"/>
      <c r="O14" s="963"/>
      <c r="P14" s="963"/>
      <c r="Q14" s="963"/>
      <c r="R14" s="964"/>
    </row>
    <row r="15" spans="1:18">
      <c r="B15" s="955" t="s">
        <v>841</v>
      </c>
      <c r="C15" s="963" t="s">
        <v>1135</v>
      </c>
      <c r="D15" s="963"/>
      <c r="E15" s="858">
        <f ca="1">E71</f>
        <v>3210987.4707090375</v>
      </c>
      <c r="F15" s="858">
        <f ca="1">F71</f>
        <v>3586041.1532080667</v>
      </c>
      <c r="G15" s="858">
        <f ca="1">G71</f>
        <v>4669795.0552130966</v>
      </c>
      <c r="H15" s="858">
        <f ca="1">H71</f>
        <v>5284868.3508110428</v>
      </c>
      <c r="I15" s="861">
        <f ca="1">I71</f>
        <v>5614019.2516904054</v>
      </c>
      <c r="K15" s="955"/>
      <c r="L15" s="963"/>
      <c r="M15" s="963"/>
      <c r="N15" s="963"/>
      <c r="O15" s="963"/>
      <c r="P15" s="963"/>
      <c r="Q15" s="963"/>
      <c r="R15" s="964"/>
    </row>
    <row r="16" spans="1:18">
      <c r="B16" s="955" t="s">
        <v>1067</v>
      </c>
      <c r="C16" s="1011" t="s">
        <v>1135</v>
      </c>
      <c r="D16" s="1011"/>
      <c r="E16" s="1137">
        <f ca="1">N67</f>
        <v>1242848.5310002342</v>
      </c>
      <c r="F16" s="1137">
        <f ca="1">O67</f>
        <v>1560674.0830022795</v>
      </c>
      <c r="G16" s="1137">
        <f ca="1">P67</f>
        <v>1942654.040897164</v>
      </c>
      <c r="H16" s="1137">
        <f ca="1">Q67</f>
        <v>2932228.9536749562</v>
      </c>
      <c r="I16" s="1138">
        <f ca="1">R67</f>
        <v>3093070.0727600614</v>
      </c>
      <c r="K16" s="955" t="s">
        <v>264</v>
      </c>
      <c r="L16" s="963"/>
      <c r="M16" s="1020">
        <f>Capex!S47</f>
        <v>123165</v>
      </c>
      <c r="N16" s="1137">
        <f>'RCE PP&amp;E'!C15</f>
        <v>82110</v>
      </c>
      <c r="O16" s="1137">
        <f ca="1">'RCE PP&amp;E'!D15</f>
        <v>128655.11858399998</v>
      </c>
      <c r="P16" s="1137">
        <f ca="1">'RCE PP&amp;E'!E15</f>
        <v>128916.27563244</v>
      </c>
      <c r="Q16" s="1137">
        <f ca="1">'RCE PP&amp;E'!F15</f>
        <v>172871.66640339355</v>
      </c>
      <c r="R16" s="1138">
        <f ca="1">'RCE PP&amp;E'!G15</f>
        <v>251915.4061655454</v>
      </c>
    </row>
    <row r="17" spans="2:18">
      <c r="B17" s="976" t="s">
        <v>1044</v>
      </c>
      <c r="C17" s="1129"/>
      <c r="D17" s="963"/>
      <c r="E17" s="977">
        <f ca="1">SUM(E13:E16)</f>
        <v>5406254.9417092716</v>
      </c>
      <c r="F17" s="977">
        <f ca="1">SUM(F13:F16)</f>
        <v>5146715.2362103462</v>
      </c>
      <c r="G17" s="977">
        <f ca="1">SUM(G13:G16)</f>
        <v>6612449.0961102601</v>
      </c>
      <c r="H17" s="977">
        <f ca="1">SUM(H13:H16)</f>
        <v>8217097.304485999</v>
      </c>
      <c r="I17" s="978">
        <f ca="1">SUM(I13:I16)</f>
        <v>8707089.3244504668</v>
      </c>
      <c r="K17" s="976" t="s">
        <v>42</v>
      </c>
      <c r="L17" s="963"/>
      <c r="M17" s="977">
        <f t="shared" ref="M17:R17" si="1">SUM(M16)</f>
        <v>123165</v>
      </c>
      <c r="N17" s="977">
        <f t="shared" si="1"/>
        <v>82110</v>
      </c>
      <c r="O17" s="977">
        <f t="shared" ca="1" si="1"/>
        <v>128655.11858399998</v>
      </c>
      <c r="P17" s="977">
        <f t="shared" ca="1" si="1"/>
        <v>128916.27563244</v>
      </c>
      <c r="Q17" s="977">
        <f t="shared" ca="1" si="1"/>
        <v>172871.66640339355</v>
      </c>
      <c r="R17" s="978">
        <f t="shared" ca="1" si="1"/>
        <v>251915.4061655454</v>
      </c>
    </row>
    <row r="18" spans="2:18">
      <c r="B18" s="955" t="s">
        <v>1046</v>
      </c>
      <c r="C18" s="963"/>
      <c r="D18" s="963"/>
      <c r="E18" s="956">
        <v>4900000</v>
      </c>
      <c r="F18" s="956">
        <v>4900000</v>
      </c>
      <c r="G18" s="956">
        <v>4900000</v>
      </c>
      <c r="H18" s="956">
        <v>4900000</v>
      </c>
      <c r="I18" s="957">
        <v>4900000</v>
      </c>
      <c r="K18" s="955"/>
      <c r="L18" s="963"/>
      <c r="M18" s="963"/>
      <c r="N18" s="963"/>
      <c r="O18" s="963"/>
      <c r="P18" s="963"/>
      <c r="Q18" s="963"/>
      <c r="R18" s="964"/>
    </row>
    <row r="19" spans="2:18" ht="13.5" thickBot="1">
      <c r="B19" s="955" t="s">
        <v>1047</v>
      </c>
      <c r="C19" s="963"/>
      <c r="D19" s="963"/>
      <c r="E19" s="1125">
        <f ca="1">E17/E18</f>
        <v>1.1033173350427086</v>
      </c>
      <c r="F19" s="1125">
        <f ca="1">F17/F18</f>
        <v>1.0503500482061932</v>
      </c>
      <c r="G19" s="1125">
        <f ca="1">G17/G18</f>
        <v>1.3494794073694409</v>
      </c>
      <c r="H19" s="1125">
        <f ca="1">H17/H18</f>
        <v>1.6769586335685713</v>
      </c>
      <c r="I19" s="1126">
        <f ca="1">I17/I18</f>
        <v>1.7769570049898913</v>
      </c>
      <c r="K19" s="1005" t="s">
        <v>1064</v>
      </c>
      <c r="L19" s="994"/>
      <c r="M19" s="995">
        <f t="shared" ref="M19:R19" si="2">M14+M17</f>
        <v>123165</v>
      </c>
      <c r="N19" s="995">
        <f t="shared" si="2"/>
        <v>82110</v>
      </c>
      <c r="O19" s="995">
        <f t="shared" ca="1" si="2"/>
        <v>128655.11858399998</v>
      </c>
      <c r="P19" s="995">
        <f t="shared" ca="1" si="2"/>
        <v>128916.27563244</v>
      </c>
      <c r="Q19" s="995">
        <f t="shared" ca="1" si="2"/>
        <v>172871.66640339355</v>
      </c>
      <c r="R19" s="1003">
        <f t="shared" ca="1" si="2"/>
        <v>251915.4061655454</v>
      </c>
    </row>
    <row r="20" spans="2:18" ht="13.5" thickBot="1">
      <c r="B20" s="983" t="s">
        <v>1049</v>
      </c>
      <c r="C20" s="994"/>
      <c r="D20" s="994"/>
      <c r="E20" s="1127">
        <f ca="1">E18/E17</f>
        <v>0.90635755302556797</v>
      </c>
      <c r="F20" s="1127">
        <f ca="1">F18/F17</f>
        <v>0.95206355415303512</v>
      </c>
      <c r="G20" s="1127">
        <f ca="1">G18/G17</f>
        <v>0.74102649846974256</v>
      </c>
      <c r="H20" s="1127">
        <f ca="1">H18/H17</f>
        <v>0.59631763120596371</v>
      </c>
      <c r="I20" s="1128">
        <f ca="1">I18/I17</f>
        <v>0.56275981759372329</v>
      </c>
      <c r="K20" s="1971" t="s">
        <v>249</v>
      </c>
      <c r="L20" s="1972" t="s">
        <v>1152</v>
      </c>
      <c r="M20" s="1972" t="s">
        <v>106</v>
      </c>
      <c r="N20" s="1973"/>
      <c r="O20" s="1974" t="s">
        <v>317</v>
      </c>
      <c r="P20" s="1974" t="s">
        <v>318</v>
      </c>
      <c r="Q20" s="1974" t="s">
        <v>30</v>
      </c>
      <c r="R20" s="1975" t="s">
        <v>1153</v>
      </c>
    </row>
    <row r="21" spans="2:18" ht="13.5" thickBot="1">
      <c r="K21" s="1976" t="s">
        <v>399</v>
      </c>
      <c r="L21" s="1977" t="s">
        <v>1155</v>
      </c>
      <c r="M21" s="1978" t="s">
        <v>108</v>
      </c>
      <c r="N21" s="1978"/>
      <c r="O21" s="2763">
        <v>92400</v>
      </c>
      <c r="P21" s="2762">
        <f>O21/$I$10</f>
        <v>47243.369822530593</v>
      </c>
      <c r="Q21" s="2762">
        <v>47243.37</v>
      </c>
      <c r="R21" s="1979">
        <f>P21-Q21</f>
        <v>-1.7746941011864692E-4</v>
      </c>
    </row>
    <row r="22" spans="2:18" ht="13.5" thickBot="1">
      <c r="B22" s="1981" t="s">
        <v>1142</v>
      </c>
      <c r="C22" s="1982"/>
      <c r="D22" s="1982"/>
      <c r="E22" s="1982"/>
      <c r="F22" s="1982"/>
      <c r="G22" s="1982"/>
      <c r="H22" s="1982"/>
      <c r="I22" s="1983"/>
      <c r="K22" s="1156" t="s">
        <v>264</v>
      </c>
      <c r="L22" s="1011" t="s">
        <v>1163</v>
      </c>
      <c r="M22" s="1980" t="s">
        <v>108</v>
      </c>
      <c r="N22" s="1157"/>
      <c r="O22" s="1137">
        <f>P22*I10</f>
        <v>240889.80194999999</v>
      </c>
      <c r="P22" s="1137">
        <f>M16</f>
        <v>123165</v>
      </c>
      <c r="Q22" s="1157">
        <v>0</v>
      </c>
      <c r="R22" s="1138">
        <f>P22-Q22</f>
        <v>123165</v>
      </c>
    </row>
    <row r="23" spans="2:18" ht="13.5" thickBot="1">
      <c r="B23" s="1984"/>
      <c r="C23" s="879"/>
      <c r="D23" s="1985"/>
      <c r="E23" s="1726"/>
      <c r="F23" s="1726"/>
      <c r="G23" s="1985"/>
      <c r="H23" s="1985"/>
      <c r="I23" s="1986"/>
      <c r="K23" s="1005" t="s">
        <v>1164</v>
      </c>
      <c r="L23" s="994"/>
      <c r="M23" s="995"/>
      <c r="N23" s="995"/>
      <c r="O23" s="995">
        <f>SUM(O21:O22)</f>
        <v>333289.80194999999</v>
      </c>
      <c r="P23" s="995">
        <f>SUM(P21:P22)</f>
        <v>170408.3698225306</v>
      </c>
      <c r="Q23" s="995">
        <f>SUM(Q21:Q22)</f>
        <v>47243.37</v>
      </c>
      <c r="R23" s="1003">
        <f>SUM(R21:R22)</f>
        <v>123164.99982253059</v>
      </c>
    </row>
    <row r="24" spans="2:18" ht="13.5" thickBot="1">
      <c r="B24" s="1987" t="s">
        <v>1149</v>
      </c>
      <c r="C24" s="1988" t="s">
        <v>543</v>
      </c>
      <c r="D24" s="1989" t="s">
        <v>1143</v>
      </c>
      <c r="E24" s="1989" t="s">
        <v>241</v>
      </c>
      <c r="F24" s="1989" t="s">
        <v>1144</v>
      </c>
      <c r="G24" s="1989" t="s">
        <v>862</v>
      </c>
      <c r="H24" s="1990" t="s">
        <v>357</v>
      </c>
      <c r="I24" s="1991" t="s">
        <v>1145</v>
      </c>
    </row>
    <row r="25" spans="2:18">
      <c r="B25" s="1992">
        <v>2018</v>
      </c>
      <c r="C25" s="1461" t="s">
        <v>1146</v>
      </c>
      <c r="D25" s="1139">
        <f>E25*0.75</f>
        <v>16186.5</v>
      </c>
      <c r="E25" s="1993">
        <v>21582</v>
      </c>
      <c r="F25" s="1994">
        <v>25.1</v>
      </c>
      <c r="G25" s="1995">
        <f>F25*E25</f>
        <v>541708.20000000007</v>
      </c>
      <c r="H25" s="1996">
        <v>0</v>
      </c>
      <c r="I25" s="1997">
        <f>G25-H25</f>
        <v>541708.20000000007</v>
      </c>
      <c r="K25" s="1142" t="s">
        <v>1156</v>
      </c>
      <c r="L25" s="1143"/>
      <c r="M25" s="1144" t="s">
        <v>846</v>
      </c>
      <c r="N25" s="1144">
        <f>E12</f>
        <v>2023</v>
      </c>
      <c r="O25" s="1144">
        <f>N25+1</f>
        <v>2024</v>
      </c>
      <c r="P25" s="1144">
        <f>O25+1</f>
        <v>2025</v>
      </c>
      <c r="Q25" s="1144">
        <f>P25+1</f>
        <v>2026</v>
      </c>
      <c r="R25" s="1145">
        <f>Q25+1</f>
        <v>2027</v>
      </c>
    </row>
    <row r="26" spans="2:18">
      <c r="B26" s="1992">
        <v>2018</v>
      </c>
      <c r="C26" s="1461" t="s">
        <v>545</v>
      </c>
      <c r="D26" s="1139">
        <f t="shared" ref="D26:D33" si="3">E26*0.75</f>
        <v>5436</v>
      </c>
      <c r="E26" s="1993">
        <v>7248</v>
      </c>
      <c r="F26" s="1994">
        <v>33.75</v>
      </c>
      <c r="G26" s="1995">
        <f t="shared" ref="G26:G33" si="4">F26*E26</f>
        <v>244620</v>
      </c>
      <c r="H26" s="1996">
        <v>0</v>
      </c>
      <c r="I26" s="1997">
        <f t="shared" ref="I26:I33" si="5">G26-H26</f>
        <v>244620</v>
      </c>
      <c r="K26" s="1170" t="s">
        <v>458</v>
      </c>
      <c r="L26" s="1171"/>
      <c r="M26" s="1172">
        <v>224475</v>
      </c>
      <c r="N26" s="966"/>
      <c r="O26" s="966"/>
      <c r="P26" s="966"/>
      <c r="Q26" s="966"/>
      <c r="R26" s="967"/>
    </row>
    <row r="27" spans="2:18">
      <c r="B27" s="1992">
        <v>2019</v>
      </c>
      <c r="C27" s="1461" t="s">
        <v>545</v>
      </c>
      <c r="D27" s="1139">
        <f t="shared" si="3"/>
        <v>11011.5</v>
      </c>
      <c r="E27" s="1993">
        <v>14682</v>
      </c>
      <c r="F27" s="1994">
        <v>33.75</v>
      </c>
      <c r="G27" s="1995">
        <f t="shared" si="4"/>
        <v>495517.5</v>
      </c>
      <c r="H27" s="1996">
        <v>0</v>
      </c>
      <c r="I27" s="1997">
        <f t="shared" si="5"/>
        <v>495517.5</v>
      </c>
      <c r="K27" s="955" t="s">
        <v>273</v>
      </c>
      <c r="L27" s="963"/>
      <c r="M27" s="1007"/>
      <c r="N27" s="966"/>
      <c r="O27" s="966"/>
      <c r="P27" s="966"/>
      <c r="Q27" s="966"/>
      <c r="R27" s="967"/>
    </row>
    <row r="28" spans="2:18">
      <c r="B28" s="1992">
        <v>2018</v>
      </c>
      <c r="C28" s="1461" t="s">
        <v>206</v>
      </c>
      <c r="D28" s="1139">
        <f t="shared" si="3"/>
        <v>898.5</v>
      </c>
      <c r="E28" s="1993">
        <v>1198</v>
      </c>
      <c r="F28" s="1994">
        <v>113.51</v>
      </c>
      <c r="G28" s="1995">
        <f t="shared" si="4"/>
        <v>135984.98000000001</v>
      </c>
      <c r="H28" s="1996">
        <v>0</v>
      </c>
      <c r="I28" s="1997">
        <f t="shared" si="5"/>
        <v>135984.98000000001</v>
      </c>
      <c r="K28" s="976" t="s">
        <v>1139</v>
      </c>
      <c r="L28" s="1129"/>
      <c r="M28" s="977">
        <f>SUM(M26:M27)</f>
        <v>224475</v>
      </c>
      <c r="N28" s="966"/>
      <c r="O28" s="966"/>
      <c r="P28" s="966"/>
      <c r="Q28" s="966"/>
      <c r="R28" s="967"/>
    </row>
    <row r="29" spans="2:18">
      <c r="B29" s="1992">
        <v>2019</v>
      </c>
      <c r="C29" s="1461" t="s">
        <v>206</v>
      </c>
      <c r="D29" s="1139">
        <f t="shared" si="3"/>
        <v>1835.25</v>
      </c>
      <c r="E29" s="1993">
        <v>2447</v>
      </c>
      <c r="F29" s="1994">
        <v>113.51</v>
      </c>
      <c r="G29" s="1995">
        <f t="shared" si="4"/>
        <v>277758.97000000003</v>
      </c>
      <c r="H29" s="1996">
        <v>0</v>
      </c>
      <c r="I29" s="1997">
        <f t="shared" si="5"/>
        <v>277758.97000000003</v>
      </c>
      <c r="K29" s="955"/>
      <c r="L29" s="963"/>
      <c r="M29" s="963"/>
      <c r="N29" s="963"/>
      <c r="O29" s="963"/>
      <c r="P29" s="963"/>
      <c r="Q29" s="963"/>
      <c r="R29" s="964"/>
    </row>
    <row r="30" spans="2:18">
      <c r="B30" s="1992">
        <v>2019</v>
      </c>
      <c r="C30" s="1461" t="s">
        <v>196</v>
      </c>
      <c r="D30" s="1139">
        <f t="shared" si="3"/>
        <v>495</v>
      </c>
      <c r="E30" s="1993">
        <v>660</v>
      </c>
      <c r="F30" s="1994">
        <v>16.87</v>
      </c>
      <c r="G30" s="1995">
        <f t="shared" si="4"/>
        <v>11134.2</v>
      </c>
      <c r="H30" s="1996">
        <v>0</v>
      </c>
      <c r="I30" s="1997">
        <f t="shared" si="5"/>
        <v>11134.2</v>
      </c>
      <c r="K30" s="955" t="s">
        <v>458</v>
      </c>
      <c r="L30" s="963"/>
      <c r="M30" s="858"/>
      <c r="N30" s="966">
        <f ca="1">'RCE PP&amp;E'!C14</f>
        <v>224475.44364177869</v>
      </c>
      <c r="O30" s="966">
        <v>456202.66920310323</v>
      </c>
      <c r="P30" s="966">
        <v>400573.73655629432</v>
      </c>
      <c r="Q30" s="966">
        <v>338686.43023499416</v>
      </c>
      <c r="R30" s="967">
        <v>276799.12391369406</v>
      </c>
    </row>
    <row r="31" spans="2:18">
      <c r="B31" s="1992">
        <v>2020</v>
      </c>
      <c r="C31" s="1461" t="s">
        <v>196</v>
      </c>
      <c r="D31" s="1139">
        <f t="shared" si="3"/>
        <v>1863</v>
      </c>
      <c r="E31" s="1993">
        <v>2484</v>
      </c>
      <c r="F31" s="1994">
        <v>16.87</v>
      </c>
      <c r="G31" s="1995">
        <f t="shared" si="4"/>
        <v>41905.08</v>
      </c>
      <c r="H31" s="1996">
        <v>0</v>
      </c>
      <c r="I31" s="1997">
        <f t="shared" si="5"/>
        <v>41905.08</v>
      </c>
      <c r="K31" s="955" t="s">
        <v>273</v>
      </c>
      <c r="L31" s="963"/>
      <c r="M31" s="858"/>
      <c r="N31" s="966">
        <f>'RCE PP&amp;E'!C16</f>
        <v>0</v>
      </c>
      <c r="O31" s="966">
        <v>56389.281849599996</v>
      </c>
      <c r="P31" s="966">
        <v>40278.058464000002</v>
      </c>
      <c r="Q31" s="966">
        <v>24166.835078399999</v>
      </c>
      <c r="R31" s="967">
        <v>8055.6116927999974</v>
      </c>
    </row>
    <row r="32" spans="2:18">
      <c r="B32" s="1992">
        <v>2021</v>
      </c>
      <c r="C32" s="1461" t="s">
        <v>196</v>
      </c>
      <c r="D32" s="1139">
        <f t="shared" si="3"/>
        <v>1756.5</v>
      </c>
      <c r="E32" s="1993">
        <f>Sale!X22</f>
        <v>2342</v>
      </c>
      <c r="F32" s="1994">
        <f>F31</f>
        <v>16.87</v>
      </c>
      <c r="G32" s="1995">
        <f>F32*E32</f>
        <v>39509.54</v>
      </c>
      <c r="H32" s="1996">
        <v>0</v>
      </c>
      <c r="I32" s="1997">
        <f>G32-H32</f>
        <v>39509.54</v>
      </c>
      <c r="K32" s="955" t="s">
        <v>582</v>
      </c>
      <c r="L32" s="963"/>
      <c r="M32" s="858"/>
      <c r="N32" s="966">
        <f>'RCE PP&amp;E'!C10</f>
        <v>0</v>
      </c>
      <c r="O32" s="966">
        <f>'RCE PP&amp;E'!D10</f>
        <v>91200</v>
      </c>
      <c r="P32" s="966">
        <f>'RCE PP&amp;E'!E10</f>
        <v>83600</v>
      </c>
      <c r="Q32" s="966">
        <f>'RCE PP&amp;E'!F10</f>
        <v>76000</v>
      </c>
      <c r="R32" s="967">
        <f ca="1">'RCE PP&amp;E'!G10</f>
        <v>67061.438259148505</v>
      </c>
    </row>
    <row r="33" spans="1:20">
      <c r="B33" s="1998">
        <v>2020</v>
      </c>
      <c r="C33" s="1999" t="s">
        <v>198</v>
      </c>
      <c r="D33" s="2000">
        <f t="shared" si="3"/>
        <v>5449.5</v>
      </c>
      <c r="E33" s="2001">
        <v>7266</v>
      </c>
      <c r="F33" s="2002">
        <v>16.87</v>
      </c>
      <c r="G33" s="2003">
        <f t="shared" si="4"/>
        <v>122577.42000000001</v>
      </c>
      <c r="H33" s="2004">
        <v>0</v>
      </c>
      <c r="I33" s="2005">
        <f t="shared" si="5"/>
        <v>122577.42000000001</v>
      </c>
      <c r="K33" s="955" t="s">
        <v>1154</v>
      </c>
      <c r="L33" s="963"/>
      <c r="M33" s="858"/>
      <c r="N33" s="966">
        <f>'RCE PP&amp;E'!C17</f>
        <v>0</v>
      </c>
      <c r="O33" s="966">
        <f>'RCE PP&amp;E'!D17+'RCE PP&amp;E'!D18</f>
        <v>148000</v>
      </c>
      <c r="P33" s="966">
        <f>'RCE PP&amp;E'!E17+'RCE PP&amp;E'!E18</f>
        <v>124000</v>
      </c>
      <c r="Q33" s="966">
        <f>'RCE PP&amp;E'!F17+'RCE PP&amp;E'!F18</f>
        <v>100000</v>
      </c>
      <c r="R33" s="967">
        <f>'RCE PP&amp;E'!G17+'RCE PP&amp;E'!G18</f>
        <v>76000</v>
      </c>
    </row>
    <row r="34" spans="1:20">
      <c r="B34" s="2006" t="s">
        <v>26</v>
      </c>
      <c r="C34" s="882"/>
      <c r="D34" s="2007">
        <f>SUM(D25:D33)</f>
        <v>44931.75</v>
      </c>
      <c r="E34" s="2007">
        <f>SUM(E25:E33)</f>
        <v>59909</v>
      </c>
      <c r="F34" s="2007"/>
      <c r="G34" s="2007">
        <f>SUM(G25:G33)</f>
        <v>1910715.8900000001</v>
      </c>
      <c r="H34" s="2008">
        <f>SUM(H25:H33)</f>
        <v>0</v>
      </c>
      <c r="I34" s="2009">
        <f>SUM(I25:I33)</f>
        <v>1910715.8900000001</v>
      </c>
      <c r="K34" s="955" t="s">
        <v>1202</v>
      </c>
      <c r="L34" s="963"/>
      <c r="M34" s="1137"/>
      <c r="N34" s="1007">
        <f>'Depr. PP&amp;E'!F7-'Depr. PP&amp;E'!G7+'RCE PP&amp;E'!C18</f>
        <v>0</v>
      </c>
      <c r="O34" s="1007">
        <f>'RCE PP&amp;E'!D18+'Depr. PP&amp;E'!H7-'Depr. PP&amp;E'!I7</f>
        <v>127187.5</v>
      </c>
      <c r="P34" s="1007">
        <f>'RCE PP&amp;E'!E18+'Depr. PP&amp;E'!J7-'Depr. PP&amp;E'!K7</f>
        <v>106562.5</v>
      </c>
      <c r="Q34" s="1007">
        <f>'RCE PP&amp;E'!F18+'Depr. PP&amp;E'!L7-'Depr. PP&amp;E'!M7</f>
        <v>85937.5</v>
      </c>
      <c r="R34" s="1004">
        <f>'RCE PP&amp;E'!G18+'Depr. PP&amp;E'!N7-'Depr. PP&amp;E'!O7</f>
        <v>65312.5</v>
      </c>
    </row>
    <row r="35" spans="1:20">
      <c r="B35" s="2010"/>
      <c r="C35" s="1996"/>
      <c r="D35" s="1996"/>
      <c r="E35" s="1996"/>
      <c r="F35" s="1996"/>
      <c r="G35" s="1996"/>
      <c r="H35" s="1996"/>
      <c r="I35" s="2011"/>
      <c r="K35" s="976" t="s">
        <v>42</v>
      </c>
      <c r="L35" s="1129"/>
      <c r="M35" s="977">
        <f t="shared" ref="M35:R35" si="6">SUM(M30:M34)</f>
        <v>0</v>
      </c>
      <c r="N35" s="977">
        <f t="shared" ca="1" si="6"/>
        <v>224475.44364177869</v>
      </c>
      <c r="O35" s="977">
        <f t="shared" si="6"/>
        <v>878979.4510527032</v>
      </c>
      <c r="P35" s="977">
        <f t="shared" si="6"/>
        <v>755014.29502029438</v>
      </c>
      <c r="Q35" s="977">
        <f t="shared" si="6"/>
        <v>624790.76531339413</v>
      </c>
      <c r="R35" s="978">
        <f t="shared" ca="1" si="6"/>
        <v>493228.67386564257</v>
      </c>
    </row>
    <row r="36" spans="1:20">
      <c r="B36" s="2006" t="s">
        <v>1177</v>
      </c>
      <c r="C36" s="2012" t="s">
        <v>543</v>
      </c>
      <c r="D36" s="1135" t="s">
        <v>1143</v>
      </c>
      <c r="E36" s="1135" t="s">
        <v>241</v>
      </c>
      <c r="F36" s="1135" t="s">
        <v>1144</v>
      </c>
      <c r="G36" s="1135" t="s">
        <v>862</v>
      </c>
      <c r="H36" s="1990" t="s">
        <v>357</v>
      </c>
      <c r="I36" s="2013" t="s">
        <v>1145</v>
      </c>
      <c r="K36" s="955"/>
      <c r="L36" s="963"/>
      <c r="M36" s="963"/>
      <c r="N36" s="963"/>
      <c r="O36" s="963"/>
      <c r="P36" s="963"/>
      <c r="Q36" s="963"/>
      <c r="R36" s="964"/>
    </row>
    <row r="37" spans="1:20" ht="13.5" thickBot="1">
      <c r="B37" s="2014">
        <v>2019</v>
      </c>
      <c r="C37" s="2015" t="s">
        <v>201</v>
      </c>
      <c r="D37" s="2904">
        <f>E37*0.75</f>
        <v>22658</v>
      </c>
      <c r="E37" s="2756">
        <f>Sale!J19</f>
        <v>30210.666666666668</v>
      </c>
      <c r="F37" s="2757">
        <f>F25</f>
        <v>25.1</v>
      </c>
      <c r="G37" s="2756">
        <f>E37*F37</f>
        <v>758287.7333333334</v>
      </c>
      <c r="H37" s="2758">
        <f>'Inv. wine'!U77+'Inv. wine'!V160</f>
        <v>78172.173049498015</v>
      </c>
      <c r="I37" s="2759">
        <f>G37-H37</f>
        <v>680115.5602838354</v>
      </c>
      <c r="K37" s="1005" t="s">
        <v>1064</v>
      </c>
      <c r="L37" s="1130"/>
      <c r="M37" s="1112">
        <f t="shared" ref="M37:R37" si="7">M28+M35</f>
        <v>224475</v>
      </c>
      <c r="N37" s="1112">
        <f t="shared" ca="1" si="7"/>
        <v>224475.44364177869</v>
      </c>
      <c r="O37" s="1112">
        <f t="shared" si="7"/>
        <v>878979.4510527032</v>
      </c>
      <c r="P37" s="1112">
        <f t="shared" si="7"/>
        <v>755014.29502029438</v>
      </c>
      <c r="Q37" s="1112">
        <f t="shared" si="7"/>
        <v>624790.76531339413</v>
      </c>
      <c r="R37" s="1113">
        <f t="shared" ca="1" si="7"/>
        <v>493228.67386564257</v>
      </c>
    </row>
    <row r="38" spans="1:20" ht="13.5" thickBot="1">
      <c r="B38" s="2014">
        <v>2020</v>
      </c>
      <c r="C38" s="2015" t="s">
        <v>201</v>
      </c>
      <c r="D38" s="2904">
        <f>E38*0.75</f>
        <v>20750</v>
      </c>
      <c r="E38" s="2756">
        <f>Sale!J20</f>
        <v>27666.666666666668</v>
      </c>
      <c r="F38" s="2757">
        <v>25.1</v>
      </c>
      <c r="G38" s="2756">
        <f>E38*F38</f>
        <v>694433.33333333337</v>
      </c>
      <c r="H38" s="1139">
        <f>'Inv. wine'!V161+'Inv. wine'!U78</f>
        <v>68801.885017098975</v>
      </c>
      <c r="I38" s="2759">
        <f>G38-H38</f>
        <v>625631.4483162344</v>
      </c>
    </row>
    <row r="39" spans="1:20" ht="13.5" thickBot="1">
      <c r="B39" s="2014">
        <v>2020</v>
      </c>
      <c r="C39" s="2015" t="s">
        <v>205</v>
      </c>
      <c r="D39" s="2904">
        <f>E39*0.75</f>
        <v>9225</v>
      </c>
      <c r="E39" s="2756">
        <f>Sale!J147</f>
        <v>12300</v>
      </c>
      <c r="F39" s="1994">
        <v>33.75</v>
      </c>
      <c r="G39" s="2756">
        <f>E39*F39</f>
        <v>415125</v>
      </c>
      <c r="H39" s="1139">
        <f ca="1">'Inv. wine'!AE161</f>
        <v>24085.780704657071</v>
      </c>
      <c r="I39" s="2759">
        <f ca="1">G39-H39</f>
        <v>391039.21929534292</v>
      </c>
      <c r="K39" s="1149" t="s">
        <v>1058</v>
      </c>
      <c r="L39" s="1150"/>
      <c r="M39" s="1150"/>
      <c r="N39" s="1150">
        <f>E12</f>
        <v>2023</v>
      </c>
      <c r="O39" s="1150">
        <f>F12</f>
        <v>2024</v>
      </c>
      <c r="P39" s="1150">
        <f>G12</f>
        <v>2025</v>
      </c>
      <c r="Q39" s="1150">
        <f>H12</f>
        <v>2026</v>
      </c>
      <c r="R39" s="1151">
        <f>I12</f>
        <v>2027</v>
      </c>
    </row>
    <row r="40" spans="1:20">
      <c r="B40" s="2014">
        <v>2021</v>
      </c>
      <c r="C40" s="2015" t="s">
        <v>205</v>
      </c>
      <c r="D40" s="2904">
        <f>E40*0.75</f>
        <v>18900</v>
      </c>
      <c r="E40" s="2016">
        <f>Sale!J148</f>
        <v>25200</v>
      </c>
      <c r="F40" s="1994">
        <v>33.75</v>
      </c>
      <c r="G40" s="2756">
        <f>E40*F40</f>
        <v>850500</v>
      </c>
      <c r="H40" s="1139">
        <f ca="1">'Inv. wine'!AE162</f>
        <v>49346.477541248627</v>
      </c>
      <c r="I40" s="2759">
        <f ca="1">G40-H40</f>
        <v>801153.52245875134</v>
      </c>
      <c r="K40" s="1000" t="s">
        <v>1158</v>
      </c>
      <c r="L40" s="985"/>
      <c r="M40" s="985"/>
      <c r="N40" s="1152">
        <v>318169.94</v>
      </c>
      <c r="O40" s="1152">
        <f>N40</f>
        <v>318169.94</v>
      </c>
      <c r="P40" s="1152">
        <f>O40</f>
        <v>318169.94</v>
      </c>
      <c r="Q40" s="1152">
        <f>P40</f>
        <v>318169.94</v>
      </c>
      <c r="R40" s="1153">
        <f>Q40</f>
        <v>318169.94</v>
      </c>
    </row>
    <row r="41" spans="1:20">
      <c r="B41" s="2014">
        <v>2021</v>
      </c>
      <c r="C41" s="2015" t="s">
        <v>198</v>
      </c>
      <c r="D41" s="2905">
        <f>E41*0.75</f>
        <v>3950</v>
      </c>
      <c r="E41" s="2017">
        <f>Sale!X73</f>
        <v>5266.666666666667</v>
      </c>
      <c r="F41" s="2002">
        <f>F31</f>
        <v>16.87</v>
      </c>
      <c r="G41" s="2754">
        <f>E41*F41</f>
        <v>88848.666666666672</v>
      </c>
      <c r="H41" s="2000">
        <f>'Inv. wine'!L162</f>
        <v>7533.9650834292233</v>
      </c>
      <c r="I41" s="2755">
        <f>G41-H41</f>
        <v>81314.701583237445</v>
      </c>
      <c r="K41" s="976" t="s">
        <v>1139</v>
      </c>
      <c r="L41" s="963"/>
      <c r="M41" s="963"/>
      <c r="N41" s="977">
        <f>SUM(N40)</f>
        <v>318169.94</v>
      </c>
      <c r="O41" s="977">
        <f>SUM(O40)</f>
        <v>318169.94</v>
      </c>
      <c r="P41" s="977">
        <f>SUM(P40)</f>
        <v>318169.94</v>
      </c>
      <c r="Q41" s="977">
        <f>SUM(Q40)</f>
        <v>318169.94</v>
      </c>
      <c r="R41" s="978">
        <f>SUM(R40)</f>
        <v>318169.94</v>
      </c>
    </row>
    <row r="42" spans="1:20">
      <c r="B42" s="2019" t="s">
        <v>26</v>
      </c>
      <c r="C42" s="2020"/>
      <c r="D42" s="2007">
        <f>SUM(D37:D41)</f>
        <v>75483</v>
      </c>
      <c r="E42" s="2007">
        <f>SUM(E37:E41)</f>
        <v>100644.00000000001</v>
      </c>
      <c r="F42" s="2021"/>
      <c r="G42" s="2007">
        <f>SUM(G37:G41)</f>
        <v>2807194.7333333334</v>
      </c>
      <c r="H42" s="2007">
        <f ca="1">SUM(H37:H41)</f>
        <v>227940.2813959319</v>
      </c>
      <c r="I42" s="2009">
        <f ca="1">SUM(I37:I41)</f>
        <v>2579254.4519374012</v>
      </c>
      <c r="K42" s="955"/>
      <c r="L42" s="963"/>
      <c r="M42" s="963"/>
      <c r="N42" s="963"/>
      <c r="O42" s="963"/>
      <c r="P42" s="963"/>
      <c r="Q42" s="963"/>
      <c r="R42" s="964"/>
    </row>
    <row r="43" spans="1:20" ht="13.5" thickBot="1">
      <c r="B43" s="2764"/>
      <c r="C43" s="2030"/>
      <c r="D43" s="2765"/>
      <c r="E43" s="2765"/>
      <c r="F43" s="2765"/>
      <c r="G43" s="2765"/>
      <c r="H43" s="2030"/>
      <c r="I43" s="2766"/>
      <c r="K43" s="955" t="s">
        <v>1058</v>
      </c>
      <c r="L43" s="963"/>
      <c r="M43" s="963"/>
      <c r="N43" s="1020"/>
      <c r="O43" s="1020">
        <f>Capex!C21</f>
        <v>95000</v>
      </c>
      <c r="P43" s="1020">
        <f>O43</f>
        <v>95000</v>
      </c>
      <c r="Q43" s="1020">
        <f>P43</f>
        <v>95000</v>
      </c>
      <c r="R43" s="1008">
        <f>Q43</f>
        <v>95000</v>
      </c>
    </row>
    <row r="44" spans="1:20" ht="13.5" thickBot="1">
      <c r="B44" s="2029" t="s">
        <v>1147</v>
      </c>
      <c r="C44" s="2030"/>
      <c r="D44" s="2196">
        <f>D34+D42</f>
        <v>120414.75</v>
      </c>
      <c r="E44" s="2196">
        <f>E34+E42</f>
        <v>160553</v>
      </c>
      <c r="F44" s="2196"/>
      <c r="G44" s="2196">
        <f>G34+G42</f>
        <v>4717910.6233333331</v>
      </c>
      <c r="H44" s="2196">
        <f ca="1">H34+H42</f>
        <v>227940.2813959319</v>
      </c>
      <c r="I44" s="2197">
        <f ca="1">I34+I42</f>
        <v>4489970.3419374013</v>
      </c>
      <c r="K44" s="976" t="s">
        <v>134</v>
      </c>
      <c r="L44" s="963"/>
      <c r="M44" s="963"/>
      <c r="N44" s="977">
        <f>SUM(N43)</f>
        <v>0</v>
      </c>
      <c r="O44" s="977">
        <f>SUM(O43)</f>
        <v>95000</v>
      </c>
      <c r="P44" s="977">
        <f>SUM(P43)</f>
        <v>95000</v>
      </c>
      <c r="Q44" s="977">
        <f>SUM(Q43)</f>
        <v>95000</v>
      </c>
      <c r="R44" s="978">
        <f>SUM(R43)</f>
        <v>95000</v>
      </c>
      <c r="T44" s="2890"/>
    </row>
    <row r="45" spans="1:20" ht="13.5" thickBot="1">
      <c r="B45" s="998"/>
      <c r="C45" s="998"/>
      <c r="D45" s="998"/>
      <c r="E45" s="998"/>
      <c r="F45" s="998"/>
      <c r="G45" s="998"/>
      <c r="H45" s="998"/>
      <c r="I45" s="998"/>
      <c r="K45" s="955"/>
      <c r="L45" s="963"/>
      <c r="M45" s="963"/>
      <c r="N45" s="963"/>
      <c r="O45" s="963"/>
      <c r="P45" s="963"/>
      <c r="Q45" s="963"/>
      <c r="R45" s="964"/>
    </row>
    <row r="46" spans="1:20" ht="13.5" thickBot="1">
      <c r="B46" s="1146" t="s">
        <v>1150</v>
      </c>
      <c r="C46" s="1147"/>
      <c r="D46" s="1147"/>
      <c r="E46" s="1147"/>
      <c r="F46" s="1147"/>
      <c r="G46" s="1147"/>
      <c r="H46" s="1147"/>
      <c r="I46" s="1148"/>
      <c r="K46" s="1005" t="s">
        <v>1064</v>
      </c>
      <c r="L46" s="994"/>
      <c r="M46" s="994"/>
      <c r="N46" s="995">
        <f>N41+N44</f>
        <v>318169.94</v>
      </c>
      <c r="O46" s="995">
        <f>O41+O44</f>
        <v>413169.94</v>
      </c>
      <c r="P46" s="995">
        <f>P41+P44</f>
        <v>413169.94</v>
      </c>
      <c r="Q46" s="995">
        <f>Q41+Q44</f>
        <v>413169.94</v>
      </c>
      <c r="R46" s="1003">
        <f>R41+R44</f>
        <v>413169.94</v>
      </c>
    </row>
    <row r="47" spans="1:20" ht="13.5" thickBot="1">
      <c r="B47" s="955"/>
      <c r="C47" s="963"/>
      <c r="D47" s="963"/>
      <c r="E47" s="963"/>
      <c r="F47" s="963"/>
      <c r="G47" s="963"/>
      <c r="H47" s="963"/>
      <c r="I47" s="964"/>
    </row>
    <row r="48" spans="1:20" ht="13.5" thickBot="1">
      <c r="A48" s="963"/>
      <c r="B48" s="1987" t="s">
        <v>1151</v>
      </c>
      <c r="C48" s="1988" t="s">
        <v>543</v>
      </c>
      <c r="D48" s="1989" t="s">
        <v>1143</v>
      </c>
      <c r="E48" s="1989" t="s">
        <v>241</v>
      </c>
      <c r="F48" s="1989" t="s">
        <v>1144</v>
      </c>
      <c r="G48" s="1989" t="s">
        <v>862</v>
      </c>
      <c r="H48" s="1990" t="s">
        <v>357</v>
      </c>
      <c r="I48" s="1991" t="s">
        <v>1145</v>
      </c>
      <c r="K48" s="1149" t="s">
        <v>748</v>
      </c>
      <c r="L48" s="1164"/>
      <c r="M48" s="1164"/>
      <c r="N48" s="1150">
        <f>N39</f>
        <v>2023</v>
      </c>
      <c r="O48" s="1150">
        <f>O39</f>
        <v>2024</v>
      </c>
      <c r="P48" s="1150">
        <f>P39</f>
        <v>2025</v>
      </c>
      <c r="Q48" s="1150">
        <f>Q39</f>
        <v>2026</v>
      </c>
      <c r="R48" s="1151">
        <f>R39</f>
        <v>2027</v>
      </c>
    </row>
    <row r="49" spans="2:18">
      <c r="B49" s="2010">
        <v>2023</v>
      </c>
      <c r="C49" s="1996" t="s">
        <v>201</v>
      </c>
      <c r="D49" s="1139">
        <f>E49*0.75</f>
        <v>0</v>
      </c>
      <c r="E49" s="2022">
        <f>'Prod info'!E256</f>
        <v>0</v>
      </c>
      <c r="F49" s="2031">
        <v>26.628589999999999</v>
      </c>
      <c r="G49" s="2022">
        <f>F49*E49</f>
        <v>0</v>
      </c>
      <c r="H49" s="2022">
        <f ca="1">'Prod info'!E279</f>
        <v>0</v>
      </c>
      <c r="I49" s="2023">
        <f ca="1">G49-H49</f>
        <v>0</v>
      </c>
      <c r="K49" s="1000" t="s">
        <v>1059</v>
      </c>
      <c r="L49" s="985"/>
      <c r="M49" s="985"/>
      <c r="N49" s="1154">
        <v>459527</v>
      </c>
      <c r="O49" s="1154">
        <f t="shared" ref="O49:R50" si="8">N49</f>
        <v>459527</v>
      </c>
      <c r="P49" s="1154">
        <f t="shared" si="8"/>
        <v>459527</v>
      </c>
      <c r="Q49" s="1154">
        <f t="shared" si="8"/>
        <v>459527</v>
      </c>
      <c r="R49" s="1155">
        <f t="shared" si="8"/>
        <v>459527</v>
      </c>
    </row>
    <row r="50" spans="2:18">
      <c r="B50" s="2010">
        <v>2023</v>
      </c>
      <c r="C50" s="1996" t="s">
        <v>205</v>
      </c>
      <c r="D50" s="1139">
        <f>E50*0.75</f>
        <v>31321</v>
      </c>
      <c r="E50" s="2022">
        <f>'Prod info'!E257</f>
        <v>41761.333333333336</v>
      </c>
      <c r="F50" s="2031">
        <v>39.292905599999997</v>
      </c>
      <c r="G50" s="2022">
        <f>F50*E50</f>
        <v>1640924.1283968</v>
      </c>
      <c r="H50" s="2022">
        <f ca="1">'Prod info'!E280</f>
        <v>297437.23211970215</v>
      </c>
      <c r="I50" s="2023">
        <f ca="1">G50-H50</f>
        <v>1343486.896277098</v>
      </c>
      <c r="K50" s="955" t="s">
        <v>1060</v>
      </c>
      <c r="L50" s="963"/>
      <c r="M50" s="963"/>
      <c r="N50" s="1007">
        <v>174722</v>
      </c>
      <c r="O50" s="1007">
        <f t="shared" si="8"/>
        <v>174722</v>
      </c>
      <c r="P50" s="1007">
        <f t="shared" si="8"/>
        <v>174722</v>
      </c>
      <c r="Q50" s="1007">
        <f t="shared" si="8"/>
        <v>174722</v>
      </c>
      <c r="R50" s="1004">
        <f t="shared" si="8"/>
        <v>174722</v>
      </c>
    </row>
    <row r="51" spans="2:18">
      <c r="B51" s="2010">
        <v>2023</v>
      </c>
      <c r="C51" s="1996" t="str">
        <f>C28</f>
        <v>Selection individuelle</v>
      </c>
      <c r="D51" s="1139">
        <f>E51*0.75</f>
        <v>4275</v>
      </c>
      <c r="E51" s="2022">
        <f>'Prod info'!E258</f>
        <v>5700</v>
      </c>
      <c r="F51" s="2031">
        <v>140.762663177935</v>
      </c>
      <c r="G51" s="2022">
        <f>F51*E51</f>
        <v>802347.18011422944</v>
      </c>
      <c r="H51" s="2022">
        <f ca="1">'Prod info'!E281</f>
        <v>49351.045143960349</v>
      </c>
      <c r="I51" s="2023">
        <f ca="1">G51-H51</f>
        <v>752996.13497026905</v>
      </c>
      <c r="K51" s="976" t="s">
        <v>1139</v>
      </c>
      <c r="L51" s="963"/>
      <c r="M51" s="963"/>
      <c r="N51" s="977">
        <f>SUM(N49:N50)</f>
        <v>634249</v>
      </c>
      <c r="O51" s="977">
        <f>SUM(O49:O50)</f>
        <v>634249</v>
      </c>
      <c r="P51" s="977">
        <f>SUM(P49:P50)</f>
        <v>634249</v>
      </c>
      <c r="Q51" s="977">
        <f>SUM(Q49:Q50)</f>
        <v>634249</v>
      </c>
      <c r="R51" s="978">
        <f>SUM(R49:R50)</f>
        <v>634249</v>
      </c>
    </row>
    <row r="52" spans="2:18">
      <c r="B52" s="2010">
        <v>2023</v>
      </c>
      <c r="C52" s="1996" t="s">
        <v>196</v>
      </c>
      <c r="D52" s="1139">
        <f>E52*0.75</f>
        <v>1699.5</v>
      </c>
      <c r="E52" s="2022">
        <f>'Prod info'!E254</f>
        <v>2266</v>
      </c>
      <c r="F52" s="2031">
        <v>17.2074</v>
      </c>
      <c r="G52" s="2022">
        <f>F52*E52</f>
        <v>38991.968399999998</v>
      </c>
      <c r="H52" s="2022">
        <f ca="1">'Prod info'!E277</f>
        <v>14972.753784313831</v>
      </c>
      <c r="I52" s="2023">
        <f ca="1">G52-H52</f>
        <v>24019.214615686167</v>
      </c>
      <c r="K52" s="955"/>
      <c r="L52" s="963"/>
      <c r="M52" s="963"/>
      <c r="N52" s="963"/>
      <c r="O52" s="963"/>
      <c r="P52" s="963"/>
      <c r="Q52" s="963"/>
      <c r="R52" s="964"/>
    </row>
    <row r="53" spans="2:18">
      <c r="B53" s="2024">
        <v>2023</v>
      </c>
      <c r="C53" s="2025" t="s">
        <v>198</v>
      </c>
      <c r="D53" s="2000">
        <f>E53*0.75</f>
        <v>0</v>
      </c>
      <c r="E53" s="2017"/>
      <c r="F53" s="2032">
        <v>17.2074</v>
      </c>
      <c r="G53" s="2017">
        <f>F53*E53</f>
        <v>0</v>
      </c>
      <c r="H53" s="2017">
        <f ca="1">'Inv. wine'!M195</f>
        <v>0</v>
      </c>
      <c r="I53" s="2018">
        <f ca="1">G53-H53</f>
        <v>0</v>
      </c>
      <c r="K53" s="955" t="s">
        <v>1061</v>
      </c>
      <c r="L53" s="963"/>
      <c r="M53" s="963"/>
      <c r="N53" s="963"/>
      <c r="O53" s="966">
        <f>Capex!C24</f>
        <v>875000</v>
      </c>
      <c r="P53" s="966">
        <f t="shared" ref="P53:R54" si="9">O53</f>
        <v>875000</v>
      </c>
      <c r="Q53" s="966">
        <f t="shared" si="9"/>
        <v>875000</v>
      </c>
      <c r="R53" s="967">
        <f t="shared" si="9"/>
        <v>875000</v>
      </c>
    </row>
    <row r="54" spans="2:18" ht="13.5" thickBot="1">
      <c r="B54" s="2033" t="s">
        <v>26</v>
      </c>
      <c r="C54" s="2034"/>
      <c r="D54" s="2035">
        <f>SUM(D49:D53)</f>
        <v>37295.5</v>
      </c>
      <c r="E54" s="2035">
        <f>SUM(E49:E53)</f>
        <v>49727.333333333336</v>
      </c>
      <c r="F54" s="2035"/>
      <c r="G54" s="2035">
        <f>SUM(G49:G53)</f>
        <v>2482263.2769110296</v>
      </c>
      <c r="H54" s="2035">
        <f ca="1">SUM(H49:H53)</f>
        <v>361761.03104797634</v>
      </c>
      <c r="I54" s="2036">
        <f ca="1">SUM(I49:I53)</f>
        <v>2120502.2458630535</v>
      </c>
      <c r="K54" s="955" t="s">
        <v>1062</v>
      </c>
      <c r="L54" s="963"/>
      <c r="M54" s="963"/>
      <c r="N54" s="1011"/>
      <c r="O54" s="1007">
        <f>Capex!C25</f>
        <v>820000</v>
      </c>
      <c r="P54" s="1007">
        <f t="shared" si="9"/>
        <v>820000</v>
      </c>
      <c r="Q54" s="1007">
        <f t="shared" si="9"/>
        <v>820000</v>
      </c>
      <c r="R54" s="1004">
        <f t="shared" si="9"/>
        <v>820000</v>
      </c>
    </row>
    <row r="55" spans="2:18" ht="13.5" thickBot="1">
      <c r="B55" s="955"/>
      <c r="C55" s="963"/>
      <c r="D55" s="963"/>
      <c r="E55" s="963"/>
      <c r="F55" s="963"/>
      <c r="G55" s="963"/>
      <c r="H55" s="963"/>
      <c r="I55" s="964"/>
      <c r="K55" s="976" t="s">
        <v>134</v>
      </c>
      <c r="L55" s="963"/>
      <c r="M55" s="963"/>
      <c r="N55" s="977">
        <f>SUM(N53:N54)</f>
        <v>0</v>
      </c>
      <c r="O55" s="977">
        <f>SUM(O53:O54)</f>
        <v>1695000</v>
      </c>
      <c r="P55" s="977">
        <f>SUM(P53:P54)</f>
        <v>1695000</v>
      </c>
      <c r="Q55" s="977">
        <f>SUM(Q53:Q54)</f>
        <v>1695000</v>
      </c>
      <c r="R55" s="978">
        <f>SUM(R53:R54)</f>
        <v>1695000</v>
      </c>
    </row>
    <row r="56" spans="2:18" ht="13.5" thickBot="1">
      <c r="B56" s="2037" t="s">
        <v>1148</v>
      </c>
      <c r="C56" s="2038"/>
      <c r="D56" s="2039">
        <f>D44+D54</f>
        <v>157710.25</v>
      </c>
      <c r="E56" s="2039">
        <f>E44+E54</f>
        <v>210280.33333333334</v>
      </c>
      <c r="F56" s="2039"/>
      <c r="G56" s="2039">
        <f>G44+G54</f>
        <v>7200173.9002443627</v>
      </c>
      <c r="H56" s="2039">
        <f ca="1">H44+H54</f>
        <v>589701.3124439083</v>
      </c>
      <c r="I56" s="2040">
        <f ca="1">I44+I54</f>
        <v>6610472.5878004543</v>
      </c>
      <c r="K56" s="955"/>
      <c r="L56" s="963"/>
      <c r="M56" s="963"/>
      <c r="N56" s="963"/>
      <c r="O56" s="963"/>
      <c r="P56" s="963"/>
      <c r="Q56" s="963"/>
      <c r="R56" s="964"/>
    </row>
    <row r="57" spans="2:18" ht="13.5" thickBot="1">
      <c r="B57" s="998"/>
      <c r="C57" s="998"/>
      <c r="D57" s="998"/>
      <c r="E57" s="998"/>
      <c r="F57" s="998"/>
      <c r="G57" s="998"/>
      <c r="H57" s="998"/>
      <c r="I57" s="998"/>
      <c r="K57" s="1005" t="s">
        <v>1064</v>
      </c>
      <c r="L57" s="994"/>
      <c r="M57" s="994"/>
      <c r="N57" s="995">
        <f>N51+N55</f>
        <v>634249</v>
      </c>
      <c r="O57" s="995">
        <f>O51+O55</f>
        <v>2329249</v>
      </c>
      <c r="P57" s="995">
        <f>P51+P55</f>
        <v>2329249</v>
      </c>
      <c r="Q57" s="995">
        <f>Q51+Q55</f>
        <v>2329249</v>
      </c>
      <c r="R57" s="1003">
        <f>R51+R55</f>
        <v>2329249</v>
      </c>
    </row>
    <row r="58" spans="2:18" ht="13.5" thickBot="1">
      <c r="B58" s="1149" t="s">
        <v>841</v>
      </c>
      <c r="C58" s="1150"/>
      <c r="D58" s="1150"/>
      <c r="E58" s="1150">
        <f>N61</f>
        <v>2023</v>
      </c>
      <c r="F58" s="1150">
        <f>E58+1</f>
        <v>2024</v>
      </c>
      <c r="G58" s="1150">
        <f>F58+1</f>
        <v>2025</v>
      </c>
      <c r="H58" s="1150">
        <f>G58+1</f>
        <v>2026</v>
      </c>
      <c r="I58" s="1151">
        <f>H58+1</f>
        <v>2027</v>
      </c>
    </row>
    <row r="59" spans="2:18" ht="13.5" thickBot="1">
      <c r="B59" s="976"/>
      <c r="C59" s="1129"/>
      <c r="D59" s="963"/>
      <c r="E59" s="1135"/>
      <c r="F59" s="1135"/>
      <c r="G59" s="1135"/>
      <c r="H59" s="1135"/>
      <c r="I59" s="1136"/>
      <c r="K59" s="997" t="s">
        <v>1165</v>
      </c>
      <c r="L59" s="998"/>
      <c r="M59" s="998"/>
      <c r="N59" s="1168">
        <f>N46+N57</f>
        <v>952418.94</v>
      </c>
      <c r="O59" s="1168">
        <f>O46+O57</f>
        <v>2742418.94</v>
      </c>
      <c r="P59" s="1168">
        <f>P46+P57</f>
        <v>2742418.94</v>
      </c>
      <c r="Q59" s="1168">
        <f>Q46+Q57</f>
        <v>2742418.94</v>
      </c>
      <c r="R59" s="1169">
        <f>R46+R57</f>
        <v>2742418.94</v>
      </c>
    </row>
    <row r="60" spans="2:18" ht="13.5" thickBot="1">
      <c r="B60" s="955" t="s">
        <v>1075</v>
      </c>
      <c r="C60" s="963"/>
      <c r="D60" s="963"/>
      <c r="E60" s="966">
        <f ca="1">I44</f>
        <v>4489970.3419374013</v>
      </c>
      <c r="F60" s="956">
        <f ca="1">E69</f>
        <v>6553035.6545082396</v>
      </c>
      <c r="G60" s="956">
        <f ca="1">F69</f>
        <v>7318451.3330776868</v>
      </c>
      <c r="H60" s="956">
        <f ca="1">G69</f>
        <v>9530193.9902308099</v>
      </c>
      <c r="I60" s="957">
        <f ca="1">H69</f>
        <v>10785445.613900088</v>
      </c>
    </row>
    <row r="61" spans="2:18" ht="13.5" thickBot="1">
      <c r="B61" s="955" t="s">
        <v>1076</v>
      </c>
      <c r="C61" s="963"/>
      <c r="D61" s="963"/>
      <c r="E61" s="1007">
        <f ca="1">I54</f>
        <v>2120502.2458630535</v>
      </c>
      <c r="F61" s="1007">
        <f ca="1">'Prod info'!F284</f>
        <v>3077194.2073915373</v>
      </c>
      <c r="G61" s="1007">
        <f ca="1">'Prod info'!G284</f>
        <v>3770013.5506710885</v>
      </c>
      <c r="H61" s="1007">
        <f ca="1">'Prod info'!H284</f>
        <v>3936555.2804440041</v>
      </c>
      <c r="I61" s="1004">
        <f ca="1">'Prod info'!I284</f>
        <v>4049469.7972603557</v>
      </c>
      <c r="K61" s="1146" t="s">
        <v>1067</v>
      </c>
      <c r="L61" s="1167"/>
      <c r="M61" s="1167"/>
      <c r="N61" s="1165">
        <f>N39</f>
        <v>2023</v>
      </c>
      <c r="O61" s="1165">
        <f>O39</f>
        <v>2024</v>
      </c>
      <c r="P61" s="1165">
        <f>P39</f>
        <v>2025</v>
      </c>
      <c r="Q61" s="1165">
        <f>Q39</f>
        <v>2026</v>
      </c>
      <c r="R61" s="1166">
        <f>R39</f>
        <v>2027</v>
      </c>
    </row>
    <row r="62" spans="2:18">
      <c r="B62" s="976" t="s">
        <v>1026</v>
      </c>
      <c r="C62" s="963"/>
      <c r="D62" s="963"/>
      <c r="E62" s="977">
        <f ca="1">SUM(E60:E61)</f>
        <v>6610472.5878004543</v>
      </c>
      <c r="F62" s="977">
        <f ca="1">SUM(F60:F61)</f>
        <v>9630229.8618997764</v>
      </c>
      <c r="G62" s="977">
        <f ca="1">SUM(G60:G61)</f>
        <v>11088464.883748775</v>
      </c>
      <c r="H62" s="977">
        <f ca="1">SUM(H60:H61)</f>
        <v>13466749.270674814</v>
      </c>
      <c r="I62" s="978">
        <f ca="1">SUM(I60:I61)</f>
        <v>14834915.411160443</v>
      </c>
      <c r="K62" s="955" t="s">
        <v>1068</v>
      </c>
      <c r="L62" s="963"/>
      <c r="M62" s="963"/>
      <c r="N62" s="966">
        <f ca="1">EN!D25+RCV!F19+RCE!F29</f>
        <v>2575044.697701728</v>
      </c>
      <c r="O62" s="966">
        <f ca="1">EN!E25+RCV!G19+RCE!G29</f>
        <v>3255822.2619443727</v>
      </c>
      <c r="P62" s="966">
        <f ca="1">EN!F25+RCV!H19+RCE!H29</f>
        <v>3983638.3934112489</v>
      </c>
      <c r="Q62" s="966">
        <f ca="1">EN!G25+RCV!I19+RCE!I29</f>
        <v>6076294.5582478726</v>
      </c>
      <c r="R62" s="967">
        <f ca="1">EN!H25+RCV!J19+RCE!J29</f>
        <v>6445432.5178281376</v>
      </c>
    </row>
    <row r="63" spans="2:18">
      <c r="B63" s="955"/>
      <c r="C63" s="963"/>
      <c r="D63" s="963"/>
      <c r="E63" s="963"/>
      <c r="F63" s="963"/>
      <c r="G63" s="963"/>
      <c r="H63" s="963"/>
      <c r="I63" s="964"/>
      <c r="K63" s="955" t="s">
        <v>1069</v>
      </c>
      <c r="L63" s="963"/>
      <c r="M63" s="963"/>
      <c r="N63" s="966">
        <f ca="1">EN!D22+RCV!F12+RCE!F26</f>
        <v>5364.9893333333339</v>
      </c>
      <c r="O63" s="966">
        <f ca="1">EN!E22+RCV!G12+RCE!G26</f>
        <v>143467.42552720392</v>
      </c>
      <c r="P63" s="966">
        <f ca="1">EN!F22+RCV!H12+RCE!H26</f>
        <v>84539.032513617829</v>
      </c>
      <c r="Q63" s="966">
        <f ca="1">EN!G22+RCV!I12+RCE!I26</f>
        <v>161515.5222378606</v>
      </c>
      <c r="R63" s="967">
        <f ca="1">EN!H22+RCV!J12+RCE!J26</f>
        <v>205970.27964059176</v>
      </c>
    </row>
    <row r="64" spans="2:18">
      <c r="B64" s="955" t="s">
        <v>1078</v>
      </c>
      <c r="C64" s="963"/>
      <c r="D64" s="963"/>
      <c r="E64" s="966">
        <f ca="1">Sale!I9-Sale!I90</f>
        <v>107256.78666666667</v>
      </c>
      <c r="F64" s="966">
        <f ca="1">Sale!J9-Sale!J90</f>
        <v>2866581.5024100002</v>
      </c>
      <c r="G64" s="966">
        <f ca="1">Sale!K9-Sale!K90</f>
        <v>1645077.5308413005</v>
      </c>
      <c r="H64" s="966">
        <f ca="1">Sale!L9-Sale!L90</f>
        <v>3225035.2470776914</v>
      </c>
      <c r="I64" s="967">
        <f ca="1">Sale!M9-Sale!M90</f>
        <v>3984734.528574497</v>
      </c>
      <c r="K64" s="955" t="s">
        <v>1070</v>
      </c>
      <c r="L64" s="963"/>
      <c r="M64" s="963"/>
      <c r="N64" s="1007">
        <f ca="1">-EN!O23+EN!O21-RCV!Q19-RCE!Q19</f>
        <v>-43984.113565195839</v>
      </c>
      <c r="O64" s="1007">
        <f ca="1">-EN!P23+EN!P21-RCV!R19-RCE!R19</f>
        <v>-214240.53848733261</v>
      </c>
      <c r="P64" s="1007">
        <f ca="1">-EN!Q23+EN!Q21-RCV!S19-RCE!S19</f>
        <v>-103577.3424612669</v>
      </c>
      <c r="Q64" s="1007">
        <f ca="1">-EN!R23+EN!R21-RCV!T19-RCE!T19</f>
        <v>-253669.35870010752</v>
      </c>
      <c r="R64" s="1004">
        <f ca="1">-EN!S23+EN!S21-RCV!U19-RCE!U19</f>
        <v>-339014.8938767669</v>
      </c>
    </row>
    <row r="65" spans="2:18">
      <c r="B65" s="955" t="s">
        <v>1079</v>
      </c>
      <c r="C65" s="963"/>
      <c r="D65" s="963"/>
      <c r="E65" s="858">
        <f>Sale!S146</f>
        <v>0</v>
      </c>
      <c r="F65" s="858">
        <f>Sale!T146</f>
        <v>4446.7160000000003</v>
      </c>
      <c r="G65" s="858">
        <f>Sale!U146</f>
        <v>373616.87009333307</v>
      </c>
      <c r="H65" s="858">
        <f>Sale!V146</f>
        <v>0</v>
      </c>
      <c r="I65" s="861">
        <f>Sale!W146</f>
        <v>0</v>
      </c>
      <c r="K65" s="955" t="s">
        <v>1071</v>
      </c>
      <c r="L65" s="963"/>
      <c r="M65" s="963"/>
      <c r="N65" s="956">
        <f ca="1">SUM(N62:N64)</f>
        <v>2536425.5734698656</v>
      </c>
      <c r="O65" s="956">
        <f ca="1">SUM(O62:O64)</f>
        <v>3185049.1489842441</v>
      </c>
      <c r="P65" s="956">
        <f ca="1">SUM(P62:P64)</f>
        <v>3964600.0834635999</v>
      </c>
      <c r="Q65" s="956">
        <f ca="1">SUM(Q62:Q64)</f>
        <v>5984140.7217856254</v>
      </c>
      <c r="R65" s="957">
        <f ca="1">SUM(R62:R64)</f>
        <v>6312387.9035919625</v>
      </c>
    </row>
    <row r="66" spans="2:18">
      <c r="B66" s="958" t="s">
        <v>1137</v>
      </c>
      <c r="C66" s="959"/>
      <c r="D66" s="963"/>
      <c r="E66" s="1007">
        <f ca="1">-EN!D36</f>
        <v>-49819.853374451472</v>
      </c>
      <c r="F66" s="1007">
        <f ca="1">-EN!E36</f>
        <v>-559249.68958791078</v>
      </c>
      <c r="G66" s="1007">
        <f ca="1">-EN!F36</f>
        <v>-460423.50741666718</v>
      </c>
      <c r="H66" s="1007">
        <f ca="1">-EN!G36</f>
        <v>-543731.59030296642</v>
      </c>
      <c r="I66" s="1004">
        <f ca="1">-EN!H36</f>
        <v>-607001.26372100459</v>
      </c>
      <c r="K66" s="955" t="s">
        <v>1072</v>
      </c>
      <c r="L66" s="963"/>
      <c r="M66" s="963"/>
      <c r="N66" s="1017">
        <v>0.49</v>
      </c>
      <c r="O66" s="1017">
        <f>N66</f>
        <v>0.49</v>
      </c>
      <c r="P66" s="1017">
        <f>O66</f>
        <v>0.49</v>
      </c>
      <c r="Q66" s="1017">
        <f>P66</f>
        <v>0.49</v>
      </c>
      <c r="R66" s="1018">
        <f>Q66</f>
        <v>0.49</v>
      </c>
    </row>
    <row r="67" spans="2:18" ht="13.5" thickBot="1">
      <c r="B67" s="955" t="s">
        <v>1074</v>
      </c>
      <c r="C67" s="963"/>
      <c r="D67" s="963"/>
      <c r="E67" s="977">
        <f ca="1">E64+E65+E66</f>
        <v>57436.933292215195</v>
      </c>
      <c r="F67" s="977">
        <f ca="1">F64+F65+F66</f>
        <v>2311778.5288220895</v>
      </c>
      <c r="G67" s="977">
        <f ca="1">G64+G65+G66</f>
        <v>1558270.8935179664</v>
      </c>
      <c r="H67" s="977">
        <f ca="1">H64+H65+H66</f>
        <v>2681303.6567747248</v>
      </c>
      <c r="I67" s="978">
        <f ca="1">I64+I65+I66</f>
        <v>3377733.2648534924</v>
      </c>
      <c r="K67" s="983" t="s">
        <v>1073</v>
      </c>
      <c r="L67" s="994"/>
      <c r="M67" s="994"/>
      <c r="N67" s="1019">
        <f ca="1">N65*N66</f>
        <v>1242848.5310002342</v>
      </c>
      <c r="O67" s="1019">
        <f ca="1">O65*O66</f>
        <v>1560674.0830022795</v>
      </c>
      <c r="P67" s="1019">
        <f ca="1">P65*P66</f>
        <v>1942654.040897164</v>
      </c>
      <c r="Q67" s="1019">
        <f ca="1">Q65*Q66</f>
        <v>2932228.9536749562</v>
      </c>
      <c r="R67" s="1006">
        <f ca="1">R65*R66</f>
        <v>3093070.0727600614</v>
      </c>
    </row>
    <row r="68" spans="2:18">
      <c r="B68" s="955"/>
      <c r="C68" s="963"/>
      <c r="D68" s="963"/>
      <c r="E68" s="963"/>
      <c r="F68" s="963"/>
      <c r="G68" s="963"/>
      <c r="H68" s="963"/>
      <c r="I68" s="964"/>
    </row>
    <row r="69" spans="2:18">
      <c r="B69" s="955" t="s">
        <v>1162</v>
      </c>
      <c r="C69" s="963"/>
      <c r="D69" s="963"/>
      <c r="E69" s="977">
        <f ca="1">E62-E67</f>
        <v>6553035.6545082396</v>
      </c>
      <c r="F69" s="977">
        <f ca="1">F62-F67</f>
        <v>7318451.3330776868</v>
      </c>
      <c r="G69" s="977">
        <f ca="1">G62-G67</f>
        <v>9530193.9902308099</v>
      </c>
      <c r="H69" s="977">
        <f ca="1">H62-H67</f>
        <v>10785445.613900088</v>
      </c>
      <c r="I69" s="978">
        <f ca="1">I62-I67</f>
        <v>11457182.146306951</v>
      </c>
      <c r="K69" s="945" t="s">
        <v>1159</v>
      </c>
    </row>
    <row r="70" spans="2:18">
      <c r="B70" s="955" t="s">
        <v>1056</v>
      </c>
      <c r="C70" s="963"/>
      <c r="D70" s="963"/>
      <c r="E70" s="991">
        <f>N66</f>
        <v>0.49</v>
      </c>
      <c r="F70" s="991">
        <f>E70</f>
        <v>0.49</v>
      </c>
      <c r="G70" s="991">
        <f>F70</f>
        <v>0.49</v>
      </c>
      <c r="H70" s="991">
        <f>G70</f>
        <v>0.49</v>
      </c>
      <c r="I70" s="992">
        <f>H70</f>
        <v>0.49</v>
      </c>
    </row>
    <row r="71" spans="2:18" ht="13.5" thickBot="1">
      <c r="B71" s="983" t="s">
        <v>1077</v>
      </c>
      <c r="C71" s="994"/>
      <c r="D71" s="994"/>
      <c r="E71" s="995">
        <f ca="1">E69*E70</f>
        <v>3210987.4707090375</v>
      </c>
      <c r="F71" s="995">
        <f ca="1">F69*F70</f>
        <v>3586041.1532080667</v>
      </c>
      <c r="G71" s="995">
        <f ca="1">G69*G70</f>
        <v>4669795.0552130966</v>
      </c>
      <c r="H71" s="995">
        <f ca="1">H69*H70</f>
        <v>5284868.3508110428</v>
      </c>
      <c r="I71" s="1003">
        <f ca="1">I69*I70</f>
        <v>5614019.2516904054</v>
      </c>
    </row>
    <row r="73" spans="2:18">
      <c r="N73" s="973"/>
    </row>
    <row r="116" spans="16:18">
      <c r="P116" s="1114"/>
      <c r="Q116" s="1114"/>
      <c r="R116" s="1114"/>
    </row>
    <row r="117" spans="16:18">
      <c r="P117" s="1114"/>
      <c r="Q117" s="1114"/>
      <c r="R117" s="1114"/>
    </row>
    <row r="118" spans="16:18">
      <c r="P118" s="1114"/>
      <c r="Q118" s="1114"/>
      <c r="R118" s="1114"/>
    </row>
    <row r="119" spans="16:18">
      <c r="P119" s="1114"/>
      <c r="Q119" s="1114"/>
      <c r="R119" s="1114"/>
    </row>
    <row r="120" spans="16:18">
      <c r="P120" s="1114"/>
      <c r="Q120" s="1114"/>
      <c r="R120" s="1114"/>
    </row>
  </sheetData>
  <sheetProtection password="CD53" sheet="1" objects="1" scenarios="1" selectLockedCells="1"/>
  <conditionalFormatting sqref="E59:I59">
    <cfRule type="cellIs" dxfId="116" priority="3" operator="lessThan">
      <formula>0</formula>
    </cfRule>
  </conditionalFormatting>
  <pageMargins left="0.7" right="0.7" top="0.75" bottom="0.75" header="0.3" footer="0.3"/>
  <pageSetup paperSize="9" scale="2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theme="2" tint="-0.249977111117893"/>
  </sheetPr>
  <dimension ref="B2:AV376"/>
  <sheetViews>
    <sheetView topLeftCell="U1" zoomScale="60" zoomScaleNormal="60" workbookViewId="0">
      <pane ySplit="3" topLeftCell="A4" activePane="bottomLeft" state="frozen"/>
      <selection pane="bottomLeft" activeCell="U36" sqref="U36"/>
    </sheetView>
  </sheetViews>
  <sheetFormatPr defaultRowHeight="12.75"/>
  <cols>
    <col min="1" max="1" width="3.7109375" style="2297" customWidth="1"/>
    <col min="2" max="2" width="32.85546875" style="2297" customWidth="1"/>
    <col min="3" max="3" width="15.42578125" style="2297" bestFit="1" customWidth="1"/>
    <col min="4" max="4" width="10.85546875" style="2297" bestFit="1" customWidth="1"/>
    <col min="5" max="5" width="11.28515625" style="2297" bestFit="1" customWidth="1"/>
    <col min="6" max="6" width="11.140625" style="2297" bestFit="1" customWidth="1"/>
    <col min="7" max="7" width="10.85546875" style="2297" bestFit="1" customWidth="1"/>
    <col min="8" max="8" width="11.5703125" style="2297" customWidth="1"/>
    <col min="9" max="9" width="10.85546875" style="2297" bestFit="1" customWidth="1"/>
    <col min="10" max="10" width="3.42578125" style="2297" customWidth="1"/>
    <col min="11" max="11" width="31.140625" style="2297" customWidth="1"/>
    <col min="12" max="12" width="15.42578125" style="2297" bestFit="1" customWidth="1"/>
    <col min="13" max="13" width="12.7109375" style="2297" customWidth="1"/>
    <col min="14" max="18" width="13" style="2297" bestFit="1" customWidth="1"/>
    <col min="19" max="19" width="3" style="2297" customWidth="1"/>
    <col min="20" max="20" width="31.140625" style="2297" customWidth="1"/>
    <col min="21" max="21" width="15.42578125" style="2297" bestFit="1" customWidth="1"/>
    <col min="22" max="22" width="12.7109375" style="2297" bestFit="1" customWidth="1"/>
    <col min="23" max="23" width="14" style="2297" bestFit="1" customWidth="1"/>
    <col min="24" max="24" width="13.5703125" style="2297" customWidth="1"/>
    <col min="25" max="25" width="14.42578125" style="2297" bestFit="1" customWidth="1"/>
    <col min="26" max="26" width="14" style="2297" bestFit="1" customWidth="1"/>
    <col min="27" max="27" width="14.7109375" style="2297" bestFit="1" customWidth="1"/>
    <col min="28" max="28" width="2.7109375" style="2297" customWidth="1"/>
    <col min="29" max="29" width="31.140625" style="2297" customWidth="1"/>
    <col min="30" max="30" width="15.42578125" style="2297" bestFit="1" customWidth="1"/>
    <col min="31" max="31" width="12.7109375" style="2297" bestFit="1" customWidth="1"/>
    <col min="32" max="32" width="12.28515625" style="2297" bestFit="1" customWidth="1"/>
    <col min="33" max="33" width="13.5703125" style="2297" customWidth="1"/>
    <col min="34" max="36" width="12.5703125" style="2297" bestFit="1" customWidth="1"/>
    <col min="37" max="37" width="2.28515625" style="2297" customWidth="1"/>
    <col min="38" max="38" width="31.140625" style="2297" customWidth="1"/>
    <col min="39" max="39" width="15.42578125" style="2297" bestFit="1" customWidth="1"/>
    <col min="40" max="40" width="12.7109375" style="2297" bestFit="1" customWidth="1"/>
    <col min="41" max="41" width="12.28515625" style="2297" bestFit="1" customWidth="1"/>
    <col min="42" max="42" width="13.5703125" style="2297" customWidth="1"/>
    <col min="43" max="45" width="12.5703125" style="2297" bestFit="1" customWidth="1"/>
    <col min="46" max="16384" width="9.140625" style="2297"/>
  </cols>
  <sheetData>
    <row r="2" spans="2:45">
      <c r="B2" s="2538" t="str">
        <f>Sale!Q11</f>
        <v>Type of wine</v>
      </c>
      <c r="C2" s="2539" t="str">
        <f>Sale!R11</f>
        <v>maturation</v>
      </c>
      <c r="D2" s="2540" t="s">
        <v>197</v>
      </c>
      <c r="E2" s="2541"/>
      <c r="F2" s="2541"/>
      <c r="G2" s="2541"/>
      <c r="H2" s="2541"/>
      <c r="I2" s="2542"/>
      <c r="K2" s="2538" t="str">
        <f>B2</f>
        <v>Type of wine</v>
      </c>
      <c r="L2" s="2539" t="str">
        <f>C2</f>
        <v>maturation</v>
      </c>
      <c r="M2" s="2540" t="s">
        <v>197</v>
      </c>
      <c r="N2" s="2541"/>
      <c r="O2" s="2541"/>
      <c r="P2" s="2541"/>
      <c r="Q2" s="2541"/>
      <c r="R2" s="2542"/>
      <c r="T2" s="2538" t="str">
        <f>K2</f>
        <v>Type of wine</v>
      </c>
      <c r="U2" s="2543" t="str">
        <f>L2</f>
        <v>maturation</v>
      </c>
      <c r="V2" s="2544" t="s">
        <v>197</v>
      </c>
      <c r="W2" s="2545"/>
      <c r="X2" s="2545"/>
      <c r="Y2" s="2545"/>
      <c r="Z2" s="2545"/>
      <c r="AA2" s="2542"/>
      <c r="AC2" s="2538" t="str">
        <f>T2</f>
        <v>Type of wine</v>
      </c>
      <c r="AD2" s="2539" t="str">
        <f>U2</f>
        <v>maturation</v>
      </c>
      <c r="AE2" s="2540" t="s">
        <v>197</v>
      </c>
      <c r="AF2" s="2541"/>
      <c r="AG2" s="2541"/>
      <c r="AH2" s="2541"/>
      <c r="AI2" s="2541"/>
      <c r="AJ2" s="2542"/>
      <c r="AL2" s="2538" t="str">
        <f>AC2</f>
        <v>Type of wine</v>
      </c>
      <c r="AM2" s="2539" t="str">
        <f>AD2</f>
        <v>maturation</v>
      </c>
      <c r="AN2" s="2540" t="s">
        <v>197</v>
      </c>
      <c r="AO2" s="2541"/>
      <c r="AP2" s="2541"/>
      <c r="AQ2" s="2541"/>
      <c r="AR2" s="2541"/>
      <c r="AS2" s="2542"/>
    </row>
    <row r="3" spans="2:45">
      <c r="B3" s="2546" t="str">
        <f>Sale!Q12</f>
        <v>White</v>
      </c>
      <c r="C3" s="2297">
        <f>Sale!R12</f>
        <v>1</v>
      </c>
      <c r="D3" s="2297">
        <f>'Prod info'!C207</f>
        <v>0.75</v>
      </c>
      <c r="I3" s="2547"/>
      <c r="K3" s="2546" t="str">
        <f>'Prod info'!B5</f>
        <v>Rose</v>
      </c>
      <c r="L3" s="2297">
        <f>'Prod info'!F5</f>
        <v>1</v>
      </c>
      <c r="M3" s="2297">
        <f>D3</f>
        <v>0.75</v>
      </c>
      <c r="R3" s="2547"/>
      <c r="T3" s="2546" t="str">
        <f>'Prod info'!N270</f>
        <v>Classic</v>
      </c>
      <c r="U3" s="2297">
        <f>'Prod info'!F7</f>
        <v>2</v>
      </c>
      <c r="V3" s="2297">
        <f>M3</f>
        <v>0.75</v>
      </c>
      <c r="AA3" s="2547"/>
      <c r="AC3" s="2546" t="str">
        <f>'Prod info'!B11</f>
        <v>Premium</v>
      </c>
      <c r="AD3" s="2297">
        <v>4</v>
      </c>
      <c r="AE3" s="2297">
        <f>V3</f>
        <v>0.75</v>
      </c>
      <c r="AJ3" s="2547"/>
      <c r="AL3" s="2546" t="str">
        <f>'Prod info'!B15</f>
        <v>Selection individuelle</v>
      </c>
      <c r="AM3" s="2297">
        <f>'Prod info'!F15</f>
        <v>4</v>
      </c>
      <c r="AN3" s="2297">
        <f>AE3</f>
        <v>0.75</v>
      </c>
      <c r="AS3" s="2547"/>
    </row>
    <row r="4" spans="2:45">
      <c r="B4" s="2548"/>
      <c r="C4" s="2545"/>
      <c r="D4" s="2545"/>
      <c r="E4" s="2545"/>
      <c r="F4" s="2545"/>
      <c r="G4" s="2545"/>
      <c r="H4" s="2545"/>
      <c r="I4" s="2542"/>
      <c r="K4" s="2549"/>
      <c r="R4" s="2547"/>
      <c r="T4" s="2548"/>
      <c r="U4" s="2545"/>
      <c r="V4" s="2545"/>
      <c r="W4" s="2545"/>
      <c r="X4" s="2545"/>
      <c r="Y4" s="2545"/>
      <c r="Z4" s="2545"/>
      <c r="AA4" s="2542"/>
      <c r="AC4" s="2548"/>
      <c r="AD4" s="2541"/>
      <c r="AE4" s="2541"/>
      <c r="AF4" s="2541"/>
      <c r="AG4" s="2541"/>
      <c r="AH4" s="2541"/>
      <c r="AI4" s="2541"/>
      <c r="AJ4" s="2542"/>
      <c r="AL4" s="2548"/>
      <c r="AM4" s="2541"/>
      <c r="AN4" s="2541"/>
      <c r="AO4" s="2541"/>
      <c r="AP4" s="2541"/>
      <c r="AQ4" s="2541"/>
      <c r="AR4" s="2541"/>
      <c r="AS4" s="2542"/>
    </row>
    <row r="5" spans="2:45">
      <c r="B5" s="2538" t="s">
        <v>624</v>
      </c>
      <c r="C5" s="2550">
        <f>'Prod info'!R4</f>
        <v>2023</v>
      </c>
      <c r="D5" s="2550">
        <f>'Prod info'!S4</f>
        <v>2024</v>
      </c>
      <c r="E5" s="2550">
        <f>'Prod info'!T4</f>
        <v>2025</v>
      </c>
      <c r="F5" s="2550">
        <f>'Prod info'!U4</f>
        <v>2026</v>
      </c>
      <c r="G5" s="2550">
        <f>'Prod info'!V4</f>
        <v>2027</v>
      </c>
      <c r="H5" s="2550">
        <f>'Prod info'!W4</f>
        <v>2028</v>
      </c>
      <c r="I5" s="2551">
        <f>'Prod info'!X4</f>
        <v>2029</v>
      </c>
      <c r="K5" s="2546" t="s">
        <v>624</v>
      </c>
      <c r="L5" s="2552">
        <f t="shared" ref="L5:R5" si="0">C5</f>
        <v>2023</v>
      </c>
      <c r="M5" s="2552">
        <f t="shared" si="0"/>
        <v>2024</v>
      </c>
      <c r="N5" s="2552">
        <f t="shared" si="0"/>
        <v>2025</v>
      </c>
      <c r="O5" s="2552">
        <f t="shared" si="0"/>
        <v>2026</v>
      </c>
      <c r="P5" s="2552">
        <f t="shared" si="0"/>
        <v>2027</v>
      </c>
      <c r="Q5" s="2552">
        <f t="shared" si="0"/>
        <v>2028</v>
      </c>
      <c r="R5" s="2553">
        <f t="shared" si="0"/>
        <v>2029</v>
      </c>
      <c r="T5" s="2546" t="s">
        <v>624</v>
      </c>
      <c r="U5" s="2552">
        <f t="shared" ref="U5:AA5" si="1">L5</f>
        <v>2023</v>
      </c>
      <c r="V5" s="2552">
        <f t="shared" si="1"/>
        <v>2024</v>
      </c>
      <c r="W5" s="2552">
        <f t="shared" si="1"/>
        <v>2025</v>
      </c>
      <c r="X5" s="2552">
        <f t="shared" si="1"/>
        <v>2026</v>
      </c>
      <c r="Y5" s="2552">
        <f t="shared" si="1"/>
        <v>2027</v>
      </c>
      <c r="Z5" s="2552">
        <f t="shared" si="1"/>
        <v>2028</v>
      </c>
      <c r="AA5" s="2553">
        <f t="shared" si="1"/>
        <v>2029</v>
      </c>
      <c r="AC5" s="2546" t="s">
        <v>624</v>
      </c>
      <c r="AD5" s="2552">
        <f t="shared" ref="AD5:AJ5" si="2">U5</f>
        <v>2023</v>
      </c>
      <c r="AE5" s="2552">
        <f t="shared" si="2"/>
        <v>2024</v>
      </c>
      <c r="AF5" s="2552">
        <f t="shared" si="2"/>
        <v>2025</v>
      </c>
      <c r="AG5" s="2552">
        <f t="shared" si="2"/>
        <v>2026</v>
      </c>
      <c r="AH5" s="2552">
        <f t="shared" si="2"/>
        <v>2027</v>
      </c>
      <c r="AI5" s="2552">
        <f t="shared" si="2"/>
        <v>2028</v>
      </c>
      <c r="AJ5" s="2553">
        <f t="shared" si="2"/>
        <v>2029</v>
      </c>
      <c r="AL5" s="2546" t="s">
        <v>624</v>
      </c>
      <c r="AM5" s="2552">
        <f t="shared" ref="AM5:AS5" si="3">AD5</f>
        <v>2023</v>
      </c>
      <c r="AN5" s="2552">
        <f t="shared" si="3"/>
        <v>2024</v>
      </c>
      <c r="AO5" s="2552">
        <f t="shared" si="3"/>
        <v>2025</v>
      </c>
      <c r="AP5" s="2552">
        <f t="shared" si="3"/>
        <v>2026</v>
      </c>
      <c r="AQ5" s="2552">
        <f t="shared" si="3"/>
        <v>2027</v>
      </c>
      <c r="AR5" s="2552">
        <f t="shared" si="3"/>
        <v>2028</v>
      </c>
      <c r="AS5" s="2553">
        <f t="shared" si="3"/>
        <v>2029</v>
      </c>
    </row>
    <row r="6" spans="2:45">
      <c r="B6" s="2549">
        <f>C5</f>
        <v>2023</v>
      </c>
      <c r="C6" s="2554">
        <f>IF(C$5-$B6+1=$C$3,'Prod info'!E$235,0)</f>
        <v>1699.5</v>
      </c>
      <c r="D6" s="2554">
        <f>IF(D$5-$B6+1=$C$3,'Prod info'!F$235,0)</f>
        <v>0</v>
      </c>
      <c r="E6" s="2554">
        <f>IF(E$5-$B6+1=$C$3,'Prod info'!G$235,0)</f>
        <v>0</v>
      </c>
      <c r="F6" s="2554">
        <f>IF(F$5-$B6+1=$C$3,'Prod info'!H$235,0)</f>
        <v>0</v>
      </c>
      <c r="G6" s="2554">
        <f>IF(G$5-$B6+1=$C$3,'Prod info'!I$235,0)</f>
        <v>0</v>
      </c>
      <c r="H6" s="2554">
        <f>IF(H$5-$B6+1=$C$3,'Prod info'!J$235,0)</f>
        <v>0</v>
      </c>
      <c r="I6" s="2555">
        <f>IF(I$5-$B6+1=$C$3,'Prod info'!K$235,0)</f>
        <v>0</v>
      </c>
      <c r="K6" s="2549">
        <f>B6</f>
        <v>2023</v>
      </c>
      <c r="L6" s="2554">
        <f>IF(L$5-$K6+1=$L$3,'Prod info'!E$236,0)</f>
        <v>0</v>
      </c>
      <c r="M6" s="2554">
        <f>IF(M$5-$K6+1=$L$3,'Prod info'!F$236,0)</f>
        <v>0</v>
      </c>
      <c r="N6" s="2554">
        <f>IF(N$5-$K6+1=$L$3,'Prod info'!G$236,0)</f>
        <v>0</v>
      </c>
      <c r="O6" s="2554">
        <f>IF(O$5-$K6+1=$L$3,'Prod info'!H$236,0)</f>
        <v>0</v>
      </c>
      <c r="P6" s="2554">
        <f>IF(P$5-$K6+1=$L$3,'Prod info'!I$236,0)</f>
        <v>0</v>
      </c>
      <c r="Q6" s="2554">
        <f>IF(Q$5-$K6+1=$L$3,'Prod info'!J$236,0)</f>
        <v>0</v>
      </c>
      <c r="R6" s="2555">
        <f>IF(R$5-$K6+1=$L$3,'Prod info'!K$236,0)</f>
        <v>0</v>
      </c>
      <c r="T6" s="2549">
        <f>K6</f>
        <v>2023</v>
      </c>
      <c r="U6" s="2556">
        <f>IF(U$5-$T6+1=$U$3-1,SUM('Prod info'!$U$47:$U$47),0)</f>
        <v>0</v>
      </c>
      <c r="V6" s="2556">
        <f>IF(V$5-$T6+1=$U$3-1,SUM('Prod info'!$V$47:$V$47),0)</f>
        <v>0</v>
      </c>
      <c r="W6" s="2556">
        <f>IF(W$5-$T6+1=$U$3-1,SUM('Prod info'!$W$47:$W$47),0)</f>
        <v>0</v>
      </c>
      <c r="X6" s="2556">
        <f>IF(X$5-$T6+1=$U$3-1,SUM('Prod info'!$X$47:$X$47),0)</f>
        <v>0</v>
      </c>
      <c r="Y6" s="2556">
        <f>IF(Y$5-$T6+1=$U$3-1,SUM('Prod info'!$Y$47:$Y$47),0)</f>
        <v>0</v>
      </c>
      <c r="Z6" s="2556">
        <f>IF(Z$5-$T6+1=$U$3-1,SUM('Prod info'!$Z$47:$Z$47),0)</f>
        <v>0</v>
      </c>
      <c r="AA6" s="2557">
        <f>IF(AA$5-$T6+1=$U$3-1,SUM('Prod info'!$AA$47:$AA$47),0)</f>
        <v>0</v>
      </c>
      <c r="AC6" s="2549">
        <f t="shared" ref="AC6:AC12" si="4">T6</f>
        <v>2023</v>
      </c>
      <c r="AD6" s="2558">
        <f ca="1">IF(AD$5-$AC6+1=$AD$3-3,SUM('Prod info'!$U$48:$U$55),0)</f>
        <v>31321</v>
      </c>
      <c r="AE6" s="2558">
        <f>IF(AE$5-$AC6+1=$AD$3-3,SUM('Prod info'!$V$48:$V$55),0)</f>
        <v>0</v>
      </c>
      <c r="AF6" s="2558">
        <f>IF(AF$5-$AC6+1=$AD$3-3,SUM('Prod info'!$W$48:$W$55),0)</f>
        <v>0</v>
      </c>
      <c r="AG6" s="2558">
        <f>IF(AG$5-$AC6+1=$AD$3-3,SUM('Prod info'!$X$48:$X$55),0)</f>
        <v>0</v>
      </c>
      <c r="AH6" s="2558">
        <f>IF(AH$5-$AC6+1=$AD$3-3,SUM('Prod info'!$Y$48:$Y$55),0)</f>
        <v>0</v>
      </c>
      <c r="AI6" s="2558">
        <f>IF(AI$5-$AC6+1=$AD$3-3,SUM('Prod info'!$Z$48:$Z$55),0)</f>
        <v>0</v>
      </c>
      <c r="AJ6" s="2559">
        <f>IF(AJ$5-$AC6+1=$AD$3-3,SUM('Prod info'!$AA$48:$AA$55),0)</f>
        <v>0</v>
      </c>
      <c r="AL6" s="2549">
        <f t="shared" ref="AL6:AL12" si="5">AC6</f>
        <v>2023</v>
      </c>
      <c r="AM6" s="2558">
        <f>IF(AM$5-$AC6+1=$AM$3-3,SUM('Prod info'!$U$56:$U$59),0)</f>
        <v>4275</v>
      </c>
      <c r="AN6" s="2558">
        <f>IF(AN$5-$AC6+1=$AM$3-3,SUM('Prod info'!$V$56:$V$59),0)</f>
        <v>0</v>
      </c>
      <c r="AO6" s="2558">
        <f>IF(AO$5-$AC6+1=$AM$3-3,SUM('Prod info'!$W$56:$W$59),0)</f>
        <v>0</v>
      </c>
      <c r="AP6" s="2558">
        <f>IF(AP$5-$AC6+1=$AM$3-3,SUM('Prod info'!$X$56:$X$59),0)</f>
        <v>0</v>
      </c>
      <c r="AQ6" s="2558">
        <f>IF(AQ$5-$AC6+1=$AM$3-3,SUM('Prod info'!$Y$56:$Y$59),0)</f>
        <v>0</v>
      </c>
      <c r="AR6" s="2558">
        <f>IF(AR$5-$AC6+1=$AM$3-3,SUM('Prod info'!$Z$56:$Z$59),0)</f>
        <v>0</v>
      </c>
      <c r="AS6" s="2559">
        <f>IF(AS$5-$AC6+1=$AM$3-3,SUM('Prod info'!$AA$56:$AA$59),0)</f>
        <v>0</v>
      </c>
    </row>
    <row r="7" spans="2:45">
      <c r="B7" s="2549">
        <f>D5</f>
        <v>2024</v>
      </c>
      <c r="C7" s="2554">
        <f>IF(C$5-$B7+1=$C$3,'Prod info'!E$235,0)</f>
        <v>0</v>
      </c>
      <c r="D7" s="2554">
        <f>IF(D$5-$B7+1=$C$3,'Prod info'!F$235,0)</f>
        <v>2804.25</v>
      </c>
      <c r="E7" s="2554">
        <f>IF(E$5-$B7+1=$C$3,'Prod info'!G$235,0)</f>
        <v>0</v>
      </c>
      <c r="F7" s="2554">
        <f>IF(F$5-$B7+1=$C$3,'Prod info'!H$235,0)</f>
        <v>0</v>
      </c>
      <c r="G7" s="2554">
        <f>IF(G$5-$B7+1=$C$3,'Prod info'!I$235,0)</f>
        <v>0</v>
      </c>
      <c r="H7" s="2554">
        <f>IF(H$5-$B7+1=$C$3,'Prod info'!J$235,0)</f>
        <v>0</v>
      </c>
      <c r="I7" s="2555">
        <f>IF(I$5-$B7+1=$C$3,'Prod info'!K$235,0)</f>
        <v>0</v>
      </c>
      <c r="K7" s="2549">
        <f t="shared" ref="K7:K12" si="6">B7</f>
        <v>2024</v>
      </c>
      <c r="L7" s="2554">
        <f>IF(L$5-$K7+1=$L$3,'Prod info'!E$236,0)</f>
        <v>0</v>
      </c>
      <c r="M7" s="2554">
        <f>IF(M$5-$K7+1=$L$3,'Prod info'!F$236,0)</f>
        <v>0</v>
      </c>
      <c r="N7" s="2554">
        <f>IF(N$5-$K7+1=$L$3,'Prod info'!G$236,0)</f>
        <v>0</v>
      </c>
      <c r="O7" s="2554">
        <f>IF(O$5-$K7+1=$L$3,'Prod info'!H$236,0)</f>
        <v>0</v>
      </c>
      <c r="P7" s="2554">
        <f>IF(P$5-$K7+1=$L$3,'Prod info'!I$236,0)</f>
        <v>0</v>
      </c>
      <c r="Q7" s="2554">
        <f>IF(Q$5-$K7+1=$L$3,'Prod info'!J$236,0)</f>
        <v>0</v>
      </c>
      <c r="R7" s="2555">
        <f>IF(R$5-$K7+1=$L$3,'Prod info'!K$236,0)</f>
        <v>0</v>
      </c>
      <c r="T7" s="2549">
        <f t="shared" ref="T7:T12" si="7">K7</f>
        <v>2024</v>
      </c>
      <c r="U7" s="2556">
        <f>IF(U$5-$T7+1=$U$3-1,SUM('Prod info'!$U$47:$U$47),0)</f>
        <v>0</v>
      </c>
      <c r="V7" s="2556">
        <f>IF(V$5-$T7+1=$U$3-1,SUM('Prod info'!$V$47:$V$47),0)</f>
        <v>0</v>
      </c>
      <c r="W7" s="2556">
        <f>IF(W$5-$T7+1=$U$3-1,SUM('Prod info'!$W$47:$W$47),0)</f>
        <v>0</v>
      </c>
      <c r="X7" s="2556">
        <f>IF(X$5-$T7+1=$U$3-1,SUM('Prod info'!$X$47:$X$47),0)</f>
        <v>0</v>
      </c>
      <c r="Y7" s="2556">
        <f>IF(Y$5-$T7+1=$U$3-1,SUM('Prod info'!$Y$47:$Y$47),0)</f>
        <v>0</v>
      </c>
      <c r="Z7" s="2556">
        <f>IF(Z$5-$T7+1=$U$3-1,SUM('Prod info'!$Z$47:$Z$47),0)</f>
        <v>0</v>
      </c>
      <c r="AA7" s="2557">
        <f>IF(AA$5-$T7+1=$U$3-1,SUM('Prod info'!$AA$47:$AA$47),0)</f>
        <v>0</v>
      </c>
      <c r="AC7" s="2549">
        <f t="shared" si="4"/>
        <v>2024</v>
      </c>
      <c r="AD7" s="2558">
        <f>IF(AD$5-$AC7+1=$AD$3-3,SUM('Prod info'!$U$48:$U$55),0)</f>
        <v>0</v>
      </c>
      <c r="AE7" s="2558">
        <f ca="1">IF(AE$5-$AC7+1=$AD$3-3,SUM('Prod info'!$V$48:$V$55),0)</f>
        <v>45368</v>
      </c>
      <c r="AF7" s="2558">
        <f>IF(AF$5-$AC7+1=$AD$3-3,SUM('Prod info'!$W$48:$W$55),0)</f>
        <v>0</v>
      </c>
      <c r="AG7" s="2558">
        <f>IF(AG$5-$AC7+1=$AD$3-3,SUM('Prod info'!$X$48:$X$55),0)</f>
        <v>0</v>
      </c>
      <c r="AH7" s="2558">
        <f>IF(AH$5-$AC7+1=$AD$3-3,SUM('Prod info'!$Y$48:$Y$55),0)</f>
        <v>0</v>
      </c>
      <c r="AI7" s="2558">
        <f>IF(AI$5-$AC7+1=$AD$3-3,SUM('Prod info'!$Z$48:$Z$55),0)</f>
        <v>0</v>
      </c>
      <c r="AJ7" s="2559">
        <f>IF(AJ$5-$AC7+1=$AD$3-3,SUM('Prod info'!$AA$48:$AA$55),0)</f>
        <v>0</v>
      </c>
      <c r="AL7" s="2549">
        <f t="shared" si="5"/>
        <v>2024</v>
      </c>
      <c r="AM7" s="2558">
        <f>IF(AM$5-$AC7+1=$AM$3-3,SUM('Prod info'!$U$56:$U$59),0)</f>
        <v>0</v>
      </c>
      <c r="AN7" s="2558">
        <f>IF(AN$5-$AC7+1=$AM$3-3,SUM('Prod info'!$V$56:$V$59),0)</f>
        <v>5625</v>
      </c>
      <c r="AO7" s="2558">
        <f>IF(AO$5-$AC7+1=$AM$3-3,SUM('Prod info'!$W$56:$W$59),0)</f>
        <v>0</v>
      </c>
      <c r="AP7" s="2558">
        <f>IF(AP$5-$AC7+1=$AM$3-3,SUM('Prod info'!$X$56:$X$59),0)</f>
        <v>0</v>
      </c>
      <c r="AQ7" s="2558">
        <f>IF(AQ$5-$AC7+1=$AM$3-3,SUM('Prod info'!$Y$56:$Y$59),0)</f>
        <v>0</v>
      </c>
      <c r="AR7" s="2558">
        <f>IF(AR$5-$AC7+1=$AM$3-3,SUM('Prod info'!$Z$56:$Z$59),0)</f>
        <v>0</v>
      </c>
      <c r="AS7" s="2559">
        <f>IF(AS$5-$AC7+1=$AM$3-3,SUM('Prod info'!$AA$56:$AA$59),0)</f>
        <v>0</v>
      </c>
    </row>
    <row r="8" spans="2:45">
      <c r="B8" s="2549">
        <f>E5</f>
        <v>2025</v>
      </c>
      <c r="C8" s="2554">
        <f>IF(C$5-$B8+1=$C$3,'Prod info'!E$235,0)</f>
        <v>0</v>
      </c>
      <c r="D8" s="2554">
        <f>IF(D$5-$B8+1=$C$3,'Prod info'!F$235,0)</f>
        <v>0</v>
      </c>
      <c r="E8" s="2554">
        <f>IF(E$5-$B8+1=$C$3,'Prod info'!G$235,0)</f>
        <v>3295.5</v>
      </c>
      <c r="F8" s="2554">
        <f>IF(F$5-$B8+1=$C$3,'Prod info'!H$235,0)</f>
        <v>0</v>
      </c>
      <c r="G8" s="2554">
        <f>IF(G$5-$B8+1=$C$3,'Prod info'!I$235,0)</f>
        <v>0</v>
      </c>
      <c r="H8" s="2554">
        <f>IF(H$5-$B8+1=$C$3,'Prod info'!J$235,0)</f>
        <v>0</v>
      </c>
      <c r="I8" s="2555">
        <f>IF(I$5-$B8+1=$C$3,'Prod info'!K$235,0)</f>
        <v>0</v>
      </c>
      <c r="K8" s="2549">
        <f t="shared" si="6"/>
        <v>2025</v>
      </c>
      <c r="L8" s="2554">
        <f>IF(L$5-$K8+1=$L$3,'Prod info'!E$236,0)</f>
        <v>0</v>
      </c>
      <c r="M8" s="2554">
        <f>IF(M$5-$K8+1=$L$3,'Prod info'!F$236,0)</f>
        <v>0</v>
      </c>
      <c r="N8" s="2554">
        <f>IF(N$5-$K8+1=$L$3,'Prod info'!G$236,0)</f>
        <v>0</v>
      </c>
      <c r="O8" s="2554">
        <f>IF(O$5-$K8+1=$L$3,'Prod info'!H$236,0)</f>
        <v>0</v>
      </c>
      <c r="P8" s="2554">
        <f>IF(P$5-$K8+1=$L$3,'Prod info'!I$236,0)</f>
        <v>0</v>
      </c>
      <c r="Q8" s="2554">
        <f>IF(Q$5-$K8+1=$L$3,'Prod info'!J$236,0)</f>
        <v>0</v>
      </c>
      <c r="R8" s="2555">
        <f>IF(R$5-$K8+1=$L$3,'Prod info'!K$236,0)</f>
        <v>0</v>
      </c>
      <c r="T8" s="2549">
        <f t="shared" si="7"/>
        <v>2025</v>
      </c>
      <c r="U8" s="2556">
        <f>IF(U$5-$T8+1=$U$3-1,SUM('Prod info'!$U$47:$U$47),0)</f>
        <v>0</v>
      </c>
      <c r="V8" s="2556">
        <f>IF(V$5-$T8+1=$U$3-1,SUM('Prod info'!$V$47:$V$47),0)</f>
        <v>0</v>
      </c>
      <c r="W8" s="2556">
        <f>IF(W$5-$T8+1=$U$3-1,SUM('Prod info'!$W$47:$W$47),0)</f>
        <v>0</v>
      </c>
      <c r="X8" s="2556">
        <f>IF(X$5-$T8+1=$U$3-1,SUM('Prod info'!$X$47:$X$47),0)</f>
        <v>0</v>
      </c>
      <c r="Y8" s="2556">
        <f>IF(Y$5-$T8+1=$U$3-1,SUM('Prod info'!$Y$47:$Y$47),0)</f>
        <v>0</v>
      </c>
      <c r="Z8" s="2556">
        <f>IF(Z$5-$T8+1=$U$3-1,SUM('Prod info'!$Z$47:$Z$47),0)</f>
        <v>0</v>
      </c>
      <c r="AA8" s="2557">
        <f>IF(AA$5-$T8+1=$U$3-1,SUM('Prod info'!$AA$47:$AA$47),0)</f>
        <v>0</v>
      </c>
      <c r="AC8" s="2549">
        <f t="shared" si="4"/>
        <v>2025</v>
      </c>
      <c r="AD8" s="2558">
        <f>IF(AD$5-$AC8+1=$AD$3-3,SUM('Prod info'!$U$48:$U$55),0)</f>
        <v>0</v>
      </c>
      <c r="AE8" s="2558">
        <f>IF(AE$5-$AC8+1=$AD$3-3,SUM('Prod info'!$V$48:$V$55),0)</f>
        <v>0</v>
      </c>
      <c r="AF8" s="2558">
        <f ca="1">IF(AF$5-$AC8+1=$AD$3-3,SUM('Prod info'!$W$48:$W$55),0)</f>
        <v>52746</v>
      </c>
      <c r="AG8" s="2558">
        <f>IF(AG$5-$AC8+1=$AD$3-3,SUM('Prod info'!$X$48:$X$55),0)</f>
        <v>0</v>
      </c>
      <c r="AH8" s="2558">
        <f>IF(AH$5-$AC8+1=$AD$3-3,SUM('Prod info'!$Y$48:$Y$55),0)</f>
        <v>0</v>
      </c>
      <c r="AI8" s="2558">
        <f>IF(AI$5-$AC8+1=$AD$3-3,SUM('Prod info'!$Z$48:$Z$55),0)</f>
        <v>0</v>
      </c>
      <c r="AJ8" s="2559">
        <f>IF(AJ$5-$AC8+1=$AD$3-3,SUM('Prod info'!$AA$48:$AA$55),0)</f>
        <v>0</v>
      </c>
      <c r="AL8" s="2549">
        <f t="shared" si="5"/>
        <v>2025</v>
      </c>
      <c r="AM8" s="2558">
        <f>IF(AM$5-$AC8+1=$AM$3-3,SUM('Prod info'!$U$56:$U$59),0)</f>
        <v>0</v>
      </c>
      <c r="AN8" s="2558">
        <f>IF(AN$5-$AC8+1=$AM$3-3,SUM('Prod info'!$V$56:$V$59),0)</f>
        <v>0</v>
      </c>
      <c r="AO8" s="2558">
        <f>IF(AO$5-$AC8+1=$AM$3-3,SUM('Prod info'!$W$56:$W$59),0)</f>
        <v>6525</v>
      </c>
      <c r="AP8" s="2558">
        <f>IF(AP$5-$AC8+1=$AM$3-3,SUM('Prod info'!$X$56:$X$59),0)</f>
        <v>0</v>
      </c>
      <c r="AQ8" s="2558">
        <f>IF(AQ$5-$AC8+1=$AM$3-3,SUM('Prod info'!$Y$56:$Y$59),0)</f>
        <v>0</v>
      </c>
      <c r="AR8" s="2558">
        <f>IF(AR$5-$AC8+1=$AM$3-3,SUM('Prod info'!$Z$56:$Z$59),0)</f>
        <v>0</v>
      </c>
      <c r="AS8" s="2559">
        <f>IF(AS$5-$AC8+1=$AM$3-3,SUM('Prod info'!$AA$56:$AA$59),0)</f>
        <v>0</v>
      </c>
    </row>
    <row r="9" spans="2:45">
      <c r="B9" s="2549">
        <f>F5</f>
        <v>2026</v>
      </c>
      <c r="C9" s="2554">
        <f>IF(C$5-$B9+1=$C$3,'Prod info'!E$235,0)</f>
        <v>0</v>
      </c>
      <c r="D9" s="2554">
        <f>IF(D$5-$B9+1=$C$3,'Prod info'!F$235,0)</f>
        <v>0</v>
      </c>
      <c r="E9" s="2554">
        <f>IF(E$5-$B9+1=$C$3,'Prod info'!G$235,0)</f>
        <v>0</v>
      </c>
      <c r="F9" s="2554">
        <f>IF(F$5-$B9+1=$C$3,'Prod info'!H$235,0)</f>
        <v>3312</v>
      </c>
      <c r="G9" s="2554">
        <f>IF(G$5-$B9+1=$C$3,'Prod info'!I$235,0)</f>
        <v>0</v>
      </c>
      <c r="H9" s="2554">
        <f>IF(H$5-$B9+1=$C$3,'Prod info'!J$235,0)</f>
        <v>0</v>
      </c>
      <c r="I9" s="2555">
        <f>IF(I$5-$B9+1=$C$3,'Prod info'!K$235,0)</f>
        <v>0</v>
      </c>
      <c r="K9" s="2549">
        <f t="shared" si="6"/>
        <v>2026</v>
      </c>
      <c r="L9" s="2554">
        <f>IF(L$5-$K9+1=$L$3,'Prod info'!E$236,0)</f>
        <v>0</v>
      </c>
      <c r="M9" s="2554">
        <f>IF(M$5-$K9+1=$L$3,'Prod info'!F$236,0)</f>
        <v>0</v>
      </c>
      <c r="N9" s="2554">
        <f>IF(N$5-$K9+1=$L$3,'Prod info'!G$236,0)</f>
        <v>0</v>
      </c>
      <c r="O9" s="2554">
        <f>IF(O$5-$K9+1=$L$3,'Prod info'!H$236,0)</f>
        <v>0</v>
      </c>
      <c r="P9" s="2554">
        <f>IF(P$5-$K9+1=$L$3,'Prod info'!I$236,0)</f>
        <v>0</v>
      </c>
      <c r="Q9" s="2554">
        <f>IF(Q$5-$K9+1=$L$3,'Prod info'!J$236,0)</f>
        <v>0</v>
      </c>
      <c r="R9" s="2555">
        <f>IF(R$5-$K9+1=$L$3,'Prod info'!K$236,0)</f>
        <v>0</v>
      </c>
      <c r="T9" s="2549">
        <f t="shared" si="7"/>
        <v>2026</v>
      </c>
      <c r="U9" s="2556">
        <f>IF(U$5-$T9+1=$U$3-1,SUM('Prod info'!$U$47:$U$47),0)</f>
        <v>0</v>
      </c>
      <c r="V9" s="2556">
        <f>IF(V$5-$T9+1=$U$3-1,SUM('Prod info'!$V$47:$V$47),0)</f>
        <v>0</v>
      </c>
      <c r="W9" s="2556">
        <f>IF(W$5-$T9+1=$U$3-1,SUM('Prod info'!$W$47:$W$47),0)</f>
        <v>0</v>
      </c>
      <c r="X9" s="2556">
        <f>IF(X$5-$T9+1=$U$3-1,SUM('Prod info'!$X$47:$X$47),0)</f>
        <v>0</v>
      </c>
      <c r="Y9" s="2556">
        <f>IF(Y$5-$T9+1=$U$3-1,SUM('Prod info'!$Y$47:$Y$47),0)</f>
        <v>0</v>
      </c>
      <c r="Z9" s="2556">
        <f>IF(Z$5-$T9+1=$U$3-1,SUM('Prod info'!$Z$47:$Z$47),0)</f>
        <v>0</v>
      </c>
      <c r="AA9" s="2557">
        <f>IF(AA$5-$T9+1=$U$3-1,SUM('Prod info'!$AA$47:$AA$47),0)</f>
        <v>0</v>
      </c>
      <c r="AC9" s="2549">
        <f t="shared" si="4"/>
        <v>2026</v>
      </c>
      <c r="AD9" s="2558">
        <f>IF(AD$5-$AC9+1=$AD$3-3,SUM('Prod info'!$U$48:$U$55),0)</f>
        <v>0</v>
      </c>
      <c r="AE9" s="2558">
        <f>IF(AE$5-$AC9+1=$AD$3-3,SUM('Prod info'!$V$48:$V$55),0)</f>
        <v>0</v>
      </c>
      <c r="AF9" s="2558">
        <f>IF(AF$5-$AC9+1=$AD$3-3,SUM('Prod info'!$W$48:$W$55),0)</f>
        <v>0</v>
      </c>
      <c r="AG9" s="2558">
        <f ca="1">IF(AG$5-$AC9+1=$AD$3-3,SUM('Prod info'!$X$48:$X$55),0)</f>
        <v>52796</v>
      </c>
      <c r="AH9" s="2558">
        <f>IF(AH$5-$AC9+1=$AD$3-3,SUM('Prod info'!$Y$48:$Y$55),0)</f>
        <v>0</v>
      </c>
      <c r="AI9" s="2558">
        <f>IF(AI$5-$AC9+1=$AD$3-3,SUM('Prod info'!$Z$48:$Z$55),0)</f>
        <v>0</v>
      </c>
      <c r="AJ9" s="2559">
        <f>IF(AJ$5-$AC9+1=$AD$3-3,SUM('Prod info'!$AA$48:$AA$55),0)</f>
        <v>0</v>
      </c>
      <c r="AL9" s="2549">
        <f t="shared" si="5"/>
        <v>2026</v>
      </c>
      <c r="AM9" s="2558">
        <f>IF(AM$5-$AC9+1=$AM$3-3,SUM('Prod info'!$U$56:$U$59),0)</f>
        <v>0</v>
      </c>
      <c r="AN9" s="2558">
        <f>IF(AN$5-$AC9+1=$AM$3-3,SUM('Prod info'!$V$56:$V$59),0)</f>
        <v>0</v>
      </c>
      <c r="AO9" s="2558">
        <f>IF(AO$5-$AC9+1=$AM$3-3,SUM('Prod info'!$W$56:$W$59),0)</f>
        <v>0</v>
      </c>
      <c r="AP9" s="2558">
        <f>IF(AP$5-$AC9+1=$AM$3-3,SUM('Prod info'!$X$56:$X$59),0)</f>
        <v>6525</v>
      </c>
      <c r="AQ9" s="2558">
        <f>IF(AQ$5-$AC9+1=$AM$3-3,SUM('Prod info'!$Y$56:$Y$59),0)</f>
        <v>0</v>
      </c>
      <c r="AR9" s="2558">
        <f>IF(AR$5-$AC9+1=$AM$3-3,SUM('Prod info'!$Z$56:$Z$59),0)</f>
        <v>0</v>
      </c>
      <c r="AS9" s="2559">
        <f>IF(AS$5-$AC9+1=$AM$3-3,SUM('Prod info'!$AA$56:$AA$59),0)</f>
        <v>0</v>
      </c>
    </row>
    <row r="10" spans="2:45">
      <c r="B10" s="2549">
        <f>G5</f>
        <v>2027</v>
      </c>
      <c r="C10" s="2554">
        <f>IF(C$5-$B10+1=$C$3,'Prod info'!E$235,0)</f>
        <v>0</v>
      </c>
      <c r="D10" s="2554">
        <f>IF(D$5-$B10+1=$C$3,'Prod info'!F$235,0)</f>
        <v>0</v>
      </c>
      <c r="E10" s="2554">
        <f>IF(E$5-$B10+1=$C$3,'Prod info'!G$235,0)</f>
        <v>0</v>
      </c>
      <c r="F10" s="2554">
        <f>IF(F$5-$B10+1=$C$3,'Prod info'!H$235,0)</f>
        <v>0</v>
      </c>
      <c r="G10" s="2554">
        <f>IF(G$5-$B10+1=$C$3,'Prod info'!I$235,0)</f>
        <v>3312</v>
      </c>
      <c r="H10" s="2554">
        <f>IF(H$5-$B10+1=$C$3,'Prod info'!J$235,0)</f>
        <v>0</v>
      </c>
      <c r="I10" s="2555">
        <f>IF(I$5-$B10+1=$C$3,'Prod info'!K$235,0)</f>
        <v>0</v>
      </c>
      <c r="K10" s="2549">
        <f t="shared" si="6"/>
        <v>2027</v>
      </c>
      <c r="L10" s="2554">
        <f>IF(L$5-$K10+1=$L$3,'Prod info'!E$236,0)</f>
        <v>0</v>
      </c>
      <c r="M10" s="2554">
        <f>IF(M$5-$K10+1=$L$3,'Prod info'!F$236,0)</f>
        <v>0</v>
      </c>
      <c r="N10" s="2554">
        <f>IF(N$5-$K10+1=$L$3,'Prod info'!G$236,0)</f>
        <v>0</v>
      </c>
      <c r="O10" s="2554">
        <f>IF(O$5-$K10+1=$L$3,'Prod info'!H$236,0)</f>
        <v>0</v>
      </c>
      <c r="P10" s="2554">
        <f>IF(P$5-$K10+1=$L$3,'Prod info'!I$236,0)</f>
        <v>0</v>
      </c>
      <c r="Q10" s="2554">
        <f>IF(Q$5-$K10+1=$L$3,'Prod info'!J$236,0)</f>
        <v>0</v>
      </c>
      <c r="R10" s="2555">
        <f>IF(R$5-$K10+1=$L$3,'Prod info'!K$236,0)</f>
        <v>0</v>
      </c>
      <c r="T10" s="2549">
        <f t="shared" si="7"/>
        <v>2027</v>
      </c>
      <c r="U10" s="2556">
        <f>IF(U$5-$T10+1=$U$3-1,SUM('Prod info'!$U$47:$U$47),0)</f>
        <v>0</v>
      </c>
      <c r="V10" s="2556">
        <f>IF(V$5-$T10+1=$U$3-1,SUM('Prod info'!$V$47:$V$47),0)</f>
        <v>0</v>
      </c>
      <c r="W10" s="2556">
        <f>IF(W$5-$T10+1=$U$3-1,SUM('Prod info'!$W$47:$W$47),0)</f>
        <v>0</v>
      </c>
      <c r="X10" s="2556">
        <f>IF(X$5-$T10+1=$U$3-1,SUM('Prod info'!$X$47:$X$47),0)</f>
        <v>0</v>
      </c>
      <c r="Y10" s="2556">
        <f>IF(Y$5-$T10+1=$U$3-1,SUM('Prod info'!$Y$47:$Y$47),0)</f>
        <v>0</v>
      </c>
      <c r="Z10" s="2556">
        <f>IF(Z$5-$T10+1=$U$3-1,SUM('Prod info'!$Z$47:$Z$47),0)</f>
        <v>0</v>
      </c>
      <c r="AA10" s="2557">
        <f>IF(AA$5-$T10+1=$U$3-1,SUM('Prod info'!$AA$47:$AA$47),0)</f>
        <v>0</v>
      </c>
      <c r="AC10" s="2549">
        <f t="shared" si="4"/>
        <v>2027</v>
      </c>
      <c r="AD10" s="2558">
        <f>IF(AD$5-$AC10+1=$AD$3-3,SUM('Prod info'!$U$48:$U$55),0)</f>
        <v>0</v>
      </c>
      <c r="AE10" s="2558">
        <f>IF(AE$5-$AC10+1=$AD$3-3,SUM('Prod info'!$V$48:$V$55),0)</f>
        <v>0</v>
      </c>
      <c r="AF10" s="2558">
        <f>IF(AF$5-$AC10+1=$AD$3-3,SUM('Prod info'!$W$48:$W$55),0)</f>
        <v>0</v>
      </c>
      <c r="AG10" s="2558">
        <f>IF(AG$5-$AC10+1=$AD$3-3,SUM('Prod info'!$X$48:$X$55),0)</f>
        <v>0</v>
      </c>
      <c r="AH10" s="2558">
        <f ca="1">IF(AH$5-$AC10+1=$AD$3-3,SUM('Prod info'!$Y$48:$Y$55),0)</f>
        <v>52796</v>
      </c>
      <c r="AI10" s="2558">
        <f>IF(AI$5-$AC10+1=$AD$3-3,SUM('Prod info'!$Z$48:$Z$55),0)</f>
        <v>0</v>
      </c>
      <c r="AJ10" s="2559">
        <f>IF(AJ$5-$AC10+1=$AD$3-3,SUM('Prod info'!$AA$48:$AA$55),0)</f>
        <v>0</v>
      </c>
      <c r="AL10" s="2549">
        <f t="shared" si="5"/>
        <v>2027</v>
      </c>
      <c r="AM10" s="2558">
        <f>IF(AM$5-$AC10+1=$AM$3-3,SUM('Prod info'!$U$56:$U$59),0)</f>
        <v>0</v>
      </c>
      <c r="AN10" s="2558">
        <f>IF(AN$5-$AC10+1=$AM$3-3,SUM('Prod info'!$V$56:$V$59),0)</f>
        <v>0</v>
      </c>
      <c r="AO10" s="2558">
        <f>IF(AO$5-$AC10+1=$AM$3-3,SUM('Prod info'!$W$56:$W$59),0)</f>
        <v>0</v>
      </c>
      <c r="AP10" s="2558">
        <f>IF(AP$5-$AC10+1=$AM$3-3,SUM('Prod info'!$X$56:$X$59),0)</f>
        <v>0</v>
      </c>
      <c r="AQ10" s="2558">
        <f>IF(AQ$5-$AC10+1=$AM$3-3,SUM('Prod info'!$Y$56:$Y$59),0)</f>
        <v>6525</v>
      </c>
      <c r="AR10" s="2558">
        <f>IF(AR$5-$AC10+1=$AM$3-3,SUM('Prod info'!$Z$56:$Z$59),0)</f>
        <v>0</v>
      </c>
      <c r="AS10" s="2559">
        <f>IF(AS$5-$AC10+1=$AM$3-3,SUM('Prod info'!$AA$56:$AA$59),0)</f>
        <v>0</v>
      </c>
    </row>
    <row r="11" spans="2:45">
      <c r="B11" s="2549">
        <f>H5</f>
        <v>2028</v>
      </c>
      <c r="C11" s="2554">
        <f>IF(C$5-$B11+1=$C$3,'Prod info'!E$235,0)</f>
        <v>0</v>
      </c>
      <c r="D11" s="2554">
        <f>IF(D$5-$B11+1=$C$3,'Prod info'!F$235,0)</f>
        <v>0</v>
      </c>
      <c r="E11" s="2554">
        <f>IF(E$5-$B11+1=$C$3,'Prod info'!G$235,0)</f>
        <v>0</v>
      </c>
      <c r="F11" s="2554">
        <f>IF(F$5-$B11+1=$C$3,'Prod info'!H$235,0)</f>
        <v>0</v>
      </c>
      <c r="G11" s="2554">
        <f>IF(G$5-$B11+1=$C$3,'Prod info'!I$235,0)</f>
        <v>0</v>
      </c>
      <c r="H11" s="2554">
        <f>IF(H$5-$B11+1=$C$3,'Prod info'!J$235,0)</f>
        <v>3312</v>
      </c>
      <c r="I11" s="2555">
        <f>IF(I$5-$B11+1=$C$3,'Prod info'!K$235,0)</f>
        <v>0</v>
      </c>
      <c r="K11" s="2549">
        <f t="shared" si="6"/>
        <v>2028</v>
      </c>
      <c r="L11" s="2554">
        <f>IF(L$5-$K11+1=$L$3,'Prod info'!E$236,0)</f>
        <v>0</v>
      </c>
      <c r="M11" s="2554">
        <f>IF(M$5-$K11+1=$L$3,'Prod info'!F$236,0)</f>
        <v>0</v>
      </c>
      <c r="N11" s="2554">
        <f>IF(N$5-$K11+1=$L$3,'Prod info'!G$236,0)</f>
        <v>0</v>
      </c>
      <c r="O11" s="2554">
        <f>IF(O$5-$K11+1=$L$3,'Prod info'!H$236,0)</f>
        <v>0</v>
      </c>
      <c r="P11" s="2554">
        <f>IF(P$5-$K11+1=$L$3,'Prod info'!I$236,0)</f>
        <v>0</v>
      </c>
      <c r="Q11" s="2554">
        <f>IF(Q$5-$K11+1=$L$3,'Prod info'!J$236,0)</f>
        <v>0</v>
      </c>
      <c r="R11" s="2555">
        <f>IF(R$5-$K11+1=$L$3,'Prod info'!K$236,0)</f>
        <v>0</v>
      </c>
      <c r="T11" s="2549">
        <f t="shared" si="7"/>
        <v>2028</v>
      </c>
      <c r="U11" s="2556">
        <f>IF(U$5-$T11+1=$U$3-1,SUM('Prod info'!$U$47:$U$47),0)</f>
        <v>0</v>
      </c>
      <c r="V11" s="2556">
        <f>IF(V$5-$T11+1=$U$3-1,SUM('Prod info'!$V$47:$V$47),0)</f>
        <v>0</v>
      </c>
      <c r="W11" s="2556">
        <f>IF(W$5-$T11+1=$U$3-1,SUM('Prod info'!$W$47:$W$47),0)</f>
        <v>0</v>
      </c>
      <c r="X11" s="2556">
        <f>IF(X$5-$T11+1=$U$3-1,SUM('Prod info'!$X$47:$X$47),0)</f>
        <v>0</v>
      </c>
      <c r="Y11" s="2556">
        <f>IF(Y$5-$T11+1=$U$3-1,SUM('Prod info'!$Y$47:$Y$47),0)</f>
        <v>0</v>
      </c>
      <c r="Z11" s="2556">
        <f>IF(Z$5-$T11+1=$U$3-1,SUM('Prod info'!$Z$47:$Z$47),0)</f>
        <v>0</v>
      </c>
      <c r="AA11" s="2557">
        <f>IF(AA$5-$T11+1=$U$3-1,SUM('Prod info'!$AA$47:$AA$47),0)</f>
        <v>0</v>
      </c>
      <c r="AC11" s="2549">
        <f t="shared" si="4"/>
        <v>2028</v>
      </c>
      <c r="AD11" s="2558">
        <f>IF(AD$5-$AC11+1=$AD$3-3,SUM('Prod info'!$U$48:$U$55),0)</f>
        <v>0</v>
      </c>
      <c r="AE11" s="2558">
        <f>IF(AE$5-$AC11+1=$AD$3-3,SUM('Prod info'!$V$48:$V$55),0)</f>
        <v>0</v>
      </c>
      <c r="AF11" s="2558">
        <f>IF(AF$5-$AC11+1=$AD$3-3,SUM('Prod info'!$W$48:$W$55),0)</f>
        <v>0</v>
      </c>
      <c r="AG11" s="2558">
        <f>IF(AG$5-$AC11+1=$AD$3-3,SUM('Prod info'!$X$48:$X$55),0)</f>
        <v>0</v>
      </c>
      <c r="AH11" s="2558">
        <f>IF(AH$5-$AC11+1=$AD$3-3,SUM('Prod info'!$Y$48:$Y$55),0)</f>
        <v>0</v>
      </c>
      <c r="AI11" s="2558">
        <f ca="1">IF(AI$5-$AC11+1=$AD$3-3,SUM('Prod info'!$Z$48:$Z$55),0)</f>
        <v>52796</v>
      </c>
      <c r="AJ11" s="2559">
        <f>IF(AJ$5-$AC11+1=$AD$3-3,SUM('Prod info'!$AA$48:$AA$55),0)</f>
        <v>0</v>
      </c>
      <c r="AL11" s="2549">
        <f t="shared" si="5"/>
        <v>2028</v>
      </c>
      <c r="AM11" s="2558">
        <f>IF(AM$5-$AC11+1=$AM$3-3,SUM('Prod info'!$U$56:$U$59),0)</f>
        <v>0</v>
      </c>
      <c r="AN11" s="2558">
        <f>IF(AN$5-$AC11+1=$AM$3-3,SUM('Prod info'!$V$56:$V$59),0)</f>
        <v>0</v>
      </c>
      <c r="AO11" s="2558">
        <f>IF(AO$5-$AC11+1=$AM$3-3,SUM('Prod info'!$W$56:$W$59),0)</f>
        <v>0</v>
      </c>
      <c r="AP11" s="2558">
        <f>IF(AP$5-$AC11+1=$AM$3-3,SUM('Prod info'!$X$56:$X$59),0)</f>
        <v>0</v>
      </c>
      <c r="AQ11" s="2558">
        <f>IF(AQ$5-$AC11+1=$AM$3-3,SUM('Prod info'!$Y$56:$Y$59),0)</f>
        <v>0</v>
      </c>
      <c r="AR11" s="2558">
        <f>IF(AR$5-$AC11+1=$AM$3-3,SUM('Prod info'!$Z$56:$Z$59),0)</f>
        <v>6525</v>
      </c>
      <c r="AS11" s="2559">
        <f>IF(AS$5-$AC11+1=$AM$3-3,SUM('Prod info'!$AA$56:$AA$59),0)</f>
        <v>0</v>
      </c>
    </row>
    <row r="12" spans="2:45">
      <c r="B12" s="2549">
        <f>I5</f>
        <v>2029</v>
      </c>
      <c r="C12" s="2554">
        <f>IF(C$5-$B12+1=$C$3,'Prod info'!E$235,0)</f>
        <v>0</v>
      </c>
      <c r="D12" s="2554">
        <f>IF(D$5-$B12+1=$C$3,'Prod info'!F$235,0)</f>
        <v>0</v>
      </c>
      <c r="E12" s="2554">
        <f>IF(E$5-$B12+1=$C$3,'Prod info'!G$235,0)</f>
        <v>0</v>
      </c>
      <c r="F12" s="2554">
        <f>IF(F$5-$B12+1=$C$3,'Prod info'!H$235,0)</f>
        <v>0</v>
      </c>
      <c r="G12" s="2554">
        <f>IF(G$5-$B12+1=$C$3,'Prod info'!I$235,0)</f>
        <v>0</v>
      </c>
      <c r="H12" s="2554">
        <f>IF(H$5-$B12+1=$C$3,'Prod info'!J$235,0)</f>
        <v>0</v>
      </c>
      <c r="I12" s="2555">
        <f>IF(I$5-$B12+1=$C$3,'Prod info'!K$235,0)</f>
        <v>3312</v>
      </c>
      <c r="K12" s="2549">
        <f t="shared" si="6"/>
        <v>2029</v>
      </c>
      <c r="L12" s="2554">
        <f>IF(L$5-$K12+1=$L$3,'Prod info'!E$236,0)</f>
        <v>0</v>
      </c>
      <c r="M12" s="2554">
        <f>IF(M$5-$K12+1=$L$3,'Prod info'!F$236,0)</f>
        <v>0</v>
      </c>
      <c r="N12" s="2554">
        <f>IF(N$5-$K12+1=$L$3,'Prod info'!G$236,0)</f>
        <v>0</v>
      </c>
      <c r="O12" s="2554">
        <f>IF(O$5-$K12+1=$L$3,'Prod info'!H$236,0)</f>
        <v>0</v>
      </c>
      <c r="P12" s="2554">
        <f>IF(P$5-$K12+1=$L$3,'Prod info'!I$236,0)</f>
        <v>0</v>
      </c>
      <c r="Q12" s="2554">
        <f>IF(Q$5-$K12+1=$L$3,'Prod info'!J$236,0)</f>
        <v>0</v>
      </c>
      <c r="R12" s="2555">
        <f>IF(R$5-$K12+1=$L$3,'Prod info'!K$236,0)</f>
        <v>0</v>
      </c>
      <c r="T12" s="2549">
        <f t="shared" si="7"/>
        <v>2029</v>
      </c>
      <c r="U12" s="2556">
        <f>IF(U$5-$T12+1=$U$3-1,SUM('Prod info'!$U$47:$U$47),0)</f>
        <v>0</v>
      </c>
      <c r="V12" s="2556">
        <f>IF(V$5-$T12+1=$U$3-1,SUM('Prod info'!$V$47:$V$47),0)</f>
        <v>0</v>
      </c>
      <c r="W12" s="2556">
        <f>IF(W$5-$T12+1=$U$3-1,SUM('Prod info'!$W$47:$W$47),0)</f>
        <v>0</v>
      </c>
      <c r="X12" s="2556">
        <f>IF(X$5-$T12+1=$U$3-1,SUM('Prod info'!$X$47:$X$47),0)</f>
        <v>0</v>
      </c>
      <c r="Y12" s="2556">
        <f>IF(Y$5-$T12+1=$U$3-1,SUM('Prod info'!$Y$47:$Y$47),0)</f>
        <v>0</v>
      </c>
      <c r="Z12" s="2556">
        <f>IF(Z$5-$T12+1=$U$3-1,SUM('Prod info'!$Z$47:$Z$47),0)</f>
        <v>0</v>
      </c>
      <c r="AA12" s="2557">
        <f>IF(AA$5-$T12+1=$U$3-1,SUM('Prod info'!$AA$47:$AA$47),0)</f>
        <v>0</v>
      </c>
      <c r="AC12" s="2549">
        <f t="shared" si="4"/>
        <v>2029</v>
      </c>
      <c r="AD12" s="2558">
        <f>IF(AD$5-$AC12+1=$AD$3-3,SUM('Prod info'!$U$48:$U$55),0)</f>
        <v>0</v>
      </c>
      <c r="AE12" s="2558">
        <f>IF(AE$5-$AC12+1=$AD$3-3,SUM('Prod info'!$V$48:$V$55),0)</f>
        <v>0</v>
      </c>
      <c r="AF12" s="2558">
        <f>IF(AF$5-$AC12+1=$AD$3-3,SUM('Prod info'!$W$48:$W$55),0)</f>
        <v>0</v>
      </c>
      <c r="AG12" s="2558">
        <f>IF(AG$5-$AC12+1=$AD$3-3,SUM('Prod info'!$X$48:$X$55),0)</f>
        <v>0</v>
      </c>
      <c r="AH12" s="2558">
        <f>IF(AH$5-$AC12+1=$AD$3-3,SUM('Prod info'!$Y$48:$Y$55),0)</f>
        <v>0</v>
      </c>
      <c r="AI12" s="2558">
        <f>IF(AI$5-$AC12+1=$AD$3-3,SUM('Prod info'!$Z$48:$Z$55),0)</f>
        <v>0</v>
      </c>
      <c r="AJ12" s="2559">
        <f ca="1">IF(AJ$5-$AC12+1=$AD$3-3,SUM('Prod info'!$AA$48:$AA$55),0)</f>
        <v>52796</v>
      </c>
      <c r="AL12" s="2549">
        <f t="shared" si="5"/>
        <v>2029</v>
      </c>
      <c r="AM12" s="2558">
        <f>IF(AM$5-$AC12+1=$AM$3-3,SUM('Prod info'!$U$56:$U$59),0)</f>
        <v>0</v>
      </c>
      <c r="AN12" s="2558">
        <f>IF(AN$5-$AC12+1=$AM$3-3,SUM('Prod info'!$V$56:$V$59),0)</f>
        <v>0</v>
      </c>
      <c r="AO12" s="2558">
        <f>IF(AO$5-$AC12+1=$AM$3-3,SUM('Prod info'!$W$56:$W$59),0)</f>
        <v>0</v>
      </c>
      <c r="AP12" s="2558">
        <f>IF(AP$5-$AC12+1=$AM$3-3,SUM('Prod info'!$X$56:$X$59),0)</f>
        <v>0</v>
      </c>
      <c r="AQ12" s="2558">
        <f>IF(AQ$5-$AC12+1=$AM$3-3,SUM('Prod info'!$Y$56:$Y$59),0)</f>
        <v>0</v>
      </c>
      <c r="AR12" s="2558">
        <f>IF(AR$5-$AC12+1=$AM$3-3,SUM('Prod info'!$Z$56:$Z$59),0)</f>
        <v>0</v>
      </c>
      <c r="AS12" s="2559">
        <f>IF(AS$5-$AC12+1=$AM$3-3,SUM('Prod info'!$AA$56:$AA$59),0)</f>
        <v>6525</v>
      </c>
    </row>
    <row r="13" spans="2:45">
      <c r="B13" s="2549"/>
      <c r="C13" s="2554"/>
      <c r="D13" s="2554"/>
      <c r="E13" s="2554"/>
      <c r="F13" s="2554"/>
      <c r="G13" s="2554"/>
      <c r="H13" s="2554"/>
      <c r="I13" s="2555"/>
      <c r="K13" s="2549"/>
      <c r="L13" s="2554"/>
      <c r="M13" s="2554"/>
      <c r="N13" s="2554"/>
      <c r="O13" s="2554"/>
      <c r="P13" s="2554"/>
      <c r="Q13" s="2554"/>
      <c r="R13" s="2555"/>
      <c r="T13" s="2549"/>
      <c r="U13" s="2554"/>
      <c r="V13" s="2554"/>
      <c r="W13" s="2554"/>
      <c r="X13" s="2554"/>
      <c r="Y13" s="2554"/>
      <c r="Z13" s="2554"/>
      <c r="AA13" s="2555"/>
      <c r="AC13" s="2549"/>
      <c r="AD13" s="2554"/>
      <c r="AE13" s="2554"/>
      <c r="AF13" s="2554"/>
      <c r="AG13" s="2554"/>
      <c r="AH13" s="2554"/>
      <c r="AI13" s="2554"/>
      <c r="AJ13" s="2555"/>
      <c r="AL13" s="2549"/>
      <c r="AM13" s="2554"/>
      <c r="AN13" s="2554"/>
      <c r="AO13" s="2554"/>
      <c r="AP13" s="2554"/>
      <c r="AQ13" s="2554"/>
      <c r="AR13" s="2554"/>
      <c r="AS13" s="2555"/>
    </row>
    <row r="14" spans="2:45">
      <c r="B14" s="2546" t="s">
        <v>781</v>
      </c>
      <c r="C14" s="2554"/>
      <c r="D14" s="2554"/>
      <c r="E14" s="2554"/>
      <c r="F14" s="2554"/>
      <c r="G14" s="2554"/>
      <c r="H14" s="2554"/>
      <c r="I14" s="2555"/>
      <c r="K14" s="2546" t="s">
        <v>781</v>
      </c>
      <c r="L14" s="2554"/>
      <c r="M14" s="2554"/>
      <c r="N14" s="2554"/>
      <c r="O14" s="2554"/>
      <c r="P14" s="2554"/>
      <c r="Q14" s="2554"/>
      <c r="R14" s="2555"/>
      <c r="T14" s="2546" t="s">
        <v>781</v>
      </c>
      <c r="U14" s="2554"/>
      <c r="V14" s="2554"/>
      <c r="W14" s="2554"/>
      <c r="X14" s="2554"/>
      <c r="Y14" s="2554"/>
      <c r="Z14" s="2554"/>
      <c r="AA14" s="2555"/>
      <c r="AC14" s="2546" t="s">
        <v>781</v>
      </c>
      <c r="AD14" s="2554"/>
      <c r="AE14" s="2554"/>
      <c r="AF14" s="2554"/>
      <c r="AG14" s="2554"/>
      <c r="AH14" s="2554"/>
      <c r="AI14" s="2554"/>
      <c r="AJ14" s="2555"/>
      <c r="AL14" s="2546" t="s">
        <v>781</v>
      </c>
      <c r="AM14" s="2554"/>
      <c r="AN14" s="2554"/>
      <c r="AO14" s="2554"/>
      <c r="AP14" s="2554"/>
      <c r="AQ14" s="2554"/>
      <c r="AR14" s="2554"/>
      <c r="AS14" s="2555"/>
    </row>
    <row r="15" spans="2:45">
      <c r="B15" s="2549">
        <f t="shared" ref="B15:B21" si="8">B6</f>
        <v>2023</v>
      </c>
      <c r="C15" s="2554">
        <f ca="1">Costprice!$O$12</f>
        <v>6.8319268345058832</v>
      </c>
      <c r="D15" s="2554">
        <f ca="1">Costprice!$O$12</f>
        <v>6.8319268345058832</v>
      </c>
      <c r="E15" s="2554">
        <f ca="1">Costprice!$O$12</f>
        <v>6.8319268345058832</v>
      </c>
      <c r="F15" s="2554">
        <f ca="1">Costprice!$O$12</f>
        <v>6.8319268345058832</v>
      </c>
      <c r="G15" s="2554">
        <f ca="1">Costprice!$O$12</f>
        <v>6.8319268345058832</v>
      </c>
      <c r="H15" s="2554">
        <f ca="1">Costprice!$O$12</f>
        <v>6.8319268345058832</v>
      </c>
      <c r="I15" s="2555">
        <f ca="1">Costprice!$O$12</f>
        <v>6.8319268345058832</v>
      </c>
      <c r="K15" s="2549">
        <f t="shared" ref="K15:K21" si="9">K6</f>
        <v>2023</v>
      </c>
      <c r="L15" s="2554">
        <f ca="1">Costprice!$O$24</f>
        <v>6.8319268345058832</v>
      </c>
      <c r="M15" s="2554">
        <f ca="1">Costprice!$O$24</f>
        <v>6.8319268345058832</v>
      </c>
      <c r="N15" s="2554">
        <f ca="1">Costprice!$O$24</f>
        <v>6.8319268345058832</v>
      </c>
      <c r="O15" s="2554">
        <f ca="1">Costprice!$O$24</f>
        <v>6.8319268345058832</v>
      </c>
      <c r="P15" s="2554">
        <f ca="1">Costprice!$O$24</f>
        <v>6.8319268345058832</v>
      </c>
      <c r="Q15" s="2554">
        <f ca="1">Costprice!$O$24</f>
        <v>6.8319268345058832</v>
      </c>
      <c r="R15" s="2555">
        <f ca="1">Costprice!$O$24</f>
        <v>6.8319268345058832</v>
      </c>
      <c r="T15" s="2549">
        <f t="shared" ref="T15:T21" si="10">T6</f>
        <v>2023</v>
      </c>
      <c r="U15" s="2554">
        <f ca="1">Costprice!$O$36</f>
        <v>6.8319268345058823</v>
      </c>
      <c r="V15" s="2554">
        <f ca="1">Costprice!$O$36</f>
        <v>6.8319268345058823</v>
      </c>
      <c r="W15" s="2554">
        <f ca="1">Costprice!$O$36</f>
        <v>6.8319268345058823</v>
      </c>
      <c r="X15" s="2554">
        <f ca="1">Costprice!$O$36</f>
        <v>6.8319268345058823</v>
      </c>
      <c r="Y15" s="2554">
        <f ca="1">Costprice!$O$36</f>
        <v>6.8319268345058823</v>
      </c>
      <c r="Z15" s="2554">
        <f ca="1">Costprice!$O$36</f>
        <v>6.8319268345058823</v>
      </c>
      <c r="AA15" s="2555">
        <f ca="1">Costprice!$O$36</f>
        <v>6.8319268345058823</v>
      </c>
      <c r="AC15" s="2549">
        <f t="shared" ref="AC15:AC21" si="11">AC6</f>
        <v>2023</v>
      </c>
      <c r="AD15" s="2554">
        <f ca="1">Costprice!$O$48</f>
        <v>6.8319268345058823</v>
      </c>
      <c r="AE15" s="2554">
        <f ca="1">Costprice!$O$48</f>
        <v>6.8319268345058823</v>
      </c>
      <c r="AF15" s="2554">
        <f ca="1">Costprice!$O$48</f>
        <v>6.8319268345058823</v>
      </c>
      <c r="AG15" s="2554">
        <f ca="1">Costprice!$O$48</f>
        <v>6.8319268345058823</v>
      </c>
      <c r="AH15" s="2554">
        <f ca="1">Costprice!$O$48</f>
        <v>6.8319268345058823</v>
      </c>
      <c r="AI15" s="2554">
        <f ca="1">Costprice!$O$48</f>
        <v>6.8319268345058823</v>
      </c>
      <c r="AJ15" s="2555">
        <f ca="1">Costprice!$O$48</f>
        <v>6.8319268345058823</v>
      </c>
      <c r="AL15" s="2549">
        <f t="shared" ref="AL15:AL21" si="12">AL6</f>
        <v>2023</v>
      </c>
      <c r="AM15" s="2554">
        <f ca="1">Costprice!$O$61</f>
        <v>6.8319268345058823</v>
      </c>
      <c r="AN15" s="2554">
        <f ca="1">Costprice!$O$61</f>
        <v>6.8319268345058823</v>
      </c>
      <c r="AO15" s="2554">
        <f ca="1">Costprice!$O$61</f>
        <v>6.8319268345058823</v>
      </c>
      <c r="AP15" s="2554">
        <f ca="1">Costprice!$O$61</f>
        <v>6.8319268345058823</v>
      </c>
      <c r="AQ15" s="2554">
        <f ca="1">Costprice!$O$61</f>
        <v>6.8319268345058823</v>
      </c>
      <c r="AR15" s="2554">
        <f ca="1">Costprice!$O$61</f>
        <v>6.8319268345058823</v>
      </c>
      <c r="AS15" s="2555">
        <f ca="1">Costprice!$O$61</f>
        <v>6.8319268345058823</v>
      </c>
    </row>
    <row r="16" spans="2:45">
      <c r="B16" s="2549">
        <f t="shared" si="8"/>
        <v>2024</v>
      </c>
      <c r="C16" s="2554">
        <f ca="1">Costprice!$P$12</f>
        <v>5.7497670426344714</v>
      </c>
      <c r="D16" s="2554">
        <f ca="1">Costprice!$P$12</f>
        <v>5.7497670426344714</v>
      </c>
      <c r="E16" s="2554">
        <f ca="1">Costprice!$P$12</f>
        <v>5.7497670426344714</v>
      </c>
      <c r="F16" s="2554">
        <f ca="1">Costprice!$P$12</f>
        <v>5.7497670426344714</v>
      </c>
      <c r="G16" s="2554">
        <f ca="1">Costprice!$P$12</f>
        <v>5.7497670426344714</v>
      </c>
      <c r="H16" s="2554">
        <f ca="1">Costprice!$P$12</f>
        <v>5.7497670426344714</v>
      </c>
      <c r="I16" s="2555">
        <f ca="1">Costprice!$P$12</f>
        <v>5.7497670426344714</v>
      </c>
      <c r="K16" s="2549">
        <f t="shared" si="9"/>
        <v>2024</v>
      </c>
      <c r="L16" s="2554">
        <f ca="1">Costprice!$P$24</f>
        <v>5.7497670426344714</v>
      </c>
      <c r="M16" s="2554">
        <f ca="1">Costprice!$P$24</f>
        <v>5.7497670426344714</v>
      </c>
      <c r="N16" s="2554">
        <f ca="1">Costprice!$P$24</f>
        <v>5.7497670426344714</v>
      </c>
      <c r="O16" s="2554">
        <f ca="1">Costprice!$P$24</f>
        <v>5.7497670426344714</v>
      </c>
      <c r="P16" s="2554">
        <f ca="1">Costprice!$P$24</f>
        <v>5.7497670426344714</v>
      </c>
      <c r="Q16" s="2554">
        <f ca="1">Costprice!$P$24</f>
        <v>5.7497670426344714</v>
      </c>
      <c r="R16" s="2555">
        <f ca="1">Costprice!$P$24</f>
        <v>5.7497670426344714</v>
      </c>
      <c r="T16" s="2549">
        <f t="shared" si="10"/>
        <v>2024</v>
      </c>
      <c r="U16" s="2554">
        <f ca="1">Costprice!$P$36</f>
        <v>5.7497670426344705</v>
      </c>
      <c r="V16" s="2554">
        <f ca="1">Costprice!$P$36</f>
        <v>5.7497670426344705</v>
      </c>
      <c r="W16" s="2554">
        <f ca="1">Costprice!$P$36</f>
        <v>5.7497670426344705</v>
      </c>
      <c r="X16" s="2554">
        <f ca="1">Costprice!$P$36</f>
        <v>5.7497670426344705</v>
      </c>
      <c r="Y16" s="2554">
        <f ca="1">Costprice!$P$36</f>
        <v>5.7497670426344705</v>
      </c>
      <c r="Z16" s="2554">
        <f ca="1">Costprice!$P$36</f>
        <v>5.7497670426344705</v>
      </c>
      <c r="AA16" s="2555">
        <f ca="1">Costprice!$P$36</f>
        <v>5.7497670426344705</v>
      </c>
      <c r="AC16" s="2549">
        <f t="shared" si="11"/>
        <v>2024</v>
      </c>
      <c r="AD16" s="2554">
        <f ca="1">Costprice!$P$48</f>
        <v>5.7497670426344705</v>
      </c>
      <c r="AE16" s="2554">
        <f ca="1">Costprice!$P$48</f>
        <v>5.7497670426344705</v>
      </c>
      <c r="AF16" s="2554">
        <f ca="1">Costprice!$P$48</f>
        <v>5.7497670426344705</v>
      </c>
      <c r="AG16" s="2554">
        <f ca="1">Costprice!$P$48</f>
        <v>5.7497670426344705</v>
      </c>
      <c r="AH16" s="2554">
        <f ca="1">Costprice!$P$48</f>
        <v>5.7497670426344705</v>
      </c>
      <c r="AI16" s="2554">
        <f ca="1">Costprice!$P$48</f>
        <v>5.7497670426344705</v>
      </c>
      <c r="AJ16" s="2555">
        <f ca="1">Costprice!$P$48</f>
        <v>5.7497670426344705</v>
      </c>
      <c r="AL16" s="2549">
        <f t="shared" si="12"/>
        <v>2024</v>
      </c>
      <c r="AM16" s="2554">
        <f ca="1">Costprice!$P$61</f>
        <v>5.7497670426344705</v>
      </c>
      <c r="AN16" s="2554">
        <f ca="1">Costprice!$P$61</f>
        <v>5.7497670426344705</v>
      </c>
      <c r="AO16" s="2554">
        <f ca="1">Costprice!$P$61</f>
        <v>5.7497670426344705</v>
      </c>
      <c r="AP16" s="2554">
        <f ca="1">Costprice!$P$61</f>
        <v>5.7497670426344705</v>
      </c>
      <c r="AQ16" s="2554">
        <f ca="1">Costprice!$P$61</f>
        <v>5.7497670426344705</v>
      </c>
      <c r="AR16" s="2554">
        <f ca="1">Costprice!$P$61</f>
        <v>5.7497670426344705</v>
      </c>
      <c r="AS16" s="2555">
        <f ca="1">Costprice!$P$61</f>
        <v>5.7497670426344705</v>
      </c>
    </row>
    <row r="17" spans="2:45">
      <c r="B17" s="2549">
        <f t="shared" si="8"/>
        <v>2025</v>
      </c>
      <c r="C17" s="2554">
        <f ca="1">Costprice!$Q$12</f>
        <v>5.4970070342265718</v>
      </c>
      <c r="D17" s="2554">
        <f ca="1">Costprice!$Q$12</f>
        <v>5.4970070342265718</v>
      </c>
      <c r="E17" s="2554">
        <f ca="1">Costprice!$Q$12</f>
        <v>5.4970070342265718</v>
      </c>
      <c r="F17" s="2554">
        <f ca="1">Costprice!$Q$12</f>
        <v>5.4970070342265718</v>
      </c>
      <c r="G17" s="2554">
        <f ca="1">Costprice!$Q$12</f>
        <v>5.4970070342265718</v>
      </c>
      <c r="H17" s="2554">
        <f ca="1">Costprice!$Q$12</f>
        <v>5.4970070342265718</v>
      </c>
      <c r="I17" s="2555">
        <f ca="1">Costprice!$Q$12</f>
        <v>5.4970070342265718</v>
      </c>
      <c r="K17" s="2549">
        <f t="shared" si="9"/>
        <v>2025</v>
      </c>
      <c r="L17" s="2554">
        <f ca="1">Costprice!$Q$24</f>
        <v>5.4970070342265718</v>
      </c>
      <c r="M17" s="2554">
        <f ca="1">Costprice!$Q$24</f>
        <v>5.4970070342265718</v>
      </c>
      <c r="N17" s="2554">
        <f ca="1">Costprice!$Q$24</f>
        <v>5.4970070342265718</v>
      </c>
      <c r="O17" s="2554">
        <f ca="1">Costprice!$Q$24</f>
        <v>5.4970070342265718</v>
      </c>
      <c r="P17" s="2554">
        <f ca="1">Costprice!$Q$24</f>
        <v>5.4970070342265718</v>
      </c>
      <c r="Q17" s="2554">
        <f ca="1">Costprice!$Q$24</f>
        <v>5.4970070342265718</v>
      </c>
      <c r="R17" s="2555">
        <f ca="1">Costprice!$Q$24</f>
        <v>5.4970070342265718</v>
      </c>
      <c r="T17" s="2549">
        <f t="shared" si="10"/>
        <v>2025</v>
      </c>
      <c r="U17" s="2554">
        <f ca="1">Costprice!$Q$36</f>
        <v>5.4970070342265709</v>
      </c>
      <c r="V17" s="2554">
        <f ca="1">Costprice!$Q$36</f>
        <v>5.4970070342265709</v>
      </c>
      <c r="W17" s="2554">
        <f ca="1">Costprice!$Q$36</f>
        <v>5.4970070342265709</v>
      </c>
      <c r="X17" s="2554">
        <f ca="1">Costprice!$Q$36</f>
        <v>5.4970070342265709</v>
      </c>
      <c r="Y17" s="2554">
        <f ca="1">Costprice!$Q$36</f>
        <v>5.4970070342265709</v>
      </c>
      <c r="Z17" s="2554">
        <f ca="1">Costprice!$Q$36</f>
        <v>5.4970070342265709</v>
      </c>
      <c r="AA17" s="2555">
        <f ca="1">Costprice!$Q$36</f>
        <v>5.4970070342265709</v>
      </c>
      <c r="AC17" s="2549">
        <f t="shared" si="11"/>
        <v>2025</v>
      </c>
      <c r="AD17" s="2554">
        <f ca="1">Costprice!$Q$48</f>
        <v>5.4970070342265709</v>
      </c>
      <c r="AE17" s="2554">
        <f ca="1">Costprice!$Q$48</f>
        <v>5.4970070342265709</v>
      </c>
      <c r="AF17" s="2554">
        <f ca="1">Costprice!$Q$48</f>
        <v>5.4970070342265709</v>
      </c>
      <c r="AG17" s="2554">
        <f ca="1">Costprice!$Q$48</f>
        <v>5.4970070342265709</v>
      </c>
      <c r="AH17" s="2554">
        <f ca="1">Costprice!$Q$48</f>
        <v>5.4970070342265709</v>
      </c>
      <c r="AI17" s="2554">
        <f ca="1">Costprice!$Q$48</f>
        <v>5.4970070342265709</v>
      </c>
      <c r="AJ17" s="2555">
        <f ca="1">Costprice!$Q$48</f>
        <v>5.4970070342265709</v>
      </c>
      <c r="AL17" s="2549">
        <f t="shared" si="12"/>
        <v>2025</v>
      </c>
      <c r="AM17" s="2554">
        <f ca="1">Costprice!$Q$61</f>
        <v>5.4970070342265718</v>
      </c>
      <c r="AN17" s="2554">
        <f ca="1">Costprice!$Q$61</f>
        <v>5.4970070342265718</v>
      </c>
      <c r="AO17" s="2554">
        <f ca="1">Costprice!$Q$61</f>
        <v>5.4970070342265718</v>
      </c>
      <c r="AP17" s="2554">
        <f ca="1">Costprice!$Q$61</f>
        <v>5.4970070342265718</v>
      </c>
      <c r="AQ17" s="2554">
        <f ca="1">Costprice!$Q$61</f>
        <v>5.4970070342265718</v>
      </c>
      <c r="AR17" s="2554">
        <f ca="1">Costprice!$Q$61</f>
        <v>5.4970070342265718</v>
      </c>
      <c r="AS17" s="2555">
        <f ca="1">Costprice!$Q$61</f>
        <v>5.4970070342265718</v>
      </c>
    </row>
    <row r="18" spans="2:45">
      <c r="B18" s="2549">
        <f t="shared" si="8"/>
        <v>2026</v>
      </c>
      <c r="C18" s="2554">
        <f ca="1">Costprice!$R$12</f>
        <v>5.7669606874332766</v>
      </c>
      <c r="D18" s="2554">
        <f ca="1">Costprice!$R$12</f>
        <v>5.7669606874332766</v>
      </c>
      <c r="E18" s="2554">
        <f ca="1">Costprice!$R$12</f>
        <v>5.7669606874332766</v>
      </c>
      <c r="F18" s="2554">
        <f ca="1">Costprice!$R$12</f>
        <v>5.7669606874332766</v>
      </c>
      <c r="G18" s="2554">
        <f ca="1">Costprice!$R$12</f>
        <v>5.7669606874332766</v>
      </c>
      <c r="H18" s="2554">
        <f ca="1">Costprice!$R$12</f>
        <v>5.7669606874332766</v>
      </c>
      <c r="I18" s="2555">
        <f ca="1">Costprice!$R$12</f>
        <v>5.7669606874332766</v>
      </c>
      <c r="K18" s="2549">
        <f t="shared" si="9"/>
        <v>2026</v>
      </c>
      <c r="L18" s="2554">
        <f ca="1">Costprice!$R$24</f>
        <v>5.7669606874332766</v>
      </c>
      <c r="M18" s="2554">
        <f ca="1">Costprice!$R$24</f>
        <v>5.7669606874332766</v>
      </c>
      <c r="N18" s="2554">
        <f ca="1">Costprice!$R$24</f>
        <v>5.7669606874332766</v>
      </c>
      <c r="O18" s="2554">
        <f ca="1">Costprice!$R$24</f>
        <v>5.7669606874332766</v>
      </c>
      <c r="P18" s="2554">
        <f ca="1">Costprice!$R$24</f>
        <v>5.7669606874332766</v>
      </c>
      <c r="Q18" s="2554">
        <f ca="1">Costprice!$R$24</f>
        <v>5.7669606874332766</v>
      </c>
      <c r="R18" s="2555">
        <f ca="1">Costprice!$R$24</f>
        <v>5.7669606874332766</v>
      </c>
      <c r="T18" s="2549">
        <f t="shared" si="10"/>
        <v>2026</v>
      </c>
      <c r="U18" s="2554">
        <f ca="1">Costprice!$R$36</f>
        <v>5.7669606874332766</v>
      </c>
      <c r="V18" s="2554">
        <f ca="1">Costprice!$R$36</f>
        <v>5.7669606874332766</v>
      </c>
      <c r="W18" s="2554">
        <f ca="1">Costprice!$R$36</f>
        <v>5.7669606874332766</v>
      </c>
      <c r="X18" s="2554">
        <f ca="1">Costprice!$R$36</f>
        <v>5.7669606874332766</v>
      </c>
      <c r="Y18" s="2554">
        <f ca="1">Costprice!$R$36</f>
        <v>5.7669606874332766</v>
      </c>
      <c r="Z18" s="2554">
        <f ca="1">Costprice!$R$36</f>
        <v>5.7669606874332766</v>
      </c>
      <c r="AA18" s="2555">
        <f ca="1">Costprice!$R$36</f>
        <v>5.7669606874332766</v>
      </c>
      <c r="AC18" s="2549">
        <f t="shared" si="11"/>
        <v>2026</v>
      </c>
      <c r="AD18" s="2554">
        <f ca="1">Costprice!$R$48</f>
        <v>5.7669606874332766</v>
      </c>
      <c r="AE18" s="2554">
        <f ca="1">Costprice!$R$48</f>
        <v>5.7669606874332766</v>
      </c>
      <c r="AF18" s="2554">
        <f ca="1">Costprice!$R$48</f>
        <v>5.7669606874332766</v>
      </c>
      <c r="AG18" s="2554">
        <f ca="1">Costprice!$R$48</f>
        <v>5.7669606874332766</v>
      </c>
      <c r="AH18" s="2554">
        <f ca="1">Costprice!$R$48</f>
        <v>5.7669606874332766</v>
      </c>
      <c r="AI18" s="2554">
        <f ca="1">Costprice!$R$48</f>
        <v>5.7669606874332766</v>
      </c>
      <c r="AJ18" s="2555">
        <f ca="1">Costprice!$R$48</f>
        <v>5.7669606874332766</v>
      </c>
      <c r="AL18" s="2549">
        <f t="shared" si="12"/>
        <v>2026</v>
      </c>
      <c r="AM18" s="2554">
        <f ca="1">Costprice!$R$61</f>
        <v>5.7669606874332775</v>
      </c>
      <c r="AN18" s="2554">
        <f ca="1">Costprice!$R$61</f>
        <v>5.7669606874332775</v>
      </c>
      <c r="AO18" s="2554">
        <f ca="1">Costprice!$R$61</f>
        <v>5.7669606874332775</v>
      </c>
      <c r="AP18" s="2554">
        <f ca="1">Costprice!$R$61</f>
        <v>5.7669606874332775</v>
      </c>
      <c r="AQ18" s="2554">
        <f ca="1">Costprice!$R$61</f>
        <v>5.7669606874332775</v>
      </c>
      <c r="AR18" s="2554">
        <f ca="1">Costprice!$R$61</f>
        <v>5.7669606874332775</v>
      </c>
      <c r="AS18" s="2555">
        <f ca="1">Costprice!$R$61</f>
        <v>5.7669606874332775</v>
      </c>
    </row>
    <row r="19" spans="2:45">
      <c r="B19" s="2549">
        <f t="shared" si="8"/>
        <v>2027</v>
      </c>
      <c r="C19" s="2554">
        <f ca="1">Costprice!$S$12</f>
        <v>5.8954084876945547</v>
      </c>
      <c r="D19" s="2554">
        <f ca="1">Costprice!$S$12</f>
        <v>5.8954084876945547</v>
      </c>
      <c r="E19" s="2554">
        <f ca="1">Costprice!$S$12</f>
        <v>5.8954084876945547</v>
      </c>
      <c r="F19" s="2554">
        <f ca="1">Costprice!$S$12</f>
        <v>5.8954084876945547</v>
      </c>
      <c r="G19" s="2554">
        <f ca="1">Costprice!$S$12</f>
        <v>5.8954084876945547</v>
      </c>
      <c r="H19" s="2554">
        <f ca="1">Costprice!$S$12</f>
        <v>5.8954084876945547</v>
      </c>
      <c r="I19" s="2555">
        <f ca="1">Costprice!$S$12</f>
        <v>5.8954084876945547</v>
      </c>
      <c r="K19" s="2549">
        <f t="shared" si="9"/>
        <v>2027</v>
      </c>
      <c r="L19" s="2554">
        <f ca="1">Costprice!$S$24</f>
        <v>5.8954084876945547</v>
      </c>
      <c r="M19" s="2554">
        <f ca="1">Costprice!$S$24</f>
        <v>5.8954084876945547</v>
      </c>
      <c r="N19" s="2554">
        <f ca="1">Costprice!$S$24</f>
        <v>5.8954084876945547</v>
      </c>
      <c r="O19" s="2554">
        <f ca="1">Costprice!$S$24</f>
        <v>5.8954084876945547</v>
      </c>
      <c r="P19" s="2554">
        <f ca="1">Costprice!$S$24</f>
        <v>5.8954084876945547</v>
      </c>
      <c r="Q19" s="2554">
        <f ca="1">Costprice!$S$24</f>
        <v>5.8954084876945547</v>
      </c>
      <c r="R19" s="2555">
        <f ca="1">Costprice!$S$24</f>
        <v>5.8954084876945547</v>
      </c>
      <c r="T19" s="2549">
        <f t="shared" si="10"/>
        <v>2027</v>
      </c>
      <c r="U19" s="2554">
        <f ca="1">Costprice!$S$36</f>
        <v>5.8954084876945547</v>
      </c>
      <c r="V19" s="2554">
        <f ca="1">Costprice!$S$36</f>
        <v>5.8954084876945547</v>
      </c>
      <c r="W19" s="2554">
        <f ca="1">Costprice!$S$36</f>
        <v>5.8954084876945547</v>
      </c>
      <c r="X19" s="2554">
        <f ca="1">Costprice!$S$36</f>
        <v>5.8954084876945547</v>
      </c>
      <c r="Y19" s="2554">
        <f ca="1">Costprice!$S$36</f>
        <v>5.8954084876945547</v>
      </c>
      <c r="Z19" s="2554">
        <f ca="1">Costprice!$S$36</f>
        <v>5.8954084876945547</v>
      </c>
      <c r="AA19" s="2555">
        <f ca="1">Costprice!$S$36</f>
        <v>5.8954084876945547</v>
      </c>
      <c r="AC19" s="2549">
        <f t="shared" si="11"/>
        <v>2027</v>
      </c>
      <c r="AD19" s="2554">
        <f ca="1">Costprice!$S$48</f>
        <v>5.8954084876945547</v>
      </c>
      <c r="AE19" s="2554">
        <f ca="1">Costprice!$S$48</f>
        <v>5.8954084876945547</v>
      </c>
      <c r="AF19" s="2554">
        <f ca="1">Costprice!$S$48</f>
        <v>5.8954084876945547</v>
      </c>
      <c r="AG19" s="2554">
        <f ca="1">Costprice!$S$48</f>
        <v>5.8954084876945547</v>
      </c>
      <c r="AH19" s="2554">
        <f ca="1">Costprice!$S$48</f>
        <v>5.8954084876945547</v>
      </c>
      <c r="AI19" s="2554">
        <f ca="1">Costprice!$S$48</f>
        <v>5.8954084876945547</v>
      </c>
      <c r="AJ19" s="2555">
        <f ca="1">Costprice!$S$48</f>
        <v>5.8954084876945547</v>
      </c>
      <c r="AL19" s="2549">
        <f t="shared" si="12"/>
        <v>2027</v>
      </c>
      <c r="AM19" s="2554">
        <f ca="1">Costprice!$S$61</f>
        <v>5.8954084876945556</v>
      </c>
      <c r="AN19" s="2554">
        <f ca="1">Costprice!$S$61</f>
        <v>5.8954084876945556</v>
      </c>
      <c r="AO19" s="2554">
        <f ca="1">Costprice!$S$61</f>
        <v>5.8954084876945556</v>
      </c>
      <c r="AP19" s="2554">
        <f ca="1">Costprice!$S$61</f>
        <v>5.8954084876945556</v>
      </c>
      <c r="AQ19" s="2554">
        <f ca="1">Costprice!$S$61</f>
        <v>5.8954084876945556</v>
      </c>
      <c r="AR19" s="2554">
        <f ca="1">Costprice!$S$61</f>
        <v>5.8954084876945556</v>
      </c>
      <c r="AS19" s="2555">
        <f ca="1">Costprice!$S$61</f>
        <v>5.8954084876945556</v>
      </c>
    </row>
    <row r="20" spans="2:45">
      <c r="B20" s="2549">
        <f t="shared" si="8"/>
        <v>2028</v>
      </c>
      <c r="C20" s="2554">
        <f ca="1">Costprice!$T$12</f>
        <v>6.0887274707054306</v>
      </c>
      <c r="D20" s="2554">
        <f ca="1">Costprice!$T$12</f>
        <v>6.0887274707054306</v>
      </c>
      <c r="E20" s="2554">
        <f ca="1">Costprice!$T$12</f>
        <v>6.0887274707054306</v>
      </c>
      <c r="F20" s="2554">
        <f ca="1">Costprice!$T$12</f>
        <v>6.0887274707054306</v>
      </c>
      <c r="G20" s="2554">
        <f ca="1">Costprice!$T$12</f>
        <v>6.0887274707054306</v>
      </c>
      <c r="H20" s="2554">
        <f ca="1">Costprice!$T$12</f>
        <v>6.0887274707054306</v>
      </c>
      <c r="I20" s="2555">
        <f ca="1">Costprice!$T$12</f>
        <v>6.0887274707054306</v>
      </c>
      <c r="K20" s="2549">
        <f t="shared" si="9"/>
        <v>2028</v>
      </c>
      <c r="L20" s="2554">
        <f ca="1">Costprice!$T$24</f>
        <v>6.0887274707054306</v>
      </c>
      <c r="M20" s="2554">
        <f ca="1">Costprice!$T$24</f>
        <v>6.0887274707054306</v>
      </c>
      <c r="N20" s="2554">
        <f ca="1">Costprice!$T$24</f>
        <v>6.0887274707054306</v>
      </c>
      <c r="O20" s="2554">
        <f ca="1">Costprice!$T$24</f>
        <v>6.0887274707054306</v>
      </c>
      <c r="P20" s="2554">
        <f ca="1">Costprice!$T$24</f>
        <v>6.0887274707054306</v>
      </c>
      <c r="Q20" s="2554">
        <f ca="1">Costprice!$T$24</f>
        <v>6.0887274707054306</v>
      </c>
      <c r="R20" s="2555">
        <f ca="1">Costprice!$T$24</f>
        <v>6.0887274707054306</v>
      </c>
      <c r="T20" s="2549">
        <f t="shared" si="10"/>
        <v>2028</v>
      </c>
      <c r="U20" s="2554">
        <f ca="1">Costprice!$T$36</f>
        <v>6.0887274707054306</v>
      </c>
      <c r="V20" s="2554">
        <f ca="1">Costprice!$T$36</f>
        <v>6.0887274707054306</v>
      </c>
      <c r="W20" s="2554">
        <f ca="1">Costprice!$T$36</f>
        <v>6.0887274707054306</v>
      </c>
      <c r="X20" s="2554">
        <f ca="1">Costprice!$T$36</f>
        <v>6.0887274707054306</v>
      </c>
      <c r="Y20" s="2554">
        <f ca="1">Costprice!$T$36</f>
        <v>6.0887274707054306</v>
      </c>
      <c r="Z20" s="2554">
        <f ca="1">Costprice!$T$36</f>
        <v>6.0887274707054306</v>
      </c>
      <c r="AA20" s="2555">
        <f ca="1">Costprice!$T$36</f>
        <v>6.0887274707054306</v>
      </c>
      <c r="AC20" s="2549">
        <f t="shared" si="11"/>
        <v>2028</v>
      </c>
      <c r="AD20" s="2554">
        <f ca="1">Costprice!$T$48</f>
        <v>6.0887274707054306</v>
      </c>
      <c r="AE20" s="2554">
        <f ca="1">Costprice!$T$48</f>
        <v>6.0887274707054306</v>
      </c>
      <c r="AF20" s="2554">
        <f ca="1">Costprice!$T$48</f>
        <v>6.0887274707054306</v>
      </c>
      <c r="AG20" s="2554">
        <f ca="1">Costprice!$T$48</f>
        <v>6.0887274707054306</v>
      </c>
      <c r="AH20" s="2554">
        <f ca="1">Costprice!$T$48</f>
        <v>6.0887274707054306</v>
      </c>
      <c r="AI20" s="2554">
        <f ca="1">Costprice!$T$48</f>
        <v>6.0887274707054306</v>
      </c>
      <c r="AJ20" s="2555">
        <f ca="1">Costprice!$T$48</f>
        <v>6.0887274707054306</v>
      </c>
      <c r="AL20" s="2549">
        <f t="shared" si="12"/>
        <v>2028</v>
      </c>
      <c r="AM20" s="2554">
        <f ca="1">Costprice!$T$61</f>
        <v>6.0887274707054315</v>
      </c>
      <c r="AN20" s="2554">
        <f ca="1">Costprice!$T$61</f>
        <v>6.0887274707054315</v>
      </c>
      <c r="AO20" s="2554">
        <f ca="1">Costprice!$T$61</f>
        <v>6.0887274707054315</v>
      </c>
      <c r="AP20" s="2554">
        <f ca="1">Costprice!$T$61</f>
        <v>6.0887274707054315</v>
      </c>
      <c r="AQ20" s="2554">
        <f ca="1">Costprice!$T$61</f>
        <v>6.0887274707054315</v>
      </c>
      <c r="AR20" s="2554">
        <f ca="1">Costprice!$T$61</f>
        <v>6.0887274707054315</v>
      </c>
      <c r="AS20" s="2555">
        <f ca="1">Costprice!$T$61</f>
        <v>6.0887274707054315</v>
      </c>
    </row>
    <row r="21" spans="2:45">
      <c r="B21" s="2549">
        <f t="shared" si="8"/>
        <v>2029</v>
      </c>
      <c r="C21" s="2554">
        <f ca="1">Costprice!$U$12</f>
        <v>6.239049321139758</v>
      </c>
      <c r="D21" s="2554">
        <f ca="1">Costprice!$U$12</f>
        <v>6.239049321139758</v>
      </c>
      <c r="E21" s="2554">
        <f ca="1">Costprice!$U$12</f>
        <v>6.239049321139758</v>
      </c>
      <c r="F21" s="2554">
        <f ca="1">Costprice!$U$12</f>
        <v>6.239049321139758</v>
      </c>
      <c r="G21" s="2554">
        <f ca="1">Costprice!$U$12</f>
        <v>6.239049321139758</v>
      </c>
      <c r="H21" s="2554">
        <f ca="1">Costprice!$U$12</f>
        <v>6.239049321139758</v>
      </c>
      <c r="I21" s="2555">
        <f ca="1">Costprice!$U$12</f>
        <v>6.239049321139758</v>
      </c>
      <c r="K21" s="2549">
        <f t="shared" si="9"/>
        <v>2029</v>
      </c>
      <c r="L21" s="2554">
        <f ca="1">Costprice!$U$24</f>
        <v>6.239049321139758</v>
      </c>
      <c r="M21" s="2554">
        <f ca="1">Costprice!$U$24</f>
        <v>6.239049321139758</v>
      </c>
      <c r="N21" s="2554">
        <f ca="1">Costprice!$U$24</f>
        <v>6.239049321139758</v>
      </c>
      <c r="O21" s="2554">
        <f ca="1">Costprice!$U$24</f>
        <v>6.239049321139758</v>
      </c>
      <c r="P21" s="2554">
        <f ca="1">Costprice!$U$24</f>
        <v>6.239049321139758</v>
      </c>
      <c r="Q21" s="2554">
        <f ca="1">Costprice!$U$24</f>
        <v>6.239049321139758</v>
      </c>
      <c r="R21" s="2555">
        <f ca="1">Costprice!$U$24</f>
        <v>6.239049321139758</v>
      </c>
      <c r="T21" s="2549">
        <f t="shared" si="10"/>
        <v>2029</v>
      </c>
      <c r="U21" s="2554">
        <f ca="1">Costprice!$U$36</f>
        <v>6.2390493211397571</v>
      </c>
      <c r="V21" s="2554">
        <f ca="1">Costprice!$U$36</f>
        <v>6.2390493211397571</v>
      </c>
      <c r="W21" s="2554">
        <f ca="1">Costprice!$U$36</f>
        <v>6.2390493211397571</v>
      </c>
      <c r="X21" s="2554">
        <f ca="1">Costprice!$U$36</f>
        <v>6.2390493211397571</v>
      </c>
      <c r="Y21" s="2554">
        <f ca="1">Costprice!$U$36</f>
        <v>6.2390493211397571</v>
      </c>
      <c r="Z21" s="2554">
        <f ca="1">Costprice!$U$36</f>
        <v>6.2390493211397571</v>
      </c>
      <c r="AA21" s="2555">
        <f ca="1">Costprice!$U$36</f>
        <v>6.2390493211397571</v>
      </c>
      <c r="AC21" s="2549">
        <f t="shared" si="11"/>
        <v>2029</v>
      </c>
      <c r="AD21" s="2554">
        <f ca="1">Costprice!$U$48</f>
        <v>6.2390493211397571</v>
      </c>
      <c r="AE21" s="2554">
        <f ca="1">Costprice!$U$48</f>
        <v>6.2390493211397571</v>
      </c>
      <c r="AF21" s="2554">
        <f ca="1">Costprice!$U$48</f>
        <v>6.2390493211397571</v>
      </c>
      <c r="AG21" s="2554">
        <f ca="1">Costprice!$U$48</f>
        <v>6.2390493211397571</v>
      </c>
      <c r="AH21" s="2554">
        <f ca="1">Costprice!$U$48</f>
        <v>6.2390493211397571</v>
      </c>
      <c r="AI21" s="2554">
        <f ca="1">Costprice!$U$48</f>
        <v>6.2390493211397571</v>
      </c>
      <c r="AJ21" s="2555">
        <f ca="1">Costprice!$U$48</f>
        <v>6.2390493211397571</v>
      </c>
      <c r="AL21" s="2549">
        <f t="shared" si="12"/>
        <v>2029</v>
      </c>
      <c r="AM21" s="2554">
        <f ca="1">Costprice!$U$61</f>
        <v>6.239049321139758</v>
      </c>
      <c r="AN21" s="2554">
        <f ca="1">Costprice!$U$61</f>
        <v>6.239049321139758</v>
      </c>
      <c r="AO21" s="2554">
        <f ca="1">Costprice!$U$61</f>
        <v>6.239049321139758</v>
      </c>
      <c r="AP21" s="2554">
        <f ca="1">Costprice!$U$61</f>
        <v>6.239049321139758</v>
      </c>
      <c r="AQ21" s="2554">
        <f ca="1">Costprice!$U$61</f>
        <v>6.239049321139758</v>
      </c>
      <c r="AR21" s="2554">
        <f ca="1">Costprice!$U$61</f>
        <v>6.239049321139758</v>
      </c>
      <c r="AS21" s="2555">
        <f ca="1">Costprice!$U$61</f>
        <v>6.239049321139758</v>
      </c>
    </row>
    <row r="22" spans="2:45">
      <c r="B22" s="2549"/>
      <c r="C22" s="2554"/>
      <c r="D22" s="2554"/>
      <c r="E22" s="2554"/>
      <c r="F22" s="2554"/>
      <c r="G22" s="2554"/>
      <c r="H22" s="2554"/>
      <c r="I22" s="2555"/>
      <c r="K22" s="2549"/>
      <c r="L22" s="2554"/>
      <c r="M22" s="2554"/>
      <c r="N22" s="2554"/>
      <c r="O22" s="2554"/>
      <c r="P22" s="2554"/>
      <c r="Q22" s="2554"/>
      <c r="R22" s="2555"/>
      <c r="T22" s="2549"/>
      <c r="U22" s="2554"/>
      <c r="V22" s="2554"/>
      <c r="W22" s="2554"/>
      <c r="X22" s="2554"/>
      <c r="Y22" s="2554"/>
      <c r="Z22" s="2554"/>
      <c r="AA22" s="2555"/>
      <c r="AC22" s="2549"/>
      <c r="AD22" s="2554"/>
      <c r="AE22" s="2554"/>
      <c r="AF22" s="2554"/>
      <c r="AG22" s="2554"/>
      <c r="AH22" s="2554"/>
      <c r="AI22" s="2554"/>
      <c r="AJ22" s="2555"/>
      <c r="AL22" s="2549"/>
      <c r="AM22" s="2554"/>
      <c r="AN22" s="2554"/>
      <c r="AO22" s="2554"/>
      <c r="AP22" s="2554"/>
      <c r="AQ22" s="2554"/>
      <c r="AR22" s="2554"/>
      <c r="AS22" s="2555"/>
    </row>
    <row r="23" spans="2:45">
      <c r="B23" s="2546" t="s">
        <v>796</v>
      </c>
      <c r="C23" s="2554"/>
      <c r="D23" s="2554"/>
      <c r="E23" s="2554"/>
      <c r="F23" s="2554"/>
      <c r="G23" s="2554"/>
      <c r="H23" s="2554"/>
      <c r="I23" s="2555"/>
      <c r="K23" s="2546" t="s">
        <v>796</v>
      </c>
      <c r="L23" s="2554"/>
      <c r="M23" s="2554"/>
      <c r="N23" s="2554"/>
      <c r="O23" s="2554"/>
      <c r="P23" s="2554"/>
      <c r="Q23" s="2554"/>
      <c r="R23" s="2555"/>
      <c r="T23" s="2546" t="s">
        <v>796</v>
      </c>
      <c r="U23" s="2554"/>
      <c r="V23" s="2554"/>
      <c r="W23" s="2554"/>
      <c r="X23" s="2554"/>
      <c r="Y23" s="2554"/>
      <c r="Z23" s="2554"/>
      <c r="AA23" s="2555"/>
      <c r="AC23" s="2546" t="s">
        <v>796</v>
      </c>
      <c r="AD23" s="2554"/>
      <c r="AE23" s="2554"/>
      <c r="AF23" s="2554"/>
      <c r="AG23" s="2554"/>
      <c r="AH23" s="2554"/>
      <c r="AI23" s="2554"/>
      <c r="AJ23" s="2555"/>
      <c r="AL23" s="2546" t="s">
        <v>796</v>
      </c>
      <c r="AM23" s="2554"/>
      <c r="AN23" s="2554"/>
      <c r="AO23" s="2554"/>
      <c r="AP23" s="2554"/>
      <c r="AQ23" s="2554"/>
      <c r="AR23" s="2554"/>
      <c r="AS23" s="2555"/>
    </row>
    <row r="24" spans="2:45">
      <c r="B24" s="2549">
        <f>B6</f>
        <v>2023</v>
      </c>
      <c r="C24" s="2556">
        <f ca="1">C6*C15</f>
        <v>11610.859655242748</v>
      </c>
      <c r="D24" s="2556">
        <f t="shared" ref="C24:I29" ca="1" si="13">D6*D15</f>
        <v>0</v>
      </c>
      <c r="E24" s="2556">
        <f t="shared" ca="1" si="13"/>
        <v>0</v>
      </c>
      <c r="F24" s="2556">
        <f t="shared" ca="1" si="13"/>
        <v>0</v>
      </c>
      <c r="G24" s="2556">
        <f t="shared" ca="1" si="13"/>
        <v>0</v>
      </c>
      <c r="H24" s="2556">
        <f t="shared" ca="1" si="13"/>
        <v>0</v>
      </c>
      <c r="I24" s="2557">
        <f t="shared" ca="1" si="13"/>
        <v>0</v>
      </c>
      <c r="K24" s="2549">
        <f t="shared" ref="K24:K30" si="14">K15</f>
        <v>2023</v>
      </c>
      <c r="L24" s="2556">
        <f ca="1">L6*L15</f>
        <v>0</v>
      </c>
      <c r="M24" s="2556">
        <f t="shared" ref="L24:R29" ca="1" si="15">M6*M15</f>
        <v>0</v>
      </c>
      <c r="N24" s="2556">
        <f t="shared" ca="1" si="15"/>
        <v>0</v>
      </c>
      <c r="O24" s="2556">
        <f t="shared" ca="1" si="15"/>
        <v>0</v>
      </c>
      <c r="P24" s="2556">
        <f t="shared" ca="1" si="15"/>
        <v>0</v>
      </c>
      <c r="Q24" s="2556">
        <f t="shared" ca="1" si="15"/>
        <v>0</v>
      </c>
      <c r="R24" s="2557">
        <f t="shared" ca="1" si="15"/>
        <v>0</v>
      </c>
      <c r="T24" s="2549">
        <f t="shared" ref="T24:T30" si="16">T15</f>
        <v>2023</v>
      </c>
      <c r="U24" s="2556">
        <f t="shared" ref="U24:AA30" ca="1" si="17">U6*U15</f>
        <v>0</v>
      </c>
      <c r="V24" s="2556">
        <f t="shared" ca="1" si="17"/>
        <v>0</v>
      </c>
      <c r="W24" s="2556">
        <f t="shared" ca="1" si="17"/>
        <v>0</v>
      </c>
      <c r="X24" s="2556">
        <f t="shared" ca="1" si="17"/>
        <v>0</v>
      </c>
      <c r="Y24" s="2556">
        <f t="shared" ca="1" si="17"/>
        <v>0</v>
      </c>
      <c r="Z24" s="2556">
        <f t="shared" ca="1" si="17"/>
        <v>0</v>
      </c>
      <c r="AA24" s="2557">
        <f t="shared" ca="1" si="17"/>
        <v>0</v>
      </c>
      <c r="AC24" s="2549">
        <f t="shared" ref="AC24:AC30" si="18">AC15</f>
        <v>2023</v>
      </c>
      <c r="AD24" s="2556">
        <f ca="1">AD6*AD15</f>
        <v>213982.78038355874</v>
      </c>
      <c r="AE24" s="2556">
        <f t="shared" ref="AD24:AJ30" ca="1" si="19">AE6*AE15</f>
        <v>0</v>
      </c>
      <c r="AF24" s="2556">
        <f t="shared" ca="1" si="19"/>
        <v>0</v>
      </c>
      <c r="AG24" s="2556">
        <f t="shared" ca="1" si="19"/>
        <v>0</v>
      </c>
      <c r="AH24" s="2556">
        <f t="shared" ca="1" si="19"/>
        <v>0</v>
      </c>
      <c r="AI24" s="2556">
        <f t="shared" ca="1" si="19"/>
        <v>0</v>
      </c>
      <c r="AJ24" s="2557">
        <f t="shared" ca="1" si="19"/>
        <v>0</v>
      </c>
      <c r="AL24" s="2549">
        <f t="shared" ref="AL24:AL30" si="20">AL15</f>
        <v>2023</v>
      </c>
      <c r="AM24" s="2556">
        <f t="shared" ref="AM24:AS30" ca="1" si="21">AM6*AM15</f>
        <v>29206.487217512647</v>
      </c>
      <c r="AN24" s="2556">
        <f t="shared" ca="1" si="21"/>
        <v>0</v>
      </c>
      <c r="AO24" s="2556">
        <f t="shared" ca="1" si="21"/>
        <v>0</v>
      </c>
      <c r="AP24" s="2556">
        <f t="shared" ca="1" si="21"/>
        <v>0</v>
      </c>
      <c r="AQ24" s="2556">
        <f t="shared" ca="1" si="21"/>
        <v>0</v>
      </c>
      <c r="AR24" s="2556">
        <f t="shared" ca="1" si="21"/>
        <v>0</v>
      </c>
      <c r="AS24" s="2557">
        <f t="shared" ca="1" si="21"/>
        <v>0</v>
      </c>
    </row>
    <row r="25" spans="2:45">
      <c r="B25" s="2549">
        <f t="shared" ref="B25:B30" si="22">B16</f>
        <v>2024</v>
      </c>
      <c r="C25" s="2556">
        <f t="shared" ca="1" si="13"/>
        <v>0</v>
      </c>
      <c r="D25" s="2556">
        <f ca="1">D7*D16</f>
        <v>16123.784229307716</v>
      </c>
      <c r="E25" s="2556">
        <f t="shared" ca="1" si="13"/>
        <v>0</v>
      </c>
      <c r="F25" s="2556">
        <f t="shared" ca="1" si="13"/>
        <v>0</v>
      </c>
      <c r="G25" s="2556">
        <f t="shared" ca="1" si="13"/>
        <v>0</v>
      </c>
      <c r="H25" s="2556">
        <f t="shared" ca="1" si="13"/>
        <v>0</v>
      </c>
      <c r="I25" s="2557">
        <f t="shared" ca="1" si="13"/>
        <v>0</v>
      </c>
      <c r="K25" s="2549">
        <f t="shared" si="14"/>
        <v>2024</v>
      </c>
      <c r="L25" s="2556">
        <f t="shared" ca="1" si="15"/>
        <v>0</v>
      </c>
      <c r="M25" s="2556">
        <f ca="1">M7*M16</f>
        <v>0</v>
      </c>
      <c r="N25" s="2556">
        <f t="shared" ca="1" si="15"/>
        <v>0</v>
      </c>
      <c r="O25" s="2556">
        <f t="shared" ca="1" si="15"/>
        <v>0</v>
      </c>
      <c r="P25" s="2556">
        <f t="shared" ca="1" si="15"/>
        <v>0</v>
      </c>
      <c r="Q25" s="2556">
        <f t="shared" ca="1" si="15"/>
        <v>0</v>
      </c>
      <c r="R25" s="2557">
        <f t="shared" ca="1" si="15"/>
        <v>0</v>
      </c>
      <c r="T25" s="2549">
        <f t="shared" si="16"/>
        <v>2024</v>
      </c>
      <c r="U25" s="2556">
        <f t="shared" ca="1" si="17"/>
        <v>0</v>
      </c>
      <c r="V25" s="2556">
        <f ca="1">V7*V16</f>
        <v>0</v>
      </c>
      <c r="W25" s="2556">
        <f t="shared" ca="1" si="17"/>
        <v>0</v>
      </c>
      <c r="X25" s="2556">
        <f t="shared" ca="1" si="17"/>
        <v>0</v>
      </c>
      <c r="Y25" s="2556">
        <f t="shared" ca="1" si="17"/>
        <v>0</v>
      </c>
      <c r="Z25" s="2556">
        <f t="shared" ca="1" si="17"/>
        <v>0</v>
      </c>
      <c r="AA25" s="2557">
        <f t="shared" ca="1" si="17"/>
        <v>0</v>
      </c>
      <c r="AC25" s="2549">
        <f t="shared" si="18"/>
        <v>2024</v>
      </c>
      <c r="AD25" s="2556">
        <f t="shared" ca="1" si="19"/>
        <v>0</v>
      </c>
      <c r="AE25" s="2556">
        <f ca="1">AE7*AE16</f>
        <v>260855.43119024066</v>
      </c>
      <c r="AF25" s="2556">
        <f t="shared" ca="1" si="19"/>
        <v>0</v>
      </c>
      <c r="AG25" s="2556">
        <f t="shared" ca="1" si="19"/>
        <v>0</v>
      </c>
      <c r="AH25" s="2556">
        <f t="shared" ca="1" si="19"/>
        <v>0</v>
      </c>
      <c r="AI25" s="2556">
        <f t="shared" ca="1" si="19"/>
        <v>0</v>
      </c>
      <c r="AJ25" s="2557">
        <f t="shared" ca="1" si="19"/>
        <v>0</v>
      </c>
      <c r="AL25" s="2549">
        <f t="shared" si="20"/>
        <v>2024</v>
      </c>
      <c r="AM25" s="2556">
        <f t="shared" ca="1" si="21"/>
        <v>0</v>
      </c>
      <c r="AN25" s="2556">
        <f t="shared" ca="1" si="21"/>
        <v>32342.439614818897</v>
      </c>
      <c r="AO25" s="2556">
        <f t="shared" ca="1" si="21"/>
        <v>0</v>
      </c>
      <c r="AP25" s="2556">
        <f t="shared" ca="1" si="21"/>
        <v>0</v>
      </c>
      <c r="AQ25" s="2556">
        <f t="shared" ca="1" si="21"/>
        <v>0</v>
      </c>
      <c r="AR25" s="2556">
        <f t="shared" ca="1" si="21"/>
        <v>0</v>
      </c>
      <c r="AS25" s="2557">
        <f t="shared" ca="1" si="21"/>
        <v>0</v>
      </c>
    </row>
    <row r="26" spans="2:45">
      <c r="B26" s="2549">
        <f t="shared" si="22"/>
        <v>2025</v>
      </c>
      <c r="C26" s="2556">
        <f t="shared" ca="1" si="13"/>
        <v>0</v>
      </c>
      <c r="D26" s="2556">
        <f t="shared" ca="1" si="13"/>
        <v>0</v>
      </c>
      <c r="E26" s="2556">
        <f t="shared" ca="1" si="13"/>
        <v>18115.386681293669</v>
      </c>
      <c r="F26" s="2556">
        <f t="shared" ca="1" si="13"/>
        <v>0</v>
      </c>
      <c r="G26" s="2556">
        <f t="shared" ca="1" si="13"/>
        <v>0</v>
      </c>
      <c r="H26" s="2556">
        <f t="shared" ca="1" si="13"/>
        <v>0</v>
      </c>
      <c r="I26" s="2557">
        <f t="shared" ca="1" si="13"/>
        <v>0</v>
      </c>
      <c r="K26" s="2549">
        <f t="shared" si="14"/>
        <v>2025</v>
      </c>
      <c r="L26" s="2556">
        <f t="shared" ca="1" si="15"/>
        <v>0</v>
      </c>
      <c r="M26" s="2556">
        <f t="shared" ca="1" si="15"/>
        <v>0</v>
      </c>
      <c r="N26" s="2556">
        <f t="shared" ca="1" si="15"/>
        <v>0</v>
      </c>
      <c r="O26" s="2556">
        <f t="shared" ca="1" si="15"/>
        <v>0</v>
      </c>
      <c r="P26" s="2556">
        <f t="shared" ca="1" si="15"/>
        <v>0</v>
      </c>
      <c r="Q26" s="2556">
        <f t="shared" ca="1" si="15"/>
        <v>0</v>
      </c>
      <c r="R26" s="2557">
        <f t="shared" ca="1" si="15"/>
        <v>0</v>
      </c>
      <c r="T26" s="2549">
        <f t="shared" si="16"/>
        <v>2025</v>
      </c>
      <c r="U26" s="2556">
        <f t="shared" ca="1" si="17"/>
        <v>0</v>
      </c>
      <c r="V26" s="2556">
        <f t="shared" ca="1" si="17"/>
        <v>0</v>
      </c>
      <c r="W26" s="2556">
        <f ca="1">W8*W17</f>
        <v>0</v>
      </c>
      <c r="X26" s="2556">
        <f t="shared" ca="1" si="17"/>
        <v>0</v>
      </c>
      <c r="Y26" s="2556">
        <f t="shared" ca="1" si="17"/>
        <v>0</v>
      </c>
      <c r="Z26" s="2556">
        <f t="shared" ca="1" si="17"/>
        <v>0</v>
      </c>
      <c r="AA26" s="2557">
        <f t="shared" ca="1" si="17"/>
        <v>0</v>
      </c>
      <c r="AC26" s="2549">
        <f t="shared" si="18"/>
        <v>2025</v>
      </c>
      <c r="AD26" s="2556">
        <f t="shared" ca="1" si="19"/>
        <v>0</v>
      </c>
      <c r="AE26" s="2556">
        <f t="shared" ca="1" si="19"/>
        <v>0</v>
      </c>
      <c r="AF26" s="2556">
        <f t="shared" ca="1" si="19"/>
        <v>289945.13302731473</v>
      </c>
      <c r="AG26" s="2556">
        <f t="shared" ca="1" si="19"/>
        <v>0</v>
      </c>
      <c r="AH26" s="2556">
        <f t="shared" ca="1" si="19"/>
        <v>0</v>
      </c>
      <c r="AI26" s="2556">
        <f t="shared" ca="1" si="19"/>
        <v>0</v>
      </c>
      <c r="AJ26" s="2557">
        <f t="shared" ca="1" si="19"/>
        <v>0</v>
      </c>
      <c r="AL26" s="2549">
        <f t="shared" si="20"/>
        <v>2025</v>
      </c>
      <c r="AM26" s="2556">
        <f t="shared" ca="1" si="21"/>
        <v>0</v>
      </c>
      <c r="AN26" s="2556">
        <f t="shared" ca="1" si="21"/>
        <v>0</v>
      </c>
      <c r="AO26" s="2556">
        <f t="shared" ca="1" si="21"/>
        <v>35867.970898328378</v>
      </c>
      <c r="AP26" s="2556">
        <f t="shared" ca="1" si="21"/>
        <v>0</v>
      </c>
      <c r="AQ26" s="2556">
        <f t="shared" ca="1" si="21"/>
        <v>0</v>
      </c>
      <c r="AR26" s="2556">
        <f t="shared" ca="1" si="21"/>
        <v>0</v>
      </c>
      <c r="AS26" s="2557">
        <f t="shared" ca="1" si="21"/>
        <v>0</v>
      </c>
    </row>
    <row r="27" spans="2:45">
      <c r="B27" s="2549">
        <f t="shared" si="22"/>
        <v>2026</v>
      </c>
      <c r="C27" s="2556">
        <f t="shared" ca="1" si="13"/>
        <v>0</v>
      </c>
      <c r="D27" s="2556">
        <f t="shared" ca="1" si="13"/>
        <v>0</v>
      </c>
      <c r="E27" s="2556">
        <f t="shared" ca="1" si="13"/>
        <v>0</v>
      </c>
      <c r="F27" s="2556">
        <f t="shared" ca="1" si="13"/>
        <v>19100.17379677901</v>
      </c>
      <c r="G27" s="2556">
        <f t="shared" ca="1" si="13"/>
        <v>0</v>
      </c>
      <c r="H27" s="2556">
        <f t="shared" ca="1" si="13"/>
        <v>0</v>
      </c>
      <c r="I27" s="2557">
        <f t="shared" ca="1" si="13"/>
        <v>0</v>
      </c>
      <c r="K27" s="2549">
        <f t="shared" si="14"/>
        <v>2026</v>
      </c>
      <c r="L27" s="2556">
        <f t="shared" ca="1" si="15"/>
        <v>0</v>
      </c>
      <c r="M27" s="2556">
        <f t="shared" ca="1" si="15"/>
        <v>0</v>
      </c>
      <c r="N27" s="2556">
        <f t="shared" ca="1" si="15"/>
        <v>0</v>
      </c>
      <c r="O27" s="2556">
        <f t="shared" ca="1" si="15"/>
        <v>0</v>
      </c>
      <c r="P27" s="2556">
        <f t="shared" ca="1" si="15"/>
        <v>0</v>
      </c>
      <c r="Q27" s="2556">
        <f t="shared" ca="1" si="15"/>
        <v>0</v>
      </c>
      <c r="R27" s="2557">
        <f t="shared" ca="1" si="15"/>
        <v>0</v>
      </c>
      <c r="T27" s="2549">
        <f t="shared" si="16"/>
        <v>2026</v>
      </c>
      <c r="U27" s="2556">
        <f t="shared" ca="1" si="17"/>
        <v>0</v>
      </c>
      <c r="V27" s="2556">
        <f t="shared" ca="1" si="17"/>
        <v>0</v>
      </c>
      <c r="W27" s="2556">
        <f t="shared" ca="1" si="17"/>
        <v>0</v>
      </c>
      <c r="X27" s="2556">
        <f ca="1">X9*X18</f>
        <v>0</v>
      </c>
      <c r="Y27" s="2556">
        <f t="shared" ca="1" si="17"/>
        <v>0</v>
      </c>
      <c r="Z27" s="2556">
        <f t="shared" ca="1" si="17"/>
        <v>0</v>
      </c>
      <c r="AA27" s="2557">
        <f t="shared" ca="1" si="17"/>
        <v>0</v>
      </c>
      <c r="AC27" s="2549">
        <f t="shared" si="18"/>
        <v>2026</v>
      </c>
      <c r="AD27" s="2556">
        <f t="shared" ca="1" si="19"/>
        <v>0</v>
      </c>
      <c r="AE27" s="2556">
        <f t="shared" ca="1" si="19"/>
        <v>0</v>
      </c>
      <c r="AF27" s="2556">
        <f t="shared" ca="1" si="19"/>
        <v>0</v>
      </c>
      <c r="AG27" s="2556">
        <f t="shared" ca="1" si="19"/>
        <v>304472.45645372727</v>
      </c>
      <c r="AH27" s="2556">
        <f t="shared" ca="1" si="19"/>
        <v>0</v>
      </c>
      <c r="AI27" s="2556">
        <f t="shared" ca="1" si="19"/>
        <v>0</v>
      </c>
      <c r="AJ27" s="2557">
        <f t="shared" ca="1" si="19"/>
        <v>0</v>
      </c>
      <c r="AL27" s="2549">
        <f t="shared" si="20"/>
        <v>2026</v>
      </c>
      <c r="AM27" s="2556">
        <f t="shared" ca="1" si="21"/>
        <v>0</v>
      </c>
      <c r="AN27" s="2556">
        <f t="shared" ca="1" si="21"/>
        <v>0</v>
      </c>
      <c r="AO27" s="2556">
        <f t="shared" ca="1" si="21"/>
        <v>0</v>
      </c>
      <c r="AP27" s="2556">
        <f t="shared" ca="1" si="21"/>
        <v>37629.418485502138</v>
      </c>
      <c r="AQ27" s="2556">
        <f t="shared" ca="1" si="21"/>
        <v>0</v>
      </c>
      <c r="AR27" s="2556">
        <f t="shared" ca="1" si="21"/>
        <v>0</v>
      </c>
      <c r="AS27" s="2557">
        <f t="shared" ca="1" si="21"/>
        <v>0</v>
      </c>
    </row>
    <row r="28" spans="2:45">
      <c r="B28" s="2549">
        <f t="shared" si="22"/>
        <v>2027</v>
      </c>
      <c r="C28" s="2556">
        <f t="shared" ca="1" si="13"/>
        <v>0</v>
      </c>
      <c r="D28" s="2556">
        <f t="shared" ca="1" si="13"/>
        <v>0</v>
      </c>
      <c r="E28" s="2556">
        <f t="shared" ca="1" si="13"/>
        <v>0</v>
      </c>
      <c r="F28" s="2556">
        <f t="shared" ca="1" si="13"/>
        <v>0</v>
      </c>
      <c r="G28" s="2556">
        <f t="shared" ca="1" si="13"/>
        <v>19525.592911244366</v>
      </c>
      <c r="H28" s="2556">
        <f t="shared" ca="1" si="13"/>
        <v>0</v>
      </c>
      <c r="I28" s="2557">
        <f t="shared" ca="1" si="13"/>
        <v>0</v>
      </c>
      <c r="K28" s="2549">
        <f t="shared" si="14"/>
        <v>2027</v>
      </c>
      <c r="L28" s="2556">
        <f t="shared" ca="1" si="15"/>
        <v>0</v>
      </c>
      <c r="M28" s="2556">
        <f t="shared" ca="1" si="15"/>
        <v>0</v>
      </c>
      <c r="N28" s="2556">
        <f t="shared" ca="1" si="15"/>
        <v>0</v>
      </c>
      <c r="O28" s="2556">
        <f t="shared" ca="1" si="15"/>
        <v>0</v>
      </c>
      <c r="P28" s="2556">
        <f t="shared" ca="1" si="15"/>
        <v>0</v>
      </c>
      <c r="Q28" s="2556">
        <f t="shared" ca="1" si="15"/>
        <v>0</v>
      </c>
      <c r="R28" s="2557">
        <f t="shared" ca="1" si="15"/>
        <v>0</v>
      </c>
      <c r="T28" s="2549">
        <f t="shared" si="16"/>
        <v>2027</v>
      </c>
      <c r="U28" s="2556">
        <f t="shared" ca="1" si="17"/>
        <v>0</v>
      </c>
      <c r="V28" s="2556">
        <f t="shared" ca="1" si="17"/>
        <v>0</v>
      </c>
      <c r="W28" s="2556">
        <f t="shared" ca="1" si="17"/>
        <v>0</v>
      </c>
      <c r="X28" s="2556">
        <f t="shared" ca="1" si="17"/>
        <v>0</v>
      </c>
      <c r="Y28" s="2556">
        <f ca="1">Y10*Y19</f>
        <v>0</v>
      </c>
      <c r="Z28" s="2556">
        <f t="shared" ca="1" si="17"/>
        <v>0</v>
      </c>
      <c r="AA28" s="2557">
        <f t="shared" ca="1" si="17"/>
        <v>0</v>
      </c>
      <c r="AC28" s="2549">
        <f t="shared" si="18"/>
        <v>2027</v>
      </c>
      <c r="AD28" s="2556">
        <f t="shared" ca="1" si="19"/>
        <v>0</v>
      </c>
      <c r="AE28" s="2556">
        <f t="shared" ca="1" si="19"/>
        <v>0</v>
      </c>
      <c r="AF28" s="2556">
        <f t="shared" ca="1" si="19"/>
        <v>0</v>
      </c>
      <c r="AG28" s="2556">
        <f t="shared" ca="1" si="19"/>
        <v>0</v>
      </c>
      <c r="AH28" s="2556">
        <f t="shared" ca="1" si="19"/>
        <v>311253.98651632172</v>
      </c>
      <c r="AI28" s="2556">
        <f t="shared" ca="1" si="19"/>
        <v>0</v>
      </c>
      <c r="AJ28" s="2557">
        <f t="shared" ca="1" si="19"/>
        <v>0</v>
      </c>
      <c r="AL28" s="2549">
        <f t="shared" si="20"/>
        <v>2027</v>
      </c>
      <c r="AM28" s="2556">
        <f t="shared" ca="1" si="21"/>
        <v>0</v>
      </c>
      <c r="AN28" s="2556">
        <f t="shared" ca="1" si="21"/>
        <v>0</v>
      </c>
      <c r="AO28" s="2556">
        <f t="shared" ca="1" si="21"/>
        <v>0</v>
      </c>
      <c r="AP28" s="2556">
        <f t="shared" ca="1" si="21"/>
        <v>0</v>
      </c>
      <c r="AQ28" s="2556">
        <f t="shared" ca="1" si="21"/>
        <v>38467.540382206978</v>
      </c>
      <c r="AR28" s="2556">
        <f t="shared" ca="1" si="21"/>
        <v>0</v>
      </c>
      <c r="AS28" s="2557">
        <f t="shared" ca="1" si="21"/>
        <v>0</v>
      </c>
    </row>
    <row r="29" spans="2:45">
      <c r="B29" s="2549">
        <f t="shared" si="22"/>
        <v>2028</v>
      </c>
      <c r="C29" s="2556">
        <f t="shared" ca="1" si="13"/>
        <v>0</v>
      </c>
      <c r="D29" s="2556">
        <f t="shared" ca="1" si="13"/>
        <v>0</v>
      </c>
      <c r="E29" s="2556">
        <f t="shared" ca="1" si="13"/>
        <v>0</v>
      </c>
      <c r="F29" s="2556">
        <f t="shared" ca="1" si="13"/>
        <v>0</v>
      </c>
      <c r="G29" s="2556">
        <f t="shared" ca="1" si="13"/>
        <v>0</v>
      </c>
      <c r="H29" s="2556">
        <f ca="1">H11*H20</f>
        <v>20165.865382976386</v>
      </c>
      <c r="I29" s="2557">
        <f t="shared" ca="1" si="13"/>
        <v>0</v>
      </c>
      <c r="K29" s="2549">
        <f t="shared" si="14"/>
        <v>2028</v>
      </c>
      <c r="L29" s="2556">
        <f t="shared" ca="1" si="15"/>
        <v>0</v>
      </c>
      <c r="M29" s="2556">
        <f t="shared" ca="1" si="15"/>
        <v>0</v>
      </c>
      <c r="N29" s="2556">
        <f t="shared" ca="1" si="15"/>
        <v>0</v>
      </c>
      <c r="O29" s="2556">
        <f t="shared" ca="1" si="15"/>
        <v>0</v>
      </c>
      <c r="P29" s="2556">
        <f t="shared" ca="1" si="15"/>
        <v>0</v>
      </c>
      <c r="Q29" s="2556">
        <f t="shared" ca="1" si="15"/>
        <v>0</v>
      </c>
      <c r="R29" s="2557">
        <f t="shared" ca="1" si="15"/>
        <v>0</v>
      </c>
      <c r="T29" s="2549">
        <f t="shared" si="16"/>
        <v>2028</v>
      </c>
      <c r="U29" s="2556">
        <f t="shared" ca="1" si="17"/>
        <v>0</v>
      </c>
      <c r="V29" s="2556">
        <f t="shared" ca="1" si="17"/>
        <v>0</v>
      </c>
      <c r="W29" s="2556">
        <f t="shared" ca="1" si="17"/>
        <v>0</v>
      </c>
      <c r="X29" s="2556">
        <f t="shared" ca="1" si="17"/>
        <v>0</v>
      </c>
      <c r="Y29" s="2556">
        <f t="shared" ca="1" si="17"/>
        <v>0</v>
      </c>
      <c r="Z29" s="2556">
        <f ca="1">Z11*Z20</f>
        <v>0</v>
      </c>
      <c r="AA29" s="2557">
        <f t="shared" ca="1" si="17"/>
        <v>0</v>
      </c>
      <c r="AC29" s="2549">
        <f t="shared" si="18"/>
        <v>2028</v>
      </c>
      <c r="AD29" s="2556">
        <f t="shared" ca="1" si="19"/>
        <v>0</v>
      </c>
      <c r="AE29" s="2556">
        <f t="shared" ca="1" si="19"/>
        <v>0</v>
      </c>
      <c r="AF29" s="2556">
        <f t="shared" ca="1" si="19"/>
        <v>0</v>
      </c>
      <c r="AG29" s="2556">
        <f t="shared" ca="1" si="19"/>
        <v>0</v>
      </c>
      <c r="AH29" s="2556">
        <f t="shared" ca="1" si="19"/>
        <v>0</v>
      </c>
      <c r="AI29" s="2556">
        <f t="shared" ca="1" si="19"/>
        <v>321460.45554336393</v>
      </c>
      <c r="AJ29" s="2557">
        <f t="shared" ca="1" si="19"/>
        <v>0</v>
      </c>
      <c r="AL29" s="2549">
        <f t="shared" si="20"/>
        <v>2028</v>
      </c>
      <c r="AM29" s="2556">
        <f t="shared" ca="1" si="21"/>
        <v>0</v>
      </c>
      <c r="AN29" s="2556">
        <f t="shared" ca="1" si="21"/>
        <v>0</v>
      </c>
      <c r="AO29" s="2556">
        <f t="shared" ca="1" si="21"/>
        <v>0</v>
      </c>
      <c r="AP29" s="2556">
        <f t="shared" ca="1" si="21"/>
        <v>0</v>
      </c>
      <c r="AQ29" s="2556">
        <f t="shared" ca="1" si="21"/>
        <v>0</v>
      </c>
      <c r="AR29" s="2556">
        <f t="shared" ca="1" si="21"/>
        <v>39728.946746352944</v>
      </c>
      <c r="AS29" s="2557">
        <f t="shared" ca="1" si="21"/>
        <v>0</v>
      </c>
    </row>
    <row r="30" spans="2:45">
      <c r="B30" s="2560">
        <f t="shared" si="22"/>
        <v>2029</v>
      </c>
      <c r="C30" s="2561"/>
      <c r="D30" s="2561"/>
      <c r="E30" s="2561"/>
      <c r="F30" s="2561"/>
      <c r="G30" s="2561"/>
      <c r="H30" s="2561">
        <f ca="1">H12*H21</f>
        <v>0</v>
      </c>
      <c r="I30" s="2562">
        <f ca="1">I12*I21</f>
        <v>20663.731351614879</v>
      </c>
      <c r="K30" s="2549">
        <f t="shared" si="14"/>
        <v>2029</v>
      </c>
      <c r="L30" s="2561"/>
      <c r="M30" s="2561"/>
      <c r="N30" s="2561"/>
      <c r="O30" s="2561"/>
      <c r="P30" s="2561"/>
      <c r="Q30" s="2561">
        <f ca="1">Q12*Q21</f>
        <v>0</v>
      </c>
      <c r="R30" s="2562">
        <f ca="1">R12*R21</f>
        <v>0</v>
      </c>
      <c r="T30" s="2549">
        <f t="shared" si="16"/>
        <v>2029</v>
      </c>
      <c r="U30" s="2561">
        <f t="shared" ca="1" si="17"/>
        <v>0</v>
      </c>
      <c r="V30" s="2561">
        <f t="shared" ca="1" si="17"/>
        <v>0</v>
      </c>
      <c r="W30" s="2561">
        <f t="shared" ca="1" si="17"/>
        <v>0</v>
      </c>
      <c r="X30" s="2561">
        <f t="shared" ca="1" si="17"/>
        <v>0</v>
      </c>
      <c r="Y30" s="2561">
        <f t="shared" ca="1" si="17"/>
        <v>0</v>
      </c>
      <c r="Z30" s="2561">
        <f t="shared" ca="1" si="17"/>
        <v>0</v>
      </c>
      <c r="AA30" s="2562">
        <f ca="1">AA12*AA21</f>
        <v>0</v>
      </c>
      <c r="AC30" s="2549">
        <f t="shared" si="18"/>
        <v>2029</v>
      </c>
      <c r="AD30" s="2561">
        <f t="shared" ca="1" si="19"/>
        <v>0</v>
      </c>
      <c r="AE30" s="2561">
        <f t="shared" ca="1" si="19"/>
        <v>0</v>
      </c>
      <c r="AF30" s="2561">
        <f t="shared" ca="1" si="19"/>
        <v>0</v>
      </c>
      <c r="AG30" s="2561">
        <f t="shared" ca="1" si="19"/>
        <v>0</v>
      </c>
      <c r="AH30" s="2561">
        <f t="shared" ca="1" si="19"/>
        <v>0</v>
      </c>
      <c r="AI30" s="2561">
        <f t="shared" ca="1" si="19"/>
        <v>0</v>
      </c>
      <c r="AJ30" s="2562">
        <f ca="1">AJ12*AJ21</f>
        <v>329396.84795889462</v>
      </c>
      <c r="AL30" s="2549">
        <f t="shared" si="20"/>
        <v>2029</v>
      </c>
      <c r="AM30" s="2561">
        <f t="shared" ca="1" si="21"/>
        <v>0</v>
      </c>
      <c r="AN30" s="2561">
        <f t="shared" ca="1" si="21"/>
        <v>0</v>
      </c>
      <c r="AO30" s="2561">
        <f t="shared" ca="1" si="21"/>
        <v>0</v>
      </c>
      <c r="AP30" s="2561">
        <f t="shared" ca="1" si="21"/>
        <v>0</v>
      </c>
      <c r="AQ30" s="2561">
        <f t="shared" ca="1" si="21"/>
        <v>0</v>
      </c>
      <c r="AR30" s="2561">
        <f t="shared" ca="1" si="21"/>
        <v>0</v>
      </c>
      <c r="AS30" s="2562">
        <f ca="1">AS12*AS21</f>
        <v>40709.796820436917</v>
      </c>
    </row>
    <row r="31" spans="2:45">
      <c r="B31" s="2560"/>
      <c r="C31" s="2563">
        <f t="shared" ref="C31:I31" ca="1" si="23">SUM(C24:C30)</f>
        <v>11610.859655242748</v>
      </c>
      <c r="D31" s="2563">
        <f t="shared" ca="1" si="23"/>
        <v>16123.784229307716</v>
      </c>
      <c r="E31" s="2563">
        <f t="shared" ca="1" si="23"/>
        <v>18115.386681293669</v>
      </c>
      <c r="F31" s="2563">
        <f t="shared" ca="1" si="23"/>
        <v>19100.17379677901</v>
      </c>
      <c r="G31" s="2563">
        <f t="shared" ca="1" si="23"/>
        <v>19525.592911244366</v>
      </c>
      <c r="H31" s="2563">
        <f t="shared" ca="1" si="23"/>
        <v>20165.865382976386</v>
      </c>
      <c r="I31" s="2564">
        <f t="shared" ca="1" si="23"/>
        <v>20663.731351614879</v>
      </c>
      <c r="K31" s="2560"/>
      <c r="L31" s="2563">
        <f t="shared" ref="L31:R31" ca="1" si="24">SUM(L24:L30)</f>
        <v>0</v>
      </c>
      <c r="M31" s="2563">
        <f t="shared" ca="1" si="24"/>
        <v>0</v>
      </c>
      <c r="N31" s="2563">
        <f t="shared" ca="1" si="24"/>
        <v>0</v>
      </c>
      <c r="O31" s="2563">
        <f t="shared" ca="1" si="24"/>
        <v>0</v>
      </c>
      <c r="P31" s="2563">
        <f t="shared" ca="1" si="24"/>
        <v>0</v>
      </c>
      <c r="Q31" s="2563">
        <f t="shared" ca="1" si="24"/>
        <v>0</v>
      </c>
      <c r="R31" s="2564">
        <f t="shared" ca="1" si="24"/>
        <v>0</v>
      </c>
      <c r="T31" s="2560"/>
      <c r="U31" s="2563">
        <f t="shared" ref="U31:AA31" ca="1" si="25">SUM(U24:U30)</f>
        <v>0</v>
      </c>
      <c r="V31" s="2563">
        <f t="shared" ca="1" si="25"/>
        <v>0</v>
      </c>
      <c r="W31" s="2563">
        <f t="shared" ca="1" si="25"/>
        <v>0</v>
      </c>
      <c r="X31" s="2563">
        <f t="shared" ca="1" si="25"/>
        <v>0</v>
      </c>
      <c r="Y31" s="2563">
        <f t="shared" ca="1" si="25"/>
        <v>0</v>
      </c>
      <c r="Z31" s="2563">
        <f t="shared" ca="1" si="25"/>
        <v>0</v>
      </c>
      <c r="AA31" s="2564">
        <f t="shared" ca="1" si="25"/>
        <v>0</v>
      </c>
      <c r="AC31" s="2560"/>
      <c r="AD31" s="2563">
        <f ca="1">SUM(AD24:AD30)</f>
        <v>213982.78038355874</v>
      </c>
      <c r="AE31" s="2563">
        <f t="shared" ref="AE31:AJ31" ca="1" si="26">SUM(AE24:AE30)</f>
        <v>260855.43119024066</v>
      </c>
      <c r="AF31" s="2563">
        <f t="shared" ca="1" si="26"/>
        <v>289945.13302731473</v>
      </c>
      <c r="AG31" s="2563">
        <f t="shared" ca="1" si="26"/>
        <v>304472.45645372727</v>
      </c>
      <c r="AH31" s="2563">
        <f t="shared" ca="1" si="26"/>
        <v>311253.98651632172</v>
      </c>
      <c r="AI31" s="2563">
        <f t="shared" ca="1" si="26"/>
        <v>321460.45554336393</v>
      </c>
      <c r="AJ31" s="2564">
        <f t="shared" ca="1" si="26"/>
        <v>329396.84795889462</v>
      </c>
      <c r="AL31" s="2560"/>
      <c r="AM31" s="2563">
        <f t="shared" ref="AM31:AS31" ca="1" si="27">SUM(AM24:AM30)</f>
        <v>29206.487217512647</v>
      </c>
      <c r="AN31" s="2563">
        <f t="shared" ca="1" si="27"/>
        <v>32342.439614818897</v>
      </c>
      <c r="AO31" s="2563">
        <f t="shared" ca="1" si="27"/>
        <v>35867.970898328378</v>
      </c>
      <c r="AP31" s="2563">
        <f t="shared" ca="1" si="27"/>
        <v>37629.418485502138</v>
      </c>
      <c r="AQ31" s="2563">
        <f t="shared" ca="1" si="27"/>
        <v>38467.540382206978</v>
      </c>
      <c r="AR31" s="2563">
        <f t="shared" ca="1" si="27"/>
        <v>39728.946746352944</v>
      </c>
      <c r="AS31" s="2564">
        <f t="shared" ca="1" si="27"/>
        <v>40709.796820436917</v>
      </c>
    </row>
    <row r="33" spans="2:45">
      <c r="B33" s="2538" t="s">
        <v>264</v>
      </c>
      <c r="C33" s="2550">
        <f t="shared" ref="C33:I33" si="28">C5</f>
        <v>2023</v>
      </c>
      <c r="D33" s="2550">
        <f t="shared" si="28"/>
        <v>2024</v>
      </c>
      <c r="E33" s="2550">
        <f t="shared" si="28"/>
        <v>2025</v>
      </c>
      <c r="F33" s="2550">
        <f t="shared" si="28"/>
        <v>2026</v>
      </c>
      <c r="G33" s="2550">
        <f t="shared" si="28"/>
        <v>2027</v>
      </c>
      <c r="H33" s="2550">
        <f t="shared" si="28"/>
        <v>2028</v>
      </c>
      <c r="I33" s="2551">
        <f t="shared" si="28"/>
        <v>2029</v>
      </c>
      <c r="K33" s="2538" t="s">
        <v>264</v>
      </c>
      <c r="L33" s="2550">
        <f t="shared" ref="L33:R33" si="29">L5</f>
        <v>2023</v>
      </c>
      <c r="M33" s="2550">
        <f t="shared" si="29"/>
        <v>2024</v>
      </c>
      <c r="N33" s="2550">
        <f t="shared" si="29"/>
        <v>2025</v>
      </c>
      <c r="O33" s="2550">
        <f t="shared" si="29"/>
        <v>2026</v>
      </c>
      <c r="P33" s="2550">
        <f t="shared" si="29"/>
        <v>2027</v>
      </c>
      <c r="Q33" s="2550">
        <f t="shared" si="29"/>
        <v>2028</v>
      </c>
      <c r="R33" s="2551">
        <f t="shared" si="29"/>
        <v>2029</v>
      </c>
      <c r="T33" s="2538" t="s">
        <v>264</v>
      </c>
      <c r="U33" s="2550">
        <f t="shared" ref="U33:AA33" si="30">U5</f>
        <v>2023</v>
      </c>
      <c r="V33" s="2550">
        <f t="shared" si="30"/>
        <v>2024</v>
      </c>
      <c r="W33" s="2550">
        <f t="shared" si="30"/>
        <v>2025</v>
      </c>
      <c r="X33" s="2550">
        <f t="shared" si="30"/>
        <v>2026</v>
      </c>
      <c r="Y33" s="2550">
        <f t="shared" si="30"/>
        <v>2027</v>
      </c>
      <c r="Z33" s="2550">
        <f t="shared" si="30"/>
        <v>2028</v>
      </c>
      <c r="AA33" s="2551">
        <f t="shared" si="30"/>
        <v>2029</v>
      </c>
      <c r="AC33" s="2538" t="s">
        <v>264</v>
      </c>
      <c r="AD33" s="2550">
        <f t="shared" ref="AD33:AJ33" si="31">AD5</f>
        <v>2023</v>
      </c>
      <c r="AE33" s="2550">
        <f t="shared" si="31"/>
        <v>2024</v>
      </c>
      <c r="AF33" s="2550">
        <f t="shared" si="31"/>
        <v>2025</v>
      </c>
      <c r="AG33" s="2550">
        <f t="shared" si="31"/>
        <v>2026</v>
      </c>
      <c r="AH33" s="2550">
        <f t="shared" si="31"/>
        <v>2027</v>
      </c>
      <c r="AI33" s="2550">
        <f t="shared" si="31"/>
        <v>2028</v>
      </c>
      <c r="AJ33" s="2551">
        <f t="shared" si="31"/>
        <v>2029</v>
      </c>
      <c r="AL33" s="2538" t="s">
        <v>264</v>
      </c>
      <c r="AM33" s="2550">
        <f t="shared" ref="AM33:AS33" si="32">AM5</f>
        <v>2023</v>
      </c>
      <c r="AN33" s="2550">
        <f t="shared" si="32"/>
        <v>2024</v>
      </c>
      <c r="AO33" s="2550">
        <f t="shared" si="32"/>
        <v>2025</v>
      </c>
      <c r="AP33" s="2550">
        <f t="shared" si="32"/>
        <v>2026</v>
      </c>
      <c r="AQ33" s="2550">
        <f t="shared" si="32"/>
        <v>2027</v>
      </c>
      <c r="AR33" s="2550">
        <f t="shared" si="32"/>
        <v>2028</v>
      </c>
      <c r="AS33" s="2551">
        <f t="shared" si="32"/>
        <v>2029</v>
      </c>
    </row>
    <row r="34" spans="2:45">
      <c r="B34" s="2549" t="str">
        <f>T34</f>
        <v>2019/2020</v>
      </c>
      <c r="C34" s="2556"/>
      <c r="I34" s="2547"/>
      <c r="K34" s="2549">
        <v>2018</v>
      </c>
      <c r="L34" s="2558"/>
      <c r="R34" s="2547"/>
      <c r="T34" s="2901" t="s">
        <v>1210</v>
      </c>
      <c r="U34" s="2565">
        <f>+'Inv. start'!C82++'Inv. start'!D82</f>
        <v>7200</v>
      </c>
      <c r="V34" s="2566"/>
      <c r="W34" s="2566"/>
      <c r="X34" s="2566"/>
      <c r="Y34" s="2566"/>
      <c r="Z34" s="2566"/>
      <c r="AA34" s="2547"/>
      <c r="AC34" s="2549">
        <f>AC132</f>
        <v>2018</v>
      </c>
      <c r="AD34" s="2558"/>
      <c r="AJ34" s="2547"/>
      <c r="AL34" s="2549">
        <f>AL132</f>
        <v>2018</v>
      </c>
      <c r="AM34" s="2567"/>
      <c r="AS34" s="2547"/>
    </row>
    <row r="35" spans="2:45">
      <c r="B35" s="2549">
        <f t="shared" ref="B35:B43" si="33">T35</f>
        <v>2019</v>
      </c>
      <c r="C35" s="2556"/>
      <c r="D35" s="2556"/>
      <c r="E35" s="2556"/>
      <c r="F35" s="2556"/>
      <c r="G35" s="2556"/>
      <c r="H35" s="2556"/>
      <c r="I35" s="2557"/>
      <c r="K35" s="2549">
        <f>B35</f>
        <v>2019</v>
      </c>
      <c r="L35" s="2558"/>
      <c r="M35" s="2556"/>
      <c r="N35" s="2556"/>
      <c r="O35" s="2556"/>
      <c r="P35" s="2556"/>
      <c r="Q35" s="2556"/>
      <c r="R35" s="2557"/>
      <c r="T35" s="2549">
        <f>T133</f>
        <v>2019</v>
      </c>
      <c r="U35" s="2565">
        <f>'Inv. start'!C9</f>
        <v>20183</v>
      </c>
      <c r="V35" s="2556"/>
      <c r="W35" s="2556"/>
      <c r="X35" s="2556"/>
      <c r="Y35" s="2556"/>
      <c r="Z35" s="2556"/>
      <c r="AA35" s="2557"/>
      <c r="AC35" s="2549">
        <f>AC133</f>
        <v>2019</v>
      </c>
      <c r="AD35" s="2565"/>
      <c r="AE35" s="2565"/>
      <c r="AF35" s="2556">
        <f>'Prod info'!R178</f>
        <v>0</v>
      </c>
      <c r="AG35" s="2556">
        <f>'Prod info'!S178</f>
        <v>0</v>
      </c>
      <c r="AH35" s="2556">
        <f>'Prod info'!T178</f>
        <v>0</v>
      </c>
      <c r="AI35" s="2556">
        <f>'Prod info'!U178</f>
        <v>0</v>
      </c>
      <c r="AJ35" s="2557">
        <f>'Prod info'!V178</f>
        <v>0</v>
      </c>
      <c r="AL35" s="2297">
        <v>2019</v>
      </c>
      <c r="AM35" s="2556"/>
      <c r="AN35" s="2556"/>
      <c r="AO35" s="2556"/>
      <c r="AP35" s="2556"/>
      <c r="AQ35" s="2556"/>
      <c r="AR35" s="2556"/>
      <c r="AS35" s="2557"/>
    </row>
    <row r="36" spans="2:45">
      <c r="B36" s="2549">
        <f t="shared" si="33"/>
        <v>2020</v>
      </c>
      <c r="C36" s="2556"/>
      <c r="D36" s="2556"/>
      <c r="E36" s="2556"/>
      <c r="F36" s="2556"/>
      <c r="G36" s="2556"/>
      <c r="H36" s="2556"/>
      <c r="I36" s="2557"/>
      <c r="K36" s="2549">
        <v>2020</v>
      </c>
      <c r="L36" s="2558"/>
      <c r="M36" s="2556"/>
      <c r="N36" s="2556"/>
      <c r="O36" s="2556"/>
      <c r="P36" s="2556"/>
      <c r="Q36" s="2556"/>
      <c r="R36" s="2557"/>
      <c r="T36" s="2549">
        <f>T134</f>
        <v>2020</v>
      </c>
      <c r="U36" s="2565">
        <f>'Inv. start'!D9</f>
        <v>16025</v>
      </c>
      <c r="V36" s="2556"/>
      <c r="W36" s="2556"/>
      <c r="X36" s="2556"/>
      <c r="Y36" s="2556"/>
      <c r="Z36" s="2556"/>
      <c r="AA36" s="2557"/>
      <c r="AC36" s="2549">
        <f>AC134</f>
        <v>2020</v>
      </c>
      <c r="AD36" s="2565">
        <f>'Inv. start'!D83</f>
        <v>9225</v>
      </c>
      <c r="AE36" s="2565"/>
      <c r="AF36" s="2556">
        <f>'Prod info'!R179</f>
        <v>0</v>
      </c>
      <c r="AG36" s="2556">
        <f>'Prod info'!S179</f>
        <v>0</v>
      </c>
      <c r="AH36" s="2556">
        <f>'Prod info'!T179</f>
        <v>0</v>
      </c>
      <c r="AI36" s="2556">
        <f>'Prod info'!U179</f>
        <v>0</v>
      </c>
      <c r="AJ36" s="2557">
        <f>'Prod info'!V179</f>
        <v>0</v>
      </c>
      <c r="AL36" s="2549">
        <f>AL134</f>
        <v>2020</v>
      </c>
      <c r="AM36" s="2556">
        <f>'Prod info'!P233</f>
        <v>0</v>
      </c>
      <c r="AN36" s="2556">
        <f>'Prod info'!Q233</f>
        <v>0</v>
      </c>
      <c r="AO36" s="2556">
        <f>'Prod info'!R233</f>
        <v>0</v>
      </c>
      <c r="AP36" s="2556">
        <f>'Prod info'!S233</f>
        <v>0</v>
      </c>
      <c r="AQ36" s="2556">
        <f>'Prod info'!T233</f>
        <v>0</v>
      </c>
      <c r="AR36" s="2556">
        <f>'Prod info'!U233</f>
        <v>0</v>
      </c>
      <c r="AS36" s="2557">
        <f>'Prod info'!V233</f>
        <v>0</v>
      </c>
    </row>
    <row r="37" spans="2:45">
      <c r="B37" s="2549">
        <f t="shared" si="33"/>
        <v>2021</v>
      </c>
      <c r="C37" s="2556"/>
      <c r="D37" s="2556"/>
      <c r="E37" s="2556"/>
      <c r="F37" s="2556"/>
      <c r="G37" s="2556"/>
      <c r="H37" s="2556"/>
      <c r="I37" s="2557"/>
      <c r="K37" s="2549">
        <f t="shared" ref="K37:K45" si="34">B37</f>
        <v>2021</v>
      </c>
      <c r="L37" s="2558"/>
      <c r="M37" s="2556"/>
      <c r="N37" s="2556"/>
      <c r="O37" s="2556"/>
      <c r="P37" s="2556"/>
      <c r="Q37" s="2556"/>
      <c r="R37" s="2557"/>
      <c r="T37" s="2549">
        <v>2021</v>
      </c>
      <c r="U37" s="2565">
        <f>'Inv. start'!E9+'Inv. start'!E66</f>
        <v>0</v>
      </c>
      <c r="V37" s="2556"/>
      <c r="W37" s="2556"/>
      <c r="X37" s="2556"/>
      <c r="Y37" s="2556"/>
      <c r="Z37" s="2556"/>
      <c r="AA37" s="2557"/>
      <c r="AC37" s="2549">
        <f>AC135</f>
        <v>2021</v>
      </c>
      <c r="AD37" s="2565">
        <f>'Prod info'!P180+'Inv. start'!E83</f>
        <v>18900</v>
      </c>
      <c r="AE37" s="2565"/>
      <c r="AF37" s="2556">
        <f>'Prod info'!R180</f>
        <v>0</v>
      </c>
      <c r="AG37" s="2556">
        <f>'Prod info'!S180</f>
        <v>0</v>
      </c>
      <c r="AH37" s="2556">
        <f>'Prod info'!T180</f>
        <v>0</v>
      </c>
      <c r="AI37" s="2556">
        <f>'Prod info'!U180</f>
        <v>0</v>
      </c>
      <c r="AJ37" s="2557">
        <f>'Prod info'!V180</f>
        <v>0</v>
      </c>
      <c r="AL37" s="2549">
        <f>AL135</f>
        <v>2021</v>
      </c>
      <c r="AM37" s="2556">
        <f>'Prod info'!P234</f>
        <v>0</v>
      </c>
      <c r="AN37" s="2556">
        <f>'Prod info'!Q234</f>
        <v>0</v>
      </c>
      <c r="AO37" s="2556">
        <f>'Prod info'!R234</f>
        <v>0</v>
      </c>
      <c r="AP37" s="2556">
        <f>'Prod info'!S234</f>
        <v>0</v>
      </c>
      <c r="AQ37" s="2556">
        <f>'Prod info'!T234</f>
        <v>0</v>
      </c>
      <c r="AR37" s="2556">
        <f>'Prod info'!U234</f>
        <v>0</v>
      </c>
      <c r="AS37" s="2557">
        <f>'Prod info'!V234</f>
        <v>0</v>
      </c>
    </row>
    <row r="38" spans="2:45">
      <c r="B38" s="2549">
        <v>2022</v>
      </c>
      <c r="C38" s="2556"/>
      <c r="D38" s="2556"/>
      <c r="E38" s="2556"/>
      <c r="F38" s="2556"/>
      <c r="G38" s="2556"/>
      <c r="H38" s="2556"/>
      <c r="I38" s="2557"/>
      <c r="K38" s="2549">
        <v>2022</v>
      </c>
      <c r="L38" s="2558"/>
      <c r="M38" s="2556"/>
      <c r="N38" s="2556"/>
      <c r="O38" s="2556"/>
      <c r="P38" s="2556"/>
      <c r="Q38" s="2556"/>
      <c r="R38" s="2557"/>
      <c r="T38" s="2549">
        <v>2022</v>
      </c>
      <c r="U38" s="2565"/>
      <c r="V38" s="2556"/>
      <c r="W38" s="2556"/>
      <c r="X38" s="2556"/>
      <c r="Y38" s="2556"/>
      <c r="Z38" s="2556"/>
      <c r="AA38" s="2557"/>
      <c r="AC38" s="2549">
        <v>2022</v>
      </c>
      <c r="AD38" s="2565"/>
      <c r="AE38" s="2565"/>
      <c r="AF38" s="2556">
        <f>'Prod info'!R180</f>
        <v>0</v>
      </c>
      <c r="AG38" s="2556">
        <f>'Prod info'!S180</f>
        <v>0</v>
      </c>
      <c r="AH38" s="2556">
        <f>'Prod info'!T180</f>
        <v>0</v>
      </c>
      <c r="AI38" s="2556">
        <f>'Prod info'!U180</f>
        <v>0</v>
      </c>
      <c r="AJ38" s="2557">
        <f>'Prod info'!V180</f>
        <v>0</v>
      </c>
      <c r="AL38" s="2549">
        <f>AL136</f>
        <v>2022</v>
      </c>
      <c r="AM38" s="2556">
        <f>'Prod info'!P235</f>
        <v>0</v>
      </c>
      <c r="AN38" s="2556">
        <f>'Prod info'!Q235</f>
        <v>0</v>
      </c>
      <c r="AO38" s="2556">
        <f>'Prod info'!R235</f>
        <v>0</v>
      </c>
      <c r="AP38" s="2556">
        <f>'Prod info'!S235</f>
        <v>0</v>
      </c>
      <c r="AQ38" s="2556">
        <f>'Prod info'!T235</f>
        <v>0</v>
      </c>
      <c r="AR38" s="2556">
        <f>'Prod info'!U235</f>
        <v>0</v>
      </c>
      <c r="AS38" s="2557">
        <f>'Prod info'!V235</f>
        <v>0</v>
      </c>
    </row>
    <row r="39" spans="2:45">
      <c r="B39" s="2549">
        <f t="shared" si="33"/>
        <v>2023</v>
      </c>
      <c r="C39" s="2556"/>
      <c r="D39" s="2556"/>
      <c r="E39" s="2556"/>
      <c r="F39" s="2556"/>
      <c r="G39" s="2556"/>
      <c r="H39" s="2556"/>
      <c r="I39" s="2557"/>
      <c r="K39" s="2549">
        <f t="shared" si="34"/>
        <v>2023</v>
      </c>
      <c r="L39" s="2558"/>
      <c r="M39" s="2556"/>
      <c r="N39" s="2556"/>
      <c r="O39" s="2556"/>
      <c r="P39" s="2556"/>
      <c r="Q39" s="2556"/>
      <c r="R39" s="2557"/>
      <c r="T39" s="2549">
        <f t="shared" ref="T39:T45" si="35">T6</f>
        <v>2023</v>
      </c>
      <c r="U39" s="2556">
        <f>IF(U$5-$T39+1=$U$3,'Prod info'!P109,0)</f>
        <v>0</v>
      </c>
      <c r="V39" s="2556">
        <f>IF(V$5-$T39+1=$U$3,'Prod info'!Q109,0)</f>
        <v>0</v>
      </c>
      <c r="W39" s="2556">
        <f>IF(W$5-$T39+1=$U$3,'Prod info'!R109,0)</f>
        <v>0</v>
      </c>
      <c r="X39" s="2556">
        <f>IF(X$5-$T39+1=$U$3,'Prod info'!S109,0)</f>
        <v>0</v>
      </c>
      <c r="Y39" s="2556">
        <f>IF(Y$5-$T39+1=$U$3,'Prod info'!T109,0)</f>
        <v>0</v>
      </c>
      <c r="Z39" s="2556">
        <f>IF(Z$5-$T39+1=$U$3,'Prod info'!U109,0)</f>
        <v>0</v>
      </c>
      <c r="AA39" s="2557">
        <f>IF(AA$5-$T39+1=$U$3,'Prod info'!V109,0)</f>
        <v>0</v>
      </c>
      <c r="AC39" s="2549">
        <f t="shared" ref="AC39:AC45" si="36">AC6</f>
        <v>2023</v>
      </c>
      <c r="AD39" s="2556">
        <f>'Prod info'!P182</f>
        <v>0</v>
      </c>
      <c r="AE39" s="2556">
        <f ca="1">'Prod info'!Q182</f>
        <v>31321</v>
      </c>
      <c r="AF39" s="2556">
        <f>'Prod info'!R182</f>
        <v>0</v>
      </c>
      <c r="AG39" s="2556">
        <f>'Prod info'!S182</f>
        <v>0</v>
      </c>
      <c r="AH39" s="2556">
        <f>'Prod info'!T182</f>
        <v>0</v>
      </c>
      <c r="AI39" s="2556">
        <f>'Prod info'!U182</f>
        <v>0</v>
      </c>
      <c r="AJ39" s="2557">
        <f>'Prod info'!V182</f>
        <v>0</v>
      </c>
      <c r="AL39" s="2549">
        <f t="shared" ref="AL39:AL45" si="37">AL6</f>
        <v>2023</v>
      </c>
      <c r="AM39" s="2556">
        <f>'Prod info'!P237</f>
        <v>0</v>
      </c>
      <c r="AN39" s="2556">
        <f>'Prod info'!Q237</f>
        <v>4275</v>
      </c>
      <c r="AO39" s="2556">
        <f>'Prod info'!R237</f>
        <v>4275</v>
      </c>
      <c r="AP39" s="2556">
        <f>'Prod info'!S237</f>
        <v>0</v>
      </c>
      <c r="AQ39" s="2556">
        <f>'Prod info'!T237</f>
        <v>0</v>
      </c>
      <c r="AR39" s="2556">
        <f>'Prod info'!U237</f>
        <v>0</v>
      </c>
      <c r="AS39" s="2557">
        <f>'Prod info'!V237</f>
        <v>0</v>
      </c>
    </row>
    <row r="40" spans="2:45">
      <c r="B40" s="2549">
        <f t="shared" si="33"/>
        <v>2024</v>
      </c>
      <c r="C40" s="2556"/>
      <c r="D40" s="2556"/>
      <c r="E40" s="2556"/>
      <c r="F40" s="2556"/>
      <c r="G40" s="2556"/>
      <c r="H40" s="2556"/>
      <c r="I40" s="2557"/>
      <c r="K40" s="2549">
        <f t="shared" si="34"/>
        <v>2024</v>
      </c>
      <c r="L40" s="2556"/>
      <c r="M40" s="2556"/>
      <c r="N40" s="2556"/>
      <c r="O40" s="2556"/>
      <c r="P40" s="2556"/>
      <c r="Q40" s="2556"/>
      <c r="R40" s="2557"/>
      <c r="T40" s="2549">
        <f t="shared" si="35"/>
        <v>2024</v>
      </c>
      <c r="U40" s="2556">
        <f>IF(U$5-$T40+1=$U$3,'Prod info'!P110,0)</f>
        <v>0</v>
      </c>
      <c r="V40" s="2556">
        <f>IF(V$5-$T40+1=$U$3,'Prod info'!Q110,0)</f>
        <v>0</v>
      </c>
      <c r="W40" s="2556">
        <f>IF(W$5-$T40+1=$U$3,'Prod info'!R110,0)</f>
        <v>0</v>
      </c>
      <c r="X40" s="2556">
        <f>IF(X$5-$T40+1=$U$3,'Prod info'!S110,0)</f>
        <v>0</v>
      </c>
      <c r="Y40" s="2556">
        <f>IF(Y$5-$T40+1=$U$3,'Prod info'!T110,0)</f>
        <v>0</v>
      </c>
      <c r="Z40" s="2556">
        <f>IF(Z$5-$T40+1=$U$3,'Prod info'!U110,0)</f>
        <v>0</v>
      </c>
      <c r="AA40" s="2557">
        <f>IF(AA$5-$T40+1=$U$3,'Prod info'!V110,0)</f>
        <v>0</v>
      </c>
      <c r="AC40" s="2549">
        <f t="shared" si="36"/>
        <v>2024</v>
      </c>
      <c r="AD40" s="2556">
        <f>'Prod info'!P183</f>
        <v>0</v>
      </c>
      <c r="AE40" s="2556">
        <f>'Prod info'!Q183</f>
        <v>0</v>
      </c>
      <c r="AF40" s="2556">
        <f ca="1">'Prod info'!R183</f>
        <v>45368</v>
      </c>
      <c r="AG40" s="2556">
        <f>'Prod info'!S183</f>
        <v>0</v>
      </c>
      <c r="AH40" s="2556">
        <f>'Prod info'!T183</f>
        <v>0</v>
      </c>
      <c r="AI40" s="2556">
        <f>'Prod info'!U183</f>
        <v>0</v>
      </c>
      <c r="AJ40" s="2557">
        <f>'Prod info'!V183</f>
        <v>0</v>
      </c>
      <c r="AL40" s="2549">
        <f t="shared" si="37"/>
        <v>2024</v>
      </c>
      <c r="AM40" s="2556">
        <f>'Prod info'!P238</f>
        <v>0</v>
      </c>
      <c r="AN40" s="2556">
        <f>'Prod info'!Q238</f>
        <v>0</v>
      </c>
      <c r="AO40" s="2556">
        <f>'Prod info'!R238</f>
        <v>5625</v>
      </c>
      <c r="AP40" s="2556">
        <f>'Prod info'!S238</f>
        <v>5625</v>
      </c>
      <c r="AQ40" s="2556">
        <f>'Prod info'!T238</f>
        <v>0</v>
      </c>
      <c r="AR40" s="2556">
        <f>'Prod info'!U238</f>
        <v>0</v>
      </c>
      <c r="AS40" s="2557">
        <f>'Prod info'!V238</f>
        <v>0</v>
      </c>
    </row>
    <row r="41" spans="2:45">
      <c r="B41" s="2549">
        <f t="shared" si="33"/>
        <v>2025</v>
      </c>
      <c r="C41" s="2556"/>
      <c r="D41" s="2556"/>
      <c r="E41" s="2556"/>
      <c r="F41" s="2556"/>
      <c r="G41" s="2556"/>
      <c r="H41" s="2556"/>
      <c r="I41" s="2557"/>
      <c r="K41" s="2549">
        <f t="shared" si="34"/>
        <v>2025</v>
      </c>
      <c r="L41" s="2556"/>
      <c r="M41" s="2556"/>
      <c r="N41" s="2556"/>
      <c r="O41" s="2556"/>
      <c r="P41" s="2556"/>
      <c r="Q41" s="2556"/>
      <c r="R41" s="2557"/>
      <c r="T41" s="2549">
        <f t="shared" si="35"/>
        <v>2025</v>
      </c>
      <c r="U41" s="2556">
        <f>IF(U$5-$T41+1=$U$3,'Prod info'!P111,0)</f>
        <v>0</v>
      </c>
      <c r="V41" s="2556">
        <f>IF(V$5-$T41+1=$U$3,'Prod info'!Q111,0)</f>
        <v>0</v>
      </c>
      <c r="W41" s="2556">
        <f>IF(W$5-$T41+1=$U$3,'Prod info'!R111,0)</f>
        <v>0</v>
      </c>
      <c r="X41" s="2556">
        <f>IF(X$5-$T41+1=$U$3,'Prod info'!S111,0)</f>
        <v>0</v>
      </c>
      <c r="Y41" s="2556">
        <f>IF(Y$5-$T41+1=$U$3,'Prod info'!T111,0)</f>
        <v>0</v>
      </c>
      <c r="Z41" s="2556">
        <f>IF(Z$5-$T41+1=$U$3,'Prod info'!U111,0)</f>
        <v>0</v>
      </c>
      <c r="AA41" s="2557">
        <f>IF(AA$5-$T41+1=$U$3,'Prod info'!V111,0)</f>
        <v>0</v>
      </c>
      <c r="AC41" s="2549">
        <f t="shared" si="36"/>
        <v>2025</v>
      </c>
      <c r="AD41" s="2556">
        <f>'Prod info'!P184</f>
        <v>0</v>
      </c>
      <c r="AE41" s="2556">
        <f>'Prod info'!Q184</f>
        <v>0</v>
      </c>
      <c r="AF41" s="2556">
        <f>'Prod info'!R184</f>
        <v>0</v>
      </c>
      <c r="AG41" s="2556">
        <f ca="1">'Prod info'!S184</f>
        <v>52746</v>
      </c>
      <c r="AH41" s="2556">
        <f>'Prod info'!T184</f>
        <v>0</v>
      </c>
      <c r="AI41" s="2556">
        <f>'Prod info'!U184</f>
        <v>0</v>
      </c>
      <c r="AJ41" s="2557">
        <f>'Prod info'!V184</f>
        <v>0</v>
      </c>
      <c r="AL41" s="2549">
        <f t="shared" si="37"/>
        <v>2025</v>
      </c>
      <c r="AM41" s="2556">
        <f>'Prod info'!P239</f>
        <v>0</v>
      </c>
      <c r="AN41" s="2556">
        <f>'Prod info'!Q239</f>
        <v>0</v>
      </c>
      <c r="AO41" s="2556">
        <f>'Prod info'!R239</f>
        <v>0</v>
      </c>
      <c r="AP41" s="2556">
        <f>'Prod info'!S239</f>
        <v>6525</v>
      </c>
      <c r="AQ41" s="2556">
        <f>'Prod info'!T239</f>
        <v>6525</v>
      </c>
      <c r="AR41" s="2556">
        <f>'Prod info'!U239</f>
        <v>0</v>
      </c>
      <c r="AS41" s="2557">
        <f>'Prod info'!V239</f>
        <v>0</v>
      </c>
    </row>
    <row r="42" spans="2:45">
      <c r="B42" s="2549">
        <f t="shared" si="33"/>
        <v>2026</v>
      </c>
      <c r="C42" s="2556"/>
      <c r="D42" s="2556"/>
      <c r="E42" s="2556"/>
      <c r="F42" s="2556"/>
      <c r="G42" s="2556"/>
      <c r="H42" s="2556"/>
      <c r="I42" s="2557"/>
      <c r="K42" s="2549">
        <f t="shared" si="34"/>
        <v>2026</v>
      </c>
      <c r="L42" s="2556"/>
      <c r="M42" s="2556"/>
      <c r="N42" s="2556"/>
      <c r="O42" s="2556"/>
      <c r="P42" s="2556"/>
      <c r="Q42" s="2556"/>
      <c r="R42" s="2557"/>
      <c r="T42" s="2549">
        <f t="shared" si="35"/>
        <v>2026</v>
      </c>
      <c r="U42" s="2556">
        <f>IF(U$5-$T42+1=$U$3,'Prod info'!P112,0)</f>
        <v>0</v>
      </c>
      <c r="V42" s="2556">
        <f>IF(V$5-$T42+1=$U$3,'Prod info'!Q112,0)</f>
        <v>0</v>
      </c>
      <c r="W42" s="2556">
        <f>IF(W$5-$T42+1=$U$3,'Prod info'!R112,0)</f>
        <v>0</v>
      </c>
      <c r="X42" s="2556">
        <f>IF(X$5-$T42+1=$U$3,'Prod info'!S112,0)</f>
        <v>0</v>
      </c>
      <c r="Y42" s="2556">
        <f>IF(Y$5-$T42+1=$U$3,'Prod info'!T112,0)</f>
        <v>0</v>
      </c>
      <c r="Z42" s="2556">
        <f>IF(Z$5-$T42+1=$U$3,'Prod info'!U112,0)</f>
        <v>0</v>
      </c>
      <c r="AA42" s="2557">
        <f>IF(AA$5-$T42+1=$U$3,'Prod info'!V112,0)</f>
        <v>0</v>
      </c>
      <c r="AC42" s="2549">
        <f t="shared" si="36"/>
        <v>2026</v>
      </c>
      <c r="AD42" s="2556">
        <f>'Prod info'!P185</f>
        <v>0</v>
      </c>
      <c r="AE42" s="2556">
        <f>'Prod info'!Q185</f>
        <v>0</v>
      </c>
      <c r="AF42" s="2556">
        <f>'Prod info'!R185</f>
        <v>0</v>
      </c>
      <c r="AG42" s="2556">
        <f>'Prod info'!S185</f>
        <v>0</v>
      </c>
      <c r="AH42" s="2556">
        <f ca="1">'Prod info'!T185</f>
        <v>52796</v>
      </c>
      <c r="AI42" s="2556">
        <f>'Prod info'!U185</f>
        <v>0</v>
      </c>
      <c r="AJ42" s="2557">
        <f>'Prod info'!V185</f>
        <v>0</v>
      </c>
      <c r="AL42" s="2549">
        <f t="shared" si="37"/>
        <v>2026</v>
      </c>
      <c r="AM42" s="2556">
        <f>'Prod info'!P240</f>
        <v>0</v>
      </c>
      <c r="AN42" s="2556">
        <f>'Prod info'!Q240</f>
        <v>0</v>
      </c>
      <c r="AO42" s="2556">
        <f>'Prod info'!R240</f>
        <v>0</v>
      </c>
      <c r="AP42" s="2556">
        <f>'Prod info'!S240</f>
        <v>0</v>
      </c>
      <c r="AQ42" s="2556">
        <f>'Prod info'!T240</f>
        <v>6525</v>
      </c>
      <c r="AR42" s="2556">
        <f>'Prod info'!U240</f>
        <v>6525</v>
      </c>
      <c r="AS42" s="2557">
        <f>'Prod info'!V240</f>
        <v>0</v>
      </c>
    </row>
    <row r="43" spans="2:45">
      <c r="B43" s="2549">
        <f t="shared" si="33"/>
        <v>2027</v>
      </c>
      <c r="C43" s="2556"/>
      <c r="D43" s="2556"/>
      <c r="E43" s="2556"/>
      <c r="F43" s="2556"/>
      <c r="G43" s="2556"/>
      <c r="H43" s="2556"/>
      <c r="I43" s="2557"/>
      <c r="K43" s="2549">
        <f t="shared" si="34"/>
        <v>2027</v>
      </c>
      <c r="L43" s="2556"/>
      <c r="M43" s="2556"/>
      <c r="N43" s="2556"/>
      <c r="O43" s="2556"/>
      <c r="P43" s="2556"/>
      <c r="Q43" s="2556"/>
      <c r="R43" s="2557"/>
      <c r="T43" s="2549">
        <f t="shared" si="35"/>
        <v>2027</v>
      </c>
      <c r="U43" s="2556">
        <f>IF(U$5-$T43+1=$U$3,'Prod info'!P113,0)</f>
        <v>0</v>
      </c>
      <c r="V43" s="2556">
        <f>IF(V$5-$T43+1=$U$3,'Prod info'!Q113,0)</f>
        <v>0</v>
      </c>
      <c r="W43" s="2556">
        <f>IF(W$5-$T43+1=$U$3,'Prod info'!R113,0)</f>
        <v>0</v>
      </c>
      <c r="X43" s="2556">
        <f>IF(X$5-$T43+1=$U$3,'Prod info'!S113,0)</f>
        <v>0</v>
      </c>
      <c r="Y43" s="2556">
        <f>IF(Y$5-$T43+1=$U$3,'Prod info'!T113,0)</f>
        <v>0</v>
      </c>
      <c r="Z43" s="2556">
        <f>IF(Z$5-$T43+1=$U$3,'Prod info'!U113,0)</f>
        <v>0</v>
      </c>
      <c r="AA43" s="2557">
        <f>IF(AA$5-$T43+1=$U$3,'Prod info'!V113,0)</f>
        <v>0</v>
      </c>
      <c r="AC43" s="2549">
        <f t="shared" si="36"/>
        <v>2027</v>
      </c>
      <c r="AD43" s="2556">
        <f>'Prod info'!P186</f>
        <v>0</v>
      </c>
      <c r="AE43" s="2556">
        <f>'Prod info'!Q186</f>
        <v>0</v>
      </c>
      <c r="AF43" s="2556">
        <f>'Prod info'!R186</f>
        <v>0</v>
      </c>
      <c r="AG43" s="2556">
        <f>'Prod info'!S186</f>
        <v>0</v>
      </c>
      <c r="AH43" s="2556">
        <f>'Prod info'!T186</f>
        <v>0</v>
      </c>
      <c r="AI43" s="2556">
        <f ca="1">'Prod info'!U186</f>
        <v>52796</v>
      </c>
      <c r="AJ43" s="2557">
        <f>'Prod info'!V186</f>
        <v>0</v>
      </c>
      <c r="AL43" s="2549">
        <f t="shared" si="37"/>
        <v>2027</v>
      </c>
      <c r="AM43" s="2556">
        <f>'Prod info'!P241</f>
        <v>0</v>
      </c>
      <c r="AN43" s="2556">
        <f>'Prod info'!Q241</f>
        <v>0</v>
      </c>
      <c r="AO43" s="2556">
        <f>'Prod info'!R241</f>
        <v>0</v>
      </c>
      <c r="AP43" s="2556">
        <f>'Prod info'!S241</f>
        <v>0</v>
      </c>
      <c r="AQ43" s="2556">
        <f>'Prod info'!T241</f>
        <v>0</v>
      </c>
      <c r="AR43" s="2556">
        <f>'Prod info'!U241</f>
        <v>6525</v>
      </c>
      <c r="AS43" s="2557">
        <f>'Prod info'!V241</f>
        <v>6525</v>
      </c>
    </row>
    <row r="44" spans="2:45">
      <c r="B44" s="2549">
        <f>T44</f>
        <v>2028</v>
      </c>
      <c r="C44" s="2556"/>
      <c r="D44" s="2556"/>
      <c r="E44" s="2556"/>
      <c r="F44" s="2556"/>
      <c r="G44" s="2556"/>
      <c r="H44" s="2556"/>
      <c r="I44" s="2557"/>
      <c r="K44" s="2549">
        <f t="shared" si="34"/>
        <v>2028</v>
      </c>
      <c r="L44" s="2556"/>
      <c r="M44" s="2556"/>
      <c r="N44" s="2556"/>
      <c r="O44" s="2556"/>
      <c r="P44" s="2556"/>
      <c r="Q44" s="2556"/>
      <c r="R44" s="2557"/>
      <c r="T44" s="2549">
        <f t="shared" si="35"/>
        <v>2028</v>
      </c>
      <c r="U44" s="2556">
        <f>IF(U$5-$T44+1=$U$3,'Prod info'!P114,0)</f>
        <v>0</v>
      </c>
      <c r="V44" s="2556">
        <f>IF(V$5-$T44+1=$U$3,'Prod info'!Q114,0)</f>
        <v>0</v>
      </c>
      <c r="W44" s="2556">
        <f>IF(W$5-$T44+1=$U$3,'Prod info'!R114,0)</f>
        <v>0</v>
      </c>
      <c r="X44" s="2556">
        <f>IF(X$5-$T44+1=$U$3,'Prod info'!S114,0)</f>
        <v>0</v>
      </c>
      <c r="Y44" s="2556">
        <f>IF(Y$5-$T44+1=$U$3,'Prod info'!T114,0)</f>
        <v>0</v>
      </c>
      <c r="Z44" s="2556">
        <f>IF(Z$5-$T44+1=$U$3,'Prod info'!U114,0)</f>
        <v>0</v>
      </c>
      <c r="AA44" s="2557">
        <f>IF(AA$5-$T44+1=$U$3,'Prod info'!V114,0)</f>
        <v>0</v>
      </c>
      <c r="AC44" s="2549">
        <f t="shared" si="36"/>
        <v>2028</v>
      </c>
      <c r="AD44" s="2556">
        <f>'Prod info'!P187</f>
        <v>0</v>
      </c>
      <c r="AE44" s="2556">
        <f>'Prod info'!Q187</f>
        <v>0</v>
      </c>
      <c r="AF44" s="2556">
        <f>'Prod info'!R187</f>
        <v>0</v>
      </c>
      <c r="AG44" s="2556">
        <f>'Prod info'!S187</f>
        <v>0</v>
      </c>
      <c r="AH44" s="2556">
        <f>'Prod info'!T187</f>
        <v>0</v>
      </c>
      <c r="AI44" s="2556">
        <f>'Prod info'!U187</f>
        <v>0</v>
      </c>
      <c r="AJ44" s="2557">
        <f ca="1">'Prod info'!V187</f>
        <v>52796</v>
      </c>
      <c r="AL44" s="2549">
        <f t="shared" si="37"/>
        <v>2028</v>
      </c>
      <c r="AM44" s="2556">
        <f>'Prod info'!P242</f>
        <v>0</v>
      </c>
      <c r="AN44" s="2556">
        <f>'Prod info'!Q242</f>
        <v>0</v>
      </c>
      <c r="AO44" s="2556">
        <f>'Prod info'!R242</f>
        <v>0</v>
      </c>
      <c r="AP44" s="2556">
        <f>'Prod info'!S242</f>
        <v>0</v>
      </c>
      <c r="AQ44" s="2556">
        <f>'Prod info'!T242</f>
        <v>0</v>
      </c>
      <c r="AR44" s="2556">
        <f>'Prod info'!U242</f>
        <v>0</v>
      </c>
      <c r="AS44" s="2557">
        <f>'Prod info'!V242</f>
        <v>6525</v>
      </c>
    </row>
    <row r="45" spans="2:45">
      <c r="B45" s="2549">
        <f>T45</f>
        <v>2029</v>
      </c>
      <c r="C45" s="2561"/>
      <c r="D45" s="2561"/>
      <c r="E45" s="2561"/>
      <c r="F45" s="2561"/>
      <c r="G45" s="2561"/>
      <c r="H45" s="2561"/>
      <c r="I45" s="2562"/>
      <c r="K45" s="2549">
        <f t="shared" si="34"/>
        <v>2029</v>
      </c>
      <c r="L45" s="2561"/>
      <c r="M45" s="2561"/>
      <c r="N45" s="2561"/>
      <c r="O45" s="2561"/>
      <c r="P45" s="2561"/>
      <c r="Q45" s="2561"/>
      <c r="R45" s="2562"/>
      <c r="T45" s="2549">
        <f t="shared" si="35"/>
        <v>2029</v>
      </c>
      <c r="U45" s="2561">
        <f>IF(U$5-$T45+1=$U$3,'Prod info'!P115,0)</f>
        <v>0</v>
      </c>
      <c r="V45" s="2561">
        <f>IF(V$5-$T45+1=$U$3,'Prod info'!Q115,0)</f>
        <v>0</v>
      </c>
      <c r="W45" s="2561">
        <f>IF(W$5-$T45+1=$U$3,'Prod info'!R115,0)</f>
        <v>0</v>
      </c>
      <c r="X45" s="2561">
        <f>IF(X$5-$T45+1=$U$3,'Prod info'!S115,0)</f>
        <v>0</v>
      </c>
      <c r="Y45" s="2561">
        <f>IF(Y$5-$T45+1=$U$3,'Prod info'!T115,0)</f>
        <v>0</v>
      </c>
      <c r="Z45" s="2561">
        <f>IF(Z$5-$T45+1=$U$3,'Prod info'!U115,0)</f>
        <v>0</v>
      </c>
      <c r="AA45" s="2562">
        <f>IF(AA$5-$T45+1=$U$3,'Prod info'!V115,0)</f>
        <v>0</v>
      </c>
      <c r="AC45" s="2549">
        <f t="shared" si="36"/>
        <v>2029</v>
      </c>
      <c r="AD45" s="2561">
        <f>'Prod info'!P188</f>
        <v>0</v>
      </c>
      <c r="AE45" s="2561">
        <f>'Prod info'!Q188</f>
        <v>0</v>
      </c>
      <c r="AF45" s="2561">
        <f>'Prod info'!R188</f>
        <v>0</v>
      </c>
      <c r="AG45" s="2561">
        <f>'Prod info'!S188</f>
        <v>0</v>
      </c>
      <c r="AH45" s="2561">
        <f>'Prod info'!T188</f>
        <v>0</v>
      </c>
      <c r="AI45" s="2561">
        <f>'Prod info'!U188</f>
        <v>0</v>
      </c>
      <c r="AJ45" s="2562">
        <f>'Prod info'!V188</f>
        <v>0</v>
      </c>
      <c r="AL45" s="2549">
        <f t="shared" si="37"/>
        <v>2029</v>
      </c>
      <c r="AM45" s="2561">
        <f>'Prod info'!P243</f>
        <v>0</v>
      </c>
      <c r="AN45" s="2561">
        <f>'Prod info'!Q243</f>
        <v>0</v>
      </c>
      <c r="AO45" s="2561">
        <f>'Prod info'!R243</f>
        <v>0</v>
      </c>
      <c r="AP45" s="2561">
        <f>'Prod info'!S243</f>
        <v>0</v>
      </c>
      <c r="AQ45" s="2561">
        <f>'Prod info'!T243</f>
        <v>0</v>
      </c>
      <c r="AR45" s="2561">
        <f>'Prod info'!U243</f>
        <v>0</v>
      </c>
      <c r="AS45" s="2562">
        <f>'Prod info'!V243</f>
        <v>0</v>
      </c>
    </row>
    <row r="46" spans="2:45">
      <c r="B46" s="2549"/>
      <c r="C46" s="2568">
        <f t="shared" ref="C46:I46" si="38">SUM(C34:C45)</f>
        <v>0</v>
      </c>
      <c r="D46" s="2568">
        <f t="shared" si="38"/>
        <v>0</v>
      </c>
      <c r="E46" s="2568">
        <f t="shared" si="38"/>
        <v>0</v>
      </c>
      <c r="F46" s="2568">
        <f t="shared" si="38"/>
        <v>0</v>
      </c>
      <c r="G46" s="2568">
        <f t="shared" si="38"/>
        <v>0</v>
      </c>
      <c r="H46" s="2568">
        <f t="shared" si="38"/>
        <v>0</v>
      </c>
      <c r="I46" s="2569">
        <f t="shared" si="38"/>
        <v>0</v>
      </c>
      <c r="K46" s="2549"/>
      <c r="L46" s="2568">
        <f t="shared" ref="L46:R46" si="39">SUM(L34:L45)</f>
        <v>0</v>
      </c>
      <c r="M46" s="2568">
        <f t="shared" si="39"/>
        <v>0</v>
      </c>
      <c r="N46" s="2568">
        <f t="shared" si="39"/>
        <v>0</v>
      </c>
      <c r="O46" s="2568">
        <f t="shared" si="39"/>
        <v>0</v>
      </c>
      <c r="P46" s="2568">
        <f t="shared" si="39"/>
        <v>0</v>
      </c>
      <c r="Q46" s="2568">
        <f t="shared" si="39"/>
        <v>0</v>
      </c>
      <c r="R46" s="2569">
        <f t="shared" si="39"/>
        <v>0</v>
      </c>
      <c r="T46" s="2549"/>
      <c r="U46" s="2568">
        <f t="shared" ref="U46:AA46" si="40">SUM(U34:U45)</f>
        <v>43408</v>
      </c>
      <c r="V46" s="2568">
        <f t="shared" si="40"/>
        <v>0</v>
      </c>
      <c r="W46" s="2568">
        <f t="shared" si="40"/>
        <v>0</v>
      </c>
      <c r="X46" s="2568">
        <f t="shared" si="40"/>
        <v>0</v>
      </c>
      <c r="Y46" s="2568">
        <f t="shared" si="40"/>
        <v>0</v>
      </c>
      <c r="Z46" s="2568">
        <f t="shared" si="40"/>
        <v>0</v>
      </c>
      <c r="AA46" s="2753">
        <f t="shared" si="40"/>
        <v>0</v>
      </c>
      <c r="AC46" s="2549"/>
      <c r="AD46" s="2568">
        <f>SUM(AD34:AD45)</f>
        <v>28125</v>
      </c>
      <c r="AE46" s="2568">
        <f t="shared" ref="AE46:AJ46" ca="1" si="41">SUM(AE34:AE45)</f>
        <v>31321</v>
      </c>
      <c r="AF46" s="2568">
        <f t="shared" ca="1" si="41"/>
        <v>45368</v>
      </c>
      <c r="AG46" s="2568">
        <f t="shared" ca="1" si="41"/>
        <v>52746</v>
      </c>
      <c r="AH46" s="2568">
        <f t="shared" ca="1" si="41"/>
        <v>52796</v>
      </c>
      <c r="AI46" s="2568">
        <f t="shared" ca="1" si="41"/>
        <v>52796</v>
      </c>
      <c r="AJ46" s="2569">
        <f t="shared" ca="1" si="41"/>
        <v>52796</v>
      </c>
      <c r="AL46" s="2549"/>
      <c r="AM46" s="2568">
        <f t="shared" ref="AM46:AS46" si="42">SUM(AM34:AM45)</f>
        <v>0</v>
      </c>
      <c r="AN46" s="2568">
        <f t="shared" si="42"/>
        <v>4275</v>
      </c>
      <c r="AO46" s="2568">
        <f t="shared" si="42"/>
        <v>9900</v>
      </c>
      <c r="AP46" s="2568">
        <f t="shared" si="42"/>
        <v>12150</v>
      </c>
      <c r="AQ46" s="2568">
        <f t="shared" si="42"/>
        <v>13050</v>
      </c>
      <c r="AR46" s="2568">
        <f t="shared" si="42"/>
        <v>13050</v>
      </c>
      <c r="AS46" s="2569">
        <f t="shared" si="42"/>
        <v>13050</v>
      </c>
    </row>
    <row r="47" spans="2:45">
      <c r="B47" s="2570" t="s">
        <v>873</v>
      </c>
      <c r="D47" s="2556"/>
      <c r="E47" s="2556"/>
      <c r="F47" s="2556"/>
      <c r="G47" s="2556"/>
      <c r="H47" s="2556"/>
      <c r="I47" s="2557"/>
      <c r="K47" s="2570" t="s">
        <v>873</v>
      </c>
      <c r="M47" s="2556"/>
      <c r="N47" s="2556"/>
      <c r="O47" s="2556"/>
      <c r="P47" s="2556"/>
      <c r="Q47" s="2556"/>
      <c r="R47" s="2557"/>
      <c r="T47" s="2570" t="s">
        <v>873</v>
      </c>
      <c r="U47" s="2566"/>
      <c r="V47" s="2556"/>
      <c r="W47" s="2556"/>
      <c r="X47" s="2556"/>
      <c r="Y47" s="2556"/>
      <c r="Z47" s="2556"/>
      <c r="AA47" s="2557"/>
      <c r="AC47" s="2570" t="s">
        <v>873</v>
      </c>
      <c r="AE47" s="2556"/>
      <c r="AF47" s="2556"/>
      <c r="AG47" s="2556"/>
      <c r="AH47" s="2556"/>
      <c r="AI47" s="2556"/>
      <c r="AJ47" s="2557"/>
      <c r="AL47" s="2570" t="s">
        <v>873</v>
      </c>
      <c r="AN47" s="2556">
        <f t="shared" ref="AN47:AS47" si="43">IF($AD36&gt;AM37,AN37,0)</f>
        <v>0</v>
      </c>
      <c r="AO47" s="2556">
        <f t="shared" si="43"/>
        <v>0</v>
      </c>
      <c r="AP47" s="2556">
        <f t="shared" si="43"/>
        <v>0</v>
      </c>
      <c r="AQ47" s="2556">
        <f t="shared" si="43"/>
        <v>0</v>
      </c>
      <c r="AR47" s="2556">
        <f t="shared" si="43"/>
        <v>0</v>
      </c>
      <c r="AS47" s="2557">
        <f t="shared" si="43"/>
        <v>0</v>
      </c>
    </row>
    <row r="48" spans="2:45">
      <c r="B48" s="2570" t="str">
        <f>B34</f>
        <v>2019/2020</v>
      </c>
      <c r="C48" s="2556">
        <f t="shared" ref="C48:I48" si="44">IF(C34&gt;B34,C34,0)</f>
        <v>0</v>
      </c>
      <c r="D48" s="2556">
        <f t="shared" si="44"/>
        <v>0</v>
      </c>
      <c r="E48" s="2556">
        <f t="shared" si="44"/>
        <v>0</v>
      </c>
      <c r="F48" s="2556">
        <f t="shared" si="44"/>
        <v>0</v>
      </c>
      <c r="G48" s="2556">
        <f t="shared" si="44"/>
        <v>0</v>
      </c>
      <c r="H48" s="2556">
        <f t="shared" si="44"/>
        <v>0</v>
      </c>
      <c r="I48" s="2557">
        <f t="shared" si="44"/>
        <v>0</v>
      </c>
      <c r="K48" s="2570">
        <f>K34</f>
        <v>2018</v>
      </c>
      <c r="L48" s="2556">
        <f t="shared" ref="L48:R48" si="45">IF(L34&gt;K34,L34,0)</f>
        <v>0</v>
      </c>
      <c r="M48" s="2556">
        <f t="shared" si="45"/>
        <v>0</v>
      </c>
      <c r="N48" s="2556">
        <f t="shared" si="45"/>
        <v>0</v>
      </c>
      <c r="O48" s="2556">
        <f t="shared" si="45"/>
        <v>0</v>
      </c>
      <c r="P48" s="2556">
        <f t="shared" si="45"/>
        <v>0</v>
      </c>
      <c r="Q48" s="2556">
        <f t="shared" si="45"/>
        <v>0</v>
      </c>
      <c r="R48" s="2557">
        <f t="shared" si="45"/>
        <v>0</v>
      </c>
      <c r="T48" s="2901" t="str">
        <f>T34</f>
        <v>2019/2020</v>
      </c>
      <c r="U48" s="2571"/>
      <c r="V48" s="2556">
        <f t="shared" ref="V48:AA48" si="46">IF($AC34&lt;V$33,V34,IF(V34&gt;U34,V34,0))</f>
        <v>0</v>
      </c>
      <c r="W48" s="2556">
        <f t="shared" si="46"/>
        <v>0</v>
      </c>
      <c r="X48" s="2556">
        <f t="shared" si="46"/>
        <v>0</v>
      </c>
      <c r="Y48" s="2556">
        <f t="shared" si="46"/>
        <v>0</v>
      </c>
      <c r="Z48" s="2556">
        <f t="shared" si="46"/>
        <v>0</v>
      </c>
      <c r="AA48" s="2557">
        <f t="shared" si="46"/>
        <v>0</v>
      </c>
      <c r="AC48" s="2570">
        <f>AC34</f>
        <v>2018</v>
      </c>
      <c r="AD48" s="2903"/>
      <c r="AE48" s="2556">
        <f t="shared" ref="AE48:AJ48" si="47">IF($AC34&lt;AE$33,AE34,IF(AE34&gt;AD34,AE34,0))</f>
        <v>0</v>
      </c>
      <c r="AF48" s="2556">
        <f t="shared" si="47"/>
        <v>0</v>
      </c>
      <c r="AG48" s="2556">
        <f t="shared" si="47"/>
        <v>0</v>
      </c>
      <c r="AH48" s="2556">
        <f t="shared" si="47"/>
        <v>0</v>
      </c>
      <c r="AI48" s="2556">
        <f t="shared" si="47"/>
        <v>0</v>
      </c>
      <c r="AJ48" s="2557">
        <f t="shared" si="47"/>
        <v>0</v>
      </c>
      <c r="AL48" s="2570">
        <f>AL34</f>
        <v>2018</v>
      </c>
      <c r="AM48" s="2556">
        <f t="shared" ref="AM48:AS48" si="48">IF(AM34&gt;AL34,AM34,0)</f>
        <v>0</v>
      </c>
      <c r="AN48" s="2556">
        <f t="shared" si="48"/>
        <v>0</v>
      </c>
      <c r="AO48" s="2556">
        <f t="shared" si="48"/>
        <v>0</v>
      </c>
      <c r="AP48" s="2556">
        <f t="shared" si="48"/>
        <v>0</v>
      </c>
      <c r="AQ48" s="2556">
        <f t="shared" si="48"/>
        <v>0</v>
      </c>
      <c r="AR48" s="2556">
        <f t="shared" si="48"/>
        <v>0</v>
      </c>
      <c r="AS48" s="2557">
        <f t="shared" si="48"/>
        <v>0</v>
      </c>
    </row>
    <row r="49" spans="2:45">
      <c r="B49" s="2570">
        <v>2019</v>
      </c>
      <c r="C49" s="2556">
        <f t="shared" ref="C49:I49" si="49">IF(C35&gt;B35,C35,0)</f>
        <v>0</v>
      </c>
      <c r="D49" s="2556">
        <f t="shared" si="49"/>
        <v>0</v>
      </c>
      <c r="E49" s="2556">
        <f t="shared" si="49"/>
        <v>0</v>
      </c>
      <c r="F49" s="2556">
        <f t="shared" si="49"/>
        <v>0</v>
      </c>
      <c r="G49" s="2556">
        <f t="shared" si="49"/>
        <v>0</v>
      </c>
      <c r="H49" s="2556">
        <f t="shared" si="49"/>
        <v>0</v>
      </c>
      <c r="I49" s="2557">
        <f t="shared" si="49"/>
        <v>0</v>
      </c>
      <c r="K49" s="2570">
        <v>2019</v>
      </c>
      <c r="L49" s="2556">
        <f t="shared" ref="L49:R49" si="50">IF(L35&gt;K35,L35,0)</f>
        <v>0</v>
      </c>
      <c r="M49" s="2556">
        <f t="shared" si="50"/>
        <v>0</v>
      </c>
      <c r="N49" s="2556">
        <f t="shared" si="50"/>
        <v>0</v>
      </c>
      <c r="O49" s="2556">
        <f t="shared" si="50"/>
        <v>0</v>
      </c>
      <c r="P49" s="2556">
        <f t="shared" si="50"/>
        <v>0</v>
      </c>
      <c r="Q49" s="2556">
        <f t="shared" si="50"/>
        <v>0</v>
      </c>
      <c r="R49" s="2557">
        <f t="shared" si="50"/>
        <v>0</v>
      </c>
      <c r="T49" s="2549">
        <f>T133</f>
        <v>2019</v>
      </c>
      <c r="U49" s="2556">
        <f t="shared" ref="U49:AA51" si="51">IF($AC35&lt;U$33,U35,IF(U35&gt;T35,U35,0))</f>
        <v>20183</v>
      </c>
      <c r="V49" s="2556">
        <f t="shared" si="51"/>
        <v>0</v>
      </c>
      <c r="W49" s="2556">
        <f t="shared" si="51"/>
        <v>0</v>
      </c>
      <c r="X49" s="2556">
        <f t="shared" si="51"/>
        <v>0</v>
      </c>
      <c r="Y49" s="2556">
        <f t="shared" si="51"/>
        <v>0</v>
      </c>
      <c r="Z49" s="2556">
        <f t="shared" si="51"/>
        <v>0</v>
      </c>
      <c r="AA49" s="2557">
        <f t="shared" si="51"/>
        <v>0</v>
      </c>
      <c r="AC49" s="2549">
        <f>AC133</f>
        <v>2019</v>
      </c>
      <c r="AD49" s="2903"/>
      <c r="AE49" s="2556">
        <f t="shared" ref="AE49:AJ49" si="52">IF($AC35&lt;AE$33,AE35,IF(AE35&gt;AD35,AE35,0))</f>
        <v>0</v>
      </c>
      <c r="AF49" s="2556">
        <f t="shared" si="52"/>
        <v>0</v>
      </c>
      <c r="AG49" s="2556">
        <f t="shared" si="52"/>
        <v>0</v>
      </c>
      <c r="AH49" s="2556">
        <f t="shared" si="52"/>
        <v>0</v>
      </c>
      <c r="AI49" s="2556">
        <f t="shared" si="52"/>
        <v>0</v>
      </c>
      <c r="AJ49" s="2557">
        <f t="shared" si="52"/>
        <v>0</v>
      </c>
      <c r="AL49" s="2570">
        <v>2019</v>
      </c>
      <c r="AM49" s="2556"/>
      <c r="AN49" s="2556"/>
      <c r="AO49" s="2556"/>
      <c r="AP49" s="2556"/>
      <c r="AQ49" s="2556"/>
      <c r="AR49" s="2556"/>
      <c r="AS49" s="2557"/>
    </row>
    <row r="50" spans="2:45">
      <c r="B50" s="2549">
        <f t="shared" ref="B50:B59" si="53">B134</f>
        <v>2020</v>
      </c>
      <c r="C50" s="2556">
        <f t="shared" ref="C50:I50" si="54">IF(C36&gt;B36,C36,0)</f>
        <v>0</v>
      </c>
      <c r="D50" s="2556">
        <f t="shared" si="54"/>
        <v>0</v>
      </c>
      <c r="E50" s="2556">
        <f t="shared" si="54"/>
        <v>0</v>
      </c>
      <c r="F50" s="2556">
        <f t="shared" si="54"/>
        <v>0</v>
      </c>
      <c r="G50" s="2556">
        <f t="shared" si="54"/>
        <v>0</v>
      </c>
      <c r="H50" s="2556">
        <f t="shared" si="54"/>
        <v>0</v>
      </c>
      <c r="I50" s="2557">
        <f t="shared" si="54"/>
        <v>0</v>
      </c>
      <c r="K50" s="2549">
        <f t="shared" ref="K50:K59" si="55">K134</f>
        <v>2020</v>
      </c>
      <c r="L50" s="2556">
        <f t="shared" ref="L50:R50" si="56">IF(L36&gt;K36,L36,0)</f>
        <v>0</v>
      </c>
      <c r="M50" s="2556">
        <f>IF(M36&gt;L36,M36,0)</f>
        <v>0</v>
      </c>
      <c r="N50" s="2556">
        <f t="shared" si="56"/>
        <v>0</v>
      </c>
      <c r="O50" s="2556">
        <f t="shared" si="56"/>
        <v>0</v>
      </c>
      <c r="P50" s="2556">
        <f t="shared" si="56"/>
        <v>0</v>
      </c>
      <c r="Q50" s="2556">
        <f t="shared" si="56"/>
        <v>0</v>
      </c>
      <c r="R50" s="2557">
        <f t="shared" si="56"/>
        <v>0</v>
      </c>
      <c r="T50" s="2549">
        <v>2020</v>
      </c>
      <c r="U50" s="2556">
        <f t="shared" si="51"/>
        <v>16025</v>
      </c>
      <c r="V50" s="2556">
        <f t="shared" si="51"/>
        <v>0</v>
      </c>
      <c r="W50" s="2556">
        <f t="shared" si="51"/>
        <v>0</v>
      </c>
      <c r="X50" s="2556">
        <f t="shared" si="51"/>
        <v>0</v>
      </c>
      <c r="Y50" s="2556">
        <f t="shared" si="51"/>
        <v>0</v>
      </c>
      <c r="Z50" s="2556">
        <f t="shared" si="51"/>
        <v>0</v>
      </c>
      <c r="AA50" s="2557">
        <f t="shared" si="51"/>
        <v>0</v>
      </c>
      <c r="AC50" s="2549">
        <f>AC134</f>
        <v>2020</v>
      </c>
      <c r="AD50" s="2903"/>
      <c r="AE50" s="2556">
        <f t="shared" ref="AE50:AJ51" si="57">IF($AC36&lt;AE$33,IF(AD36=AE36,0,IF(AE36&lt;&gt;AD36,AE36,0)))</f>
        <v>0</v>
      </c>
      <c r="AF50" s="2556">
        <f t="shared" si="57"/>
        <v>0</v>
      </c>
      <c r="AG50" s="2556">
        <f t="shared" si="57"/>
        <v>0</v>
      </c>
      <c r="AH50" s="2556">
        <f t="shared" si="57"/>
        <v>0</v>
      </c>
      <c r="AI50" s="2556">
        <f t="shared" si="57"/>
        <v>0</v>
      </c>
      <c r="AJ50" s="2557">
        <f t="shared" si="57"/>
        <v>0</v>
      </c>
      <c r="AL50" s="2549">
        <f>AL134</f>
        <v>2020</v>
      </c>
      <c r="AM50" s="2556">
        <f t="shared" ref="AM50:AS59" si="58">IF(AM36&gt;AL36,AM36,0)</f>
        <v>0</v>
      </c>
      <c r="AN50" s="2556">
        <f t="shared" si="58"/>
        <v>0</v>
      </c>
      <c r="AO50" s="2556">
        <f t="shared" si="58"/>
        <v>0</v>
      </c>
      <c r="AP50" s="2556">
        <f t="shared" si="58"/>
        <v>0</v>
      </c>
      <c r="AQ50" s="2556">
        <f t="shared" si="58"/>
        <v>0</v>
      </c>
      <c r="AR50" s="2556">
        <f t="shared" si="58"/>
        <v>0</v>
      </c>
      <c r="AS50" s="2557">
        <f t="shared" si="58"/>
        <v>0</v>
      </c>
    </row>
    <row r="51" spans="2:45">
      <c r="B51" s="2549">
        <f t="shared" si="53"/>
        <v>2021</v>
      </c>
      <c r="C51" s="2556">
        <f t="shared" ref="C51:I51" si="59">IF(C37&gt;B37,C37,0)</f>
        <v>0</v>
      </c>
      <c r="D51" s="2556">
        <f t="shared" si="59"/>
        <v>0</v>
      </c>
      <c r="E51" s="2556">
        <f t="shared" si="59"/>
        <v>0</v>
      </c>
      <c r="F51" s="2556">
        <f t="shared" si="59"/>
        <v>0</v>
      </c>
      <c r="G51" s="2556">
        <f t="shared" si="59"/>
        <v>0</v>
      </c>
      <c r="H51" s="2556">
        <f t="shared" si="59"/>
        <v>0</v>
      </c>
      <c r="I51" s="2557">
        <f t="shared" si="59"/>
        <v>0</v>
      </c>
      <c r="K51" s="2549">
        <f t="shared" si="55"/>
        <v>2021</v>
      </c>
      <c r="L51" s="2556">
        <f t="shared" ref="L51:R51" si="60">IF(L37&gt;K37,L37,0)</f>
        <v>0</v>
      </c>
      <c r="M51" s="2556">
        <f t="shared" si="60"/>
        <v>0</v>
      </c>
      <c r="N51" s="2556">
        <f t="shared" si="60"/>
        <v>0</v>
      </c>
      <c r="O51" s="2556">
        <f t="shared" si="60"/>
        <v>0</v>
      </c>
      <c r="P51" s="2556">
        <f t="shared" si="60"/>
        <v>0</v>
      </c>
      <c r="Q51" s="2556">
        <f t="shared" si="60"/>
        <v>0</v>
      </c>
      <c r="R51" s="2557">
        <f t="shared" si="60"/>
        <v>0</v>
      </c>
      <c r="T51" s="2549">
        <v>2021</v>
      </c>
      <c r="U51" s="2556">
        <f t="shared" si="51"/>
        <v>0</v>
      </c>
      <c r="V51" s="2556">
        <f t="shared" si="51"/>
        <v>0</v>
      </c>
      <c r="W51" s="2556">
        <f t="shared" si="51"/>
        <v>0</v>
      </c>
      <c r="X51" s="2556">
        <f t="shared" si="51"/>
        <v>0</v>
      </c>
      <c r="Y51" s="2556">
        <f t="shared" si="51"/>
        <v>0</v>
      </c>
      <c r="Z51" s="2556">
        <f t="shared" si="51"/>
        <v>0</v>
      </c>
      <c r="AA51" s="2557">
        <f t="shared" si="51"/>
        <v>0</v>
      </c>
      <c r="AC51" s="2549">
        <f>AC135</f>
        <v>2021</v>
      </c>
      <c r="AD51" s="2903"/>
      <c r="AE51" s="2556">
        <f t="shared" si="57"/>
        <v>0</v>
      </c>
      <c r="AF51" s="2556">
        <f t="shared" si="57"/>
        <v>0</v>
      </c>
      <c r="AG51" s="2556">
        <f t="shared" si="57"/>
        <v>0</v>
      </c>
      <c r="AH51" s="2556">
        <f t="shared" si="57"/>
        <v>0</v>
      </c>
      <c r="AI51" s="2556">
        <f t="shared" si="57"/>
        <v>0</v>
      </c>
      <c r="AJ51" s="2557">
        <f t="shared" si="57"/>
        <v>0</v>
      </c>
      <c r="AL51" s="2549">
        <f>AL135</f>
        <v>2021</v>
      </c>
      <c r="AM51" s="2556">
        <f t="shared" si="58"/>
        <v>0</v>
      </c>
      <c r="AN51" s="2556">
        <f t="shared" si="58"/>
        <v>0</v>
      </c>
      <c r="AO51" s="2556">
        <f t="shared" si="58"/>
        <v>0</v>
      </c>
      <c r="AP51" s="2556">
        <f t="shared" si="58"/>
        <v>0</v>
      </c>
      <c r="AQ51" s="2556">
        <f t="shared" si="58"/>
        <v>0</v>
      </c>
      <c r="AR51" s="2556">
        <f t="shared" si="58"/>
        <v>0</v>
      </c>
      <c r="AS51" s="2557">
        <f t="shared" si="58"/>
        <v>0</v>
      </c>
    </row>
    <row r="52" spans="2:45">
      <c r="B52" s="2549">
        <f t="shared" si="53"/>
        <v>2022</v>
      </c>
      <c r="C52" s="2556">
        <f t="shared" ref="C52:I52" si="61">IF(C38&gt;B38,C38,0)</f>
        <v>0</v>
      </c>
      <c r="D52" s="2556">
        <f t="shared" si="61"/>
        <v>0</v>
      </c>
      <c r="E52" s="2556">
        <f t="shared" si="61"/>
        <v>0</v>
      </c>
      <c r="F52" s="2556">
        <f t="shared" si="61"/>
        <v>0</v>
      </c>
      <c r="G52" s="2556">
        <f t="shared" si="61"/>
        <v>0</v>
      </c>
      <c r="H52" s="2556">
        <f t="shared" si="61"/>
        <v>0</v>
      </c>
      <c r="I52" s="2557">
        <f t="shared" si="61"/>
        <v>0</v>
      </c>
      <c r="K52" s="2549">
        <f t="shared" si="55"/>
        <v>2022</v>
      </c>
      <c r="L52" s="2556">
        <f t="shared" ref="L52:R52" si="62">IF(L38&gt;K38,L38,0)</f>
        <v>0</v>
      </c>
      <c r="M52" s="2556">
        <f t="shared" si="62"/>
        <v>0</v>
      </c>
      <c r="N52" s="2556">
        <f t="shared" si="62"/>
        <v>0</v>
      </c>
      <c r="O52" s="2556">
        <f t="shared" si="62"/>
        <v>0</v>
      </c>
      <c r="P52" s="2556">
        <f t="shared" si="62"/>
        <v>0</v>
      </c>
      <c r="Q52" s="2556">
        <f t="shared" si="62"/>
        <v>0</v>
      </c>
      <c r="R52" s="2557">
        <f t="shared" si="62"/>
        <v>0</v>
      </c>
      <c r="T52" s="2549">
        <v>2022</v>
      </c>
      <c r="U52" s="2556">
        <f t="shared" ref="U52:AA59" si="63">IF(U38&gt;T38,U38,0)</f>
        <v>0</v>
      </c>
      <c r="V52" s="2556">
        <f t="shared" si="63"/>
        <v>0</v>
      </c>
      <c r="W52" s="2556">
        <f t="shared" si="63"/>
        <v>0</v>
      </c>
      <c r="X52" s="2556">
        <f t="shared" si="63"/>
        <v>0</v>
      </c>
      <c r="Y52" s="2556">
        <f t="shared" si="63"/>
        <v>0</v>
      </c>
      <c r="Z52" s="2556">
        <f t="shared" si="63"/>
        <v>0</v>
      </c>
      <c r="AA52" s="2557">
        <f t="shared" si="63"/>
        <v>0</v>
      </c>
      <c r="AC52" s="2549">
        <f>AC136</f>
        <v>2022</v>
      </c>
      <c r="AD52" s="2556">
        <f>IF($AC38&lt;AD$33,IF(AC38=AD38,0,IF(AD38&lt;&gt;AC38,AD38,0)))</f>
        <v>0</v>
      </c>
      <c r="AE52" s="2556">
        <f>IF($AC38&lt;AE$33,IF(AD38=AE38,0,IF(AE38&lt;&gt;AD38,AE38,0)))</f>
        <v>0</v>
      </c>
      <c r="AF52" s="2556">
        <f t="shared" ref="AF52:AJ53" si="64">IF($AC38&lt;AF$33,IF(AE38=AF38,0,IF(AF38&lt;&gt;AE38,AF38,0)))</f>
        <v>0</v>
      </c>
      <c r="AG52" s="2556">
        <f t="shared" si="64"/>
        <v>0</v>
      </c>
      <c r="AH52" s="2556">
        <f t="shared" si="64"/>
        <v>0</v>
      </c>
      <c r="AI52" s="2556">
        <f t="shared" si="64"/>
        <v>0</v>
      </c>
      <c r="AJ52" s="2557">
        <f t="shared" si="64"/>
        <v>0</v>
      </c>
      <c r="AL52" s="2549">
        <f>AL136</f>
        <v>2022</v>
      </c>
      <c r="AM52" s="2556">
        <f t="shared" si="58"/>
        <v>0</v>
      </c>
      <c r="AN52" s="2556">
        <f t="shared" si="58"/>
        <v>0</v>
      </c>
      <c r="AO52" s="2556">
        <f t="shared" si="58"/>
        <v>0</v>
      </c>
      <c r="AP52" s="2556">
        <f t="shared" si="58"/>
        <v>0</v>
      </c>
      <c r="AQ52" s="2556">
        <f t="shared" si="58"/>
        <v>0</v>
      </c>
      <c r="AR52" s="2556">
        <f t="shared" si="58"/>
        <v>0</v>
      </c>
      <c r="AS52" s="2557">
        <f t="shared" si="58"/>
        <v>0</v>
      </c>
    </row>
    <row r="53" spans="2:45">
      <c r="B53" s="2549">
        <f t="shared" si="53"/>
        <v>2023</v>
      </c>
      <c r="C53" s="2556">
        <f t="shared" ref="C53:I53" si="65">IF(C39&gt;B39,C39,0)</f>
        <v>0</v>
      </c>
      <c r="D53" s="2556">
        <f>IF(D39&gt;C39,D39,0)</f>
        <v>0</v>
      </c>
      <c r="E53" s="2556">
        <f t="shared" si="65"/>
        <v>0</v>
      </c>
      <c r="F53" s="2556">
        <f t="shared" si="65"/>
        <v>0</v>
      </c>
      <c r="G53" s="2556">
        <f t="shared" si="65"/>
        <v>0</v>
      </c>
      <c r="H53" s="2556">
        <f t="shared" si="65"/>
        <v>0</v>
      </c>
      <c r="I53" s="2557">
        <f t="shared" si="65"/>
        <v>0</v>
      </c>
      <c r="K53" s="2549">
        <f t="shared" si="55"/>
        <v>2023</v>
      </c>
      <c r="L53" s="2556">
        <f t="shared" ref="L53:R53" si="66">IF(L39&gt;K39,L39,0)</f>
        <v>0</v>
      </c>
      <c r="M53" s="2556">
        <f t="shared" si="66"/>
        <v>0</v>
      </c>
      <c r="N53" s="2556">
        <f t="shared" si="66"/>
        <v>0</v>
      </c>
      <c r="O53" s="2556">
        <f t="shared" si="66"/>
        <v>0</v>
      </c>
      <c r="P53" s="2556">
        <f t="shared" si="66"/>
        <v>0</v>
      </c>
      <c r="Q53" s="2556">
        <f t="shared" si="66"/>
        <v>0</v>
      </c>
      <c r="R53" s="2557">
        <f t="shared" si="66"/>
        <v>0</v>
      </c>
      <c r="T53" s="2549">
        <f t="shared" ref="T53:T59" si="67">T137</f>
        <v>2023</v>
      </c>
      <c r="U53" s="2556">
        <f t="shared" si="63"/>
        <v>0</v>
      </c>
      <c r="V53" s="2556">
        <f t="shared" si="63"/>
        <v>0</v>
      </c>
      <c r="W53" s="2556">
        <f t="shared" si="63"/>
        <v>0</v>
      </c>
      <c r="X53" s="2556">
        <f t="shared" si="63"/>
        <v>0</v>
      </c>
      <c r="Y53" s="2556">
        <f t="shared" si="63"/>
        <v>0</v>
      </c>
      <c r="Z53" s="2556">
        <f t="shared" si="63"/>
        <v>0</v>
      </c>
      <c r="AA53" s="2557">
        <f t="shared" si="63"/>
        <v>0</v>
      </c>
      <c r="AC53" s="2549">
        <v>2023</v>
      </c>
      <c r="AD53" s="2556">
        <f>IF($AC39&lt;AD$33,IF(AC39=AD39,0,IF(AD39&lt;&gt;AC39,AD39,0)),0)</f>
        <v>0</v>
      </c>
      <c r="AE53" s="2556">
        <f ca="1">IF($AC39&lt;AE$33,IF(AD39=AE39,0,IF(AE39&lt;&gt;AD39,AE39,0)))</f>
        <v>31321</v>
      </c>
      <c r="AF53" s="2556">
        <f t="shared" ca="1" si="64"/>
        <v>0</v>
      </c>
      <c r="AG53" s="2556">
        <f t="shared" si="64"/>
        <v>0</v>
      </c>
      <c r="AH53" s="2556">
        <f t="shared" si="64"/>
        <v>0</v>
      </c>
      <c r="AI53" s="2556">
        <f t="shared" si="64"/>
        <v>0</v>
      </c>
      <c r="AJ53" s="2557">
        <f t="shared" si="64"/>
        <v>0</v>
      </c>
      <c r="AL53" s="2549">
        <f t="shared" ref="AL53:AL59" si="68">AL137</f>
        <v>2023</v>
      </c>
      <c r="AM53" s="2556">
        <f t="shared" si="58"/>
        <v>0</v>
      </c>
      <c r="AN53" s="2556">
        <f t="shared" si="58"/>
        <v>4275</v>
      </c>
      <c r="AO53" s="2556">
        <f t="shared" si="58"/>
        <v>0</v>
      </c>
      <c r="AP53" s="2556">
        <f t="shared" si="58"/>
        <v>0</v>
      </c>
      <c r="AQ53" s="2556">
        <f t="shared" si="58"/>
        <v>0</v>
      </c>
      <c r="AR53" s="2556">
        <f t="shared" si="58"/>
        <v>0</v>
      </c>
      <c r="AS53" s="2557">
        <f t="shared" si="58"/>
        <v>0</v>
      </c>
    </row>
    <row r="54" spans="2:45">
      <c r="B54" s="2549">
        <f t="shared" si="53"/>
        <v>2024</v>
      </c>
      <c r="C54" s="2556">
        <f t="shared" ref="C54:I54" si="69">IF(C40&gt;B40,C40,0)</f>
        <v>0</v>
      </c>
      <c r="D54" s="2556">
        <f t="shared" si="69"/>
        <v>0</v>
      </c>
      <c r="E54" s="2556">
        <f t="shared" si="69"/>
        <v>0</v>
      </c>
      <c r="F54" s="2556">
        <f t="shared" si="69"/>
        <v>0</v>
      </c>
      <c r="G54" s="2556">
        <f t="shared" si="69"/>
        <v>0</v>
      </c>
      <c r="H54" s="2556">
        <f t="shared" si="69"/>
        <v>0</v>
      </c>
      <c r="I54" s="2557">
        <f t="shared" si="69"/>
        <v>0</v>
      </c>
      <c r="K54" s="2549">
        <f t="shared" si="55"/>
        <v>2024</v>
      </c>
      <c r="L54" s="2556">
        <f>IF(L40&gt;K40,L40,0)</f>
        <v>0</v>
      </c>
      <c r="M54" s="2556">
        <f t="shared" ref="M54:R54" si="70">IF(M40&gt;L40,M40,0)</f>
        <v>0</v>
      </c>
      <c r="N54" s="2556">
        <f t="shared" si="70"/>
        <v>0</v>
      </c>
      <c r="O54" s="2556">
        <f t="shared" si="70"/>
        <v>0</v>
      </c>
      <c r="P54" s="2556">
        <f t="shared" si="70"/>
        <v>0</v>
      </c>
      <c r="Q54" s="2556">
        <f t="shared" si="70"/>
        <v>0</v>
      </c>
      <c r="R54" s="2557">
        <f t="shared" si="70"/>
        <v>0</v>
      </c>
      <c r="T54" s="2549">
        <f t="shared" si="67"/>
        <v>2024</v>
      </c>
      <c r="U54" s="2556">
        <f t="shared" si="63"/>
        <v>0</v>
      </c>
      <c r="V54" s="2556">
        <f t="shared" si="63"/>
        <v>0</v>
      </c>
      <c r="W54" s="2556">
        <f t="shared" si="63"/>
        <v>0</v>
      </c>
      <c r="X54" s="2556">
        <f t="shared" si="63"/>
        <v>0</v>
      </c>
      <c r="Y54" s="2556">
        <f t="shared" si="63"/>
        <v>0</v>
      </c>
      <c r="Z54" s="2556">
        <f t="shared" si="63"/>
        <v>0</v>
      </c>
      <c r="AA54" s="2557">
        <f t="shared" si="63"/>
        <v>0</v>
      </c>
      <c r="AC54" s="2549">
        <f t="shared" ref="AC54:AC59" si="71">AC138</f>
        <v>2024</v>
      </c>
      <c r="AD54" s="2556">
        <f t="shared" ref="AD54:AJ59" si="72">IF(AD40&gt;AC40,AD40,0)</f>
        <v>0</v>
      </c>
      <c r="AE54" s="2556">
        <f t="shared" si="72"/>
        <v>0</v>
      </c>
      <c r="AF54" s="2556">
        <f t="shared" ca="1" si="72"/>
        <v>45368</v>
      </c>
      <c r="AG54" s="2556">
        <f t="shared" ca="1" si="72"/>
        <v>0</v>
      </c>
      <c r="AH54" s="2556">
        <f t="shared" si="72"/>
        <v>0</v>
      </c>
      <c r="AI54" s="2556">
        <f t="shared" si="72"/>
        <v>0</v>
      </c>
      <c r="AJ54" s="2557">
        <f t="shared" si="72"/>
        <v>0</v>
      </c>
      <c r="AL54" s="2549">
        <f t="shared" si="68"/>
        <v>2024</v>
      </c>
      <c r="AM54" s="2556">
        <f t="shared" si="58"/>
        <v>0</v>
      </c>
      <c r="AN54" s="2556">
        <f t="shared" si="58"/>
        <v>0</v>
      </c>
      <c r="AO54" s="2556">
        <f t="shared" si="58"/>
        <v>5625</v>
      </c>
      <c r="AP54" s="2556">
        <f t="shared" si="58"/>
        <v>0</v>
      </c>
      <c r="AQ54" s="2556">
        <f t="shared" si="58"/>
        <v>0</v>
      </c>
      <c r="AR54" s="2556">
        <f t="shared" si="58"/>
        <v>0</v>
      </c>
      <c r="AS54" s="2557">
        <f t="shared" si="58"/>
        <v>0</v>
      </c>
    </row>
    <row r="55" spans="2:45">
      <c r="B55" s="2549">
        <f t="shared" si="53"/>
        <v>2025</v>
      </c>
      <c r="C55" s="2556">
        <f t="shared" ref="C55:I55" si="73">IF(C41&gt;B41,C41,0)</f>
        <v>0</v>
      </c>
      <c r="D55" s="2556">
        <f t="shared" si="73"/>
        <v>0</v>
      </c>
      <c r="E55" s="2556">
        <f t="shared" si="73"/>
        <v>0</v>
      </c>
      <c r="F55" s="2556">
        <f t="shared" si="73"/>
        <v>0</v>
      </c>
      <c r="G55" s="2556">
        <f t="shared" si="73"/>
        <v>0</v>
      </c>
      <c r="H55" s="2556">
        <f t="shared" si="73"/>
        <v>0</v>
      </c>
      <c r="I55" s="2557">
        <f t="shared" si="73"/>
        <v>0</v>
      </c>
      <c r="K55" s="2549">
        <f t="shared" si="55"/>
        <v>2025</v>
      </c>
      <c r="L55" s="2556">
        <f t="shared" ref="L55:R55" si="74">IF(L41&gt;K41,L41,0)</f>
        <v>0</v>
      </c>
      <c r="M55" s="2556">
        <f t="shared" si="74"/>
        <v>0</v>
      </c>
      <c r="N55" s="2556">
        <f t="shared" si="74"/>
        <v>0</v>
      </c>
      <c r="O55" s="2556">
        <f t="shared" si="74"/>
        <v>0</v>
      </c>
      <c r="P55" s="2556">
        <f t="shared" si="74"/>
        <v>0</v>
      </c>
      <c r="Q55" s="2556">
        <f t="shared" si="74"/>
        <v>0</v>
      </c>
      <c r="R55" s="2557">
        <f t="shared" si="74"/>
        <v>0</v>
      </c>
      <c r="T55" s="2549">
        <f t="shared" si="67"/>
        <v>2025</v>
      </c>
      <c r="U55" s="2556">
        <f t="shared" si="63"/>
        <v>0</v>
      </c>
      <c r="V55" s="2556">
        <f t="shared" si="63"/>
        <v>0</v>
      </c>
      <c r="W55" s="2556">
        <f t="shared" si="63"/>
        <v>0</v>
      </c>
      <c r="X55" s="2556">
        <f t="shared" si="63"/>
        <v>0</v>
      </c>
      <c r="Y55" s="2556">
        <f t="shared" si="63"/>
        <v>0</v>
      </c>
      <c r="Z55" s="2556">
        <f t="shared" si="63"/>
        <v>0</v>
      </c>
      <c r="AA55" s="2557">
        <f t="shared" si="63"/>
        <v>0</v>
      </c>
      <c r="AC55" s="2549">
        <f t="shared" si="71"/>
        <v>2025</v>
      </c>
      <c r="AD55" s="2556">
        <f t="shared" si="72"/>
        <v>0</v>
      </c>
      <c r="AE55" s="2556">
        <f t="shared" si="72"/>
        <v>0</v>
      </c>
      <c r="AF55" s="2556">
        <f t="shared" si="72"/>
        <v>0</v>
      </c>
      <c r="AG55" s="2556">
        <f t="shared" ca="1" si="72"/>
        <v>52746</v>
      </c>
      <c r="AH55" s="2556">
        <f t="shared" ca="1" si="72"/>
        <v>0</v>
      </c>
      <c r="AI55" s="2556">
        <f t="shared" si="72"/>
        <v>0</v>
      </c>
      <c r="AJ55" s="2557">
        <f t="shared" si="72"/>
        <v>0</v>
      </c>
      <c r="AL55" s="2549">
        <f t="shared" si="68"/>
        <v>2025</v>
      </c>
      <c r="AM55" s="2556">
        <f t="shared" si="58"/>
        <v>0</v>
      </c>
      <c r="AN55" s="2556">
        <f t="shared" si="58"/>
        <v>0</v>
      </c>
      <c r="AO55" s="2556">
        <f t="shared" si="58"/>
        <v>0</v>
      </c>
      <c r="AP55" s="2556">
        <f t="shared" si="58"/>
        <v>6525</v>
      </c>
      <c r="AQ55" s="2556">
        <f t="shared" si="58"/>
        <v>0</v>
      </c>
      <c r="AR55" s="2556">
        <f t="shared" si="58"/>
        <v>0</v>
      </c>
      <c r="AS55" s="2557">
        <f t="shared" si="58"/>
        <v>0</v>
      </c>
    </row>
    <row r="56" spans="2:45">
      <c r="B56" s="2549">
        <f t="shared" si="53"/>
        <v>2026</v>
      </c>
      <c r="C56" s="2556">
        <f t="shared" ref="C56:I56" si="75">IF(C42&gt;B42,C42,0)</f>
        <v>0</v>
      </c>
      <c r="D56" s="2556">
        <f t="shared" si="75"/>
        <v>0</v>
      </c>
      <c r="E56" s="2556">
        <f t="shared" si="75"/>
        <v>0</v>
      </c>
      <c r="F56" s="2556">
        <f t="shared" si="75"/>
        <v>0</v>
      </c>
      <c r="G56" s="2556">
        <f t="shared" si="75"/>
        <v>0</v>
      </c>
      <c r="H56" s="2556">
        <f t="shared" si="75"/>
        <v>0</v>
      </c>
      <c r="I56" s="2557">
        <f t="shared" si="75"/>
        <v>0</v>
      </c>
      <c r="K56" s="2549">
        <f t="shared" si="55"/>
        <v>2026</v>
      </c>
      <c r="L56" s="2556">
        <f t="shared" ref="L56:R56" si="76">IF(L42&gt;K42,L42,0)</f>
        <v>0</v>
      </c>
      <c r="M56" s="2556">
        <f t="shared" si="76"/>
        <v>0</v>
      </c>
      <c r="N56" s="2556">
        <f t="shared" si="76"/>
        <v>0</v>
      </c>
      <c r="O56" s="2556">
        <f t="shared" si="76"/>
        <v>0</v>
      </c>
      <c r="P56" s="2556">
        <f t="shared" si="76"/>
        <v>0</v>
      </c>
      <c r="Q56" s="2556">
        <f t="shared" si="76"/>
        <v>0</v>
      </c>
      <c r="R56" s="2557">
        <f t="shared" si="76"/>
        <v>0</v>
      </c>
      <c r="T56" s="2549">
        <f t="shared" si="67"/>
        <v>2026</v>
      </c>
      <c r="U56" s="2556">
        <f t="shared" si="63"/>
        <v>0</v>
      </c>
      <c r="V56" s="2556">
        <f t="shared" si="63"/>
        <v>0</v>
      </c>
      <c r="W56" s="2556">
        <f t="shared" si="63"/>
        <v>0</v>
      </c>
      <c r="X56" s="2556">
        <f t="shared" si="63"/>
        <v>0</v>
      </c>
      <c r="Y56" s="2556">
        <f t="shared" si="63"/>
        <v>0</v>
      </c>
      <c r="Z56" s="2556">
        <f t="shared" si="63"/>
        <v>0</v>
      </c>
      <c r="AA56" s="2557">
        <f t="shared" si="63"/>
        <v>0</v>
      </c>
      <c r="AC56" s="2549">
        <f t="shared" si="71"/>
        <v>2026</v>
      </c>
      <c r="AD56" s="2556">
        <f t="shared" si="72"/>
        <v>0</v>
      </c>
      <c r="AE56" s="2556">
        <f t="shared" si="72"/>
        <v>0</v>
      </c>
      <c r="AF56" s="2556">
        <f t="shared" si="72"/>
        <v>0</v>
      </c>
      <c r="AG56" s="2556">
        <f t="shared" si="72"/>
        <v>0</v>
      </c>
      <c r="AH56" s="2556">
        <f t="shared" ca="1" si="72"/>
        <v>52796</v>
      </c>
      <c r="AI56" s="2556">
        <f t="shared" ca="1" si="72"/>
        <v>0</v>
      </c>
      <c r="AJ56" s="2557">
        <f t="shared" si="72"/>
        <v>0</v>
      </c>
      <c r="AL56" s="2549">
        <f t="shared" si="68"/>
        <v>2026</v>
      </c>
      <c r="AM56" s="2556">
        <f t="shared" si="58"/>
        <v>0</v>
      </c>
      <c r="AN56" s="2556">
        <f t="shared" si="58"/>
        <v>0</v>
      </c>
      <c r="AO56" s="2556">
        <f t="shared" si="58"/>
        <v>0</v>
      </c>
      <c r="AP56" s="2556">
        <f t="shared" si="58"/>
        <v>0</v>
      </c>
      <c r="AQ56" s="2556">
        <f t="shared" si="58"/>
        <v>6525</v>
      </c>
      <c r="AR56" s="2556">
        <f t="shared" si="58"/>
        <v>0</v>
      </c>
      <c r="AS56" s="2557">
        <f t="shared" si="58"/>
        <v>0</v>
      </c>
    </row>
    <row r="57" spans="2:45">
      <c r="B57" s="2549">
        <f t="shared" si="53"/>
        <v>2027</v>
      </c>
      <c r="C57" s="2556">
        <f t="shared" ref="C57:I57" si="77">IF(C43&gt;B43,C43,0)</f>
        <v>0</v>
      </c>
      <c r="D57" s="2556">
        <f t="shared" si="77"/>
        <v>0</v>
      </c>
      <c r="E57" s="2556">
        <f t="shared" si="77"/>
        <v>0</v>
      </c>
      <c r="F57" s="2556">
        <f t="shared" si="77"/>
        <v>0</v>
      </c>
      <c r="G57" s="2556">
        <f t="shared" si="77"/>
        <v>0</v>
      </c>
      <c r="H57" s="2556">
        <f t="shared" si="77"/>
        <v>0</v>
      </c>
      <c r="I57" s="2557">
        <f t="shared" si="77"/>
        <v>0</v>
      </c>
      <c r="K57" s="2549">
        <f t="shared" si="55"/>
        <v>2027</v>
      </c>
      <c r="L57" s="2556">
        <f t="shared" ref="L57:R57" si="78">IF(L43&gt;K43,L43,0)</f>
        <v>0</v>
      </c>
      <c r="M57" s="2556">
        <f t="shared" si="78"/>
        <v>0</v>
      </c>
      <c r="N57" s="2556">
        <f t="shared" si="78"/>
        <v>0</v>
      </c>
      <c r="O57" s="2556">
        <f t="shared" si="78"/>
        <v>0</v>
      </c>
      <c r="P57" s="2556">
        <f t="shared" si="78"/>
        <v>0</v>
      </c>
      <c r="Q57" s="2556">
        <f t="shared" si="78"/>
        <v>0</v>
      </c>
      <c r="R57" s="2557">
        <f t="shared" si="78"/>
        <v>0</v>
      </c>
      <c r="T57" s="2549">
        <f t="shared" si="67"/>
        <v>2027</v>
      </c>
      <c r="U57" s="2556">
        <f t="shared" si="63"/>
        <v>0</v>
      </c>
      <c r="V57" s="2556">
        <f t="shared" si="63"/>
        <v>0</v>
      </c>
      <c r="W57" s="2556">
        <f t="shared" si="63"/>
        <v>0</v>
      </c>
      <c r="X57" s="2556">
        <f t="shared" si="63"/>
        <v>0</v>
      </c>
      <c r="Y57" s="2556">
        <f t="shared" si="63"/>
        <v>0</v>
      </c>
      <c r="Z57" s="2556">
        <f t="shared" si="63"/>
        <v>0</v>
      </c>
      <c r="AA57" s="2557">
        <f t="shared" si="63"/>
        <v>0</v>
      </c>
      <c r="AC57" s="2549">
        <f t="shared" si="71"/>
        <v>2027</v>
      </c>
      <c r="AD57" s="2556">
        <f t="shared" si="72"/>
        <v>0</v>
      </c>
      <c r="AE57" s="2556">
        <f t="shared" si="72"/>
        <v>0</v>
      </c>
      <c r="AF57" s="2556">
        <f t="shared" si="72"/>
        <v>0</v>
      </c>
      <c r="AG57" s="2556">
        <f t="shared" si="72"/>
        <v>0</v>
      </c>
      <c r="AH57" s="2556">
        <f t="shared" si="72"/>
        <v>0</v>
      </c>
      <c r="AI57" s="2556">
        <f t="shared" ca="1" si="72"/>
        <v>52796</v>
      </c>
      <c r="AJ57" s="2557">
        <f t="shared" ca="1" si="72"/>
        <v>0</v>
      </c>
      <c r="AL57" s="2549">
        <f t="shared" si="68"/>
        <v>2027</v>
      </c>
      <c r="AM57" s="2556">
        <f t="shared" si="58"/>
        <v>0</v>
      </c>
      <c r="AN57" s="2556">
        <f t="shared" si="58"/>
        <v>0</v>
      </c>
      <c r="AO57" s="2556">
        <f t="shared" si="58"/>
        <v>0</v>
      </c>
      <c r="AP57" s="2556">
        <f t="shared" si="58"/>
        <v>0</v>
      </c>
      <c r="AQ57" s="2556">
        <f t="shared" si="58"/>
        <v>0</v>
      </c>
      <c r="AR57" s="2556">
        <f t="shared" si="58"/>
        <v>6525</v>
      </c>
      <c r="AS57" s="2557">
        <f t="shared" si="58"/>
        <v>0</v>
      </c>
    </row>
    <row r="58" spans="2:45">
      <c r="B58" s="2549">
        <f t="shared" si="53"/>
        <v>2028</v>
      </c>
      <c r="C58" s="2556">
        <f t="shared" ref="C58:I58" si="79">IF(C44&gt;B44,C44,0)</f>
        <v>0</v>
      </c>
      <c r="D58" s="2556">
        <f t="shared" si="79"/>
        <v>0</v>
      </c>
      <c r="E58" s="2556">
        <f t="shared" si="79"/>
        <v>0</v>
      </c>
      <c r="F58" s="2556">
        <f t="shared" si="79"/>
        <v>0</v>
      </c>
      <c r="G58" s="2556">
        <f t="shared" si="79"/>
        <v>0</v>
      </c>
      <c r="H58" s="2556">
        <f t="shared" si="79"/>
        <v>0</v>
      </c>
      <c r="I58" s="2557">
        <f t="shared" si="79"/>
        <v>0</v>
      </c>
      <c r="K58" s="2549">
        <f t="shared" si="55"/>
        <v>2028</v>
      </c>
      <c r="L58" s="2556">
        <f t="shared" ref="L58:R58" si="80">IF(L44&gt;K44,L44,0)</f>
        <v>0</v>
      </c>
      <c r="M58" s="2556">
        <f t="shared" si="80"/>
        <v>0</v>
      </c>
      <c r="N58" s="2556">
        <f t="shared" si="80"/>
        <v>0</v>
      </c>
      <c r="O58" s="2556">
        <f t="shared" si="80"/>
        <v>0</v>
      </c>
      <c r="P58" s="2556">
        <f t="shared" si="80"/>
        <v>0</v>
      </c>
      <c r="Q58" s="2556">
        <f t="shared" si="80"/>
        <v>0</v>
      </c>
      <c r="R58" s="2557">
        <f t="shared" si="80"/>
        <v>0</v>
      </c>
      <c r="T58" s="2549">
        <f t="shared" si="67"/>
        <v>2028</v>
      </c>
      <c r="U58" s="2556">
        <f t="shared" si="63"/>
        <v>0</v>
      </c>
      <c r="V58" s="2556">
        <f t="shared" si="63"/>
        <v>0</v>
      </c>
      <c r="W58" s="2556">
        <f t="shared" si="63"/>
        <v>0</v>
      </c>
      <c r="X58" s="2556">
        <f t="shared" si="63"/>
        <v>0</v>
      </c>
      <c r="Y58" s="2556">
        <f t="shared" si="63"/>
        <v>0</v>
      </c>
      <c r="Z58" s="2556">
        <f t="shared" si="63"/>
        <v>0</v>
      </c>
      <c r="AA58" s="2557">
        <f t="shared" si="63"/>
        <v>0</v>
      </c>
      <c r="AC58" s="2549">
        <f t="shared" si="71"/>
        <v>2028</v>
      </c>
      <c r="AD58" s="2556">
        <f t="shared" si="72"/>
        <v>0</v>
      </c>
      <c r="AE58" s="2556">
        <f t="shared" si="72"/>
        <v>0</v>
      </c>
      <c r="AF58" s="2556">
        <f t="shared" si="72"/>
        <v>0</v>
      </c>
      <c r="AG58" s="2556">
        <f t="shared" si="72"/>
        <v>0</v>
      </c>
      <c r="AH58" s="2556">
        <f t="shared" si="72"/>
        <v>0</v>
      </c>
      <c r="AI58" s="2556">
        <f t="shared" si="72"/>
        <v>0</v>
      </c>
      <c r="AJ58" s="2557">
        <f t="shared" ca="1" si="72"/>
        <v>52796</v>
      </c>
      <c r="AL58" s="2549">
        <f t="shared" si="68"/>
        <v>2028</v>
      </c>
      <c r="AM58" s="2556">
        <f t="shared" si="58"/>
        <v>0</v>
      </c>
      <c r="AN58" s="2556">
        <f t="shared" si="58"/>
        <v>0</v>
      </c>
      <c r="AO58" s="2556">
        <f t="shared" si="58"/>
        <v>0</v>
      </c>
      <c r="AP58" s="2556">
        <f t="shared" si="58"/>
        <v>0</v>
      </c>
      <c r="AQ58" s="2556">
        <f t="shared" si="58"/>
        <v>0</v>
      </c>
      <c r="AR58" s="2556">
        <f t="shared" si="58"/>
        <v>0</v>
      </c>
      <c r="AS58" s="2557">
        <f t="shared" si="58"/>
        <v>6525</v>
      </c>
    </row>
    <row r="59" spans="2:45">
      <c r="B59" s="2549">
        <f t="shared" si="53"/>
        <v>2029</v>
      </c>
      <c r="C59" s="2561">
        <f t="shared" ref="C59:I59" si="81">IF(C45&gt;B45,C45,0)</f>
        <v>0</v>
      </c>
      <c r="D59" s="2561">
        <f t="shared" si="81"/>
        <v>0</v>
      </c>
      <c r="E59" s="2561">
        <f t="shared" si="81"/>
        <v>0</v>
      </c>
      <c r="F59" s="2561">
        <f t="shared" si="81"/>
        <v>0</v>
      </c>
      <c r="G59" s="2561">
        <f t="shared" si="81"/>
        <v>0</v>
      </c>
      <c r="H59" s="2561">
        <f t="shared" si="81"/>
        <v>0</v>
      </c>
      <c r="I59" s="2562">
        <f t="shared" si="81"/>
        <v>0</v>
      </c>
      <c r="K59" s="2549">
        <f t="shared" si="55"/>
        <v>2029</v>
      </c>
      <c r="L59" s="2561">
        <f t="shared" ref="L59:R59" si="82">IF(L45&gt;K45,L45,0)</f>
        <v>0</v>
      </c>
      <c r="M59" s="2561">
        <f t="shared" si="82"/>
        <v>0</v>
      </c>
      <c r="N59" s="2561">
        <f t="shared" si="82"/>
        <v>0</v>
      </c>
      <c r="O59" s="2561">
        <f t="shared" si="82"/>
        <v>0</v>
      </c>
      <c r="P59" s="2561">
        <f t="shared" si="82"/>
        <v>0</v>
      </c>
      <c r="Q59" s="2561">
        <f t="shared" si="82"/>
        <v>0</v>
      </c>
      <c r="R59" s="2562">
        <f t="shared" si="82"/>
        <v>0</v>
      </c>
      <c r="T59" s="2549">
        <f t="shared" si="67"/>
        <v>2029</v>
      </c>
      <c r="U59" s="2561">
        <f t="shared" si="63"/>
        <v>0</v>
      </c>
      <c r="V59" s="2561">
        <f t="shared" si="63"/>
        <v>0</v>
      </c>
      <c r="W59" s="2561">
        <f t="shared" si="63"/>
        <v>0</v>
      </c>
      <c r="X59" s="2561">
        <f t="shared" si="63"/>
        <v>0</v>
      </c>
      <c r="Y59" s="2561">
        <f t="shared" si="63"/>
        <v>0</v>
      </c>
      <c r="Z59" s="2561">
        <f t="shared" si="63"/>
        <v>0</v>
      </c>
      <c r="AA59" s="2562">
        <f t="shared" si="63"/>
        <v>0</v>
      </c>
      <c r="AC59" s="2549">
        <f t="shared" si="71"/>
        <v>2029</v>
      </c>
      <c r="AD59" s="2561">
        <f t="shared" si="72"/>
        <v>0</v>
      </c>
      <c r="AE59" s="2561">
        <f t="shared" si="72"/>
        <v>0</v>
      </c>
      <c r="AF59" s="2561">
        <f t="shared" si="72"/>
        <v>0</v>
      </c>
      <c r="AG59" s="2561">
        <f t="shared" si="72"/>
        <v>0</v>
      </c>
      <c r="AH59" s="2561">
        <f t="shared" si="72"/>
        <v>0</v>
      </c>
      <c r="AI59" s="2561">
        <f t="shared" si="72"/>
        <v>0</v>
      </c>
      <c r="AJ59" s="2562">
        <f t="shared" si="72"/>
        <v>0</v>
      </c>
      <c r="AL59" s="2549">
        <f t="shared" si="68"/>
        <v>2029</v>
      </c>
      <c r="AM59" s="2561">
        <f t="shared" si="58"/>
        <v>0</v>
      </c>
      <c r="AN59" s="2561">
        <f t="shared" si="58"/>
        <v>0</v>
      </c>
      <c r="AO59" s="2561">
        <f t="shared" si="58"/>
        <v>0</v>
      </c>
      <c r="AP59" s="2561">
        <f t="shared" si="58"/>
        <v>0</v>
      </c>
      <c r="AQ59" s="2561">
        <f t="shared" si="58"/>
        <v>0</v>
      </c>
      <c r="AR59" s="2561">
        <f t="shared" si="58"/>
        <v>0</v>
      </c>
      <c r="AS59" s="2562">
        <f t="shared" si="58"/>
        <v>0</v>
      </c>
    </row>
    <row r="60" spans="2:45">
      <c r="B60" s="2549"/>
      <c r="C60" s="2572">
        <f>SUM(C48:C59)</f>
        <v>0</v>
      </c>
      <c r="D60" s="2572">
        <f t="shared" ref="D60:I60" si="83">SUM(D48:D59)</f>
        <v>0</v>
      </c>
      <c r="E60" s="2572">
        <f t="shared" si="83"/>
        <v>0</v>
      </c>
      <c r="F60" s="2572">
        <f t="shared" si="83"/>
        <v>0</v>
      </c>
      <c r="G60" s="2572">
        <f t="shared" si="83"/>
        <v>0</v>
      </c>
      <c r="H60" s="2572">
        <f t="shared" si="83"/>
        <v>0</v>
      </c>
      <c r="I60" s="2573">
        <f t="shared" si="83"/>
        <v>0</v>
      </c>
      <c r="K60" s="2549"/>
      <c r="L60" s="2572">
        <f t="shared" ref="L60:R60" si="84">SUM(L48:L59)</f>
        <v>0</v>
      </c>
      <c r="M60" s="2572">
        <f t="shared" si="84"/>
        <v>0</v>
      </c>
      <c r="N60" s="2572">
        <f t="shared" si="84"/>
        <v>0</v>
      </c>
      <c r="O60" s="2572">
        <f t="shared" si="84"/>
        <v>0</v>
      </c>
      <c r="P60" s="2572">
        <f t="shared" si="84"/>
        <v>0</v>
      </c>
      <c r="Q60" s="2572">
        <f t="shared" si="84"/>
        <v>0</v>
      </c>
      <c r="R60" s="2573">
        <f t="shared" si="84"/>
        <v>0</v>
      </c>
      <c r="T60" s="2549"/>
      <c r="U60" s="2574">
        <f t="shared" ref="U60:AA60" si="85">SUM(U48:U59)</f>
        <v>36208</v>
      </c>
      <c r="V60" s="2574">
        <f t="shared" si="85"/>
        <v>0</v>
      </c>
      <c r="W60" s="2574">
        <f t="shared" si="85"/>
        <v>0</v>
      </c>
      <c r="X60" s="2574">
        <f t="shared" si="85"/>
        <v>0</v>
      </c>
      <c r="Y60" s="2574">
        <f t="shared" si="85"/>
        <v>0</v>
      </c>
      <c r="Z60" s="2574">
        <f t="shared" si="85"/>
        <v>0</v>
      </c>
      <c r="AA60" s="2573">
        <f t="shared" si="85"/>
        <v>0</v>
      </c>
      <c r="AC60" s="2549"/>
      <c r="AD60" s="2572">
        <f>SUM(AD48:AD59)</f>
        <v>0</v>
      </c>
      <c r="AE60" s="2572">
        <f t="shared" ref="AE60:AJ60" ca="1" si="86">SUM(AE48:AE59)</f>
        <v>31321</v>
      </c>
      <c r="AF60" s="2572">
        <f t="shared" ca="1" si="86"/>
        <v>45368</v>
      </c>
      <c r="AG60" s="2572">
        <f t="shared" ca="1" si="86"/>
        <v>52746</v>
      </c>
      <c r="AH60" s="2572">
        <f t="shared" ca="1" si="86"/>
        <v>52796</v>
      </c>
      <c r="AI60" s="2572">
        <f t="shared" ca="1" si="86"/>
        <v>52796</v>
      </c>
      <c r="AJ60" s="2573">
        <f t="shared" ca="1" si="86"/>
        <v>52796</v>
      </c>
      <c r="AL60" s="2549"/>
      <c r="AM60" s="2572">
        <f t="shared" ref="AM60:AS60" si="87">SUM(AM48:AM59)</f>
        <v>0</v>
      </c>
      <c r="AN60" s="2572">
        <f t="shared" si="87"/>
        <v>4275</v>
      </c>
      <c r="AO60" s="2572">
        <f t="shared" si="87"/>
        <v>5625</v>
      </c>
      <c r="AP60" s="2572">
        <f t="shared" si="87"/>
        <v>6525</v>
      </c>
      <c r="AQ60" s="2572">
        <f t="shared" si="87"/>
        <v>6525</v>
      </c>
      <c r="AR60" s="2572">
        <f t="shared" si="87"/>
        <v>6525</v>
      </c>
      <c r="AS60" s="2573">
        <f t="shared" si="87"/>
        <v>6525</v>
      </c>
    </row>
    <row r="61" spans="2:45">
      <c r="B61" s="2549" t="str">
        <f>B14</f>
        <v>Cost price per litre</v>
      </c>
      <c r="I61" s="2547"/>
      <c r="K61" s="2549" t="str">
        <f>K14</f>
        <v>Cost price per litre</v>
      </c>
      <c r="R61" s="2547"/>
      <c r="T61" s="2549" t="str">
        <f>T14</f>
        <v>Cost price per litre</v>
      </c>
      <c r="U61" s="2575"/>
      <c r="V61" s="2575"/>
      <c r="W61" s="2576"/>
      <c r="X61" s="2576"/>
      <c r="Y61" s="2576"/>
      <c r="Z61" s="2576"/>
      <c r="AA61" s="2577"/>
      <c r="AC61" s="2549" t="str">
        <f>AC14</f>
        <v>Cost price per litre</v>
      </c>
      <c r="AD61" s="2554"/>
      <c r="AE61" s="2554"/>
      <c r="AF61" s="2554"/>
      <c r="AG61" s="2554"/>
      <c r="AH61" s="2554"/>
      <c r="AI61" s="2554"/>
      <c r="AJ61" s="2555"/>
      <c r="AL61" s="2549" t="str">
        <f>AL14</f>
        <v>Cost price per litre</v>
      </c>
      <c r="AN61" s="2556">
        <f>'Prod info'!Z161</f>
        <v>0</v>
      </c>
      <c r="AO61" s="2556">
        <f>'Prod info'!AA161</f>
        <v>0</v>
      </c>
      <c r="AP61" s="2556">
        <f>'Prod info'!AB161</f>
        <v>0</v>
      </c>
      <c r="AQ61" s="2556">
        <f>'Prod info'!AC157</f>
        <v>0</v>
      </c>
      <c r="AR61" s="2556">
        <f>'Prod info'!AD157</f>
        <v>0</v>
      </c>
      <c r="AS61" s="2557">
        <f>'Prod info'!AE159</f>
        <v>0</v>
      </c>
    </row>
    <row r="62" spans="2:45">
      <c r="B62" s="2549" t="str">
        <f>B34</f>
        <v>2019/2020</v>
      </c>
      <c r="I62" s="2547"/>
      <c r="K62" s="2549">
        <f>K34</f>
        <v>2018</v>
      </c>
      <c r="L62" s="2482"/>
      <c r="R62" s="2547"/>
      <c r="T62" s="2902" t="str">
        <f t="shared" ref="T62:T73" si="88">T34</f>
        <v>2019/2020</v>
      </c>
      <c r="U62" s="2571"/>
      <c r="V62" s="2571"/>
      <c r="W62" s="2571"/>
      <c r="X62" s="2571"/>
      <c r="Y62" s="2571"/>
      <c r="Z62" s="2571"/>
      <c r="AA62" s="2579"/>
      <c r="AC62" s="2549">
        <f t="shared" ref="AC62:AC72" si="89">AC34</f>
        <v>2018</v>
      </c>
      <c r="AD62" s="2578"/>
      <c r="AE62" s="2578"/>
      <c r="AF62" s="2578"/>
      <c r="AG62" s="2578"/>
      <c r="AH62" s="2578"/>
      <c r="AI62" s="2578"/>
      <c r="AJ62" s="2579"/>
      <c r="AL62" s="2549">
        <f>AL34</f>
        <v>2018</v>
      </c>
      <c r="AM62" s="2578">
        <f>AD62</f>
        <v>0</v>
      </c>
      <c r="AN62" s="2578">
        <f t="shared" ref="AN62:AS62" si="90">AE62</f>
        <v>0</v>
      </c>
      <c r="AO62" s="2578">
        <f t="shared" si="90"/>
        <v>0</v>
      </c>
      <c r="AP62" s="2578">
        <f t="shared" si="90"/>
        <v>0</v>
      </c>
      <c r="AQ62" s="2578">
        <f t="shared" si="90"/>
        <v>0</v>
      </c>
      <c r="AR62" s="2578">
        <f t="shared" si="90"/>
        <v>0</v>
      </c>
      <c r="AS62" s="2579">
        <f t="shared" si="90"/>
        <v>0</v>
      </c>
    </row>
    <row r="63" spans="2:45">
      <c r="B63" s="2549">
        <f>B35</f>
        <v>2019</v>
      </c>
      <c r="I63" s="2547"/>
      <c r="K63" s="2549">
        <f>K35</f>
        <v>2019</v>
      </c>
      <c r="L63" s="2482"/>
      <c r="R63" s="2547"/>
      <c r="T63" s="2549">
        <f t="shared" si="88"/>
        <v>2019</v>
      </c>
      <c r="U63" s="2571">
        <f>SUMIF(Costprice!$O$2:$U$2,SUMIF($U$35:$AA$35,"&gt;0",$U$131:$AA$131),Costprice!$O$37:$U$37)</f>
        <v>1.1338654441007512</v>
      </c>
      <c r="V63" s="2571">
        <f>SUMIF(Costprice!$O$2:$U$2,SUMIF($U$35:$AA$35,"&gt;0",$U$131:$AA$131),Costprice!$O$37:$U$37)</f>
        <v>1.1338654441007512</v>
      </c>
      <c r="W63" s="2571">
        <f>SUMIF(Costprice!$O$2:$U$2,SUMIF($U$35:$AA$35,"&gt;0",$U$131:$AA$131),Costprice!$O$37:$U$37)</f>
        <v>1.1338654441007512</v>
      </c>
      <c r="X63" s="2571">
        <f>SUMIF(Costprice!$O$2:$U$2,SUMIF($U$35:$AA$35,"&gt;0",$U$131:$AA$131),Costprice!$O$37:$U$37)</f>
        <v>1.1338654441007512</v>
      </c>
      <c r="Y63" s="2571">
        <f>SUMIF(Costprice!$O$2:$U$2,SUMIF($U$35:$AA$35,"&gt;0",$U$131:$AA$131),Costprice!$O$37:$U$37)</f>
        <v>1.1338654441007512</v>
      </c>
      <c r="Z63" s="2571">
        <f>SUMIF(Costprice!$O$2:$U$2,SUMIF($U$35:$AA$35,"&gt;0",$U$131:$AA$131),Costprice!$O$37:$U$37)</f>
        <v>1.1338654441007512</v>
      </c>
      <c r="AA63" s="2579">
        <f>SUMIF(Costprice!$O$2:$U$2,SUMIF($U$35:$AA$35,"&gt;0",$U$131:$AA$131),Costprice!$O$37:$U$37)</f>
        <v>1.1338654441007512</v>
      </c>
      <c r="AC63" s="2549">
        <f t="shared" si="89"/>
        <v>2019</v>
      </c>
      <c r="AD63" s="2578"/>
      <c r="AE63" s="2578"/>
      <c r="AF63" s="2578"/>
      <c r="AG63" s="2578"/>
      <c r="AH63" s="2578"/>
      <c r="AI63" s="2578"/>
      <c r="AJ63" s="2579"/>
      <c r="AL63" s="2549">
        <v>2019</v>
      </c>
      <c r="AM63" s="2578">
        <f>AD63</f>
        <v>0</v>
      </c>
      <c r="AN63" s="2578">
        <f t="shared" ref="AN63:AS63" si="91">AE63</f>
        <v>0</v>
      </c>
      <c r="AO63" s="2578">
        <f t="shared" si="91"/>
        <v>0</v>
      </c>
      <c r="AP63" s="2578">
        <f t="shared" si="91"/>
        <v>0</v>
      </c>
      <c r="AQ63" s="2578">
        <f t="shared" si="91"/>
        <v>0</v>
      </c>
      <c r="AR63" s="2578">
        <f t="shared" si="91"/>
        <v>0</v>
      </c>
      <c r="AS63" s="2579">
        <f t="shared" si="91"/>
        <v>0</v>
      </c>
    </row>
    <row r="64" spans="2:45">
      <c r="B64" s="2549">
        <f>B36</f>
        <v>2020</v>
      </c>
      <c r="I64" s="2547"/>
      <c r="K64" s="2549">
        <f>K36</f>
        <v>2020</v>
      </c>
      <c r="L64" s="2482"/>
      <c r="R64" s="2547"/>
      <c r="T64" s="2549">
        <f t="shared" si="88"/>
        <v>2020</v>
      </c>
      <c r="U64" s="2571">
        <f>SUMIF(Costprice!$O$2:$U$2,SUMIF($U$36:$AA$36,"&gt;0",$U$131:$AA$131),Costprice!$O$37:$U$37)</f>
        <v>1.1338654441007512</v>
      </c>
      <c r="V64" s="2571">
        <f>SUMIF(Costprice!$O$2:$U$2,SUMIF($U$36:$AA$36,"&gt;0",$U$131:$AA$131),Costprice!$O$37:$U$37)</f>
        <v>1.1338654441007512</v>
      </c>
      <c r="W64" s="2571">
        <f>SUMIF(Costprice!$O$2:$U$2,SUMIF($U$36:$AA$36,"&gt;0",$U$131:$AA$131),Costprice!$O$37:$U$37)</f>
        <v>1.1338654441007512</v>
      </c>
      <c r="X64" s="2571">
        <f>SUMIF(Costprice!$O$2:$U$2,SUMIF($U$36:$AA$36,"&gt;0",$U$131:$AA$131),Costprice!$O$37:$U$37)</f>
        <v>1.1338654441007512</v>
      </c>
      <c r="Y64" s="2571">
        <f>SUMIF(Costprice!$O$2:$U$2,SUMIF($U$36:$AA$36,"&gt;0",$U$131:$AA$131),Costprice!$O$37:$U$37)</f>
        <v>1.1338654441007512</v>
      </c>
      <c r="Z64" s="2571">
        <f>SUMIF(Costprice!$O$2:$U$2,SUMIF($U$36:$AA$36,"&gt;0",$U$131:$AA$131),Costprice!$O$37:$U$37)</f>
        <v>1.1338654441007512</v>
      </c>
      <c r="AA64" s="2579">
        <f>SUMIF(Costprice!$O$2:$U$2,SUMIF($U$36:$AA$36,"&gt;0",$U$131:$AA$131),Costprice!$O$37:$U$37)</f>
        <v>1.1338654441007512</v>
      </c>
      <c r="AC64" s="2549">
        <f t="shared" si="89"/>
        <v>2020</v>
      </c>
      <c r="AD64" s="2578"/>
      <c r="AE64" s="2578"/>
      <c r="AF64" s="2578"/>
      <c r="AG64" s="2578"/>
      <c r="AH64" s="2578"/>
      <c r="AI64" s="2578"/>
      <c r="AJ64" s="2579"/>
      <c r="AL64" s="2549">
        <f t="shared" ref="AL64:AL72" si="92">AL36</f>
        <v>2020</v>
      </c>
      <c r="AM64" s="2578">
        <f t="shared" ref="AM64:AS66" si="93">AD63</f>
        <v>0</v>
      </c>
      <c r="AN64" s="2578">
        <f t="shared" si="93"/>
        <v>0</v>
      </c>
      <c r="AO64" s="2578">
        <f t="shared" si="93"/>
        <v>0</v>
      </c>
      <c r="AP64" s="2578">
        <f t="shared" si="93"/>
        <v>0</v>
      </c>
      <c r="AQ64" s="2578">
        <f t="shared" si="93"/>
        <v>0</v>
      </c>
      <c r="AR64" s="2578">
        <f t="shared" si="93"/>
        <v>0</v>
      </c>
      <c r="AS64" s="2579">
        <f t="shared" si="93"/>
        <v>0</v>
      </c>
    </row>
    <row r="65" spans="2:45">
      <c r="B65" s="2549">
        <f>B37</f>
        <v>2021</v>
      </c>
      <c r="D65" s="2482"/>
      <c r="E65" s="2482"/>
      <c r="F65" s="2482"/>
      <c r="G65" s="2482"/>
      <c r="H65" s="2482"/>
      <c r="I65" s="2580"/>
      <c r="K65" s="2549">
        <f>K37</f>
        <v>2021</v>
      </c>
      <c r="L65" s="2482"/>
      <c r="M65" s="2482"/>
      <c r="N65" s="2482"/>
      <c r="O65" s="2482"/>
      <c r="P65" s="2482"/>
      <c r="Q65" s="2482"/>
      <c r="R65" s="2580"/>
      <c r="T65" s="2549">
        <f t="shared" si="88"/>
        <v>2021</v>
      </c>
      <c r="U65" s="2581">
        <f>SUMIF(Costprice!$O$2:$U$2,SUMIF($U$37:$AA$37,"&gt;0",$U$131:$AA$131),Costprice!$O$37:$U$37)</f>
        <v>0</v>
      </c>
      <c r="V65" s="2581">
        <f>SUMIF(Costprice!$O$2:$U$2,SUMIF($U$37:$AA$37,"&gt;0",$U$131:$AA$131),Costprice!$O$37:$U$37)</f>
        <v>0</v>
      </c>
      <c r="W65" s="2581">
        <f>SUMIF(Costprice!$O$2:$U$2,SUMIF($U$37:$AA$37,"&gt;0",$U$131:$AA$131),Costprice!$O$37:$U$37)</f>
        <v>0</v>
      </c>
      <c r="X65" s="2581">
        <f>SUMIF(Costprice!$O$2:$U$2,SUMIF($U$37:$AA$37,"&gt;0",$U$131:$AA$131),Costprice!$O$37:$U$37)</f>
        <v>0</v>
      </c>
      <c r="Y65" s="2581">
        <f>SUMIF(Costprice!$O$2:$U$2,SUMIF($U$37:$AA$37,"&gt;0",$U$131:$AA$131),Costprice!$O$37:$U$37)</f>
        <v>0</v>
      </c>
      <c r="Z65" s="2581">
        <f>SUMIF(Costprice!$O$2:$U$2,SUMIF($U$37:$AA$37,"&gt;0",$U$131:$AA$131),Costprice!$O$37:$U$37)</f>
        <v>0</v>
      </c>
      <c r="AA65" s="2752">
        <f>SUMIF(Costprice!$O$2:$U$2,SUMIF($U$37:$AA$37,"&gt;0",$U$131:$AA$131),Costprice!$O$37:$U$37)</f>
        <v>0</v>
      </c>
      <c r="AC65" s="2549">
        <f t="shared" si="89"/>
        <v>2021</v>
      </c>
      <c r="AD65" s="2582"/>
      <c r="AE65" s="2582"/>
      <c r="AF65" s="2582"/>
      <c r="AG65" s="2582"/>
      <c r="AH65" s="2582"/>
      <c r="AI65" s="2582"/>
      <c r="AJ65" s="2584"/>
      <c r="AL65" s="2549">
        <f t="shared" si="92"/>
        <v>2021</v>
      </c>
      <c r="AM65" s="2578">
        <f t="shared" si="93"/>
        <v>0</v>
      </c>
      <c r="AN65" s="2578">
        <f t="shared" si="93"/>
        <v>0</v>
      </c>
      <c r="AO65" s="2578">
        <f t="shared" si="93"/>
        <v>0</v>
      </c>
      <c r="AP65" s="2578">
        <f t="shared" si="93"/>
        <v>0</v>
      </c>
      <c r="AQ65" s="2578">
        <f t="shared" si="93"/>
        <v>0</v>
      </c>
      <c r="AR65" s="2578">
        <f t="shared" si="93"/>
        <v>0</v>
      </c>
      <c r="AS65" s="2579">
        <f t="shared" si="93"/>
        <v>0</v>
      </c>
    </row>
    <row r="66" spans="2:45">
      <c r="B66" s="2549">
        <v>2022</v>
      </c>
      <c r="D66" s="2482"/>
      <c r="E66" s="2482"/>
      <c r="F66" s="2482"/>
      <c r="G66" s="2482"/>
      <c r="H66" s="2482"/>
      <c r="I66" s="2580"/>
      <c r="K66" s="2549">
        <v>2022</v>
      </c>
      <c r="L66" s="2482"/>
      <c r="M66" s="2482"/>
      <c r="N66" s="2482"/>
      <c r="O66" s="2482"/>
      <c r="P66" s="2482"/>
      <c r="Q66" s="2482"/>
      <c r="R66" s="2580"/>
      <c r="T66" s="2549">
        <f t="shared" si="88"/>
        <v>2022</v>
      </c>
      <c r="U66" s="2581">
        <f>SUMIF(Costprice!$O$2:$U$2,SUMIF($U$38:$AA$38,"&gt;0",$U$131:$AA$131),Costprice!$O$37:$U$37)</f>
        <v>0</v>
      </c>
      <c r="V66" s="2581">
        <f>SUMIF(Costprice!$O$2:$U$2,SUMIF($U$38:$AA$38,"&gt;0",$U$131:$AA$131),Costprice!$O$37:$U$37)</f>
        <v>0</v>
      </c>
      <c r="W66" s="2581">
        <f>SUMIF(Costprice!$O$2:$U$2,SUMIF($U$38:$AA$38,"&gt;0",$U$131:$AA$131),Costprice!$O$37:$U$37)</f>
        <v>0</v>
      </c>
      <c r="X66" s="2581">
        <f>SUMIF(Costprice!$O$2:$U$2,SUMIF($U$38:$AA$38,"&gt;0",$U$131:$AA$131),Costprice!$O$37:$U$37)</f>
        <v>0</v>
      </c>
      <c r="Y66" s="2581">
        <f>SUMIF(Costprice!$O$2:$U$2,SUMIF($U$38:$AA$38,"&gt;0",$U$131:$AA$131),Costprice!$O$37:$U$37)</f>
        <v>0</v>
      </c>
      <c r="Z66" s="2581">
        <f>SUMIF(Costprice!$O$2:$U$2,SUMIF($U$38:$AA$38,"&gt;0",$U$131:$AA$131),Costprice!$O$37:$U$37)</f>
        <v>0</v>
      </c>
      <c r="AA66" s="2752">
        <f>SUMIF(Costprice!$O$2:$U$2,SUMIF($U$38:$AA$38,"&gt;0",$U$131:$AA$131),Costprice!$O$37:$U$37)</f>
        <v>0</v>
      </c>
      <c r="AC66" s="2549">
        <f t="shared" si="89"/>
        <v>2022</v>
      </c>
      <c r="AD66" s="2582">
        <f>SUMIF(Costprice!$O$2:$U$2,IF($AD38&gt;$AC38,$AD$33,0)+IF($AE38&gt;$AD38,$AE$33,0)+IF($AF38&gt;$AE38,$AF$33,0)+IF($AG38&gt;$AF38,$AG$33,0)+IF($AH38&gt;$AG38,$AH$33,0)+IF($AI38&gt;$AH38,$AI$33,0)+IF($AJ38&gt;$AI38,$AJ$33,0),Costprice!$O$49:$U$49)</f>
        <v>0</v>
      </c>
      <c r="AE66" s="2582">
        <f>SUMIF(Costprice!$O$2:$U$2,IF($AD38&gt;$AC38,$AD$33,0)+IF($AE38&gt;$AD38,$AE$33,0)+IF($AF38&gt;$AE38,$AF$33,0)+IF($AG38&gt;$AF38,$AG$33,0)+IF($AH38&gt;$AG38,$AH$33,0)+IF($AI38&gt;$AH38,$AI$33,0)+IF($AJ38&gt;$AI38,$AJ$33,0),Costprice!$O$49:$U$49)</f>
        <v>0</v>
      </c>
      <c r="AF66" s="2582">
        <f>SUMIF(Costprice!$O$2:$U$2,IF($AD38&gt;$AC38,$AD$33,0)+IF($AE38&gt;$AD38,$AE$33,0)+IF($AF38&gt;$AE38,$AF$33,0)+IF($AG38&gt;$AF38,$AG$33,0)+IF($AH38&gt;$AG38,$AH$33,0)+IF($AI38&gt;$AH38,$AI$33,0)+IF($AJ38&gt;$AI38,$AJ$33,0),Costprice!$O$49:$U$49)</f>
        <v>0</v>
      </c>
      <c r="AG66" s="2582">
        <f>SUMIF(Costprice!$O$2:$U$2,IF($AD38&gt;$AC38,$AD$33,0)+IF($AE38&gt;$AD38,$AE$33,0)+IF($AF38&gt;$AE38,$AF$33,0)+IF($AG38&gt;$AF38,$AG$33,0)+IF($AH38&gt;$AG38,$AH$33,0)+IF($AI38&gt;$AH38,$AI$33,0)+IF($AJ38&gt;$AI38,$AJ$33,0),Costprice!$O$49:$U$49)</f>
        <v>0</v>
      </c>
      <c r="AH66" s="2582">
        <f>SUMIF(Costprice!$O$2:$U$2,IF($AD38&gt;$AC38,$AD$33,0)+IF($AE38&gt;$AD38,$AE$33,0)+IF($AF38&gt;$AE38,$AF$33,0)+IF($AG38&gt;$AF38,$AG$33,0)+IF($AH38&gt;$AG38,$AH$33,0)+IF($AI38&gt;$AH38,$AI$33,0)+IF($AJ38&gt;$AI38,$AJ$33,0),Costprice!$O$49:$U$49)</f>
        <v>0</v>
      </c>
      <c r="AI66" s="2582">
        <f>SUMIF(Costprice!$O$2:$U$2,IF($AD38&gt;$AC38,$AD$33,0)+IF($AE38&gt;$AD38,$AE$33,0)+IF($AF38&gt;$AE38,$AF$33,0)+IF($AG38&gt;$AF38,$AG$33,0)+IF($AH38&gt;$AG38,$AH$33,0)+IF($AI38&gt;$AH38,$AI$33,0)+IF($AJ38&gt;$AI38,$AJ$33,0),Costprice!$O$49:$U$49)</f>
        <v>0</v>
      </c>
      <c r="AJ66" s="2584">
        <f>SUMIF(Costprice!$O$2:$U$2,IF($AD38&gt;$AC38,$AD$33,0)+IF($AE38&gt;$AD38,$AE$33,0)+IF($AF38&gt;$AE38,$AF$33,0)+IF($AG38&gt;$AF38,$AG$33,0)+IF($AH38&gt;$AG38,$AH$33,0)+IF($AI38&gt;$AH38,$AI$33,0)+IF($AJ38&gt;$AI38,$AJ$33,0),Costprice!$O$49:$U$49)</f>
        <v>0</v>
      </c>
      <c r="AL66" s="2549">
        <f t="shared" si="92"/>
        <v>2022</v>
      </c>
      <c r="AM66" s="2578">
        <f t="shared" si="93"/>
        <v>0</v>
      </c>
      <c r="AN66" s="2578">
        <f t="shared" si="93"/>
        <v>0</v>
      </c>
      <c r="AO66" s="2578">
        <f t="shared" si="93"/>
        <v>0</v>
      </c>
      <c r="AP66" s="2578">
        <f t="shared" si="93"/>
        <v>0</v>
      </c>
      <c r="AQ66" s="2578">
        <f t="shared" si="93"/>
        <v>0</v>
      </c>
      <c r="AR66" s="2578">
        <f t="shared" si="93"/>
        <v>0</v>
      </c>
      <c r="AS66" s="2579">
        <f t="shared" si="93"/>
        <v>0</v>
      </c>
    </row>
    <row r="67" spans="2:45">
      <c r="B67" s="2549">
        <f t="shared" ref="B67:B72" si="94">B39</f>
        <v>2023</v>
      </c>
      <c r="C67" s="2482"/>
      <c r="D67" s="2482"/>
      <c r="E67" s="2482"/>
      <c r="F67" s="2482"/>
      <c r="G67" s="2482"/>
      <c r="H67" s="2482"/>
      <c r="I67" s="2580"/>
      <c r="K67" s="2549">
        <f t="shared" ref="K67:K72" si="95">K39</f>
        <v>2023</v>
      </c>
      <c r="L67" s="2482"/>
      <c r="M67" s="2482"/>
      <c r="N67" s="2482"/>
      <c r="O67" s="2482"/>
      <c r="P67" s="2482"/>
      <c r="Q67" s="2482"/>
      <c r="R67" s="2580"/>
      <c r="T67" s="2549">
        <f t="shared" si="88"/>
        <v>2023</v>
      </c>
      <c r="U67" s="2581">
        <f>SUMIF(Costprice!$O$2:$U$2,SUMIF($U$39:$AA$39,"&gt;0",$U$131:$AA$131),Costprice!$O$37:$U$37)</f>
        <v>0</v>
      </c>
      <c r="V67" s="2581">
        <f>SUMIF(Costprice!$O$2:$U$2,SUMIF($U$39:$AA$39,"&gt;0",$U$131:$AA$131),Costprice!$O$37:$U$37)</f>
        <v>0</v>
      </c>
      <c r="W67" s="2581">
        <f>SUMIF(Costprice!$O$2:$U$2,SUMIF($U$39:$AA$39,"&gt;0",$U$131:$AA$131),Costprice!$O$37:$U$37)</f>
        <v>0</v>
      </c>
      <c r="X67" s="2581">
        <f>SUMIF(Costprice!$O$2:$U$2,SUMIF($U$39:$AA$39,"&gt;0",$U$131:$AA$131),Costprice!$O$37:$U$37)</f>
        <v>0</v>
      </c>
      <c r="Y67" s="2581">
        <f>SUMIF(Costprice!$O$2:$U$2,SUMIF($U$39:$AA$39,"&gt;0",$U$131:$AA$131),Costprice!$O$37:$U$37)</f>
        <v>0</v>
      </c>
      <c r="Z67" s="2581">
        <f>SUMIF(Costprice!$O$2:$U$2,SUMIF($U$39:$AA$39,"&gt;0",$U$131:$AA$131),Costprice!$O$37:$U$37)</f>
        <v>0</v>
      </c>
      <c r="AA67" s="2752">
        <f>SUMIF(Costprice!$O$2:$U$2,SUMIF($U$39:$AA$39,"&gt;0",$U$131:$AA$131),Costprice!$O$37:$U$37)</f>
        <v>0</v>
      </c>
      <c r="AC67" s="2549">
        <f t="shared" si="89"/>
        <v>2023</v>
      </c>
      <c r="AD67" s="2582">
        <f ca="1">SUMIF(Costprice!$O$2:$U$2,IF($AD39&gt;$AC39,$AD$33,0)+IF($AE39&gt;$AD39,$AE$33,0)+IF($AF39&gt;$AE39,$AF$33,0)+IF($AG39&gt;$AF39,$AG$33,0)+IF($AH39&gt;$AG39,$AH$33,0)+IF($AI39&gt;$AH39,$AI$33,0)+IF($AJ39&gt;$AI39,$AJ$33,0),Costprice!$O$49:$U$49)</f>
        <v>1.1919184640409033</v>
      </c>
      <c r="AE67" s="2582">
        <f ca="1">SUMIF(Costprice!$O$2:$U$2,IF($AD39&gt;$AC39,$AD$33,0)+IF($AE39&gt;$AD39,$AE$33,0)+IF($AF39&gt;$AE39,$AF$33,0)+IF($AG39&gt;$AF39,$AG$33,0)+IF($AH39&gt;$AG39,$AH$33,0)+IF($AI39&gt;$AH39,$AI$33,0)+IF($AJ39&gt;$AI39,$AJ$33,0),Costprice!$O$49:$U$49)</f>
        <v>1.1919184640409033</v>
      </c>
      <c r="AF67" s="2582">
        <f ca="1">SUMIF(Costprice!$O$2:$U$2,IF($AD39&gt;$AC39,$AD$33,0)+IF($AE39&gt;$AD39,$AE$33,0)+IF($AF39&gt;$AE39,$AF$33,0)+IF($AG39&gt;$AF39,$AG$33,0)+IF($AH39&gt;$AG39,$AH$33,0)+IF($AI39&gt;$AH39,$AI$33,0)+IF($AJ39&gt;$AI39,$AJ$33,0),Costprice!$O$49:$U$49)</f>
        <v>1.1919184640409033</v>
      </c>
      <c r="AG67" s="2582">
        <f ca="1">SUMIF(Costprice!$O$2:$U$2,IF($AD39&gt;$AC39,$AD$33,0)+IF($AE39&gt;$AD39,$AE$33,0)+IF($AF39&gt;$AE39,$AF$33,0)+IF($AG39&gt;$AF39,$AG$33,0)+IF($AH39&gt;$AG39,$AH$33,0)+IF($AI39&gt;$AH39,$AI$33,0)+IF($AJ39&gt;$AI39,$AJ$33,0),Costprice!$O$49:$U$49)</f>
        <v>1.1919184640409033</v>
      </c>
      <c r="AH67" s="2582">
        <f ca="1">SUMIF(Costprice!$O$2:$U$2,IF($AD39&gt;$AC39,$AD$33,0)+IF($AE39&gt;$AD39,$AE$33,0)+IF($AF39&gt;$AE39,$AF$33,0)+IF($AG39&gt;$AF39,$AG$33,0)+IF($AH39&gt;$AG39,$AH$33,0)+IF($AI39&gt;$AH39,$AI$33,0)+IF($AJ39&gt;$AI39,$AJ$33,0),Costprice!$O$49:$U$49)</f>
        <v>1.1919184640409033</v>
      </c>
      <c r="AI67" s="2582">
        <f ca="1">SUMIF(Costprice!$O$2:$U$2,IF($AD39&gt;$AC39,$AD$33,0)+IF($AE39&gt;$AD39,$AE$33,0)+IF($AF39&gt;$AE39,$AF$33,0)+IF($AG39&gt;$AF39,$AG$33,0)+IF($AH39&gt;$AG39,$AH$33,0)+IF($AI39&gt;$AH39,$AI$33,0)+IF($AJ39&gt;$AI39,$AJ$33,0),Costprice!$O$49:$U$49)</f>
        <v>1.1919184640409033</v>
      </c>
      <c r="AJ67" s="2584">
        <f ca="1">SUMIF(Costprice!$O$2:$U$2,IF($AD39&gt;$AC39,$AD$33,0)+IF($AE39&gt;$AD39,$AE$33,0)+IF($AF39&gt;$AE39,$AF$33,0)+IF($AG39&gt;$AF39,$AG$33,0)+IF($AH39&gt;$AG39,$AH$33,0)+IF($AI39&gt;$AH39,$AI$33,0)+IF($AJ39&gt;$AI39,$AJ$33,0),Costprice!$O$49:$U$49)</f>
        <v>1.1919184640409033</v>
      </c>
      <c r="AL67" s="2549">
        <f t="shared" si="92"/>
        <v>2023</v>
      </c>
      <c r="AM67" s="2482">
        <f ca="1">SUMIF(Costprice!$O$2:$U$2,IF($AM39&gt;$AC39,$AD$33,0)+IF($AN39&gt;$AM39,$AE$33,0)+IF($AO39&gt;$AN39,$AF$33,0)+IF($AP39&gt;$AO39,$AG$33,0)+IF($AQ39&gt;$AP39,$AH$33,0)+IF($AR39&gt;$AQ39,$AI$33,0)+IF($AS39&gt;$AR39,$AJ$33,0),Costprice!$O$62:$U$62)</f>
        <v>1.1919184640409033</v>
      </c>
      <c r="AN67" s="2482">
        <f ca="1">SUMIF(Costprice!$O$2:$U$2,IF($AM39&gt;$AC39,$AD$33,0)+IF($AN39&gt;$AM39,$AE$33,0)+IF($AO39&gt;$AN39,$AF$33,0)+IF($AP39&gt;$AO39,$AG$33,0)+IF($AQ39&gt;$AP39,$AH$33,0)+IF($AR39&gt;$AQ39,$AI$33,0)+IF($AS39&gt;$AR39,$AJ$33,0),Costprice!$O$62:$U$62)</f>
        <v>1.1919184640409033</v>
      </c>
      <c r="AO67" s="2482">
        <f ca="1">SUMIF(Costprice!$O$2:$U$2,IF($AM39&gt;$AC39,$AD$33,0)+IF($AN39&gt;$AM39,$AE$33,0)+IF($AO39&gt;$AN39,$AF$33,0)+IF($AP39&gt;$AO39,$AG$33,0)+IF($AQ39&gt;$AP39,$AH$33,0)+IF($AR39&gt;$AQ39,$AI$33,0)+IF($AS39&gt;$AR39,$AJ$33,0),Costprice!$O$62:$U$62)</f>
        <v>1.1919184640409033</v>
      </c>
      <c r="AP67" s="2482">
        <f ca="1">SUMIF(Costprice!$O$2:$U$2,IF($AM39&gt;$AC39,$AD$33,0)+IF($AN39&gt;$AM39,$AE$33,0)+IF($AO39&gt;$AN39,$AF$33,0)+IF($AP39&gt;$AO39,$AG$33,0)+IF($AQ39&gt;$AP39,$AH$33,0)+IF($AR39&gt;$AQ39,$AI$33,0)+IF($AS39&gt;$AR39,$AJ$33,0),Costprice!$O$62:$U$62)</f>
        <v>1.1919184640409033</v>
      </c>
      <c r="AQ67" s="2482">
        <f ca="1">SUMIF(Costprice!$O$2:$U$2,IF($AM39&gt;$AC39,$AD$33,0)+IF($AN39&gt;$AM39,$AE$33,0)+IF($AO39&gt;$AN39,$AF$33,0)+IF($AP39&gt;$AO39,$AG$33,0)+IF($AQ39&gt;$AP39,$AH$33,0)+IF($AR39&gt;$AQ39,$AI$33,0)+IF($AS39&gt;$AR39,$AJ$33,0),Costprice!$O$62:$U$62)</f>
        <v>1.1919184640409033</v>
      </c>
      <c r="AR67" s="2482">
        <f ca="1">SUMIF(Costprice!$O$2:$U$2,IF($AM39&gt;$AC39,$AD$33,0)+IF($AN39&gt;$AM39,$AE$33,0)+IF($AO39&gt;$AN39,$AF$33,0)+IF($AP39&gt;$AO39,$AG$33,0)+IF($AQ39&gt;$AP39,$AH$33,0)+IF($AR39&gt;$AQ39,$AI$33,0)+IF($AS39&gt;$AR39,$AJ$33,0),Costprice!$O$62:$U$62)</f>
        <v>1.1919184640409033</v>
      </c>
      <c r="AS67" s="2580">
        <f ca="1">SUMIF(Costprice!$O$2:$U$2,IF($AM39&gt;$AC39,$AD$33,0)+IF($AN39&gt;$AM39,$AE$33,0)+IF($AO39&gt;$AN39,$AF$33,0)+IF($AP39&gt;$AO39,$AG$33,0)+IF($AQ39&gt;$AP39,$AH$33,0)+IF($AR39&gt;$AQ39,$AI$33,0)+IF($AS39&gt;$AR39,$AJ$33,0),Costprice!$O$62:$U$62)</f>
        <v>1.1919184640409033</v>
      </c>
    </row>
    <row r="68" spans="2:45">
      <c r="B68" s="2549">
        <f t="shared" si="94"/>
        <v>2024</v>
      </c>
      <c r="C68" s="2482"/>
      <c r="D68" s="2482"/>
      <c r="E68" s="2482"/>
      <c r="F68" s="2482"/>
      <c r="G68" s="2482"/>
      <c r="H68" s="2482"/>
      <c r="I68" s="2580"/>
      <c r="K68" s="2549">
        <f t="shared" si="95"/>
        <v>2024</v>
      </c>
      <c r="L68" s="2482"/>
      <c r="M68" s="2482"/>
      <c r="N68" s="2482"/>
      <c r="O68" s="2482"/>
      <c r="P68" s="2482"/>
      <c r="Q68" s="2482"/>
      <c r="R68" s="2580"/>
      <c r="T68" s="2549">
        <f t="shared" si="88"/>
        <v>2024</v>
      </c>
      <c r="U68" s="2583">
        <f>SUMIF(Costprice!$O$2:$U$2,SUMIF($U$40:$AA$40,"&gt;0",$U$131:$AA$131),Costprice!$O$37:$U$37)</f>
        <v>0</v>
      </c>
      <c r="V68" s="2583">
        <f>SUMIF(Costprice!$O$2:$U$2,SUMIF($U$40:$AA$40,"&gt;0",$U$131:$AA$131),Costprice!$O$37:$U$37)</f>
        <v>0</v>
      </c>
      <c r="W68" s="2583">
        <f>SUMIF(Costprice!$O$2:$U$2,SUMIF($U$40:$AA$40,"&gt;0",$U$131:$AA$131),Costprice!$O$37:$U$37)</f>
        <v>0</v>
      </c>
      <c r="X68" s="2583">
        <f>SUMIF(Costprice!$O$2:$U$2,SUMIF($U$40:$AA$40,"&gt;0",$U$131:$AA$131),Costprice!$O$37:$U$37)</f>
        <v>0</v>
      </c>
      <c r="Y68" s="2583">
        <f>SUMIF(Costprice!$O$2:$U$2,SUMIF($U$40:$AA$40,"&gt;0",$U$131:$AA$131),Costprice!$O$37:$U$37)</f>
        <v>0</v>
      </c>
      <c r="Z68" s="2583">
        <f>SUMIF(Costprice!$O$2:$U$2,SUMIF($U$40:$AA$40,"&gt;0",$U$131:$AA$131),Costprice!$O$37:$U$37)</f>
        <v>0</v>
      </c>
      <c r="AA68" s="2580">
        <f>SUMIF(Costprice!$O$2:$U$2,SUMIF($U$40:$AA$40,"&gt;0",$U$131:$AA$131),Costprice!$O$37:$U$37)</f>
        <v>0</v>
      </c>
      <c r="AC68" s="2549">
        <f t="shared" si="89"/>
        <v>2024</v>
      </c>
      <c r="AD68" s="2582">
        <f ca="1">SUMIF(Costprice!$O$2:$U$2,IF($AD40&gt;$AC40,$AD$33,0)+IF($AE40&gt;$AD40,$AE$33,0)+IF($AF40&gt;$AE40,$AF$33,0)+IF($AG40&gt;$AF40,$AG$33,0)+IF($AH40&gt;$AG40,$AH$33,0)+IF($AI40&gt;$AH40,$AI$33,0)+IF($AJ40&gt;$AI40,$AJ$33,0),Costprice!$O$49:$U$49)</f>
        <v>1.880069095309356</v>
      </c>
      <c r="AE68" s="2582">
        <f ca="1">SUMIF(Costprice!$O$2:$U$2,IF($AD40&gt;$AC40,$AD$33,0)+IF($AE40&gt;$AD40,$AE$33,0)+IF($AF40&gt;$AE40,$AF$33,0)+IF($AG40&gt;$AF40,$AG$33,0)+IF($AH40&gt;$AG40,$AH$33,0)+IF($AI40&gt;$AH40,$AI$33,0)+IF($AJ40&gt;$AI40,$AJ$33,0),Costprice!$O$49:$U$49)</f>
        <v>1.880069095309356</v>
      </c>
      <c r="AF68" s="2582">
        <f ca="1">SUMIF(Costprice!$O$2:$U$2,IF($AD40&gt;$AC40,$AD$33,0)+IF($AE40&gt;$AD40,$AE$33,0)+IF($AF40&gt;$AE40,$AF$33,0)+IF($AG40&gt;$AF40,$AG$33,0)+IF($AH40&gt;$AG40,$AH$33,0)+IF($AI40&gt;$AH40,$AI$33,0)+IF($AJ40&gt;$AI40,$AJ$33,0),Costprice!$O$49:$U$49)</f>
        <v>1.880069095309356</v>
      </c>
      <c r="AG68" s="2582">
        <f ca="1">SUMIF(Costprice!$O$2:$U$2,IF($AD40&gt;$AC40,$AD$33,0)+IF($AE40&gt;$AD40,$AE$33,0)+IF($AF40&gt;$AE40,$AF$33,0)+IF($AG40&gt;$AF40,$AG$33,0)+IF($AH40&gt;$AG40,$AH$33,0)+IF($AI40&gt;$AH40,$AI$33,0)+IF($AJ40&gt;$AI40,$AJ$33,0),Costprice!$O$49:$U$49)</f>
        <v>1.880069095309356</v>
      </c>
      <c r="AH68" s="2582">
        <f ca="1">SUMIF(Costprice!$O$2:$U$2,IF($AD40&gt;$AC40,$AD$33,0)+IF($AE40&gt;$AD40,$AE$33,0)+IF($AF40&gt;$AE40,$AF$33,0)+IF($AG40&gt;$AF40,$AG$33,0)+IF($AH40&gt;$AG40,$AH$33,0)+IF($AI40&gt;$AH40,$AI$33,0)+IF($AJ40&gt;$AI40,$AJ$33,0),Costprice!$O$49:$U$49)</f>
        <v>1.880069095309356</v>
      </c>
      <c r="AI68" s="2582">
        <f ca="1">SUMIF(Costprice!$O$2:$U$2,IF($AD40&gt;$AC40,$AD$33,0)+IF($AE40&gt;$AD40,$AE$33,0)+IF($AF40&gt;$AE40,$AF$33,0)+IF($AG40&gt;$AF40,$AG$33,0)+IF($AH40&gt;$AG40,$AH$33,0)+IF($AI40&gt;$AH40,$AI$33,0)+IF($AJ40&gt;$AI40,$AJ$33,0),Costprice!$O$49:$U$49)</f>
        <v>1.880069095309356</v>
      </c>
      <c r="AJ68" s="2584">
        <f ca="1">SUMIF(Costprice!$O$2:$U$2,IF($AD40&gt;$AC40,$AD$33,0)+IF($AE40&gt;$AD40,$AE$33,0)+IF($AF40&gt;$AE40,$AF$33,0)+IF($AG40&gt;$AF40,$AG$33,0)+IF($AH40&gt;$AG40,$AH$33,0)+IF($AI40&gt;$AH40,$AI$33,0)+IF($AJ40&gt;$AI40,$AJ$33,0),Costprice!$O$49:$U$49)</f>
        <v>1.880069095309356</v>
      </c>
      <c r="AL68" s="2549">
        <f t="shared" si="92"/>
        <v>2024</v>
      </c>
      <c r="AM68" s="2482">
        <f ca="1">SUMIF(Costprice!$O$2:$U$2,IF($AM40&gt;$AC40,$AD$33,0)+IF($AN40&gt;$AM40,$AE$33,0)+IF($AO40&gt;$AN40,$AF$33,0)+IF($AP40&gt;$AO40,$AG$33,0)+IF($AQ40&gt;$AP40,$AH$33,0)+IF($AR40&gt;$AQ40,$AI$33,0)+IF($AS40&gt;$AR40,$AJ$33,0),Costprice!$O$62:$U$62)</f>
        <v>1.8800690953093557</v>
      </c>
      <c r="AN68" s="2482">
        <f ca="1">SUMIF(Costprice!$O$2:$U$2,IF($AM40&gt;$AC40,$AD$33,0)+IF($AN40&gt;$AM40,$AE$33,0)+IF($AO40&gt;$AN40,$AF$33,0)+IF($AP40&gt;$AO40,$AG$33,0)+IF($AQ40&gt;$AP40,$AH$33,0)+IF($AR40&gt;$AQ40,$AI$33,0)+IF($AS40&gt;$AR40,$AJ$33,0),Costprice!$O$62:$U$62)</f>
        <v>1.8800690953093557</v>
      </c>
      <c r="AO68" s="2482">
        <f ca="1">SUMIF(Costprice!$O$2:$U$2,IF($AM40&gt;$AC40,$AD$33,0)+IF($AN40&gt;$AM40,$AE$33,0)+IF($AO40&gt;$AN40,$AF$33,0)+IF($AP40&gt;$AO40,$AG$33,0)+IF($AQ40&gt;$AP40,$AH$33,0)+IF($AR40&gt;$AQ40,$AI$33,0)+IF($AS40&gt;$AR40,$AJ$33,0),Costprice!$O$62:$U$62)</f>
        <v>1.8800690953093557</v>
      </c>
      <c r="AP68" s="2482">
        <f ca="1">SUMIF(Costprice!$O$2:$U$2,IF($AM40&gt;$AC40,$AD$33,0)+IF($AN40&gt;$AM40,$AE$33,0)+IF($AO40&gt;$AN40,$AF$33,0)+IF($AP40&gt;$AO40,$AG$33,0)+IF($AQ40&gt;$AP40,$AH$33,0)+IF($AR40&gt;$AQ40,$AI$33,0)+IF($AS40&gt;$AR40,$AJ$33,0),Costprice!$O$62:$U$62)</f>
        <v>1.8800690953093557</v>
      </c>
      <c r="AQ68" s="2482">
        <f ca="1">SUMIF(Costprice!$O$2:$U$2,IF($AM40&gt;$AC40,$AD$33,0)+IF($AN40&gt;$AM40,$AE$33,0)+IF($AO40&gt;$AN40,$AF$33,0)+IF($AP40&gt;$AO40,$AG$33,0)+IF($AQ40&gt;$AP40,$AH$33,0)+IF($AR40&gt;$AQ40,$AI$33,0)+IF($AS40&gt;$AR40,$AJ$33,0),Costprice!$O$62:$U$62)</f>
        <v>1.8800690953093557</v>
      </c>
      <c r="AR68" s="2482">
        <f ca="1">SUMIF(Costprice!$O$2:$U$2,IF($AM40&gt;$AC40,$AD$33,0)+IF($AN40&gt;$AM40,$AE$33,0)+IF($AO40&gt;$AN40,$AF$33,0)+IF($AP40&gt;$AO40,$AG$33,0)+IF($AQ40&gt;$AP40,$AH$33,0)+IF($AR40&gt;$AQ40,$AI$33,0)+IF($AS40&gt;$AR40,$AJ$33,0),Costprice!$O$62:$U$62)</f>
        <v>1.8800690953093557</v>
      </c>
      <c r="AS68" s="2580">
        <f ca="1">SUMIF(Costprice!$O$2:$U$2,IF($AM40&gt;$AC40,$AD$33,0)+IF($AN40&gt;$AM40,$AE$33,0)+IF($AO40&gt;$AN40,$AF$33,0)+IF($AP40&gt;$AO40,$AG$33,0)+IF($AQ40&gt;$AP40,$AH$33,0)+IF($AR40&gt;$AQ40,$AI$33,0)+IF($AS40&gt;$AR40,$AJ$33,0),Costprice!$O$62:$U$62)</f>
        <v>1.8800690953093557</v>
      </c>
    </row>
    <row r="69" spans="2:45">
      <c r="B69" s="2549">
        <f t="shared" si="94"/>
        <v>2025</v>
      </c>
      <c r="C69" s="2482"/>
      <c r="D69" s="2482"/>
      <c r="E69" s="2482"/>
      <c r="F69" s="2482"/>
      <c r="G69" s="2482"/>
      <c r="H69" s="2482"/>
      <c r="I69" s="2580"/>
      <c r="K69" s="2549">
        <f t="shared" si="95"/>
        <v>2025</v>
      </c>
      <c r="L69" s="2482"/>
      <c r="M69" s="2482"/>
      <c r="N69" s="2482"/>
      <c r="O69" s="2482"/>
      <c r="P69" s="2482"/>
      <c r="Q69" s="2482"/>
      <c r="R69" s="2580"/>
      <c r="T69" s="2549">
        <f t="shared" si="88"/>
        <v>2025</v>
      </c>
      <c r="U69" s="2583">
        <f>SUMIF(Costprice!$O$2:$U$2,SUMIF($U$41:$AA$41,"&gt;0",$U$131:$AA$131),Costprice!$O$37:$U$37)</f>
        <v>0</v>
      </c>
      <c r="V69" s="2583">
        <f>SUMIF(Costprice!$O$2:$U$2,SUMIF($U$41:$AA$41,"&gt;0",$U$131:$AA$131),Costprice!$O$37:$U$37)</f>
        <v>0</v>
      </c>
      <c r="W69" s="2583">
        <f>SUMIF(Costprice!$O$2:$U$2,SUMIF($U$41:$AA$41,"&gt;0",$U$131:$AA$131),Costprice!$O$37:$U$37)</f>
        <v>0</v>
      </c>
      <c r="X69" s="2583">
        <f>SUMIF(Costprice!$O$2:$U$2,SUMIF($U$41:$AA$41,"&gt;0",$U$131:$AA$131),Costprice!$O$37:$U$37)</f>
        <v>0</v>
      </c>
      <c r="Y69" s="2583">
        <f>SUMIF(Costprice!$O$2:$U$2,SUMIF($U$41:$AA$41,"&gt;0",$U$131:$AA$131),Costprice!$O$37:$U$37)</f>
        <v>0</v>
      </c>
      <c r="Z69" s="2583">
        <f>SUMIF(Costprice!$O$2:$U$2,SUMIF($U$41:$AA$41,"&gt;0",$U$131:$AA$131),Costprice!$O$37:$U$37)</f>
        <v>0</v>
      </c>
      <c r="AA69" s="2580">
        <f>SUMIF(Costprice!$O$2:$U$2,SUMIF($U$41:$AA$41,"&gt;0",$U$131:$AA$131),Costprice!$O$37:$U$37)</f>
        <v>0</v>
      </c>
      <c r="AC69" s="2549">
        <f t="shared" si="89"/>
        <v>2025</v>
      </c>
      <c r="AD69" s="2582">
        <f ca="1">SUMIF(Costprice!$O$2:$U$2,IF($AD41&gt;$AC41,$AD$33,0)+IF($AE41&gt;$AD41,$AE$33,0)+IF($AF41&gt;$AE41,$AF$33,0)+IF($AG41&gt;$AF41,$AG$33,0)+IF($AH41&gt;$AG41,$AH$33,0)+IF($AI41&gt;$AH41,$AI$33,0)+IF($AJ41&gt;$AI41,$AJ$33,0),Costprice!$O$49:$U$49)</f>
        <v>1.5494822613487778</v>
      </c>
      <c r="AE69" s="2582">
        <f ca="1">SUMIF(Costprice!$O$2:$U$2,IF($AD41&gt;$AC41,$AD$33,0)+IF($AE41&gt;$AD41,$AE$33,0)+IF($AF41&gt;$AE41,$AF$33,0)+IF($AG41&gt;$AF41,$AG$33,0)+IF($AH41&gt;$AG41,$AH$33,0)+IF($AI41&gt;$AH41,$AI$33,0)+IF($AJ41&gt;$AI41,$AJ$33,0),Costprice!$O$49:$U$49)</f>
        <v>1.5494822613487778</v>
      </c>
      <c r="AF69" s="2582">
        <f ca="1">SUMIF(Costprice!$O$2:$U$2,IF($AD41&gt;$AC41,$AD$33,0)+IF($AE41&gt;$AD41,$AE$33,0)+IF($AF41&gt;$AE41,$AF$33,0)+IF($AG41&gt;$AF41,$AG$33,0)+IF($AH41&gt;$AG41,$AH$33,0)+IF($AI41&gt;$AH41,$AI$33,0)+IF($AJ41&gt;$AI41,$AJ$33,0),Costprice!$O$49:$U$49)</f>
        <v>1.5494822613487778</v>
      </c>
      <c r="AG69" s="2582">
        <f ca="1">SUMIF(Costprice!$O$2:$U$2,IF($AD41&gt;$AC41,$AD$33,0)+IF($AE41&gt;$AD41,$AE$33,0)+IF($AF41&gt;$AE41,$AF$33,0)+IF($AG41&gt;$AF41,$AG$33,0)+IF($AH41&gt;$AG41,$AH$33,0)+IF($AI41&gt;$AH41,$AI$33,0)+IF($AJ41&gt;$AI41,$AJ$33,0),Costprice!$O$49:$U$49)</f>
        <v>1.5494822613487778</v>
      </c>
      <c r="AH69" s="2582">
        <f ca="1">SUMIF(Costprice!$O$2:$U$2,IF($AD41&gt;$AC41,$AD$33,0)+IF($AE41&gt;$AD41,$AE$33,0)+IF($AF41&gt;$AE41,$AF$33,0)+IF($AG41&gt;$AF41,$AG$33,0)+IF($AH41&gt;$AG41,$AH$33,0)+IF($AI41&gt;$AH41,$AI$33,0)+IF($AJ41&gt;$AI41,$AJ$33,0),Costprice!$O$49:$U$49)</f>
        <v>1.5494822613487778</v>
      </c>
      <c r="AI69" s="2582">
        <f ca="1">SUMIF(Costprice!$O$2:$U$2,IF($AD41&gt;$AC41,$AD$33,0)+IF($AE41&gt;$AD41,$AE$33,0)+IF($AF41&gt;$AE41,$AF$33,0)+IF($AG41&gt;$AF41,$AG$33,0)+IF($AH41&gt;$AG41,$AH$33,0)+IF($AI41&gt;$AH41,$AI$33,0)+IF($AJ41&gt;$AI41,$AJ$33,0),Costprice!$O$49:$U$49)</f>
        <v>1.5494822613487778</v>
      </c>
      <c r="AJ69" s="2584">
        <f ca="1">SUMIF(Costprice!$O$2:$U$2,IF($AD41&gt;$AC41,$AD$33,0)+IF($AE41&gt;$AD41,$AE$33,0)+IF($AF41&gt;$AE41,$AF$33,0)+IF($AG41&gt;$AF41,$AG$33,0)+IF($AH41&gt;$AG41,$AH$33,0)+IF($AI41&gt;$AH41,$AI$33,0)+IF($AJ41&gt;$AI41,$AJ$33,0),Costprice!$O$49:$U$49)</f>
        <v>1.5494822613487778</v>
      </c>
      <c r="AL69" s="2549">
        <f t="shared" si="92"/>
        <v>2025</v>
      </c>
      <c r="AM69" s="2482">
        <f ca="1">SUMIF(Costprice!$O$2:$U$2,IF($AM41&gt;$AC41,$AD$33,0)+IF($AN41&gt;$AM41,$AE$33,0)+IF($AO41&gt;$AN41,$AF$33,0)+IF($AP41&gt;$AO41,$AG$33,0)+IF($AQ41&gt;$AP41,$AH$33,0)+IF($AR41&gt;$AQ41,$AI$33,0)+IF($AS41&gt;$AR41,$AJ$33,0),Costprice!$O$62:$U$62)</f>
        <v>1.5494822613487775</v>
      </c>
      <c r="AN69" s="2482">
        <f ca="1">SUMIF(Costprice!$O$2:$U$2,IF($AM41&gt;$AC41,$AD$33,0)+IF($AN41&gt;$AM41,$AE$33,0)+IF($AO41&gt;$AN41,$AF$33,0)+IF($AP41&gt;$AO41,$AG$33,0)+IF($AQ41&gt;$AP41,$AH$33,0)+IF($AR41&gt;$AQ41,$AI$33,0)+IF($AS41&gt;$AR41,$AJ$33,0),Costprice!$O$62:$U$62)</f>
        <v>1.5494822613487775</v>
      </c>
      <c r="AO69" s="2482">
        <f ca="1">SUMIF(Costprice!$O$2:$U$2,IF($AM41&gt;$AC41,$AD$33,0)+IF($AN41&gt;$AM41,$AE$33,0)+IF($AO41&gt;$AN41,$AF$33,0)+IF($AP41&gt;$AO41,$AG$33,0)+IF($AQ41&gt;$AP41,$AH$33,0)+IF($AR41&gt;$AQ41,$AI$33,0)+IF($AS41&gt;$AR41,$AJ$33,0),Costprice!$O$62:$U$62)</f>
        <v>1.5494822613487775</v>
      </c>
      <c r="AP69" s="2482">
        <f ca="1">SUMIF(Costprice!$O$2:$U$2,IF($AM41&gt;$AC41,$AD$33,0)+IF($AN41&gt;$AM41,$AE$33,0)+IF($AO41&gt;$AN41,$AF$33,0)+IF($AP41&gt;$AO41,$AG$33,0)+IF($AQ41&gt;$AP41,$AH$33,0)+IF($AR41&gt;$AQ41,$AI$33,0)+IF($AS41&gt;$AR41,$AJ$33,0),Costprice!$O$62:$U$62)</f>
        <v>1.5494822613487775</v>
      </c>
      <c r="AQ69" s="2482">
        <f ca="1">SUMIF(Costprice!$O$2:$U$2,IF($AM41&gt;$AC41,$AD$33,0)+IF($AN41&gt;$AM41,$AE$33,0)+IF($AO41&gt;$AN41,$AF$33,0)+IF($AP41&gt;$AO41,$AG$33,0)+IF($AQ41&gt;$AP41,$AH$33,0)+IF($AR41&gt;$AQ41,$AI$33,0)+IF($AS41&gt;$AR41,$AJ$33,0),Costprice!$O$62:$U$62)</f>
        <v>1.5494822613487775</v>
      </c>
      <c r="AR69" s="2482">
        <f ca="1">SUMIF(Costprice!$O$2:$U$2,IF($AM41&gt;$AC41,$AD$33,0)+IF($AN41&gt;$AM41,$AE$33,0)+IF($AO41&gt;$AN41,$AF$33,0)+IF($AP41&gt;$AO41,$AG$33,0)+IF($AQ41&gt;$AP41,$AH$33,0)+IF($AR41&gt;$AQ41,$AI$33,0)+IF($AS41&gt;$AR41,$AJ$33,0),Costprice!$O$62:$U$62)</f>
        <v>1.5494822613487775</v>
      </c>
      <c r="AS69" s="2580">
        <f ca="1">SUMIF(Costprice!$O$2:$U$2,IF($AM41&gt;$AC41,$AD$33,0)+IF($AN41&gt;$AM41,$AE$33,0)+IF($AO41&gt;$AN41,$AF$33,0)+IF($AP41&gt;$AO41,$AG$33,0)+IF($AQ41&gt;$AP41,$AH$33,0)+IF($AR41&gt;$AQ41,$AI$33,0)+IF($AS41&gt;$AR41,$AJ$33,0),Costprice!$O$62:$U$62)</f>
        <v>1.5494822613487775</v>
      </c>
    </row>
    <row r="70" spans="2:45">
      <c r="B70" s="2549">
        <f t="shared" si="94"/>
        <v>2026</v>
      </c>
      <c r="C70" s="2482"/>
      <c r="D70" s="2482"/>
      <c r="E70" s="2482"/>
      <c r="F70" s="2482"/>
      <c r="G70" s="2482"/>
      <c r="H70" s="2482"/>
      <c r="I70" s="2580"/>
      <c r="K70" s="2549">
        <f t="shared" si="95"/>
        <v>2026</v>
      </c>
      <c r="L70" s="2482"/>
      <c r="M70" s="2482"/>
      <c r="N70" s="2482"/>
      <c r="O70" s="2482"/>
      <c r="P70" s="2482"/>
      <c r="Q70" s="2482"/>
      <c r="R70" s="2580"/>
      <c r="T70" s="2549">
        <f t="shared" si="88"/>
        <v>2026</v>
      </c>
      <c r="U70" s="2583">
        <f>SUMIF(Costprice!$O$2:$U$2,SUMIF($U$42:$AA$42,"&gt;0",$U$131:$AA$131),Costprice!$O$37:$U$37)</f>
        <v>0</v>
      </c>
      <c r="V70" s="2583">
        <f>SUMIF(Costprice!$O$2:$U$2,SUMIF($U$42:$AA$42,"&gt;0",$U$131:$AA$131),Costprice!$O$37:$U$37)</f>
        <v>0</v>
      </c>
      <c r="W70" s="2583">
        <f>SUMIF(Costprice!$O$2:$U$2,SUMIF($U$42:$AA$42,"&gt;0",$U$131:$AA$131),Costprice!$O$37:$U$37)</f>
        <v>0</v>
      </c>
      <c r="X70" s="2583">
        <f>SUMIF(Costprice!$O$2:$U$2,SUMIF($U$42:$AA$42,"&gt;0",$U$131:$AA$131),Costprice!$O$37:$U$37)</f>
        <v>0</v>
      </c>
      <c r="Y70" s="2583">
        <f>SUMIF(Costprice!$O$2:$U$2,SUMIF($U$42:$AA$42,"&gt;0",$U$131:$AA$131),Costprice!$O$37:$U$37)</f>
        <v>0</v>
      </c>
      <c r="Z70" s="2583">
        <f>SUMIF(Costprice!$O$2:$U$2,SUMIF($U$42:$AA$42,"&gt;0",$U$131:$AA$131),Costprice!$O$37:$U$37)</f>
        <v>0</v>
      </c>
      <c r="AA70" s="2580">
        <f>SUMIF(Costprice!$O$2:$U$2,SUMIF($U$42:$AA$42,"&gt;0",$U$131:$AA$131),Costprice!$O$37:$U$37)</f>
        <v>0</v>
      </c>
      <c r="AC70" s="2549">
        <f t="shared" si="89"/>
        <v>2026</v>
      </c>
      <c r="AD70" s="2582">
        <f ca="1">SUMIF(Costprice!$O$2:$U$2,IF($AD42&gt;$AC42,$AD$33,0)+IF($AE42&gt;$AD42,$AE$33,0)+IF($AF42&gt;$AE42,$AF$33,0)+IF($AG42&gt;$AF42,$AG$33,0)+IF($AH42&gt;$AG42,$AH$33,0)+IF($AI42&gt;$AH42,$AI$33,0)+IF($AJ42&gt;$AI42,$AJ$33,0),Costprice!$O$49:$U$49)</f>
        <v>1.2924506361908605</v>
      </c>
      <c r="AE70" s="2582">
        <f ca="1">SUMIF(Costprice!$O$2:$U$2,IF($AD42&gt;$AC42,$AD$33,0)+IF($AE42&gt;$AD42,$AE$33,0)+IF($AF42&gt;$AE42,$AF$33,0)+IF($AG42&gt;$AF42,$AG$33,0)+IF($AH42&gt;$AG42,$AH$33,0)+IF($AI42&gt;$AH42,$AI$33,0)+IF($AJ42&gt;$AI42,$AJ$33,0),Costprice!$O$49:$U$49)</f>
        <v>1.2924506361908605</v>
      </c>
      <c r="AF70" s="2582">
        <f ca="1">SUMIF(Costprice!$O$2:$U$2,IF($AD42&gt;$AC42,$AD$33,0)+IF($AE42&gt;$AD42,$AE$33,0)+IF($AF42&gt;$AE42,$AF$33,0)+IF($AG42&gt;$AF42,$AG$33,0)+IF($AH42&gt;$AG42,$AH$33,0)+IF($AI42&gt;$AH42,$AI$33,0)+IF($AJ42&gt;$AI42,$AJ$33,0),Costprice!$O$49:$U$49)</f>
        <v>1.2924506361908605</v>
      </c>
      <c r="AG70" s="2582">
        <f ca="1">SUMIF(Costprice!$O$2:$U$2,IF($AD42&gt;$AC42,$AD$33,0)+IF($AE42&gt;$AD42,$AE$33,0)+IF($AF42&gt;$AE42,$AF$33,0)+IF($AG42&gt;$AF42,$AG$33,0)+IF($AH42&gt;$AG42,$AH$33,0)+IF($AI42&gt;$AH42,$AI$33,0)+IF($AJ42&gt;$AI42,$AJ$33,0),Costprice!$O$49:$U$49)</f>
        <v>1.2924506361908605</v>
      </c>
      <c r="AH70" s="2582">
        <f ca="1">SUMIF(Costprice!$O$2:$U$2,IF($AD42&gt;$AC42,$AD$33,0)+IF($AE42&gt;$AD42,$AE$33,0)+IF($AF42&gt;$AE42,$AF$33,0)+IF($AG42&gt;$AF42,$AG$33,0)+IF($AH42&gt;$AG42,$AH$33,0)+IF($AI42&gt;$AH42,$AI$33,0)+IF($AJ42&gt;$AI42,$AJ$33,0),Costprice!$O$49:$U$49)</f>
        <v>1.2924506361908605</v>
      </c>
      <c r="AI70" s="2582">
        <f ca="1">SUMIF(Costprice!$O$2:$U$2,IF($AD42&gt;$AC42,$AD$33,0)+IF($AE42&gt;$AD42,$AE$33,0)+IF($AF42&gt;$AE42,$AF$33,0)+IF($AG42&gt;$AF42,$AG$33,0)+IF($AH42&gt;$AG42,$AH$33,0)+IF($AI42&gt;$AH42,$AI$33,0)+IF($AJ42&gt;$AI42,$AJ$33,0),Costprice!$O$49:$U$49)</f>
        <v>1.2924506361908605</v>
      </c>
      <c r="AJ70" s="2584">
        <f ca="1">SUMIF(Costprice!$O$2:$U$2,IF($AD42&gt;$AC42,$AD$33,0)+IF($AE42&gt;$AD42,$AE$33,0)+IF($AF42&gt;$AE42,$AF$33,0)+IF($AG42&gt;$AF42,$AG$33,0)+IF($AH42&gt;$AG42,$AH$33,0)+IF($AI42&gt;$AH42,$AI$33,0)+IF($AJ42&gt;$AI42,$AJ$33,0),Costprice!$O$49:$U$49)</f>
        <v>1.2924506361908605</v>
      </c>
      <c r="AL70" s="2549">
        <f t="shared" si="92"/>
        <v>2026</v>
      </c>
      <c r="AM70" s="2482">
        <f ca="1">SUMIF(Costprice!$O$2:$U$2,IF($AM42&gt;$AC42,$AD$33,0)+IF($AN42&gt;$AM42,$AE$33,0)+IF($AO42&gt;$AN42,$AF$33,0)+IF($AP42&gt;$AO42,$AG$33,0)+IF($AQ42&gt;$AP42,$AH$33,0)+IF($AR42&gt;$AQ42,$AI$33,0)+IF($AS42&gt;$AR42,$AJ$33,0),Costprice!$O$62:$U$62)</f>
        <v>1.2924506361908605</v>
      </c>
      <c r="AN70" s="2482">
        <f ca="1">SUMIF(Costprice!$O$2:$U$2,IF($AM42&gt;$AC42,$AD$33,0)+IF($AN42&gt;$AM42,$AE$33,0)+IF($AO42&gt;$AN42,$AF$33,0)+IF($AP42&gt;$AO42,$AG$33,0)+IF($AQ42&gt;$AP42,$AH$33,0)+IF($AR42&gt;$AQ42,$AI$33,0)+IF($AS42&gt;$AR42,$AJ$33,0),Costprice!$O$62:$U$62)</f>
        <v>1.2924506361908605</v>
      </c>
      <c r="AO70" s="2482">
        <f ca="1">SUMIF(Costprice!$O$2:$U$2,IF($AM42&gt;$AC42,$AD$33,0)+IF($AN42&gt;$AM42,$AE$33,0)+IF($AO42&gt;$AN42,$AF$33,0)+IF($AP42&gt;$AO42,$AG$33,0)+IF($AQ42&gt;$AP42,$AH$33,0)+IF($AR42&gt;$AQ42,$AI$33,0)+IF($AS42&gt;$AR42,$AJ$33,0),Costprice!$O$62:$U$62)</f>
        <v>1.2924506361908605</v>
      </c>
      <c r="AP70" s="2482">
        <f ca="1">SUMIF(Costprice!$O$2:$U$2,IF($AM42&gt;$AC42,$AD$33,0)+IF($AN42&gt;$AM42,$AE$33,0)+IF($AO42&gt;$AN42,$AF$33,0)+IF($AP42&gt;$AO42,$AG$33,0)+IF($AQ42&gt;$AP42,$AH$33,0)+IF($AR42&gt;$AQ42,$AI$33,0)+IF($AS42&gt;$AR42,$AJ$33,0),Costprice!$O$62:$U$62)</f>
        <v>1.2924506361908605</v>
      </c>
      <c r="AQ70" s="2482">
        <f ca="1">SUMIF(Costprice!$O$2:$U$2,IF($AM42&gt;$AC42,$AD$33,0)+IF($AN42&gt;$AM42,$AE$33,0)+IF($AO42&gt;$AN42,$AF$33,0)+IF($AP42&gt;$AO42,$AG$33,0)+IF($AQ42&gt;$AP42,$AH$33,0)+IF($AR42&gt;$AQ42,$AI$33,0)+IF($AS42&gt;$AR42,$AJ$33,0),Costprice!$O$62:$U$62)</f>
        <v>1.2924506361908605</v>
      </c>
      <c r="AR70" s="2482">
        <f ca="1">SUMIF(Costprice!$O$2:$U$2,IF($AM42&gt;$AC42,$AD$33,0)+IF($AN42&gt;$AM42,$AE$33,0)+IF($AO42&gt;$AN42,$AF$33,0)+IF($AP42&gt;$AO42,$AG$33,0)+IF($AQ42&gt;$AP42,$AH$33,0)+IF($AR42&gt;$AQ42,$AI$33,0)+IF($AS42&gt;$AR42,$AJ$33,0),Costprice!$O$62:$U$62)</f>
        <v>1.2924506361908605</v>
      </c>
      <c r="AS70" s="2580">
        <f ca="1">SUMIF(Costprice!$O$2:$U$2,IF($AM42&gt;$AC42,$AD$33,0)+IF($AN42&gt;$AM42,$AE$33,0)+IF($AO42&gt;$AN42,$AF$33,0)+IF($AP42&gt;$AO42,$AG$33,0)+IF($AQ42&gt;$AP42,$AH$33,0)+IF($AR42&gt;$AQ42,$AI$33,0)+IF($AS42&gt;$AR42,$AJ$33,0),Costprice!$O$62:$U$62)</f>
        <v>1.2924506361908605</v>
      </c>
    </row>
    <row r="71" spans="2:45">
      <c r="B71" s="2549">
        <f t="shared" si="94"/>
        <v>2027</v>
      </c>
      <c r="C71" s="2482"/>
      <c r="D71" s="2482"/>
      <c r="E71" s="2482"/>
      <c r="F71" s="2482"/>
      <c r="G71" s="2482"/>
      <c r="H71" s="2482"/>
      <c r="I71" s="2580"/>
      <c r="K71" s="2549">
        <f t="shared" si="95"/>
        <v>2027</v>
      </c>
      <c r="L71" s="2482"/>
      <c r="M71" s="2482"/>
      <c r="N71" s="2482"/>
      <c r="O71" s="2482"/>
      <c r="P71" s="2482"/>
      <c r="Q71" s="2482"/>
      <c r="R71" s="2580"/>
      <c r="T71" s="2549">
        <f t="shared" si="88"/>
        <v>2027</v>
      </c>
      <c r="U71" s="2583">
        <f>SUMIF(Costprice!$O$2:$U$2,SUMIF($U$43:$AA$43,"&gt;0",$U$131:$AA$131),Costprice!$O$37:$U$37)</f>
        <v>0</v>
      </c>
      <c r="V71" s="2583">
        <f>SUMIF(Costprice!$O$2:$U$2,SUMIF($U$43:$AA$43,"&gt;0",$U$131:$AA$131),Costprice!$O$37:$U$37)</f>
        <v>0</v>
      </c>
      <c r="W71" s="2583">
        <f>SUMIF(Costprice!$O$2:$U$2,SUMIF($U$43:$AA$43,"&gt;0",$U$131:$AA$131),Costprice!$O$37:$U$37)</f>
        <v>0</v>
      </c>
      <c r="X71" s="2583">
        <f>SUMIF(Costprice!$O$2:$U$2,SUMIF($U$43:$AA$43,"&gt;0",$U$131:$AA$131),Costprice!$O$37:$U$37)</f>
        <v>0</v>
      </c>
      <c r="Y71" s="2583">
        <f>SUMIF(Costprice!$O$2:$U$2,SUMIF($U$43:$AA$43,"&gt;0",$U$131:$AA$131),Costprice!$O$37:$U$37)</f>
        <v>0</v>
      </c>
      <c r="Z71" s="2583">
        <f>SUMIF(Costprice!$O$2:$U$2,SUMIF($U$43:$AA$43,"&gt;0",$U$131:$AA$131),Costprice!$O$37:$U$37)</f>
        <v>0</v>
      </c>
      <c r="AA71" s="2580">
        <f>SUMIF(Costprice!$O$2:$U$2,SUMIF($U$43:$AA$43,"&gt;0",$U$131:$AA$131),Costprice!$O$37:$U$37)</f>
        <v>0</v>
      </c>
      <c r="AC71" s="2549">
        <f t="shared" si="89"/>
        <v>2027</v>
      </c>
      <c r="AD71" s="2582">
        <f ca="1">SUMIF(Costprice!$O$2:$U$2,IF($AD43&gt;$AC43,$AD$33,0)+IF($AE43&gt;$AD43,$AE$33,0)+IF($AF43&gt;$AE43,$AF$33,0)+IF($AG43&gt;$AF43,$AG$33,0)+IF($AH43&gt;$AG43,$AH$33,0)+IF($AI43&gt;$AH43,$AI$33,0)+IF($AJ43&gt;$AI43,$AJ$33,0),Costprice!$O$49:$U$49)</f>
        <v>2.1363819216900657</v>
      </c>
      <c r="AE71" s="2582">
        <f ca="1">SUMIF(Costprice!$O$2:$U$2,IF($AD43&gt;$AC43,$AD$33,0)+IF($AE43&gt;$AD43,$AE$33,0)+IF($AF43&gt;$AE43,$AF$33,0)+IF($AG43&gt;$AF43,$AG$33,0)+IF($AH43&gt;$AG43,$AH$33,0)+IF($AI43&gt;$AH43,$AI$33,0)+IF($AJ43&gt;$AI43,$AJ$33,0),Costprice!$O$49:$U$49)</f>
        <v>2.1363819216900657</v>
      </c>
      <c r="AF71" s="2582">
        <f ca="1">SUMIF(Costprice!$O$2:$U$2,IF($AD43&gt;$AC43,$AD$33,0)+IF($AE43&gt;$AD43,$AE$33,0)+IF($AF43&gt;$AE43,$AF$33,0)+IF($AG43&gt;$AF43,$AG$33,0)+IF($AH43&gt;$AG43,$AH$33,0)+IF($AI43&gt;$AH43,$AI$33,0)+IF($AJ43&gt;$AI43,$AJ$33,0),Costprice!$O$49:$U$49)</f>
        <v>2.1363819216900657</v>
      </c>
      <c r="AG71" s="2582">
        <f ca="1">SUMIF(Costprice!$O$2:$U$2,IF($AD43&gt;$AC43,$AD$33,0)+IF($AE43&gt;$AD43,$AE$33,0)+IF($AF43&gt;$AE43,$AF$33,0)+IF($AG43&gt;$AF43,$AG$33,0)+IF($AH43&gt;$AG43,$AH$33,0)+IF($AI43&gt;$AH43,$AI$33,0)+IF($AJ43&gt;$AI43,$AJ$33,0),Costprice!$O$49:$U$49)</f>
        <v>2.1363819216900657</v>
      </c>
      <c r="AH71" s="2582">
        <f ca="1">SUMIF(Costprice!$O$2:$U$2,IF($AD43&gt;$AC43,$AD$33,0)+IF($AE43&gt;$AD43,$AE$33,0)+IF($AF43&gt;$AE43,$AF$33,0)+IF($AG43&gt;$AF43,$AG$33,0)+IF($AH43&gt;$AG43,$AH$33,0)+IF($AI43&gt;$AH43,$AI$33,0)+IF($AJ43&gt;$AI43,$AJ$33,0),Costprice!$O$49:$U$49)</f>
        <v>2.1363819216900657</v>
      </c>
      <c r="AI71" s="2582">
        <f ca="1">SUMIF(Costprice!$O$2:$U$2,IF($AD43&gt;$AC43,$AD$33,0)+IF($AE43&gt;$AD43,$AE$33,0)+IF($AF43&gt;$AE43,$AF$33,0)+IF($AG43&gt;$AF43,$AG$33,0)+IF($AH43&gt;$AG43,$AH$33,0)+IF($AI43&gt;$AH43,$AI$33,0)+IF($AJ43&gt;$AI43,$AJ$33,0),Costprice!$O$49:$U$49)</f>
        <v>2.1363819216900657</v>
      </c>
      <c r="AJ71" s="2584">
        <f ca="1">SUMIF(Costprice!$O$2:$U$2,IF($AD43&gt;$AC43,$AD$33,0)+IF($AE43&gt;$AD43,$AE$33,0)+IF($AF43&gt;$AE43,$AF$33,0)+IF($AG43&gt;$AF43,$AG$33,0)+IF($AH43&gt;$AG43,$AH$33,0)+IF($AI43&gt;$AH43,$AI$33,0)+IF($AJ43&gt;$AI43,$AJ$33,0),Costprice!$O$49:$U$49)</f>
        <v>2.1363819216900657</v>
      </c>
      <c r="AL71" s="2549">
        <f t="shared" si="92"/>
        <v>2027</v>
      </c>
      <c r="AM71" s="2482">
        <f ca="1">SUMIF(Costprice!$O$2:$U$2,IF($AM43&gt;$AC43,$AD$33,0)+IF($AN43&gt;$AM43,$AE$33,0)+IF($AO43&gt;$AN43,$AF$33,0)+IF($AP43&gt;$AO43,$AG$33,0)+IF($AQ43&gt;$AP43,$AH$33,0)+IF($AR43&gt;$AQ43,$AI$33,0)+IF($AS43&gt;$AR43,$AJ$33,0),Costprice!$O$62:$U$62)</f>
        <v>2.1363819216900657</v>
      </c>
      <c r="AN71" s="2482">
        <f ca="1">SUMIF(Costprice!$O$2:$U$2,IF($AM43&gt;$AC43,$AD$33,0)+IF($AN43&gt;$AM43,$AE$33,0)+IF($AO43&gt;$AN43,$AF$33,0)+IF($AP43&gt;$AO43,$AG$33,0)+IF($AQ43&gt;$AP43,$AH$33,0)+IF($AR43&gt;$AQ43,$AI$33,0)+IF($AS43&gt;$AR43,$AJ$33,0),Costprice!$O$62:$U$62)</f>
        <v>2.1363819216900657</v>
      </c>
      <c r="AO71" s="2482">
        <f ca="1">SUMIF(Costprice!$O$2:$U$2,IF($AM43&gt;$AC43,$AD$33,0)+IF($AN43&gt;$AM43,$AE$33,0)+IF($AO43&gt;$AN43,$AF$33,0)+IF($AP43&gt;$AO43,$AG$33,0)+IF($AQ43&gt;$AP43,$AH$33,0)+IF($AR43&gt;$AQ43,$AI$33,0)+IF($AS43&gt;$AR43,$AJ$33,0),Costprice!$O$62:$U$62)</f>
        <v>2.1363819216900657</v>
      </c>
      <c r="AP71" s="2482">
        <f ca="1">SUMIF(Costprice!$O$2:$U$2,IF($AM43&gt;$AC43,$AD$33,0)+IF($AN43&gt;$AM43,$AE$33,0)+IF($AO43&gt;$AN43,$AF$33,0)+IF($AP43&gt;$AO43,$AG$33,0)+IF($AQ43&gt;$AP43,$AH$33,0)+IF($AR43&gt;$AQ43,$AI$33,0)+IF($AS43&gt;$AR43,$AJ$33,0),Costprice!$O$62:$U$62)</f>
        <v>2.1363819216900657</v>
      </c>
      <c r="AQ71" s="2482">
        <f ca="1">SUMIF(Costprice!$O$2:$U$2,IF($AM43&gt;$AC43,$AD$33,0)+IF($AN43&gt;$AM43,$AE$33,0)+IF($AO43&gt;$AN43,$AF$33,0)+IF($AP43&gt;$AO43,$AG$33,0)+IF($AQ43&gt;$AP43,$AH$33,0)+IF($AR43&gt;$AQ43,$AI$33,0)+IF($AS43&gt;$AR43,$AJ$33,0),Costprice!$O$62:$U$62)</f>
        <v>2.1363819216900657</v>
      </c>
      <c r="AR71" s="2482">
        <f ca="1">SUMIF(Costprice!$O$2:$U$2,IF($AM43&gt;$AC43,$AD$33,0)+IF($AN43&gt;$AM43,$AE$33,0)+IF($AO43&gt;$AN43,$AF$33,0)+IF($AP43&gt;$AO43,$AG$33,0)+IF($AQ43&gt;$AP43,$AH$33,0)+IF($AR43&gt;$AQ43,$AI$33,0)+IF($AS43&gt;$AR43,$AJ$33,0),Costprice!$O$62:$U$62)</f>
        <v>2.1363819216900657</v>
      </c>
      <c r="AS71" s="2580">
        <f ca="1">SUMIF(Costprice!$O$2:$U$2,IF($AM43&gt;$AC43,$AD$33,0)+IF($AN43&gt;$AM43,$AE$33,0)+IF($AO43&gt;$AN43,$AF$33,0)+IF($AP43&gt;$AO43,$AG$33,0)+IF($AQ43&gt;$AP43,$AH$33,0)+IF($AR43&gt;$AQ43,$AI$33,0)+IF($AS43&gt;$AR43,$AJ$33,0),Costprice!$O$62:$U$62)</f>
        <v>2.1363819216900657</v>
      </c>
    </row>
    <row r="72" spans="2:45">
      <c r="B72" s="2549">
        <f t="shared" si="94"/>
        <v>2028</v>
      </c>
      <c r="C72" s="2482"/>
      <c r="D72" s="2482"/>
      <c r="E72" s="2482"/>
      <c r="F72" s="2482"/>
      <c r="G72" s="2482"/>
      <c r="H72" s="2482"/>
      <c r="I72" s="2580"/>
      <c r="K72" s="2549">
        <f t="shared" si="95"/>
        <v>2028</v>
      </c>
      <c r="L72" s="2482"/>
      <c r="M72" s="2482"/>
      <c r="N72" s="2482"/>
      <c r="O72" s="2482"/>
      <c r="P72" s="2482"/>
      <c r="Q72" s="2482"/>
      <c r="R72" s="2580"/>
      <c r="T72" s="2549">
        <f t="shared" si="88"/>
        <v>2028</v>
      </c>
      <c r="U72" s="2583">
        <f>SUMIF(Costprice!$O$2:$U$2,SUMIF($U$44:$AA$44,"&gt;0",$U$131:$AA$131),Costprice!$O$37:$U$37)</f>
        <v>0</v>
      </c>
      <c r="V72" s="2583">
        <f>SUMIF(Costprice!$O$2:$U$2,SUMIF($U$44:$AA$44,"&gt;0",$U$131:$AA$131),Costprice!$O$37:$U$37)</f>
        <v>0</v>
      </c>
      <c r="W72" s="2583">
        <f>SUMIF(Costprice!$O$2:$U$2,SUMIF($U$44:$AA$44,"&gt;0",$U$131:$AA$131),Costprice!$O$37:$U$37)</f>
        <v>0</v>
      </c>
      <c r="X72" s="2583">
        <f>SUMIF(Costprice!$O$2:$U$2,SUMIF($U$44:$AA$44,"&gt;0",$U$131:$AA$131),Costprice!$O$37:$U$37)</f>
        <v>0</v>
      </c>
      <c r="Y72" s="2583">
        <f>SUMIF(Costprice!$O$2:$U$2,SUMIF($U$44:$AA$44,"&gt;0",$U$131:$AA$131),Costprice!$O$37:$U$37)</f>
        <v>0</v>
      </c>
      <c r="Z72" s="2583">
        <f>SUMIF(Costprice!$O$2:$U$2,SUMIF($U$44:$AA$44,"&gt;0",$U$131:$AA$131),Costprice!$O$37:$U$37)</f>
        <v>0</v>
      </c>
      <c r="AA72" s="2580">
        <f>SUMIF(Costprice!$O$2:$U$2,SUMIF($U$44:$AA$44,"&gt;0",$U$131:$AA$131),Costprice!$O$37:$U$37)</f>
        <v>0</v>
      </c>
      <c r="AC72" s="2549">
        <f t="shared" si="89"/>
        <v>2028</v>
      </c>
      <c r="AD72" s="2582">
        <f ca="1">SUMIF(Costprice!$O$2:$U$2,IF($AD44&gt;$AC44,$AD$33,0)+IF($AE44&gt;$AD44,$AE$33,0)+IF($AF44&gt;$AE44,$AF$33,0)+IF($AG44&gt;$AF44,$AG$33,0)+IF($AH44&gt;$AG44,$AH$33,0)+IF($AI44&gt;$AH44,$AI$33,0)+IF($AJ44&gt;$AI44,$AJ$33,0),Costprice!$O$49:$U$49)</f>
        <v>1.6651460045826423</v>
      </c>
      <c r="AE72" s="2582">
        <f ca="1">SUMIF(Costprice!$O$2:$U$2,IF($AD44&gt;$AC44,$AD$33,0)+IF($AE44&gt;$AD44,$AE$33,0)+IF($AF44&gt;$AE44,$AF$33,0)+IF($AG44&gt;$AF44,$AG$33,0)+IF($AH44&gt;$AG44,$AH$33,0)+IF($AI44&gt;$AH44,$AI$33,0)+IF($AJ44&gt;$AI44,$AJ$33,0),Costprice!$O$49:$U$49)</f>
        <v>1.6651460045826423</v>
      </c>
      <c r="AF72" s="2582">
        <f ca="1">SUMIF(Costprice!$O$2:$U$2,IF($AD44&gt;$AC44,$AD$33,0)+IF($AE44&gt;$AD44,$AE$33,0)+IF($AF44&gt;$AE44,$AF$33,0)+IF($AG44&gt;$AF44,$AG$33,0)+IF($AH44&gt;$AG44,$AH$33,0)+IF($AI44&gt;$AH44,$AI$33,0)+IF($AJ44&gt;$AI44,$AJ$33,0),Costprice!$O$49:$U$49)</f>
        <v>1.6651460045826423</v>
      </c>
      <c r="AG72" s="2582">
        <f ca="1">SUMIF(Costprice!$O$2:$U$2,IF($AD44&gt;$AC44,$AD$33,0)+IF($AE44&gt;$AD44,$AE$33,0)+IF($AF44&gt;$AE44,$AF$33,0)+IF($AG44&gt;$AF44,$AG$33,0)+IF($AH44&gt;$AG44,$AH$33,0)+IF($AI44&gt;$AH44,$AI$33,0)+IF($AJ44&gt;$AI44,$AJ$33,0),Costprice!$O$49:$U$49)</f>
        <v>1.6651460045826423</v>
      </c>
      <c r="AH72" s="2582">
        <f ca="1">SUMIF(Costprice!$O$2:$U$2,IF($AD44&gt;$AC44,$AD$33,0)+IF($AE44&gt;$AD44,$AE$33,0)+IF($AF44&gt;$AE44,$AF$33,0)+IF($AG44&gt;$AF44,$AG$33,0)+IF($AH44&gt;$AG44,$AH$33,0)+IF($AI44&gt;$AH44,$AI$33,0)+IF($AJ44&gt;$AI44,$AJ$33,0),Costprice!$O$49:$U$49)</f>
        <v>1.6651460045826423</v>
      </c>
      <c r="AI72" s="2582">
        <f ca="1">SUMIF(Costprice!$O$2:$U$2,IF($AD44&gt;$AC44,$AD$33,0)+IF($AE44&gt;$AD44,$AE$33,0)+IF($AF44&gt;$AE44,$AF$33,0)+IF($AG44&gt;$AF44,$AG$33,0)+IF($AH44&gt;$AG44,$AH$33,0)+IF($AI44&gt;$AH44,$AI$33,0)+IF($AJ44&gt;$AI44,$AJ$33,0),Costprice!$O$49:$U$49)</f>
        <v>1.6651460045826423</v>
      </c>
      <c r="AJ72" s="2584">
        <f ca="1">SUMIF(Costprice!$O$2:$U$2,IF($AD44&gt;$AC44,$AD$33,0)+IF($AE44&gt;$AD44,$AE$33,0)+IF($AF44&gt;$AE44,$AF$33,0)+IF($AG44&gt;$AF44,$AG$33,0)+IF($AH44&gt;$AG44,$AH$33,0)+IF($AI44&gt;$AH44,$AI$33,0)+IF($AJ44&gt;$AI44,$AJ$33,0),Costprice!$O$49:$U$49)</f>
        <v>1.6651460045826423</v>
      </c>
      <c r="AL72" s="2549">
        <f t="shared" si="92"/>
        <v>2028</v>
      </c>
      <c r="AM72" s="2482">
        <f ca="1">SUMIF(Costprice!$O$2:$U$2,IF($AM44&gt;$AC44,$AD$33,0)+IF($AN44&gt;$AM44,$AE$33,0)+IF($AO44&gt;$AN44,$AF$33,0)+IF($AP44&gt;$AO44,$AG$33,0)+IF($AQ44&gt;$AP44,$AH$33,0)+IF($AR44&gt;$AQ44,$AI$33,0)+IF($AS44&gt;$AR44,$AJ$33,0),Costprice!$O$62:$U$62)</f>
        <v>1.6651460045826425</v>
      </c>
      <c r="AN72" s="2482">
        <f ca="1">SUMIF(Costprice!$O$2:$U$2,IF($AM44&gt;$AC44,$AD$33,0)+IF($AN44&gt;$AM44,$AE$33,0)+IF($AO44&gt;$AN44,$AF$33,0)+IF($AP44&gt;$AO44,$AG$33,0)+IF($AQ44&gt;$AP44,$AH$33,0)+IF($AR44&gt;$AQ44,$AI$33,0)+IF($AS44&gt;$AR44,$AJ$33,0),Costprice!$O$62:$U$62)</f>
        <v>1.6651460045826425</v>
      </c>
      <c r="AO72" s="2482">
        <f ca="1">SUMIF(Costprice!$O$2:$U$2,IF($AM44&gt;$AC44,$AD$33,0)+IF($AN44&gt;$AM44,$AE$33,0)+IF($AO44&gt;$AN44,$AF$33,0)+IF($AP44&gt;$AO44,$AG$33,0)+IF($AQ44&gt;$AP44,$AH$33,0)+IF($AR44&gt;$AQ44,$AI$33,0)+IF($AS44&gt;$AR44,$AJ$33,0),Costprice!$O$62:$U$62)</f>
        <v>1.6651460045826425</v>
      </c>
      <c r="AP72" s="2482">
        <f ca="1">SUMIF(Costprice!$O$2:$U$2,IF($AM44&gt;$AC44,$AD$33,0)+IF($AN44&gt;$AM44,$AE$33,0)+IF($AO44&gt;$AN44,$AF$33,0)+IF($AP44&gt;$AO44,$AG$33,0)+IF($AQ44&gt;$AP44,$AH$33,0)+IF($AR44&gt;$AQ44,$AI$33,0)+IF($AS44&gt;$AR44,$AJ$33,0),Costprice!$O$62:$U$62)</f>
        <v>1.6651460045826425</v>
      </c>
      <c r="AQ72" s="2482">
        <f ca="1">SUMIF(Costprice!$O$2:$U$2,IF($AM44&gt;$AC44,$AD$33,0)+IF($AN44&gt;$AM44,$AE$33,0)+IF($AO44&gt;$AN44,$AF$33,0)+IF($AP44&gt;$AO44,$AG$33,0)+IF($AQ44&gt;$AP44,$AH$33,0)+IF($AR44&gt;$AQ44,$AI$33,0)+IF($AS44&gt;$AR44,$AJ$33,0),Costprice!$O$62:$U$62)</f>
        <v>1.6651460045826425</v>
      </c>
      <c r="AR72" s="2482">
        <f ca="1">SUMIF(Costprice!$O$2:$U$2,IF($AM44&gt;$AC44,$AD$33,0)+IF($AN44&gt;$AM44,$AE$33,0)+IF($AO44&gt;$AN44,$AF$33,0)+IF($AP44&gt;$AO44,$AG$33,0)+IF($AQ44&gt;$AP44,$AH$33,0)+IF($AR44&gt;$AQ44,$AI$33,0)+IF($AS44&gt;$AR44,$AJ$33,0),Costprice!$O$62:$U$62)</f>
        <v>1.6651460045826425</v>
      </c>
      <c r="AS72" s="2580">
        <f ca="1">SUMIF(Costprice!$O$2:$U$2,IF($AM44&gt;$AC44,$AD$33,0)+IF($AN44&gt;$AM44,$AE$33,0)+IF($AO44&gt;$AN44,$AF$33,0)+IF($AP44&gt;$AO44,$AG$33,0)+IF($AQ44&gt;$AP44,$AH$33,0)+IF($AR44&gt;$AQ44,$AI$33,0)+IF($AS44&gt;$AR44,$AJ$33,0),Costprice!$O$62:$U$62)</f>
        <v>1.6651460045826425</v>
      </c>
    </row>
    <row r="73" spans="2:45">
      <c r="B73" s="2549">
        <f>B59</f>
        <v>2029</v>
      </c>
      <c r="I73" s="2547"/>
      <c r="K73" s="2549">
        <f>K59</f>
        <v>2029</v>
      </c>
      <c r="R73" s="2547"/>
      <c r="T73" s="2549">
        <f t="shared" si="88"/>
        <v>2029</v>
      </c>
      <c r="U73" s="2583">
        <f>IF(SUMIF(Costprice!$O$2:$U$2,SUMIF($U$45:$AA$45,"&gt;0",$U$131:$AA$131),Costprice!$O$37:$U$37)=0,U72*(1+Opex!$J$28),SUMIF(Costprice!$O$2:$U$2,SUMIF($U$45:$AA$45,"&gt;0",$U$131:$AA$131),Costprice!$O$37:$U$37))</f>
        <v>0</v>
      </c>
      <c r="V73" s="2583">
        <f>IF(SUMIF(Costprice!$O$2:$U$2,SUMIF($U$45:$AA$45,"&gt;0",$U$131:$AA$131),Costprice!$O$37:$U$37)=0,V72*(1+Opex!$J$28),SUMIF(Costprice!$O$2:$U$2,SUMIF($U$45:$AA$45,"&gt;0",$U$131:$AA$131),Costprice!$O$37:$U$37))</f>
        <v>0</v>
      </c>
      <c r="W73" s="2583">
        <f>IF(SUMIF(Costprice!$O$2:$U$2,SUMIF($U$45:$AA$45,"&gt;0",$U$131:$AA$131),Costprice!$O$37:$U$37)=0,W72*(1+Opex!$J$28),SUMIF(Costprice!$O$2:$U$2,SUMIF($U$45:$AA$45,"&gt;0",$U$131:$AA$131),Costprice!$O$37:$U$37))</f>
        <v>0</v>
      </c>
      <c r="X73" s="2583">
        <f>IF(SUMIF(Costprice!$O$2:$U$2,SUMIF($U$45:$AA$45,"&gt;0",$U$131:$AA$131),Costprice!$O$37:$U$37)=0,X72*(1+Opex!$J$28),SUMIF(Costprice!$O$2:$U$2,SUMIF($U$45:$AA$45,"&gt;0",$U$131:$AA$131),Costprice!$O$37:$U$37))</f>
        <v>0</v>
      </c>
      <c r="Y73" s="2583">
        <f>IF(SUMIF(Costprice!$O$2:$U$2,SUMIF($U$45:$AA$45,"&gt;0",$U$131:$AA$131),Costprice!$O$37:$U$37)=0,Y72*(1+Opex!$J$28),SUMIF(Costprice!$O$2:$U$2,SUMIF($U$45:$AA$45,"&gt;0",$U$131:$AA$131),Costprice!$O$37:$U$37))</f>
        <v>0</v>
      </c>
      <c r="Z73" s="2583">
        <f>IF(SUMIF(Costprice!$O$2:$U$2,SUMIF($U$45:$AA$45,"&gt;0",$U$131:$AA$131),Costprice!$O$37:$U$37)=0,Z72*(1+Opex!$J$28),SUMIF(Costprice!$O$2:$U$2,SUMIF($U$45:$AA$45,"&gt;0",$U$131:$AA$131),Costprice!$O$37:$U$37))</f>
        <v>0</v>
      </c>
      <c r="AA73" s="2580">
        <f>IF(SUMIF(Costprice!$O$2:$U$2,SUMIF($U$45:$AA$45,"&gt;0",$U$131:$AA$131),Costprice!$O$37:$U$37)=0,AA72*(1+Opex!$J$28),SUMIF(Costprice!$O$2:$U$2,SUMIF($U$45:$AA$45,"&gt;0",$U$131:$AA$131),Costprice!$O$37:$U$37))</f>
        <v>0</v>
      </c>
      <c r="AC73" s="2549">
        <v>2029</v>
      </c>
      <c r="AD73" s="2482">
        <f ca="1">IF(SUMIF(Costprice!$O$2:$U$2,SUMIF($AD$45:$AJ$45,"&gt;0",$U$131:$AA$131),Costprice!$O$37:$U$37)=0,AD72*(1+Opex!$J$28),SUMIF(Costprice!$O$2:$U$2,SUMIF($AD$45:$AJ$45,"&gt;0",$U$131:$AA$131),Costprice!$O$37:$U$37))</f>
        <v>1.6984489246742951</v>
      </c>
      <c r="AE73" s="2482">
        <f ca="1">IF(SUMIF(Costprice!$O$2:$U$2,SUMIF($AD$45:$AJ$45,"&gt;0",$U$131:$AA$131),Costprice!$O$37:$U$37)=0,AE72*(1+Opex!$J$28),SUMIF(Costprice!$O$2:$U$2,SUMIF($AD$45:$AJ$45,"&gt;0",$U$131:$AA$131),Costprice!$O$37:$U$37))</f>
        <v>1.6984489246742951</v>
      </c>
      <c r="AF73" s="2482">
        <f ca="1">IF(SUMIF(Costprice!$O$2:$U$2,SUMIF($AD$45:$AJ$45,"&gt;0",$U$131:$AA$131),Costprice!$O$37:$U$37)=0,AF72*(1+Opex!$J$28),SUMIF(Costprice!$O$2:$U$2,SUMIF($AD$45:$AJ$45,"&gt;0",$U$131:$AA$131),Costprice!$O$37:$U$37))</f>
        <v>1.6984489246742951</v>
      </c>
      <c r="AG73" s="2482">
        <f ca="1">IF(SUMIF(Costprice!$O$2:$U$2,SUMIF($AD$45:$AJ$45,"&gt;0",$U$131:$AA$131),Costprice!$O$37:$U$37)=0,AG72*(1+Opex!$J$28),SUMIF(Costprice!$O$2:$U$2,SUMIF($AD$45:$AJ$45,"&gt;0",$U$131:$AA$131),Costprice!$O$37:$U$37))</f>
        <v>1.6984489246742951</v>
      </c>
      <c r="AH73" s="2482">
        <f ca="1">IF(SUMIF(Costprice!$O$2:$U$2,SUMIF($AD$45:$AJ$45,"&gt;0",$U$131:$AA$131),Costprice!$O$37:$U$37)=0,AH72*(1+Opex!$J$28),SUMIF(Costprice!$O$2:$U$2,SUMIF($AD$45:$AJ$45,"&gt;0",$U$131:$AA$131),Costprice!$O$37:$U$37))</f>
        <v>1.6984489246742951</v>
      </c>
      <c r="AI73" s="2482">
        <f ca="1">IF(SUMIF(Costprice!$O$2:$U$2,SUMIF($AD$45:$AJ$45,"&gt;0",$U$131:$AA$131),Costprice!$O$37:$U$37)=0,AI72*(1+Opex!$J$28),SUMIF(Costprice!$O$2:$U$2,SUMIF($AD$45:$AJ$45,"&gt;0",$U$131:$AA$131),Costprice!$O$37:$U$37))</f>
        <v>1.6984489246742951</v>
      </c>
      <c r="AJ73" s="2580">
        <f ca="1">IF(SUMIF(Costprice!$O$2:$U$2,SUMIF($AD$45:$AJ$45,"&gt;0",$U$131:$AA$131),Costprice!$O$37:$U$37)=0,AJ72*(1+Opex!$J$28),SUMIF(Costprice!$O$2:$U$2,SUMIF($AD$45:$AJ$45,"&gt;0",$U$131:$AA$131),Costprice!$O$37:$U$37))</f>
        <v>1.6984489246742951</v>
      </c>
      <c r="AL73" s="2549"/>
      <c r="AM73" s="2482"/>
      <c r="AN73" s="2482"/>
      <c r="AO73" s="2482"/>
      <c r="AP73" s="2482"/>
      <c r="AQ73" s="2482"/>
      <c r="AR73" s="2482"/>
      <c r="AS73" s="2580"/>
    </row>
    <row r="74" spans="2:45">
      <c r="B74" s="2549"/>
      <c r="I74" s="2547"/>
      <c r="K74" s="2549"/>
      <c r="R74" s="2547"/>
      <c r="T74" s="2549"/>
      <c r="U74" s="2566"/>
      <c r="V74" s="2566"/>
      <c r="W74" s="2566"/>
      <c r="X74" s="2566"/>
      <c r="Y74" s="2566"/>
      <c r="Z74" s="2566"/>
      <c r="AA74" s="2547"/>
      <c r="AC74" s="2570"/>
      <c r="AD74" s="2554"/>
      <c r="AE74" s="2554"/>
      <c r="AF74" s="2554"/>
      <c r="AG74" s="2554"/>
      <c r="AH74" s="2554"/>
      <c r="AI74" s="2554"/>
      <c r="AJ74" s="2555"/>
      <c r="AL74" s="2549"/>
      <c r="AS74" s="2547"/>
    </row>
    <row r="75" spans="2:45">
      <c r="B75" s="2549" t="str">
        <f>K75</f>
        <v>Barrels costs</v>
      </c>
      <c r="C75" s="2554"/>
      <c r="D75" s="2554"/>
      <c r="E75" s="2554"/>
      <c r="F75" s="2554"/>
      <c r="G75" s="2554"/>
      <c r="H75" s="2554"/>
      <c r="I75" s="2555"/>
      <c r="K75" s="2549" t="str">
        <f>AC75</f>
        <v>Barrels costs</v>
      </c>
      <c r="L75" s="2554"/>
      <c r="M75" s="2554"/>
      <c r="N75" s="2554"/>
      <c r="O75" s="2554"/>
      <c r="P75" s="2554"/>
      <c r="Q75" s="2554"/>
      <c r="R75" s="2555"/>
      <c r="T75" s="2549" t="str">
        <f>AC75</f>
        <v>Barrels costs</v>
      </c>
      <c r="U75" s="2554"/>
      <c r="V75" s="2554"/>
      <c r="W75" s="2554"/>
      <c r="X75" s="2554"/>
      <c r="Y75" s="2554"/>
      <c r="Z75" s="2554"/>
      <c r="AA75" s="2555"/>
      <c r="AC75" s="2570" t="s">
        <v>888</v>
      </c>
      <c r="AD75" s="2554"/>
      <c r="AE75" s="2554"/>
      <c r="AF75" s="2554"/>
      <c r="AG75" s="2554"/>
      <c r="AH75" s="2554"/>
      <c r="AI75" s="2554"/>
      <c r="AJ75" s="2555"/>
      <c r="AL75" s="2549" t="str">
        <f>AC75</f>
        <v>Barrels costs</v>
      </c>
      <c r="AM75" s="2554"/>
      <c r="AN75" s="2554"/>
      <c r="AO75" s="2554"/>
      <c r="AP75" s="2554"/>
      <c r="AQ75" s="2554"/>
      <c r="AR75" s="2554"/>
      <c r="AS75" s="2555"/>
    </row>
    <row r="76" spans="2:45">
      <c r="B76" s="2549" t="str">
        <f>B48</f>
        <v>2019/2020</v>
      </c>
      <c r="C76" s="2554">
        <f>C34*C62</f>
        <v>0</v>
      </c>
      <c r="D76" s="2554">
        <f t="shared" ref="D76:I76" si="96">D34*D62</f>
        <v>0</v>
      </c>
      <c r="E76" s="2554">
        <f t="shared" si="96"/>
        <v>0</v>
      </c>
      <c r="F76" s="2554">
        <f t="shared" si="96"/>
        <v>0</v>
      </c>
      <c r="G76" s="2554">
        <f t="shared" si="96"/>
        <v>0</v>
      </c>
      <c r="H76" s="2554">
        <f t="shared" si="96"/>
        <v>0</v>
      </c>
      <c r="I76" s="2555">
        <f t="shared" si="96"/>
        <v>0</v>
      </c>
      <c r="K76" s="2549">
        <f>K48</f>
        <v>2018</v>
      </c>
      <c r="L76" s="2554">
        <f t="shared" ref="L76:R76" si="97">L34*L62</f>
        <v>0</v>
      </c>
      <c r="M76" s="2554">
        <f t="shared" si="97"/>
        <v>0</v>
      </c>
      <c r="N76" s="2554">
        <f t="shared" si="97"/>
        <v>0</v>
      </c>
      <c r="O76" s="2554">
        <f t="shared" si="97"/>
        <v>0</v>
      </c>
      <c r="P76" s="2554">
        <f t="shared" si="97"/>
        <v>0</v>
      </c>
      <c r="Q76" s="2554">
        <f t="shared" si="97"/>
        <v>0</v>
      </c>
      <c r="R76" s="2555">
        <f t="shared" si="97"/>
        <v>0</v>
      </c>
      <c r="T76" s="2902" t="str">
        <f t="shared" ref="T76:T85" si="98">T48</f>
        <v>2019/2020</v>
      </c>
      <c r="U76" s="2554">
        <f t="shared" ref="U76:U86" si="99">U34*U62</f>
        <v>0</v>
      </c>
      <c r="V76" s="2554">
        <f t="shared" ref="V76:AA86" si="100">V34*V62</f>
        <v>0</v>
      </c>
      <c r="W76" s="2554">
        <f t="shared" si="100"/>
        <v>0</v>
      </c>
      <c r="X76" s="2554">
        <f t="shared" si="100"/>
        <v>0</v>
      </c>
      <c r="Y76" s="2554">
        <f t="shared" si="100"/>
        <v>0</v>
      </c>
      <c r="Z76" s="2554">
        <f t="shared" si="100"/>
        <v>0</v>
      </c>
      <c r="AA76" s="2555">
        <f t="shared" si="100"/>
        <v>0</v>
      </c>
      <c r="AC76" s="2549">
        <f>AC48</f>
        <v>2018</v>
      </c>
      <c r="AD76" s="2556">
        <f t="shared" ref="AD76:AJ76" si="101">AD34*AD62</f>
        <v>0</v>
      </c>
      <c r="AE76" s="2556">
        <f t="shared" si="101"/>
        <v>0</v>
      </c>
      <c r="AF76" s="2556">
        <f t="shared" si="101"/>
        <v>0</v>
      </c>
      <c r="AG76" s="2556">
        <f t="shared" si="101"/>
        <v>0</v>
      </c>
      <c r="AH76" s="2556">
        <f t="shared" si="101"/>
        <v>0</v>
      </c>
      <c r="AI76" s="2556">
        <f t="shared" si="101"/>
        <v>0</v>
      </c>
      <c r="AJ76" s="2557">
        <f t="shared" si="101"/>
        <v>0</v>
      </c>
      <c r="AL76" s="2549">
        <f>AL48</f>
        <v>2018</v>
      </c>
      <c r="AM76" s="2556">
        <f t="shared" ref="AM76:AS76" si="102">AM34*AM62</f>
        <v>0</v>
      </c>
      <c r="AN76" s="2556">
        <f t="shared" si="102"/>
        <v>0</v>
      </c>
      <c r="AO76" s="2556">
        <f t="shared" si="102"/>
        <v>0</v>
      </c>
      <c r="AP76" s="2556">
        <f t="shared" si="102"/>
        <v>0</v>
      </c>
      <c r="AQ76" s="2556">
        <f t="shared" si="102"/>
        <v>0</v>
      </c>
      <c r="AR76" s="2556">
        <f t="shared" si="102"/>
        <v>0</v>
      </c>
      <c r="AS76" s="2557">
        <f t="shared" si="102"/>
        <v>0</v>
      </c>
    </row>
    <row r="77" spans="2:45">
      <c r="B77" s="2549">
        <v>2019</v>
      </c>
      <c r="C77" s="2554">
        <f t="shared" ref="C77:C87" si="103">C35*C63</f>
        <v>0</v>
      </c>
      <c r="D77" s="2554">
        <f t="shared" ref="D77:I77" si="104">D35*D63</f>
        <v>0</v>
      </c>
      <c r="E77" s="2554">
        <f t="shared" si="104"/>
        <v>0</v>
      </c>
      <c r="F77" s="2554">
        <f t="shared" si="104"/>
        <v>0</v>
      </c>
      <c r="G77" s="2554">
        <f t="shared" si="104"/>
        <v>0</v>
      </c>
      <c r="H77" s="2554">
        <f t="shared" si="104"/>
        <v>0</v>
      </c>
      <c r="I77" s="2555">
        <f t="shared" si="104"/>
        <v>0</v>
      </c>
      <c r="K77" s="2549">
        <v>2019</v>
      </c>
      <c r="L77" s="2554">
        <f t="shared" ref="L77:R77" si="105">L35*L63</f>
        <v>0</v>
      </c>
      <c r="M77" s="2554">
        <f t="shared" si="105"/>
        <v>0</v>
      </c>
      <c r="N77" s="2554">
        <f t="shared" si="105"/>
        <v>0</v>
      </c>
      <c r="O77" s="2554">
        <f t="shared" si="105"/>
        <v>0</v>
      </c>
      <c r="P77" s="2554">
        <f t="shared" si="105"/>
        <v>0</v>
      </c>
      <c r="Q77" s="2554">
        <f t="shared" si="105"/>
        <v>0</v>
      </c>
      <c r="R77" s="2555">
        <f t="shared" si="105"/>
        <v>0</v>
      </c>
      <c r="T77" s="2549">
        <f t="shared" si="98"/>
        <v>2019</v>
      </c>
      <c r="U77" s="2554">
        <f>U35*U63</f>
        <v>22884.806258285462</v>
      </c>
      <c r="V77" s="2554">
        <f t="shared" si="100"/>
        <v>0</v>
      </c>
      <c r="W77" s="2554">
        <f t="shared" si="100"/>
        <v>0</v>
      </c>
      <c r="X77" s="2554">
        <f t="shared" si="100"/>
        <v>0</v>
      </c>
      <c r="Y77" s="2554">
        <f t="shared" si="100"/>
        <v>0</v>
      </c>
      <c r="Z77" s="2554">
        <f t="shared" si="100"/>
        <v>0</v>
      </c>
      <c r="AA77" s="2555">
        <f t="shared" si="100"/>
        <v>0</v>
      </c>
      <c r="AC77" s="2549">
        <f>AC49</f>
        <v>2019</v>
      </c>
      <c r="AD77" s="2556">
        <f t="shared" ref="AD77:AJ77" si="106">AD35*AD63</f>
        <v>0</v>
      </c>
      <c r="AE77" s="2556">
        <f t="shared" si="106"/>
        <v>0</v>
      </c>
      <c r="AF77" s="2556">
        <f t="shared" si="106"/>
        <v>0</v>
      </c>
      <c r="AG77" s="2556">
        <f t="shared" si="106"/>
        <v>0</v>
      </c>
      <c r="AH77" s="2556">
        <f t="shared" si="106"/>
        <v>0</v>
      </c>
      <c r="AI77" s="2556">
        <f t="shared" si="106"/>
        <v>0</v>
      </c>
      <c r="AJ77" s="2557">
        <f t="shared" si="106"/>
        <v>0</v>
      </c>
      <c r="AL77" s="2549">
        <v>2019</v>
      </c>
      <c r="AM77" s="2556">
        <f t="shared" ref="AM77:AS77" si="107">AM35*AM63</f>
        <v>0</v>
      </c>
      <c r="AN77" s="2556">
        <f t="shared" si="107"/>
        <v>0</v>
      </c>
      <c r="AO77" s="2556">
        <f t="shared" si="107"/>
        <v>0</v>
      </c>
      <c r="AP77" s="2556">
        <f t="shared" si="107"/>
        <v>0</v>
      </c>
      <c r="AQ77" s="2556">
        <f t="shared" si="107"/>
        <v>0</v>
      </c>
      <c r="AR77" s="2556">
        <f t="shared" si="107"/>
        <v>0</v>
      </c>
      <c r="AS77" s="2557">
        <f t="shared" si="107"/>
        <v>0</v>
      </c>
    </row>
    <row r="78" spans="2:45">
      <c r="B78" s="2549">
        <f t="shared" ref="B78:B85" si="108">B50</f>
        <v>2020</v>
      </c>
      <c r="C78" s="2554">
        <f t="shared" si="103"/>
        <v>0</v>
      </c>
      <c r="D78" s="2554">
        <f t="shared" ref="D78:I78" si="109">D36*D64</f>
        <v>0</v>
      </c>
      <c r="E78" s="2554">
        <f t="shared" si="109"/>
        <v>0</v>
      </c>
      <c r="F78" s="2554">
        <f t="shared" si="109"/>
        <v>0</v>
      </c>
      <c r="G78" s="2554">
        <f t="shared" si="109"/>
        <v>0</v>
      </c>
      <c r="H78" s="2554">
        <f t="shared" si="109"/>
        <v>0</v>
      </c>
      <c r="I78" s="2555">
        <f t="shared" si="109"/>
        <v>0</v>
      </c>
      <c r="K78" s="2549">
        <f t="shared" ref="K78:K85" si="110">K50</f>
        <v>2020</v>
      </c>
      <c r="L78" s="2554">
        <f t="shared" ref="L78:R78" si="111">L36*L64</f>
        <v>0</v>
      </c>
      <c r="M78" s="2554">
        <f t="shared" si="111"/>
        <v>0</v>
      </c>
      <c r="N78" s="2554">
        <f t="shared" si="111"/>
        <v>0</v>
      </c>
      <c r="O78" s="2554">
        <f t="shared" si="111"/>
        <v>0</v>
      </c>
      <c r="P78" s="2554">
        <f t="shared" si="111"/>
        <v>0</v>
      </c>
      <c r="Q78" s="2554">
        <f t="shared" si="111"/>
        <v>0</v>
      </c>
      <c r="R78" s="2555">
        <f t="shared" si="111"/>
        <v>0</v>
      </c>
      <c r="T78" s="2549">
        <f t="shared" si="98"/>
        <v>2020</v>
      </c>
      <c r="U78" s="2554">
        <f t="shared" si="99"/>
        <v>18170.193741714538</v>
      </c>
      <c r="V78" s="2554">
        <f t="shared" si="100"/>
        <v>0</v>
      </c>
      <c r="W78" s="2554">
        <f t="shared" si="100"/>
        <v>0</v>
      </c>
      <c r="X78" s="2554">
        <f t="shared" si="100"/>
        <v>0</v>
      </c>
      <c r="Y78" s="2554">
        <f t="shared" si="100"/>
        <v>0</v>
      </c>
      <c r="Z78" s="2554">
        <f t="shared" si="100"/>
        <v>0</v>
      </c>
      <c r="AA78" s="2555">
        <f t="shared" si="100"/>
        <v>0</v>
      </c>
      <c r="AC78" s="2549">
        <f>AC50</f>
        <v>2020</v>
      </c>
      <c r="AD78" s="2556">
        <f t="shared" ref="AD78:AJ78" si="112">AD36*AD64</f>
        <v>0</v>
      </c>
      <c r="AE78" s="2556">
        <f>AE36*AE64</f>
        <v>0</v>
      </c>
      <c r="AF78" s="2556">
        <f t="shared" si="112"/>
        <v>0</v>
      </c>
      <c r="AG78" s="2556">
        <f t="shared" si="112"/>
        <v>0</v>
      </c>
      <c r="AH78" s="2556">
        <f t="shared" si="112"/>
        <v>0</v>
      </c>
      <c r="AI78" s="2556">
        <f t="shared" si="112"/>
        <v>0</v>
      </c>
      <c r="AJ78" s="2557">
        <f t="shared" si="112"/>
        <v>0</v>
      </c>
      <c r="AL78" s="2549">
        <f t="shared" ref="AL78:AL85" si="113">AL50</f>
        <v>2020</v>
      </c>
      <c r="AM78" s="2556">
        <f t="shared" ref="AM78:AS78" si="114">AM36*AM64</f>
        <v>0</v>
      </c>
      <c r="AN78" s="2556">
        <f t="shared" si="114"/>
        <v>0</v>
      </c>
      <c r="AO78" s="2556">
        <f t="shared" si="114"/>
        <v>0</v>
      </c>
      <c r="AP78" s="2556">
        <f t="shared" si="114"/>
        <v>0</v>
      </c>
      <c r="AQ78" s="2556">
        <f t="shared" si="114"/>
        <v>0</v>
      </c>
      <c r="AR78" s="2556">
        <f t="shared" si="114"/>
        <v>0</v>
      </c>
      <c r="AS78" s="2557">
        <f t="shared" si="114"/>
        <v>0</v>
      </c>
    </row>
    <row r="79" spans="2:45">
      <c r="B79" s="2549">
        <f t="shared" si="108"/>
        <v>2021</v>
      </c>
      <c r="C79" s="2554">
        <f t="shared" si="103"/>
        <v>0</v>
      </c>
      <c r="D79" s="2554">
        <f t="shared" ref="D79:I79" si="115">D37*D65</f>
        <v>0</v>
      </c>
      <c r="E79" s="2554">
        <f t="shared" si="115"/>
        <v>0</v>
      </c>
      <c r="F79" s="2554">
        <f t="shared" si="115"/>
        <v>0</v>
      </c>
      <c r="G79" s="2554">
        <f t="shared" si="115"/>
        <v>0</v>
      </c>
      <c r="H79" s="2554">
        <f t="shared" si="115"/>
        <v>0</v>
      </c>
      <c r="I79" s="2555">
        <f t="shared" si="115"/>
        <v>0</v>
      </c>
      <c r="K79" s="2549">
        <f t="shared" si="110"/>
        <v>2021</v>
      </c>
      <c r="L79" s="2554">
        <f t="shared" ref="L79:R79" si="116">L37*L65</f>
        <v>0</v>
      </c>
      <c r="M79" s="2554">
        <f t="shared" si="116"/>
        <v>0</v>
      </c>
      <c r="N79" s="2554">
        <f t="shared" si="116"/>
        <v>0</v>
      </c>
      <c r="O79" s="2554">
        <f t="shared" si="116"/>
        <v>0</v>
      </c>
      <c r="P79" s="2554">
        <f t="shared" si="116"/>
        <v>0</v>
      </c>
      <c r="Q79" s="2554">
        <f t="shared" si="116"/>
        <v>0</v>
      </c>
      <c r="R79" s="2555">
        <f t="shared" si="116"/>
        <v>0</v>
      </c>
      <c r="T79" s="2549">
        <f t="shared" si="98"/>
        <v>2021</v>
      </c>
      <c r="U79" s="2554">
        <f>U37*U65</f>
        <v>0</v>
      </c>
      <c r="V79" s="2554">
        <f t="shared" si="100"/>
        <v>0</v>
      </c>
      <c r="W79" s="2554">
        <f t="shared" si="100"/>
        <v>0</v>
      </c>
      <c r="X79" s="2554">
        <f t="shared" si="100"/>
        <v>0</v>
      </c>
      <c r="Y79" s="2554">
        <f t="shared" si="100"/>
        <v>0</v>
      </c>
      <c r="Z79" s="2554">
        <f t="shared" si="100"/>
        <v>0</v>
      </c>
      <c r="AA79" s="2555">
        <f t="shared" si="100"/>
        <v>0</v>
      </c>
      <c r="AC79" s="2549">
        <f>AC51</f>
        <v>2021</v>
      </c>
      <c r="AD79" s="2556">
        <f>AD37*AD65</f>
        <v>0</v>
      </c>
      <c r="AE79" s="2556">
        <f>AE37*AE65</f>
        <v>0</v>
      </c>
      <c r="AF79" s="2556">
        <f>AF37*AF65</f>
        <v>0</v>
      </c>
      <c r="AG79" s="2556">
        <f>AG37*AG65</f>
        <v>0</v>
      </c>
      <c r="AH79" s="2556">
        <f>AH37*AH65</f>
        <v>0</v>
      </c>
      <c r="AI79" s="2556">
        <f>AI37*AI65</f>
        <v>0</v>
      </c>
      <c r="AJ79" s="2557">
        <f>AJ37*AJ65</f>
        <v>0</v>
      </c>
      <c r="AL79" s="2549">
        <f t="shared" si="113"/>
        <v>2021</v>
      </c>
      <c r="AM79" s="2556">
        <f t="shared" ref="AM79:AS79" si="117">AM37*AM65</f>
        <v>0</v>
      </c>
      <c r="AN79" s="2556">
        <f t="shared" si="117"/>
        <v>0</v>
      </c>
      <c r="AO79" s="2556">
        <f t="shared" si="117"/>
        <v>0</v>
      </c>
      <c r="AP79" s="2556">
        <f t="shared" si="117"/>
        <v>0</v>
      </c>
      <c r="AQ79" s="2556">
        <f t="shared" si="117"/>
        <v>0</v>
      </c>
      <c r="AR79" s="2556">
        <f t="shared" si="117"/>
        <v>0</v>
      </c>
      <c r="AS79" s="2557">
        <f t="shared" si="117"/>
        <v>0</v>
      </c>
    </row>
    <row r="80" spans="2:45">
      <c r="B80" s="2549">
        <f t="shared" si="108"/>
        <v>2022</v>
      </c>
      <c r="C80" s="2554">
        <f t="shared" si="103"/>
        <v>0</v>
      </c>
      <c r="D80" s="2554">
        <f t="shared" ref="D80:I80" si="118">D38*D66</f>
        <v>0</v>
      </c>
      <c r="E80" s="2554">
        <f t="shared" si="118"/>
        <v>0</v>
      </c>
      <c r="F80" s="2554">
        <f t="shared" si="118"/>
        <v>0</v>
      </c>
      <c r="G80" s="2554">
        <f t="shared" si="118"/>
        <v>0</v>
      </c>
      <c r="H80" s="2554">
        <f t="shared" si="118"/>
        <v>0</v>
      </c>
      <c r="I80" s="2555">
        <f t="shared" si="118"/>
        <v>0</v>
      </c>
      <c r="K80" s="2549">
        <f t="shared" si="110"/>
        <v>2022</v>
      </c>
      <c r="L80" s="2554">
        <f t="shared" ref="L80:R80" si="119">L38*L66</f>
        <v>0</v>
      </c>
      <c r="M80" s="2554">
        <f t="shared" si="119"/>
        <v>0</v>
      </c>
      <c r="N80" s="2554">
        <f t="shared" si="119"/>
        <v>0</v>
      </c>
      <c r="O80" s="2554">
        <f t="shared" si="119"/>
        <v>0</v>
      </c>
      <c r="P80" s="2554">
        <f t="shared" si="119"/>
        <v>0</v>
      </c>
      <c r="Q80" s="2554">
        <f t="shared" si="119"/>
        <v>0</v>
      </c>
      <c r="R80" s="2555">
        <f t="shared" si="119"/>
        <v>0</v>
      </c>
      <c r="T80" s="2549">
        <f t="shared" si="98"/>
        <v>2022</v>
      </c>
      <c r="U80" s="2554">
        <f t="shared" si="99"/>
        <v>0</v>
      </c>
      <c r="V80" s="2554">
        <f t="shared" si="100"/>
        <v>0</v>
      </c>
      <c r="W80" s="2554">
        <f t="shared" si="100"/>
        <v>0</v>
      </c>
      <c r="X80" s="2554">
        <f t="shared" si="100"/>
        <v>0</v>
      </c>
      <c r="Y80" s="2554">
        <f t="shared" si="100"/>
        <v>0</v>
      </c>
      <c r="Z80" s="2554">
        <f t="shared" si="100"/>
        <v>0</v>
      </c>
      <c r="AA80" s="2555">
        <f t="shared" si="100"/>
        <v>0</v>
      </c>
      <c r="AC80" s="2549">
        <f>AC52</f>
        <v>2022</v>
      </c>
      <c r="AD80" s="2556">
        <f t="shared" ref="AD80:AJ80" si="120">AD38*AD66</f>
        <v>0</v>
      </c>
      <c r="AE80" s="2556">
        <f t="shared" si="120"/>
        <v>0</v>
      </c>
      <c r="AF80" s="2556">
        <f t="shared" si="120"/>
        <v>0</v>
      </c>
      <c r="AG80" s="2556">
        <f t="shared" si="120"/>
        <v>0</v>
      </c>
      <c r="AH80" s="2556">
        <f t="shared" si="120"/>
        <v>0</v>
      </c>
      <c r="AI80" s="2556">
        <f t="shared" si="120"/>
        <v>0</v>
      </c>
      <c r="AJ80" s="2557">
        <f t="shared" si="120"/>
        <v>0</v>
      </c>
      <c r="AL80" s="2549">
        <f t="shared" si="113"/>
        <v>2022</v>
      </c>
      <c r="AM80" s="2556">
        <f t="shared" ref="AM80:AS86" si="121">AM38*AM66</f>
        <v>0</v>
      </c>
      <c r="AN80" s="2556">
        <f t="shared" si="121"/>
        <v>0</v>
      </c>
      <c r="AO80" s="2556">
        <f t="shared" si="121"/>
        <v>0</v>
      </c>
      <c r="AP80" s="2556">
        <f t="shared" si="121"/>
        <v>0</v>
      </c>
      <c r="AQ80" s="2556">
        <f t="shared" si="121"/>
        <v>0</v>
      </c>
      <c r="AR80" s="2556">
        <f t="shared" si="121"/>
        <v>0</v>
      </c>
      <c r="AS80" s="2557">
        <f t="shared" si="121"/>
        <v>0</v>
      </c>
    </row>
    <row r="81" spans="2:45">
      <c r="B81" s="2549">
        <f t="shared" si="108"/>
        <v>2023</v>
      </c>
      <c r="C81" s="2554">
        <f t="shared" si="103"/>
        <v>0</v>
      </c>
      <c r="D81" s="2554">
        <f t="shared" ref="D81:I81" si="122">D39*D67</f>
        <v>0</v>
      </c>
      <c r="E81" s="2554">
        <f t="shared" si="122"/>
        <v>0</v>
      </c>
      <c r="F81" s="2554">
        <f t="shared" si="122"/>
        <v>0</v>
      </c>
      <c r="G81" s="2554">
        <f t="shared" si="122"/>
        <v>0</v>
      </c>
      <c r="H81" s="2554">
        <f t="shared" si="122"/>
        <v>0</v>
      </c>
      <c r="I81" s="2555">
        <f t="shared" si="122"/>
        <v>0</v>
      </c>
      <c r="K81" s="2549">
        <f t="shared" si="110"/>
        <v>2023</v>
      </c>
      <c r="L81" s="2554">
        <f t="shared" ref="L81:R81" si="123">L39*L67</f>
        <v>0</v>
      </c>
      <c r="M81" s="2554">
        <f t="shared" si="123"/>
        <v>0</v>
      </c>
      <c r="N81" s="2554">
        <f t="shared" si="123"/>
        <v>0</v>
      </c>
      <c r="O81" s="2554">
        <f t="shared" si="123"/>
        <v>0</v>
      </c>
      <c r="P81" s="2554">
        <f t="shared" si="123"/>
        <v>0</v>
      </c>
      <c r="Q81" s="2554">
        <f t="shared" si="123"/>
        <v>0</v>
      </c>
      <c r="R81" s="2555">
        <f t="shared" si="123"/>
        <v>0</v>
      </c>
      <c r="T81" s="2549">
        <f t="shared" si="98"/>
        <v>2023</v>
      </c>
      <c r="U81" s="2554">
        <f t="shared" si="99"/>
        <v>0</v>
      </c>
      <c r="V81" s="2554">
        <f>V39*V67</f>
        <v>0</v>
      </c>
      <c r="W81" s="2554">
        <f t="shared" si="100"/>
        <v>0</v>
      </c>
      <c r="X81" s="2554">
        <f t="shared" si="100"/>
        <v>0</v>
      </c>
      <c r="Y81" s="2554">
        <f t="shared" si="100"/>
        <v>0</v>
      </c>
      <c r="Z81" s="2554">
        <f t="shared" si="100"/>
        <v>0</v>
      </c>
      <c r="AA81" s="2555">
        <f t="shared" si="100"/>
        <v>0</v>
      </c>
      <c r="AC81" s="2549">
        <v>2023</v>
      </c>
      <c r="AD81" s="2556">
        <f t="shared" ref="AD81:AJ81" ca="1" si="124">AD39*AD67</f>
        <v>0</v>
      </c>
      <c r="AE81" s="2556">
        <f t="shared" ref="AE81:AE86" ca="1" si="125">AE39*AE67</f>
        <v>37332.078212225133</v>
      </c>
      <c r="AF81" s="2556">
        <f t="shared" ca="1" si="124"/>
        <v>0</v>
      </c>
      <c r="AG81" s="2556">
        <f t="shared" ca="1" si="124"/>
        <v>0</v>
      </c>
      <c r="AH81" s="2556">
        <f t="shared" ca="1" si="124"/>
        <v>0</v>
      </c>
      <c r="AI81" s="2556">
        <f t="shared" ca="1" si="124"/>
        <v>0</v>
      </c>
      <c r="AJ81" s="2557">
        <f t="shared" ca="1" si="124"/>
        <v>0</v>
      </c>
      <c r="AL81" s="2549">
        <f t="shared" si="113"/>
        <v>2023</v>
      </c>
      <c r="AM81" s="2556">
        <f t="shared" ca="1" si="121"/>
        <v>0</v>
      </c>
      <c r="AN81" s="2556">
        <f t="shared" ca="1" si="121"/>
        <v>5095.4514337748615</v>
      </c>
      <c r="AO81" s="2556">
        <f t="shared" ca="1" si="121"/>
        <v>5095.4514337748615</v>
      </c>
      <c r="AP81" s="2556">
        <f t="shared" ca="1" si="121"/>
        <v>0</v>
      </c>
      <c r="AQ81" s="2556">
        <f t="shared" ca="1" si="121"/>
        <v>0</v>
      </c>
      <c r="AR81" s="2556">
        <f t="shared" ca="1" si="121"/>
        <v>0</v>
      </c>
      <c r="AS81" s="2557">
        <f t="shared" ca="1" si="121"/>
        <v>0</v>
      </c>
    </row>
    <row r="82" spans="2:45">
      <c r="B82" s="2549">
        <f t="shared" si="108"/>
        <v>2024</v>
      </c>
      <c r="C82" s="2554">
        <f t="shared" si="103"/>
        <v>0</v>
      </c>
      <c r="D82" s="2554">
        <f t="shared" ref="D82:I82" si="126">D40*D68</f>
        <v>0</v>
      </c>
      <c r="E82" s="2554">
        <f t="shared" si="126"/>
        <v>0</v>
      </c>
      <c r="F82" s="2554">
        <f t="shared" si="126"/>
        <v>0</v>
      </c>
      <c r="G82" s="2554">
        <f t="shared" si="126"/>
        <v>0</v>
      </c>
      <c r="H82" s="2554">
        <f t="shared" si="126"/>
        <v>0</v>
      </c>
      <c r="I82" s="2555">
        <f t="shared" si="126"/>
        <v>0</v>
      </c>
      <c r="K82" s="2549">
        <f t="shared" si="110"/>
        <v>2024</v>
      </c>
      <c r="L82" s="2554">
        <f t="shared" ref="L82:R82" si="127">L40*L68</f>
        <v>0</v>
      </c>
      <c r="M82" s="2554">
        <f t="shared" si="127"/>
        <v>0</v>
      </c>
      <c r="N82" s="2554">
        <f t="shared" si="127"/>
        <v>0</v>
      </c>
      <c r="O82" s="2554">
        <f t="shared" si="127"/>
        <v>0</v>
      </c>
      <c r="P82" s="2554">
        <f t="shared" si="127"/>
        <v>0</v>
      </c>
      <c r="Q82" s="2554">
        <f t="shared" si="127"/>
        <v>0</v>
      </c>
      <c r="R82" s="2555">
        <f t="shared" si="127"/>
        <v>0</v>
      </c>
      <c r="T82" s="2549">
        <f t="shared" si="98"/>
        <v>2024</v>
      </c>
      <c r="U82" s="2554">
        <f t="shared" si="99"/>
        <v>0</v>
      </c>
      <c r="V82" s="2554">
        <f t="shared" si="100"/>
        <v>0</v>
      </c>
      <c r="W82" s="2554">
        <f t="shared" si="100"/>
        <v>0</v>
      </c>
      <c r="X82" s="2554">
        <f t="shared" si="100"/>
        <v>0</v>
      </c>
      <c r="Y82" s="2554">
        <f t="shared" si="100"/>
        <v>0</v>
      </c>
      <c r="Z82" s="2554">
        <f t="shared" si="100"/>
        <v>0</v>
      </c>
      <c r="AA82" s="2555">
        <f t="shared" si="100"/>
        <v>0</v>
      </c>
      <c r="AC82" s="2549">
        <f>AC54</f>
        <v>2024</v>
      </c>
      <c r="AD82" s="2556">
        <f ca="1">AD40*AD68</f>
        <v>0</v>
      </c>
      <c r="AE82" s="2556">
        <f t="shared" ca="1" si="125"/>
        <v>0</v>
      </c>
      <c r="AF82" s="2556">
        <f t="shared" ref="AF82:AJ86" ca="1" si="128">AF40*AF68</f>
        <v>85294.97471599486</v>
      </c>
      <c r="AG82" s="2556">
        <f t="shared" ca="1" si="128"/>
        <v>0</v>
      </c>
      <c r="AH82" s="2556">
        <f t="shared" ca="1" si="128"/>
        <v>0</v>
      </c>
      <c r="AI82" s="2556">
        <f t="shared" ca="1" si="128"/>
        <v>0</v>
      </c>
      <c r="AJ82" s="2557">
        <f t="shared" ca="1" si="128"/>
        <v>0</v>
      </c>
      <c r="AL82" s="2549">
        <f t="shared" si="113"/>
        <v>2024</v>
      </c>
      <c r="AM82" s="2556">
        <f t="shared" ca="1" si="121"/>
        <v>0</v>
      </c>
      <c r="AN82" s="2556">
        <f t="shared" ca="1" si="121"/>
        <v>0</v>
      </c>
      <c r="AO82" s="2556">
        <f t="shared" ca="1" si="121"/>
        <v>10575.388661115127</v>
      </c>
      <c r="AP82" s="2556">
        <f t="shared" ca="1" si="121"/>
        <v>10575.388661115127</v>
      </c>
      <c r="AQ82" s="2556">
        <f t="shared" ca="1" si="121"/>
        <v>0</v>
      </c>
      <c r="AR82" s="2556">
        <f t="shared" ca="1" si="121"/>
        <v>0</v>
      </c>
      <c r="AS82" s="2557">
        <f t="shared" ca="1" si="121"/>
        <v>0</v>
      </c>
    </row>
    <row r="83" spans="2:45">
      <c r="B83" s="2549">
        <f t="shared" si="108"/>
        <v>2025</v>
      </c>
      <c r="C83" s="2554">
        <f t="shared" si="103"/>
        <v>0</v>
      </c>
      <c r="D83" s="2554">
        <f t="shared" ref="D83:I83" si="129">D41*D69</f>
        <v>0</v>
      </c>
      <c r="E83" s="2554">
        <f t="shared" si="129"/>
        <v>0</v>
      </c>
      <c r="F83" s="2554">
        <f t="shared" si="129"/>
        <v>0</v>
      </c>
      <c r="G83" s="2554">
        <f t="shared" si="129"/>
        <v>0</v>
      </c>
      <c r="H83" s="2554">
        <f t="shared" si="129"/>
        <v>0</v>
      </c>
      <c r="I83" s="2555">
        <f t="shared" si="129"/>
        <v>0</v>
      </c>
      <c r="K83" s="2549">
        <f t="shared" si="110"/>
        <v>2025</v>
      </c>
      <c r="L83" s="2554">
        <f t="shared" ref="L83:R83" si="130">L41*L69</f>
        <v>0</v>
      </c>
      <c r="M83" s="2554">
        <f t="shared" si="130"/>
        <v>0</v>
      </c>
      <c r="N83" s="2554">
        <f t="shared" si="130"/>
        <v>0</v>
      </c>
      <c r="O83" s="2554">
        <f t="shared" si="130"/>
        <v>0</v>
      </c>
      <c r="P83" s="2554">
        <f t="shared" si="130"/>
        <v>0</v>
      </c>
      <c r="Q83" s="2554">
        <f t="shared" si="130"/>
        <v>0</v>
      </c>
      <c r="R83" s="2555">
        <f t="shared" si="130"/>
        <v>0</v>
      </c>
      <c r="T83" s="2549">
        <f t="shared" si="98"/>
        <v>2025</v>
      </c>
      <c r="U83" s="2554">
        <f t="shared" si="99"/>
        <v>0</v>
      </c>
      <c r="V83" s="2554">
        <f t="shared" si="100"/>
        <v>0</v>
      </c>
      <c r="W83" s="2554">
        <f t="shared" si="100"/>
        <v>0</v>
      </c>
      <c r="X83" s="2554">
        <f t="shared" si="100"/>
        <v>0</v>
      </c>
      <c r="Y83" s="2554">
        <f t="shared" si="100"/>
        <v>0</v>
      </c>
      <c r="Z83" s="2554">
        <f t="shared" si="100"/>
        <v>0</v>
      </c>
      <c r="AA83" s="2555">
        <f t="shared" si="100"/>
        <v>0</v>
      </c>
      <c r="AC83" s="2549">
        <f>AC55</f>
        <v>2025</v>
      </c>
      <c r="AD83" s="2556">
        <f ca="1">AD41*AD69</f>
        <v>0</v>
      </c>
      <c r="AE83" s="2556">
        <f t="shared" ca="1" si="125"/>
        <v>0</v>
      </c>
      <c r="AF83" s="2556">
        <f t="shared" ca="1" si="128"/>
        <v>0</v>
      </c>
      <c r="AG83" s="2556">
        <f t="shared" ca="1" si="128"/>
        <v>81728.991357102626</v>
      </c>
      <c r="AH83" s="2556">
        <f t="shared" ca="1" si="128"/>
        <v>0</v>
      </c>
      <c r="AI83" s="2556">
        <f t="shared" ca="1" si="128"/>
        <v>0</v>
      </c>
      <c r="AJ83" s="2557">
        <f t="shared" ca="1" si="128"/>
        <v>0</v>
      </c>
      <c r="AL83" s="2549">
        <f t="shared" si="113"/>
        <v>2025</v>
      </c>
      <c r="AM83" s="2556">
        <f t="shared" ca="1" si="121"/>
        <v>0</v>
      </c>
      <c r="AN83" s="2556">
        <f t="shared" ca="1" si="121"/>
        <v>0</v>
      </c>
      <c r="AO83" s="2556">
        <f t="shared" ca="1" si="121"/>
        <v>0</v>
      </c>
      <c r="AP83" s="2556">
        <f t="shared" ca="1" si="121"/>
        <v>10110.371755300774</v>
      </c>
      <c r="AQ83" s="2556">
        <f t="shared" ca="1" si="121"/>
        <v>10110.371755300774</v>
      </c>
      <c r="AR83" s="2556">
        <f t="shared" ca="1" si="121"/>
        <v>0</v>
      </c>
      <c r="AS83" s="2557">
        <f t="shared" ca="1" si="121"/>
        <v>0</v>
      </c>
    </row>
    <row r="84" spans="2:45">
      <c r="B84" s="2549">
        <f t="shared" si="108"/>
        <v>2026</v>
      </c>
      <c r="C84" s="2554">
        <f t="shared" si="103"/>
        <v>0</v>
      </c>
      <c r="D84" s="2554">
        <f t="shared" ref="D84:I84" si="131">D42*D70</f>
        <v>0</v>
      </c>
      <c r="E84" s="2554">
        <f t="shared" si="131"/>
        <v>0</v>
      </c>
      <c r="F84" s="2554">
        <f t="shared" si="131"/>
        <v>0</v>
      </c>
      <c r="G84" s="2554">
        <f t="shared" si="131"/>
        <v>0</v>
      </c>
      <c r="H84" s="2554">
        <f t="shared" si="131"/>
        <v>0</v>
      </c>
      <c r="I84" s="2555">
        <f t="shared" si="131"/>
        <v>0</v>
      </c>
      <c r="K84" s="2549">
        <f t="shared" si="110"/>
        <v>2026</v>
      </c>
      <c r="L84" s="2554">
        <f t="shared" ref="L84:R87" si="132">L42*L70</f>
        <v>0</v>
      </c>
      <c r="M84" s="2554">
        <f t="shared" si="132"/>
        <v>0</v>
      </c>
      <c r="N84" s="2554">
        <f t="shared" si="132"/>
        <v>0</v>
      </c>
      <c r="O84" s="2554">
        <f t="shared" si="132"/>
        <v>0</v>
      </c>
      <c r="P84" s="2554">
        <f t="shared" si="132"/>
        <v>0</v>
      </c>
      <c r="Q84" s="2554">
        <f t="shared" si="132"/>
        <v>0</v>
      </c>
      <c r="R84" s="2555">
        <f t="shared" si="132"/>
        <v>0</v>
      </c>
      <c r="T84" s="2549">
        <f t="shared" si="98"/>
        <v>2026</v>
      </c>
      <c r="U84" s="2554">
        <f t="shared" si="99"/>
        <v>0</v>
      </c>
      <c r="V84" s="2554">
        <f t="shared" si="100"/>
        <v>0</v>
      </c>
      <c r="W84" s="2554">
        <f t="shared" si="100"/>
        <v>0</v>
      </c>
      <c r="X84" s="2554">
        <f t="shared" si="100"/>
        <v>0</v>
      </c>
      <c r="Y84" s="2554">
        <f t="shared" si="100"/>
        <v>0</v>
      </c>
      <c r="Z84" s="2554">
        <f t="shared" si="100"/>
        <v>0</v>
      </c>
      <c r="AA84" s="2555">
        <f t="shared" si="100"/>
        <v>0</v>
      </c>
      <c r="AC84" s="2549">
        <f>AC56</f>
        <v>2026</v>
      </c>
      <c r="AD84" s="2556">
        <f ca="1">AD42*AD70</f>
        <v>0</v>
      </c>
      <c r="AE84" s="2556">
        <f t="shared" ca="1" si="125"/>
        <v>0</v>
      </c>
      <c r="AF84" s="2556">
        <f t="shared" ca="1" si="128"/>
        <v>0</v>
      </c>
      <c r="AG84" s="2556">
        <f t="shared" ca="1" si="128"/>
        <v>0</v>
      </c>
      <c r="AH84" s="2556">
        <f t="shared" ca="1" si="128"/>
        <v>68236.223788332674</v>
      </c>
      <c r="AI84" s="2556">
        <f t="shared" ca="1" si="128"/>
        <v>0</v>
      </c>
      <c r="AJ84" s="2557">
        <f t="shared" ca="1" si="128"/>
        <v>0</v>
      </c>
      <c r="AL84" s="2549">
        <f t="shared" si="113"/>
        <v>2026</v>
      </c>
      <c r="AM84" s="2556">
        <f t="shared" ca="1" si="121"/>
        <v>0</v>
      </c>
      <c r="AN84" s="2556">
        <f t="shared" ca="1" si="121"/>
        <v>0</v>
      </c>
      <c r="AO84" s="2556">
        <f t="shared" ca="1" si="121"/>
        <v>0</v>
      </c>
      <c r="AP84" s="2556">
        <f t="shared" ca="1" si="121"/>
        <v>0</v>
      </c>
      <c r="AQ84" s="2556">
        <f t="shared" ca="1" si="121"/>
        <v>8433.2404011453655</v>
      </c>
      <c r="AR84" s="2556">
        <f t="shared" ca="1" si="121"/>
        <v>8433.2404011453655</v>
      </c>
      <c r="AS84" s="2557">
        <f ca="1">AS42*AS70</f>
        <v>0</v>
      </c>
    </row>
    <row r="85" spans="2:45">
      <c r="B85" s="2549">
        <f t="shared" si="108"/>
        <v>2027</v>
      </c>
      <c r="C85" s="2554">
        <f t="shared" si="103"/>
        <v>0</v>
      </c>
      <c r="D85" s="2554">
        <f t="shared" ref="D85:I85" si="133">D43*D71</f>
        <v>0</v>
      </c>
      <c r="E85" s="2554">
        <f t="shared" si="133"/>
        <v>0</v>
      </c>
      <c r="F85" s="2554">
        <f t="shared" si="133"/>
        <v>0</v>
      </c>
      <c r="G85" s="2554">
        <f t="shared" si="133"/>
        <v>0</v>
      </c>
      <c r="H85" s="2554">
        <f t="shared" si="133"/>
        <v>0</v>
      </c>
      <c r="I85" s="2555">
        <f t="shared" si="133"/>
        <v>0</v>
      </c>
      <c r="K85" s="2549">
        <f t="shared" si="110"/>
        <v>2027</v>
      </c>
      <c r="L85" s="2554">
        <f t="shared" si="132"/>
        <v>0</v>
      </c>
      <c r="M85" s="2554">
        <f t="shared" si="132"/>
        <v>0</v>
      </c>
      <c r="N85" s="2554">
        <f t="shared" si="132"/>
        <v>0</v>
      </c>
      <c r="O85" s="2554">
        <f t="shared" si="132"/>
        <v>0</v>
      </c>
      <c r="P85" s="2554">
        <f t="shared" si="132"/>
        <v>0</v>
      </c>
      <c r="Q85" s="2554">
        <f t="shared" si="132"/>
        <v>0</v>
      </c>
      <c r="R85" s="2555">
        <f t="shared" si="132"/>
        <v>0</v>
      </c>
      <c r="T85" s="2549">
        <f t="shared" si="98"/>
        <v>2027</v>
      </c>
      <c r="U85" s="2554">
        <f t="shared" si="99"/>
        <v>0</v>
      </c>
      <c r="V85" s="2554">
        <f t="shared" si="100"/>
        <v>0</v>
      </c>
      <c r="W85" s="2554">
        <f t="shared" si="100"/>
        <v>0</v>
      </c>
      <c r="X85" s="2554">
        <f t="shared" si="100"/>
        <v>0</v>
      </c>
      <c r="Y85" s="2554">
        <f t="shared" si="100"/>
        <v>0</v>
      </c>
      <c r="Z85" s="2554">
        <f t="shared" si="100"/>
        <v>0</v>
      </c>
      <c r="AA85" s="2555">
        <f t="shared" si="100"/>
        <v>0</v>
      </c>
      <c r="AC85" s="2549">
        <f>AC57</f>
        <v>2027</v>
      </c>
      <c r="AD85" s="2556">
        <f ca="1">AD43*AD71</f>
        <v>0</v>
      </c>
      <c r="AE85" s="2556">
        <f t="shared" ca="1" si="125"/>
        <v>0</v>
      </c>
      <c r="AF85" s="2556">
        <f t="shared" ca="1" si="128"/>
        <v>0</v>
      </c>
      <c r="AG85" s="2556">
        <f t="shared" ca="1" si="128"/>
        <v>0</v>
      </c>
      <c r="AH85" s="2556">
        <f t="shared" ca="1" si="128"/>
        <v>0</v>
      </c>
      <c r="AI85" s="2556">
        <f t="shared" ca="1" si="128"/>
        <v>112792.41993754871</v>
      </c>
      <c r="AJ85" s="2557">
        <f t="shared" ca="1" si="128"/>
        <v>0</v>
      </c>
      <c r="AL85" s="2549">
        <f t="shared" si="113"/>
        <v>2027</v>
      </c>
      <c r="AM85" s="2556">
        <f t="shared" ca="1" si="121"/>
        <v>0</v>
      </c>
      <c r="AN85" s="2556">
        <f t="shared" ca="1" si="121"/>
        <v>0</v>
      </c>
      <c r="AO85" s="2556">
        <f t="shared" ca="1" si="121"/>
        <v>0</v>
      </c>
      <c r="AP85" s="2556">
        <f t="shared" ca="1" si="121"/>
        <v>0</v>
      </c>
      <c r="AQ85" s="2556">
        <f t="shared" ca="1" si="121"/>
        <v>0</v>
      </c>
      <c r="AR85" s="2556">
        <f t="shared" ca="1" si="121"/>
        <v>13939.892039027678</v>
      </c>
      <c r="AS85" s="2557">
        <f ca="1">AS43*AS71</f>
        <v>13939.892039027678</v>
      </c>
    </row>
    <row r="86" spans="2:45">
      <c r="B86" s="2549">
        <f>B44</f>
        <v>2028</v>
      </c>
      <c r="C86" s="2554">
        <f t="shared" si="103"/>
        <v>0</v>
      </c>
      <c r="D86" s="2554">
        <f t="shared" ref="D86:I87" si="134">D44*D72</f>
        <v>0</v>
      </c>
      <c r="E86" s="2554">
        <f t="shared" si="134"/>
        <v>0</v>
      </c>
      <c r="F86" s="2554">
        <f t="shared" si="134"/>
        <v>0</v>
      </c>
      <c r="G86" s="2554">
        <f t="shared" si="134"/>
        <v>0</v>
      </c>
      <c r="H86" s="2554">
        <f t="shared" si="134"/>
        <v>0</v>
      </c>
      <c r="I86" s="2555">
        <f t="shared" si="134"/>
        <v>0</v>
      </c>
      <c r="K86" s="2549">
        <f>K44</f>
        <v>2028</v>
      </c>
      <c r="L86" s="2554">
        <f t="shared" si="132"/>
        <v>0</v>
      </c>
      <c r="M86" s="2554">
        <f t="shared" si="132"/>
        <v>0</v>
      </c>
      <c r="N86" s="2554">
        <f t="shared" si="132"/>
        <v>0</v>
      </c>
      <c r="O86" s="2554">
        <f t="shared" si="132"/>
        <v>0</v>
      </c>
      <c r="P86" s="2554">
        <f t="shared" si="132"/>
        <v>0</v>
      </c>
      <c r="Q86" s="2554">
        <f t="shared" si="132"/>
        <v>0</v>
      </c>
      <c r="R86" s="2555">
        <f t="shared" si="132"/>
        <v>0</v>
      </c>
      <c r="T86" s="2549">
        <f>T44</f>
        <v>2028</v>
      </c>
      <c r="U86" s="2554">
        <f t="shared" si="99"/>
        <v>0</v>
      </c>
      <c r="V86" s="2554">
        <f t="shared" si="100"/>
        <v>0</v>
      </c>
      <c r="W86" s="2554">
        <f t="shared" si="100"/>
        <v>0</v>
      </c>
      <c r="X86" s="2554">
        <f t="shared" si="100"/>
        <v>0</v>
      </c>
      <c r="Y86" s="2554">
        <f t="shared" si="100"/>
        <v>0</v>
      </c>
      <c r="Z86" s="2554">
        <f t="shared" si="100"/>
        <v>0</v>
      </c>
      <c r="AA86" s="2555">
        <f>AA44*AA72</f>
        <v>0</v>
      </c>
      <c r="AC86" s="2549">
        <f>AC44</f>
        <v>2028</v>
      </c>
      <c r="AD86" s="2556">
        <f ca="1">AD44*AD72</f>
        <v>0</v>
      </c>
      <c r="AE86" s="2556">
        <f t="shared" ca="1" si="125"/>
        <v>0</v>
      </c>
      <c r="AF86" s="2556">
        <f t="shared" ca="1" si="128"/>
        <v>0</v>
      </c>
      <c r="AG86" s="2556">
        <f t="shared" ca="1" si="128"/>
        <v>0</v>
      </c>
      <c r="AH86" s="2556">
        <f t="shared" ca="1" si="128"/>
        <v>0</v>
      </c>
      <c r="AI86" s="2556">
        <f t="shared" ca="1" si="128"/>
        <v>0</v>
      </c>
      <c r="AJ86" s="2557">
        <f t="shared" ca="1" si="128"/>
        <v>87913.048457945188</v>
      </c>
      <c r="AL86" s="2549">
        <f>AL44</f>
        <v>2028</v>
      </c>
      <c r="AM86" s="2556">
        <f t="shared" ca="1" si="121"/>
        <v>0</v>
      </c>
      <c r="AN86" s="2556">
        <f t="shared" ca="1" si="121"/>
        <v>0</v>
      </c>
      <c r="AO86" s="2556">
        <f t="shared" ca="1" si="121"/>
        <v>0</v>
      </c>
      <c r="AP86" s="2556">
        <f t="shared" ca="1" si="121"/>
        <v>0</v>
      </c>
      <c r="AQ86" s="2556">
        <f t="shared" ca="1" si="121"/>
        <v>0</v>
      </c>
      <c r="AR86" s="2556">
        <f t="shared" ca="1" si="121"/>
        <v>0</v>
      </c>
      <c r="AS86" s="2557">
        <f ca="1">AS44*AS72</f>
        <v>10865.077679901742</v>
      </c>
    </row>
    <row r="87" spans="2:45">
      <c r="B87" s="2549">
        <f>B45</f>
        <v>2029</v>
      </c>
      <c r="C87" s="2554">
        <f t="shared" si="103"/>
        <v>0</v>
      </c>
      <c r="D87" s="2554">
        <f t="shared" si="134"/>
        <v>0</v>
      </c>
      <c r="E87" s="2554">
        <f t="shared" si="134"/>
        <v>0</v>
      </c>
      <c r="F87" s="2554">
        <f t="shared" si="134"/>
        <v>0</v>
      </c>
      <c r="G87" s="2554">
        <f t="shared" si="134"/>
        <v>0</v>
      </c>
      <c r="H87" s="2554">
        <f t="shared" si="134"/>
        <v>0</v>
      </c>
      <c r="I87" s="2555">
        <f t="shared" si="134"/>
        <v>0</v>
      </c>
      <c r="K87" s="2549">
        <f>K45</f>
        <v>2029</v>
      </c>
      <c r="L87" s="2554">
        <f t="shared" si="132"/>
        <v>0</v>
      </c>
      <c r="M87" s="2554">
        <f t="shared" si="132"/>
        <v>0</v>
      </c>
      <c r="N87" s="2554">
        <f t="shared" si="132"/>
        <v>0</v>
      </c>
      <c r="O87" s="2554">
        <f t="shared" si="132"/>
        <v>0</v>
      </c>
      <c r="P87" s="2554">
        <f t="shared" si="132"/>
        <v>0</v>
      </c>
      <c r="Q87" s="2554">
        <f t="shared" si="132"/>
        <v>0</v>
      </c>
      <c r="R87" s="2555">
        <f t="shared" si="132"/>
        <v>0</v>
      </c>
      <c r="T87" s="2549"/>
      <c r="U87" s="2566"/>
      <c r="V87" s="2566"/>
      <c r="W87" s="2566"/>
      <c r="X87" s="2566"/>
      <c r="Y87" s="2566"/>
      <c r="Z87" s="2566"/>
      <c r="AA87" s="2547"/>
      <c r="AC87" s="2549"/>
      <c r="AD87" s="2554"/>
      <c r="AE87" s="2554"/>
      <c r="AF87" s="2554"/>
      <c r="AG87" s="2554"/>
      <c r="AH87" s="2554"/>
      <c r="AI87" s="2554"/>
      <c r="AJ87" s="2555"/>
      <c r="AL87" s="2549"/>
      <c r="AS87" s="2547"/>
    </row>
    <row r="88" spans="2:45">
      <c r="B88" s="2549"/>
      <c r="I88" s="2547"/>
      <c r="K88" s="2549"/>
      <c r="R88" s="2547"/>
      <c r="T88" s="2549"/>
      <c r="U88" s="2566"/>
      <c r="V88" s="2566"/>
      <c r="W88" s="2566"/>
      <c r="X88" s="2566"/>
      <c r="Y88" s="2566"/>
      <c r="Z88" s="2566"/>
      <c r="AA88" s="2547"/>
      <c r="AC88" s="2549"/>
      <c r="AD88" s="2554"/>
      <c r="AE88" s="2554"/>
      <c r="AF88" s="2554"/>
      <c r="AG88" s="2554"/>
      <c r="AH88" s="2554"/>
      <c r="AI88" s="2554"/>
      <c r="AJ88" s="2555"/>
      <c r="AL88" s="2549"/>
      <c r="AS88" s="2547"/>
    </row>
    <row r="89" spans="2:45">
      <c r="B89" s="2570" t="s">
        <v>911</v>
      </c>
      <c r="I89" s="2547"/>
      <c r="K89" s="2570" t="s">
        <v>911</v>
      </c>
      <c r="R89" s="2547"/>
      <c r="T89" s="2570" t="s">
        <v>911</v>
      </c>
      <c r="U89" s="2566"/>
      <c r="V89" s="2566"/>
      <c r="W89" s="2566"/>
      <c r="X89" s="2566"/>
      <c r="Y89" s="2566"/>
      <c r="Z89" s="2566"/>
      <c r="AA89" s="2547"/>
      <c r="AC89" s="2570" t="s">
        <v>911</v>
      </c>
      <c r="AJ89" s="2547"/>
      <c r="AL89" s="2570" t="s">
        <v>911</v>
      </c>
      <c r="AS89" s="2547"/>
    </row>
    <row r="90" spans="2:45">
      <c r="B90" s="2549" t="str">
        <f>B62</f>
        <v>2019/2020</v>
      </c>
      <c r="C90" s="2482">
        <f t="shared" ref="C90:I94" ca="1" si="135">C$95</f>
        <v>6.8319268345058832</v>
      </c>
      <c r="D90" s="2482">
        <f t="shared" ca="1" si="135"/>
        <v>6.8319268345058832</v>
      </c>
      <c r="E90" s="2482">
        <f t="shared" ca="1" si="135"/>
        <v>6.8319268345058832</v>
      </c>
      <c r="F90" s="2482">
        <f t="shared" ca="1" si="135"/>
        <v>6.8319268345058832</v>
      </c>
      <c r="G90" s="2482">
        <f t="shared" ca="1" si="135"/>
        <v>6.8319268345058832</v>
      </c>
      <c r="H90" s="2482">
        <f t="shared" ca="1" si="135"/>
        <v>6.8319268345058832</v>
      </c>
      <c r="I90" s="2580">
        <f t="shared" ca="1" si="135"/>
        <v>6.8319268345058832</v>
      </c>
      <c r="K90" s="2549">
        <f t="shared" ref="K90:K100" si="136">K62</f>
        <v>2018</v>
      </c>
      <c r="L90" s="2482">
        <f t="shared" ref="L90:R94" ca="1" si="137">L$95</f>
        <v>6.8319268345058832</v>
      </c>
      <c r="M90" s="2482">
        <f t="shared" ca="1" si="137"/>
        <v>6.8319268345058832</v>
      </c>
      <c r="N90" s="2482">
        <f t="shared" ca="1" si="137"/>
        <v>6.8319268345058832</v>
      </c>
      <c r="O90" s="2482">
        <f t="shared" ca="1" si="137"/>
        <v>6.8319268345058832</v>
      </c>
      <c r="P90" s="2482">
        <f t="shared" ca="1" si="137"/>
        <v>6.8319268345058832</v>
      </c>
      <c r="Q90" s="2482">
        <f t="shared" ca="1" si="137"/>
        <v>6.8319268345058832</v>
      </c>
      <c r="R90" s="2580">
        <f t="shared" ca="1" si="137"/>
        <v>6.8319268345058832</v>
      </c>
      <c r="T90" s="2549" t="str">
        <f t="shared" ref="T90:T101" si="138">T62</f>
        <v>2019/2020</v>
      </c>
      <c r="U90" s="2583">
        <f ca="1">'Inv. start'!C90</f>
        <v>7.9657922786066333</v>
      </c>
      <c r="V90" s="2583">
        <f t="shared" ref="V90:AA90" ca="1" si="139">U90</f>
        <v>7.9657922786066333</v>
      </c>
      <c r="W90" s="2583">
        <f t="shared" ca="1" si="139"/>
        <v>7.9657922786066333</v>
      </c>
      <c r="X90" s="2583">
        <f t="shared" ca="1" si="139"/>
        <v>7.9657922786066333</v>
      </c>
      <c r="Y90" s="2583">
        <f t="shared" ca="1" si="139"/>
        <v>7.9657922786066333</v>
      </c>
      <c r="Z90" s="2583">
        <f t="shared" ca="1" si="139"/>
        <v>7.9657922786066333</v>
      </c>
      <c r="AA90" s="2583">
        <f t="shared" ca="1" si="139"/>
        <v>7.9657922786066333</v>
      </c>
      <c r="AC90" s="2549">
        <f>AC62</f>
        <v>2018</v>
      </c>
      <c r="AD90" s="2482">
        <f t="shared" ref="AD90:AJ94" ca="1" si="140">AD$95</f>
        <v>6.8319268345058823</v>
      </c>
      <c r="AE90" s="2482">
        <f t="shared" ca="1" si="140"/>
        <v>6.8319268345058823</v>
      </c>
      <c r="AF90" s="2482">
        <f t="shared" ca="1" si="140"/>
        <v>6.8319268345058823</v>
      </c>
      <c r="AG90" s="2482">
        <f t="shared" ca="1" si="140"/>
        <v>6.8319268345058823</v>
      </c>
      <c r="AH90" s="2482">
        <f t="shared" ca="1" si="140"/>
        <v>6.8319268345058823</v>
      </c>
      <c r="AI90" s="2482">
        <f t="shared" ca="1" si="140"/>
        <v>6.8319268345058823</v>
      </c>
      <c r="AJ90" s="2580">
        <f t="shared" ca="1" si="140"/>
        <v>6.8319268345058823</v>
      </c>
      <c r="AL90" s="2549">
        <f>AL62</f>
        <v>2018</v>
      </c>
      <c r="AM90" s="2482">
        <f ca="1">AM$95</f>
        <v>6.8319268345058823</v>
      </c>
      <c r="AN90" s="2482">
        <f t="shared" ref="AN90:AS94" ca="1" si="141">AN$95</f>
        <v>6.8319268345058823</v>
      </c>
      <c r="AO90" s="2482">
        <f t="shared" ca="1" si="141"/>
        <v>6.8319268345058823</v>
      </c>
      <c r="AP90" s="2482">
        <f t="shared" ca="1" si="141"/>
        <v>6.8319268345058823</v>
      </c>
      <c r="AQ90" s="2482">
        <f t="shared" ca="1" si="141"/>
        <v>6.8319268345058823</v>
      </c>
      <c r="AR90" s="2482">
        <f t="shared" ca="1" si="141"/>
        <v>6.8319268345058823</v>
      </c>
      <c r="AS90" s="2580">
        <f t="shared" ca="1" si="141"/>
        <v>6.8319268345058823</v>
      </c>
    </row>
    <row r="91" spans="2:45">
      <c r="B91" s="2549">
        <f>B63</f>
        <v>2019</v>
      </c>
      <c r="C91" s="2482">
        <f t="shared" ca="1" si="135"/>
        <v>6.8319268345058832</v>
      </c>
      <c r="D91" s="2482">
        <f t="shared" ca="1" si="135"/>
        <v>6.8319268345058832</v>
      </c>
      <c r="E91" s="2482">
        <f t="shared" ca="1" si="135"/>
        <v>6.8319268345058832</v>
      </c>
      <c r="F91" s="2482">
        <f t="shared" ca="1" si="135"/>
        <v>6.8319268345058832</v>
      </c>
      <c r="G91" s="2482">
        <f t="shared" ca="1" si="135"/>
        <v>6.8319268345058832</v>
      </c>
      <c r="H91" s="2482">
        <f t="shared" ca="1" si="135"/>
        <v>6.8319268345058832</v>
      </c>
      <c r="I91" s="2580">
        <f t="shared" ca="1" si="135"/>
        <v>6.8319268345058832</v>
      </c>
      <c r="K91" s="2549">
        <f t="shared" si="136"/>
        <v>2019</v>
      </c>
      <c r="L91" s="2482">
        <f t="shared" ca="1" si="137"/>
        <v>6.8319268345058832</v>
      </c>
      <c r="M91" s="2482">
        <f t="shared" ca="1" si="137"/>
        <v>6.8319268345058832</v>
      </c>
      <c r="N91" s="2482">
        <f t="shared" ca="1" si="137"/>
        <v>6.8319268345058832</v>
      </c>
      <c r="O91" s="2482">
        <f t="shared" ca="1" si="137"/>
        <v>6.8319268345058832</v>
      </c>
      <c r="P91" s="2482">
        <f t="shared" ca="1" si="137"/>
        <v>6.8319268345058832</v>
      </c>
      <c r="Q91" s="2482">
        <f t="shared" ca="1" si="137"/>
        <v>6.8319268345058832</v>
      </c>
      <c r="R91" s="2580">
        <f t="shared" ca="1" si="137"/>
        <v>6.8319268345058832</v>
      </c>
      <c r="T91" s="2549">
        <f t="shared" si="138"/>
        <v>2019</v>
      </c>
      <c r="U91" s="2571">
        <f ca="1">U93</f>
        <v>6.8319268345058823</v>
      </c>
      <c r="V91" s="2571">
        <f t="shared" ref="V91:AA92" ca="1" si="142">U91</f>
        <v>6.8319268345058823</v>
      </c>
      <c r="W91" s="2571">
        <f t="shared" ca="1" si="142"/>
        <v>6.8319268345058823</v>
      </c>
      <c r="X91" s="2571">
        <f t="shared" ca="1" si="142"/>
        <v>6.8319268345058823</v>
      </c>
      <c r="Y91" s="2571">
        <f t="shared" ca="1" si="142"/>
        <v>6.8319268345058823</v>
      </c>
      <c r="Z91" s="2571">
        <f t="shared" ca="1" si="142"/>
        <v>6.8319268345058823</v>
      </c>
      <c r="AA91" s="2579">
        <f t="shared" ca="1" si="142"/>
        <v>6.8319268345058823</v>
      </c>
      <c r="AC91" s="2549">
        <f>AC63</f>
        <v>2019</v>
      </c>
      <c r="AD91" s="2482">
        <f t="shared" ca="1" si="140"/>
        <v>6.8319268345058823</v>
      </c>
      <c r="AE91" s="2482">
        <f t="shared" ca="1" si="140"/>
        <v>6.8319268345058823</v>
      </c>
      <c r="AF91" s="2482">
        <f t="shared" ca="1" si="140"/>
        <v>6.8319268345058823</v>
      </c>
      <c r="AG91" s="2482">
        <f t="shared" ca="1" si="140"/>
        <v>6.8319268345058823</v>
      </c>
      <c r="AH91" s="2482">
        <f t="shared" ca="1" si="140"/>
        <v>6.8319268345058823</v>
      </c>
      <c r="AI91" s="2482">
        <f t="shared" ca="1" si="140"/>
        <v>6.8319268345058823</v>
      </c>
      <c r="AJ91" s="2580">
        <f t="shared" ca="1" si="140"/>
        <v>6.8319268345058823</v>
      </c>
      <c r="AL91" s="2549">
        <v>2019</v>
      </c>
      <c r="AM91" s="2482">
        <f ca="1">AM$95</f>
        <v>6.8319268345058823</v>
      </c>
      <c r="AN91" s="2482">
        <f t="shared" ca="1" si="141"/>
        <v>6.8319268345058823</v>
      </c>
      <c r="AO91" s="2482">
        <f t="shared" ca="1" si="141"/>
        <v>6.8319268345058823</v>
      </c>
      <c r="AP91" s="2482">
        <f t="shared" ca="1" si="141"/>
        <v>6.8319268345058823</v>
      </c>
      <c r="AQ91" s="2482">
        <f t="shared" ca="1" si="141"/>
        <v>6.8319268345058823</v>
      </c>
      <c r="AR91" s="2482">
        <f t="shared" ca="1" si="141"/>
        <v>6.8319268345058823</v>
      </c>
      <c r="AS91" s="2580">
        <f t="shared" ca="1" si="141"/>
        <v>6.8319268345058823</v>
      </c>
    </row>
    <row r="92" spans="2:45">
      <c r="B92" s="2549">
        <f>B64</f>
        <v>2020</v>
      </c>
      <c r="C92" s="2482">
        <f t="shared" ca="1" si="135"/>
        <v>6.8319268345058832</v>
      </c>
      <c r="D92" s="2482">
        <f t="shared" ca="1" si="135"/>
        <v>6.8319268345058832</v>
      </c>
      <c r="E92" s="2482">
        <f t="shared" ca="1" si="135"/>
        <v>6.8319268345058832</v>
      </c>
      <c r="F92" s="2482">
        <f t="shared" ca="1" si="135"/>
        <v>6.8319268345058832</v>
      </c>
      <c r="G92" s="2482">
        <f t="shared" ca="1" si="135"/>
        <v>6.8319268345058832</v>
      </c>
      <c r="H92" s="2482">
        <f t="shared" ca="1" si="135"/>
        <v>6.8319268345058832</v>
      </c>
      <c r="I92" s="2580">
        <f t="shared" ca="1" si="135"/>
        <v>6.8319268345058832</v>
      </c>
      <c r="K92" s="2549">
        <f t="shared" si="136"/>
        <v>2020</v>
      </c>
      <c r="L92" s="2482">
        <f t="shared" ca="1" si="137"/>
        <v>6.8319268345058832</v>
      </c>
      <c r="M92" s="2482">
        <f t="shared" ca="1" si="137"/>
        <v>6.8319268345058832</v>
      </c>
      <c r="N92" s="2482">
        <f t="shared" ca="1" si="137"/>
        <v>6.8319268345058832</v>
      </c>
      <c r="O92" s="2482">
        <f t="shared" ca="1" si="137"/>
        <v>6.8319268345058832</v>
      </c>
      <c r="P92" s="2482">
        <f t="shared" ca="1" si="137"/>
        <v>6.8319268345058832</v>
      </c>
      <c r="Q92" s="2482">
        <f t="shared" ca="1" si="137"/>
        <v>6.8319268345058832</v>
      </c>
      <c r="R92" s="2580">
        <f t="shared" ca="1" si="137"/>
        <v>6.8319268345058832</v>
      </c>
      <c r="T92" s="2549">
        <f t="shared" si="138"/>
        <v>2020</v>
      </c>
      <c r="U92" s="2571">
        <f ca="1">U91</f>
        <v>6.8319268345058823</v>
      </c>
      <c r="V92" s="2571">
        <f t="shared" ca="1" si="142"/>
        <v>6.8319268345058823</v>
      </c>
      <c r="W92" s="2571">
        <f t="shared" ca="1" si="142"/>
        <v>6.8319268345058823</v>
      </c>
      <c r="X92" s="2571">
        <f t="shared" ca="1" si="142"/>
        <v>6.8319268345058823</v>
      </c>
      <c r="Y92" s="2571">
        <f t="shared" ca="1" si="142"/>
        <v>6.8319268345058823</v>
      </c>
      <c r="Z92" s="2571">
        <f t="shared" ca="1" si="142"/>
        <v>6.8319268345058823</v>
      </c>
      <c r="AA92" s="2579">
        <f t="shared" ca="1" si="142"/>
        <v>6.8319268345058823</v>
      </c>
      <c r="AC92" s="2549">
        <f>AC64</f>
        <v>2020</v>
      </c>
      <c r="AD92" s="2578">
        <f ca="1">'Inv. start'!D91</f>
        <v>7.9657922786066333</v>
      </c>
      <c r="AE92" s="2578">
        <f ca="1">AD92</f>
        <v>7.9657922786066333</v>
      </c>
      <c r="AF92" s="2578">
        <f t="shared" ref="AF92:AJ93" ca="1" si="143">AE92</f>
        <v>7.9657922786066333</v>
      </c>
      <c r="AG92" s="2578">
        <f t="shared" ca="1" si="143"/>
        <v>7.9657922786066333</v>
      </c>
      <c r="AH92" s="2578">
        <f t="shared" ca="1" si="143"/>
        <v>7.9657922786066333</v>
      </c>
      <c r="AI92" s="2578">
        <f t="shared" ca="1" si="143"/>
        <v>7.9657922786066333</v>
      </c>
      <c r="AJ92" s="2579">
        <f t="shared" ca="1" si="143"/>
        <v>7.9657922786066333</v>
      </c>
      <c r="AL92" s="2549">
        <f t="shared" ref="AL92:AL100" si="144">AL64</f>
        <v>2020</v>
      </c>
      <c r="AM92" s="2482">
        <f ca="1">AM$95</f>
        <v>6.8319268345058823</v>
      </c>
      <c r="AN92" s="2482">
        <f t="shared" ca="1" si="141"/>
        <v>6.8319268345058823</v>
      </c>
      <c r="AO92" s="2482">
        <f t="shared" ca="1" si="141"/>
        <v>6.8319268345058823</v>
      </c>
      <c r="AP92" s="2482">
        <f t="shared" ca="1" si="141"/>
        <v>6.8319268345058823</v>
      </c>
      <c r="AQ92" s="2482">
        <f t="shared" ca="1" si="141"/>
        <v>6.8319268345058823</v>
      </c>
      <c r="AR92" s="2482">
        <f t="shared" ca="1" si="141"/>
        <v>6.8319268345058823</v>
      </c>
      <c r="AS92" s="2580">
        <f t="shared" ca="1" si="141"/>
        <v>6.8319268345058823</v>
      </c>
    </row>
    <row r="93" spans="2:45">
      <c r="B93" s="2549">
        <f>B65</f>
        <v>2021</v>
      </c>
      <c r="C93" s="2482">
        <f t="shared" ca="1" si="135"/>
        <v>6.8319268345058832</v>
      </c>
      <c r="D93" s="2482">
        <f t="shared" ca="1" si="135"/>
        <v>6.8319268345058832</v>
      </c>
      <c r="E93" s="2482">
        <f t="shared" ca="1" si="135"/>
        <v>6.8319268345058832</v>
      </c>
      <c r="F93" s="2482">
        <f t="shared" ca="1" si="135"/>
        <v>6.8319268345058832</v>
      </c>
      <c r="G93" s="2482">
        <f t="shared" ca="1" si="135"/>
        <v>6.8319268345058832</v>
      </c>
      <c r="H93" s="2482">
        <f t="shared" ca="1" si="135"/>
        <v>6.8319268345058832</v>
      </c>
      <c r="I93" s="2580">
        <f t="shared" ca="1" si="135"/>
        <v>6.8319268345058832</v>
      </c>
      <c r="K93" s="2549">
        <f t="shared" si="136"/>
        <v>2021</v>
      </c>
      <c r="L93" s="2482">
        <f t="shared" ca="1" si="137"/>
        <v>6.8319268345058832</v>
      </c>
      <c r="M93" s="2482">
        <f t="shared" ca="1" si="137"/>
        <v>6.8319268345058832</v>
      </c>
      <c r="N93" s="2482">
        <f t="shared" ca="1" si="137"/>
        <v>6.8319268345058832</v>
      </c>
      <c r="O93" s="2482">
        <f t="shared" ca="1" si="137"/>
        <v>6.8319268345058832</v>
      </c>
      <c r="P93" s="2482">
        <f t="shared" ca="1" si="137"/>
        <v>6.8319268345058832</v>
      </c>
      <c r="Q93" s="2482">
        <f t="shared" ca="1" si="137"/>
        <v>6.8319268345058832</v>
      </c>
      <c r="R93" s="2580">
        <f t="shared" ca="1" si="137"/>
        <v>6.8319268345058832</v>
      </c>
      <c r="T93" s="2549">
        <f t="shared" si="138"/>
        <v>2021</v>
      </c>
      <c r="U93" s="2583">
        <f ca="1">U$95</f>
        <v>6.8319268345058823</v>
      </c>
      <c r="V93" s="2583">
        <f t="shared" ref="U93:AA94" ca="1" si="145">V$95</f>
        <v>6.8319268345058823</v>
      </c>
      <c r="W93" s="2583">
        <f t="shared" ca="1" si="145"/>
        <v>6.8319268345058823</v>
      </c>
      <c r="X93" s="2583">
        <f t="shared" ca="1" si="145"/>
        <v>6.8319268345058823</v>
      </c>
      <c r="Y93" s="2583">
        <f t="shared" ca="1" si="145"/>
        <v>6.8319268345058823</v>
      </c>
      <c r="Z93" s="2583">
        <f t="shared" ca="1" si="145"/>
        <v>6.8319268345058823</v>
      </c>
      <c r="AA93" s="2580">
        <f t="shared" ca="1" si="145"/>
        <v>6.8319268345058823</v>
      </c>
      <c r="AC93" s="2549">
        <f>AC65</f>
        <v>2021</v>
      </c>
      <c r="AD93" s="2578">
        <f ca="1">AD92</f>
        <v>7.9657922786066333</v>
      </c>
      <c r="AE93" s="2578">
        <f ca="1">AD93</f>
        <v>7.9657922786066333</v>
      </c>
      <c r="AF93" s="2578">
        <f t="shared" ca="1" si="143"/>
        <v>7.9657922786066333</v>
      </c>
      <c r="AG93" s="2578">
        <f t="shared" ca="1" si="143"/>
        <v>7.9657922786066333</v>
      </c>
      <c r="AH93" s="2578">
        <f t="shared" ca="1" si="143"/>
        <v>7.9657922786066333</v>
      </c>
      <c r="AI93" s="2578">
        <f t="shared" ca="1" si="143"/>
        <v>7.9657922786066333</v>
      </c>
      <c r="AJ93" s="2579">
        <f t="shared" ca="1" si="143"/>
        <v>7.9657922786066333</v>
      </c>
      <c r="AL93" s="2549">
        <f t="shared" si="144"/>
        <v>2021</v>
      </c>
      <c r="AM93" s="2482">
        <f ca="1">AM$95</f>
        <v>6.8319268345058823</v>
      </c>
      <c r="AN93" s="2482">
        <f t="shared" ca="1" si="141"/>
        <v>6.8319268345058823</v>
      </c>
      <c r="AO93" s="2482">
        <f t="shared" ca="1" si="141"/>
        <v>6.8319268345058823</v>
      </c>
      <c r="AP93" s="2482">
        <f t="shared" ca="1" si="141"/>
        <v>6.8319268345058823</v>
      </c>
      <c r="AQ93" s="2482">
        <f t="shared" ca="1" si="141"/>
        <v>6.8319268345058823</v>
      </c>
      <c r="AR93" s="2482">
        <f t="shared" ca="1" si="141"/>
        <v>6.8319268345058823</v>
      </c>
      <c r="AS93" s="2580">
        <f t="shared" ca="1" si="141"/>
        <v>6.8319268345058823</v>
      </c>
    </row>
    <row r="94" spans="2:45">
      <c r="B94" s="2549">
        <v>2022</v>
      </c>
      <c r="C94" s="2482">
        <f t="shared" ca="1" si="135"/>
        <v>6.8319268345058832</v>
      </c>
      <c r="D94" s="2482">
        <f t="shared" ca="1" si="135"/>
        <v>6.8319268345058832</v>
      </c>
      <c r="E94" s="2482">
        <f t="shared" ca="1" si="135"/>
        <v>6.8319268345058832</v>
      </c>
      <c r="F94" s="2482">
        <f t="shared" ca="1" si="135"/>
        <v>6.8319268345058832</v>
      </c>
      <c r="G94" s="2482">
        <f t="shared" ca="1" si="135"/>
        <v>6.8319268345058832</v>
      </c>
      <c r="H94" s="2482">
        <f t="shared" ca="1" si="135"/>
        <v>6.8319268345058832</v>
      </c>
      <c r="I94" s="2580">
        <f t="shared" ca="1" si="135"/>
        <v>6.8319268345058832</v>
      </c>
      <c r="K94" s="2549">
        <f t="shared" si="136"/>
        <v>2022</v>
      </c>
      <c r="L94" s="2482">
        <f t="shared" ca="1" si="137"/>
        <v>6.8319268345058832</v>
      </c>
      <c r="M94" s="2482">
        <f t="shared" ca="1" si="137"/>
        <v>6.8319268345058832</v>
      </c>
      <c r="N94" s="2482">
        <f t="shared" ca="1" si="137"/>
        <v>6.8319268345058832</v>
      </c>
      <c r="O94" s="2482">
        <f t="shared" ca="1" si="137"/>
        <v>6.8319268345058832</v>
      </c>
      <c r="P94" s="2482">
        <f t="shared" ca="1" si="137"/>
        <v>6.8319268345058832</v>
      </c>
      <c r="Q94" s="2482">
        <f t="shared" ca="1" si="137"/>
        <v>6.8319268345058832</v>
      </c>
      <c r="R94" s="2580">
        <f t="shared" ca="1" si="137"/>
        <v>6.8319268345058832</v>
      </c>
      <c r="T94" s="2549">
        <f t="shared" si="138"/>
        <v>2022</v>
      </c>
      <c r="U94" s="2583">
        <f t="shared" ca="1" si="145"/>
        <v>6.8319268345058823</v>
      </c>
      <c r="V94" s="2583">
        <f t="shared" ca="1" si="145"/>
        <v>6.8319268345058823</v>
      </c>
      <c r="W94" s="2583">
        <f t="shared" ca="1" si="145"/>
        <v>6.8319268345058823</v>
      </c>
      <c r="X94" s="2583">
        <f t="shared" ca="1" si="145"/>
        <v>6.8319268345058823</v>
      </c>
      <c r="Y94" s="2583">
        <f t="shared" ca="1" si="145"/>
        <v>6.8319268345058823</v>
      </c>
      <c r="Z94" s="2583">
        <f t="shared" ca="1" si="145"/>
        <v>6.8319268345058823</v>
      </c>
      <c r="AA94" s="2580">
        <f t="shared" ca="1" si="145"/>
        <v>6.8319268345058823</v>
      </c>
      <c r="AC94" s="2549">
        <v>2022</v>
      </c>
      <c r="AD94" s="2482">
        <f ca="1">AD$95</f>
        <v>6.8319268345058823</v>
      </c>
      <c r="AE94" s="2482">
        <f t="shared" ca="1" si="140"/>
        <v>6.8319268345058823</v>
      </c>
      <c r="AF94" s="2482">
        <f t="shared" ca="1" si="140"/>
        <v>6.8319268345058823</v>
      </c>
      <c r="AG94" s="2482">
        <f t="shared" ca="1" si="140"/>
        <v>6.8319268345058823</v>
      </c>
      <c r="AH94" s="2482">
        <f t="shared" ca="1" si="140"/>
        <v>6.8319268345058823</v>
      </c>
      <c r="AI94" s="2482">
        <f t="shared" ca="1" si="140"/>
        <v>6.8319268345058823</v>
      </c>
      <c r="AJ94" s="2580">
        <f t="shared" ca="1" si="140"/>
        <v>6.8319268345058823</v>
      </c>
      <c r="AL94" s="2549">
        <f t="shared" si="144"/>
        <v>2022</v>
      </c>
      <c r="AM94" s="2482">
        <f ca="1">AM$95</f>
        <v>6.8319268345058823</v>
      </c>
      <c r="AN94" s="2482">
        <f t="shared" ca="1" si="141"/>
        <v>6.8319268345058823</v>
      </c>
      <c r="AO94" s="2482">
        <f t="shared" ca="1" si="141"/>
        <v>6.8319268345058823</v>
      </c>
      <c r="AP94" s="2482">
        <f t="shared" ca="1" si="141"/>
        <v>6.8319268345058823</v>
      </c>
      <c r="AQ94" s="2482">
        <f t="shared" ca="1" si="141"/>
        <v>6.8319268345058823</v>
      </c>
      <c r="AR94" s="2482">
        <f t="shared" ca="1" si="141"/>
        <v>6.8319268345058823</v>
      </c>
      <c r="AS94" s="2580">
        <f t="shared" ca="1" si="141"/>
        <v>6.8319268345058823</v>
      </c>
    </row>
    <row r="95" spans="2:45">
      <c r="B95" s="2549">
        <f t="shared" ref="B95:B100" si="146">B67</f>
        <v>2023</v>
      </c>
      <c r="C95" s="2482">
        <f t="shared" ref="C95:I101" ca="1" si="147">C15</f>
        <v>6.8319268345058832</v>
      </c>
      <c r="D95" s="2482">
        <f t="shared" ca="1" si="147"/>
        <v>6.8319268345058832</v>
      </c>
      <c r="E95" s="2482">
        <f t="shared" ca="1" si="147"/>
        <v>6.8319268345058832</v>
      </c>
      <c r="F95" s="2482">
        <f t="shared" ca="1" si="147"/>
        <v>6.8319268345058832</v>
      </c>
      <c r="G95" s="2482">
        <f t="shared" ca="1" si="147"/>
        <v>6.8319268345058832</v>
      </c>
      <c r="H95" s="2482">
        <f t="shared" ca="1" si="147"/>
        <v>6.8319268345058832</v>
      </c>
      <c r="I95" s="2580">
        <f t="shared" ca="1" si="147"/>
        <v>6.8319268345058832</v>
      </c>
      <c r="K95" s="2549">
        <f t="shared" si="136"/>
        <v>2023</v>
      </c>
      <c r="L95" s="2482">
        <f t="shared" ref="L95:R101" ca="1" si="148">L15</f>
        <v>6.8319268345058832</v>
      </c>
      <c r="M95" s="2482">
        <f t="shared" ca="1" si="148"/>
        <v>6.8319268345058832</v>
      </c>
      <c r="N95" s="2482">
        <f t="shared" ca="1" si="148"/>
        <v>6.8319268345058832</v>
      </c>
      <c r="O95" s="2482">
        <f t="shared" ca="1" si="148"/>
        <v>6.8319268345058832</v>
      </c>
      <c r="P95" s="2482">
        <f t="shared" ca="1" si="148"/>
        <v>6.8319268345058832</v>
      </c>
      <c r="Q95" s="2482">
        <f t="shared" ca="1" si="148"/>
        <v>6.8319268345058832</v>
      </c>
      <c r="R95" s="2580">
        <f t="shared" ca="1" si="148"/>
        <v>6.8319268345058832</v>
      </c>
      <c r="T95" s="2549">
        <f t="shared" si="138"/>
        <v>2023</v>
      </c>
      <c r="U95" s="2583">
        <f t="shared" ref="U95:AA101" ca="1" si="149">U15</f>
        <v>6.8319268345058823</v>
      </c>
      <c r="V95" s="2583">
        <f ca="1">V15</f>
        <v>6.8319268345058823</v>
      </c>
      <c r="W95" s="2583">
        <f t="shared" ca="1" si="149"/>
        <v>6.8319268345058823</v>
      </c>
      <c r="X95" s="2583">
        <f t="shared" ca="1" si="149"/>
        <v>6.8319268345058823</v>
      </c>
      <c r="Y95" s="2583">
        <f t="shared" ca="1" si="149"/>
        <v>6.8319268345058823</v>
      </c>
      <c r="Z95" s="2583">
        <f t="shared" ca="1" si="149"/>
        <v>6.8319268345058823</v>
      </c>
      <c r="AA95" s="2580">
        <f t="shared" ca="1" si="149"/>
        <v>6.8319268345058823</v>
      </c>
      <c r="AC95" s="2549">
        <f t="shared" ref="AC95:AC100" si="150">AC67</f>
        <v>2023</v>
      </c>
      <c r="AD95" s="2482">
        <f ca="1">AD15</f>
        <v>6.8319268345058823</v>
      </c>
      <c r="AE95" s="2482">
        <f ca="1">AE15</f>
        <v>6.8319268345058823</v>
      </c>
      <c r="AF95" s="2482">
        <f t="shared" ref="AD95:AJ101" ca="1" si="151">AF15</f>
        <v>6.8319268345058823</v>
      </c>
      <c r="AG95" s="2482">
        <f t="shared" ca="1" si="151"/>
        <v>6.8319268345058823</v>
      </c>
      <c r="AH95" s="2482">
        <f t="shared" ca="1" si="151"/>
        <v>6.8319268345058823</v>
      </c>
      <c r="AI95" s="2482">
        <f t="shared" ca="1" si="151"/>
        <v>6.8319268345058823</v>
      </c>
      <c r="AJ95" s="2580">
        <f t="shared" ca="1" si="151"/>
        <v>6.8319268345058823</v>
      </c>
      <c r="AL95" s="2549">
        <f t="shared" si="144"/>
        <v>2023</v>
      </c>
      <c r="AM95" s="2482">
        <f t="shared" ref="AM95:AS101" ca="1" si="152">AM15</f>
        <v>6.8319268345058823</v>
      </c>
      <c r="AN95" s="2482">
        <f t="shared" ca="1" si="152"/>
        <v>6.8319268345058823</v>
      </c>
      <c r="AO95" s="2482">
        <f t="shared" ca="1" si="152"/>
        <v>6.8319268345058823</v>
      </c>
      <c r="AP95" s="2482">
        <f t="shared" ca="1" si="152"/>
        <v>6.8319268345058823</v>
      </c>
      <c r="AQ95" s="2482">
        <f t="shared" ca="1" si="152"/>
        <v>6.8319268345058823</v>
      </c>
      <c r="AR95" s="2482">
        <f t="shared" ca="1" si="152"/>
        <v>6.8319268345058823</v>
      </c>
      <c r="AS95" s="2580">
        <f t="shared" ca="1" si="152"/>
        <v>6.8319268345058823</v>
      </c>
    </row>
    <row r="96" spans="2:45">
      <c r="B96" s="2549">
        <f t="shared" si="146"/>
        <v>2024</v>
      </c>
      <c r="C96" s="2482">
        <f t="shared" ca="1" si="147"/>
        <v>5.7497670426344714</v>
      </c>
      <c r="D96" s="2482">
        <f t="shared" ca="1" si="147"/>
        <v>5.7497670426344714</v>
      </c>
      <c r="E96" s="2482">
        <f t="shared" ca="1" si="147"/>
        <v>5.7497670426344714</v>
      </c>
      <c r="F96" s="2482">
        <f t="shared" ca="1" si="147"/>
        <v>5.7497670426344714</v>
      </c>
      <c r="G96" s="2482">
        <f t="shared" ca="1" si="147"/>
        <v>5.7497670426344714</v>
      </c>
      <c r="H96" s="2482">
        <f t="shared" ca="1" si="147"/>
        <v>5.7497670426344714</v>
      </c>
      <c r="I96" s="2580">
        <f t="shared" ca="1" si="147"/>
        <v>5.7497670426344714</v>
      </c>
      <c r="K96" s="2549">
        <f t="shared" si="136"/>
        <v>2024</v>
      </c>
      <c r="L96" s="2482">
        <f t="shared" ca="1" si="148"/>
        <v>5.7497670426344714</v>
      </c>
      <c r="M96" s="2482">
        <f t="shared" ca="1" si="148"/>
        <v>5.7497670426344714</v>
      </c>
      <c r="N96" s="2482">
        <f t="shared" ca="1" si="148"/>
        <v>5.7497670426344714</v>
      </c>
      <c r="O96" s="2482">
        <f t="shared" ca="1" si="148"/>
        <v>5.7497670426344714</v>
      </c>
      <c r="P96" s="2482">
        <f t="shared" ca="1" si="148"/>
        <v>5.7497670426344714</v>
      </c>
      <c r="Q96" s="2482">
        <f t="shared" ca="1" si="148"/>
        <v>5.7497670426344714</v>
      </c>
      <c r="R96" s="2580">
        <f t="shared" ca="1" si="148"/>
        <v>5.7497670426344714</v>
      </c>
      <c r="T96" s="2549">
        <f t="shared" si="138"/>
        <v>2024</v>
      </c>
      <c r="U96" s="2583">
        <f t="shared" ca="1" si="149"/>
        <v>5.7497670426344705</v>
      </c>
      <c r="V96" s="2583">
        <f t="shared" ca="1" si="149"/>
        <v>5.7497670426344705</v>
      </c>
      <c r="W96" s="2583">
        <f t="shared" ca="1" si="149"/>
        <v>5.7497670426344705</v>
      </c>
      <c r="X96" s="2583">
        <f t="shared" ca="1" si="149"/>
        <v>5.7497670426344705</v>
      </c>
      <c r="Y96" s="2583">
        <f t="shared" ca="1" si="149"/>
        <v>5.7497670426344705</v>
      </c>
      <c r="Z96" s="2583">
        <f t="shared" ca="1" si="149"/>
        <v>5.7497670426344705</v>
      </c>
      <c r="AA96" s="2580">
        <f t="shared" ca="1" si="149"/>
        <v>5.7497670426344705</v>
      </c>
      <c r="AC96" s="2549">
        <f t="shared" si="150"/>
        <v>2024</v>
      </c>
      <c r="AD96" s="2482">
        <f t="shared" ca="1" si="151"/>
        <v>5.7497670426344705</v>
      </c>
      <c r="AE96" s="2482">
        <f t="shared" ca="1" si="151"/>
        <v>5.7497670426344705</v>
      </c>
      <c r="AF96" s="2482">
        <f t="shared" ca="1" si="151"/>
        <v>5.7497670426344705</v>
      </c>
      <c r="AG96" s="2482">
        <f t="shared" ca="1" si="151"/>
        <v>5.7497670426344705</v>
      </c>
      <c r="AH96" s="2482">
        <f t="shared" ca="1" si="151"/>
        <v>5.7497670426344705</v>
      </c>
      <c r="AI96" s="2482">
        <f t="shared" ca="1" si="151"/>
        <v>5.7497670426344705</v>
      </c>
      <c r="AJ96" s="2580">
        <f t="shared" ca="1" si="151"/>
        <v>5.7497670426344705</v>
      </c>
      <c r="AL96" s="2549">
        <f t="shared" si="144"/>
        <v>2024</v>
      </c>
      <c r="AM96" s="2482">
        <f t="shared" ca="1" si="152"/>
        <v>5.7497670426344705</v>
      </c>
      <c r="AN96" s="2482">
        <f t="shared" ca="1" si="152"/>
        <v>5.7497670426344705</v>
      </c>
      <c r="AO96" s="2482">
        <f t="shared" ca="1" si="152"/>
        <v>5.7497670426344705</v>
      </c>
      <c r="AP96" s="2482">
        <f t="shared" ca="1" si="152"/>
        <v>5.7497670426344705</v>
      </c>
      <c r="AQ96" s="2482">
        <f t="shared" ca="1" si="152"/>
        <v>5.7497670426344705</v>
      </c>
      <c r="AR96" s="2482">
        <f t="shared" ca="1" si="152"/>
        <v>5.7497670426344705</v>
      </c>
      <c r="AS96" s="2580">
        <f t="shared" ca="1" si="152"/>
        <v>5.7497670426344705</v>
      </c>
    </row>
    <row r="97" spans="2:45">
      <c r="B97" s="2549">
        <f t="shared" si="146"/>
        <v>2025</v>
      </c>
      <c r="C97" s="2482">
        <f t="shared" ca="1" si="147"/>
        <v>5.4970070342265718</v>
      </c>
      <c r="D97" s="2482">
        <f t="shared" ca="1" si="147"/>
        <v>5.4970070342265718</v>
      </c>
      <c r="E97" s="2482">
        <f t="shared" ca="1" si="147"/>
        <v>5.4970070342265718</v>
      </c>
      <c r="F97" s="2482">
        <f t="shared" ca="1" si="147"/>
        <v>5.4970070342265718</v>
      </c>
      <c r="G97" s="2482">
        <f t="shared" ca="1" si="147"/>
        <v>5.4970070342265718</v>
      </c>
      <c r="H97" s="2482">
        <f t="shared" ca="1" si="147"/>
        <v>5.4970070342265718</v>
      </c>
      <c r="I97" s="2580">
        <f t="shared" ca="1" si="147"/>
        <v>5.4970070342265718</v>
      </c>
      <c r="K97" s="2549">
        <f t="shared" si="136"/>
        <v>2025</v>
      </c>
      <c r="L97" s="2482">
        <f t="shared" ca="1" si="148"/>
        <v>5.4970070342265718</v>
      </c>
      <c r="M97" s="2482">
        <f t="shared" ca="1" si="148"/>
        <v>5.4970070342265718</v>
      </c>
      <c r="N97" s="2482">
        <f t="shared" ca="1" si="148"/>
        <v>5.4970070342265718</v>
      </c>
      <c r="O97" s="2482">
        <f t="shared" ca="1" si="148"/>
        <v>5.4970070342265718</v>
      </c>
      <c r="P97" s="2482">
        <f t="shared" ca="1" si="148"/>
        <v>5.4970070342265718</v>
      </c>
      <c r="Q97" s="2482">
        <f t="shared" ca="1" si="148"/>
        <v>5.4970070342265718</v>
      </c>
      <c r="R97" s="2580">
        <f t="shared" ca="1" si="148"/>
        <v>5.4970070342265718</v>
      </c>
      <c r="T97" s="2549">
        <f t="shared" si="138"/>
        <v>2025</v>
      </c>
      <c r="U97" s="2583">
        <f t="shared" ca="1" si="149"/>
        <v>5.4970070342265709</v>
      </c>
      <c r="V97" s="2583">
        <f t="shared" ca="1" si="149"/>
        <v>5.4970070342265709</v>
      </c>
      <c r="W97" s="2583">
        <f t="shared" ca="1" si="149"/>
        <v>5.4970070342265709</v>
      </c>
      <c r="X97" s="2583">
        <f t="shared" ca="1" si="149"/>
        <v>5.4970070342265709</v>
      </c>
      <c r="Y97" s="2583">
        <f t="shared" ca="1" si="149"/>
        <v>5.4970070342265709</v>
      </c>
      <c r="Z97" s="2583">
        <f t="shared" ca="1" si="149"/>
        <v>5.4970070342265709</v>
      </c>
      <c r="AA97" s="2580">
        <f t="shared" ca="1" si="149"/>
        <v>5.4970070342265709</v>
      </c>
      <c r="AC97" s="2549">
        <f t="shared" si="150"/>
        <v>2025</v>
      </c>
      <c r="AD97" s="2482">
        <f t="shared" ca="1" si="151"/>
        <v>5.4970070342265709</v>
      </c>
      <c r="AE97" s="2482">
        <f t="shared" ca="1" si="151"/>
        <v>5.4970070342265709</v>
      </c>
      <c r="AF97" s="2482">
        <f t="shared" ca="1" si="151"/>
        <v>5.4970070342265709</v>
      </c>
      <c r="AG97" s="2482">
        <f t="shared" ca="1" si="151"/>
        <v>5.4970070342265709</v>
      </c>
      <c r="AH97" s="2482">
        <f t="shared" ca="1" si="151"/>
        <v>5.4970070342265709</v>
      </c>
      <c r="AI97" s="2482">
        <f t="shared" ca="1" si="151"/>
        <v>5.4970070342265709</v>
      </c>
      <c r="AJ97" s="2580">
        <f t="shared" ca="1" si="151"/>
        <v>5.4970070342265709</v>
      </c>
      <c r="AL97" s="2549">
        <f t="shared" si="144"/>
        <v>2025</v>
      </c>
      <c r="AM97" s="2482">
        <f t="shared" ca="1" si="152"/>
        <v>5.4970070342265718</v>
      </c>
      <c r="AN97" s="2482">
        <f t="shared" ca="1" si="152"/>
        <v>5.4970070342265718</v>
      </c>
      <c r="AO97" s="2482">
        <f t="shared" ca="1" si="152"/>
        <v>5.4970070342265718</v>
      </c>
      <c r="AP97" s="2482">
        <f t="shared" ca="1" si="152"/>
        <v>5.4970070342265718</v>
      </c>
      <c r="AQ97" s="2482">
        <f t="shared" ca="1" si="152"/>
        <v>5.4970070342265718</v>
      </c>
      <c r="AR97" s="2482">
        <f t="shared" ca="1" si="152"/>
        <v>5.4970070342265718</v>
      </c>
      <c r="AS97" s="2580">
        <f ca="1">AS17</f>
        <v>5.4970070342265718</v>
      </c>
    </row>
    <row r="98" spans="2:45">
      <c r="B98" s="2549">
        <f t="shared" si="146"/>
        <v>2026</v>
      </c>
      <c r="C98" s="2482">
        <f t="shared" ca="1" si="147"/>
        <v>5.7669606874332766</v>
      </c>
      <c r="D98" s="2482">
        <f t="shared" ca="1" si="147"/>
        <v>5.7669606874332766</v>
      </c>
      <c r="E98" s="2482">
        <f t="shared" ca="1" si="147"/>
        <v>5.7669606874332766</v>
      </c>
      <c r="F98" s="2482">
        <f t="shared" ca="1" si="147"/>
        <v>5.7669606874332766</v>
      </c>
      <c r="G98" s="2482">
        <f t="shared" ca="1" si="147"/>
        <v>5.7669606874332766</v>
      </c>
      <c r="H98" s="2482">
        <f t="shared" ca="1" si="147"/>
        <v>5.7669606874332766</v>
      </c>
      <c r="I98" s="2580">
        <f t="shared" ca="1" si="147"/>
        <v>5.7669606874332766</v>
      </c>
      <c r="K98" s="2549">
        <f t="shared" si="136"/>
        <v>2026</v>
      </c>
      <c r="L98" s="2482">
        <f t="shared" ca="1" si="148"/>
        <v>5.7669606874332766</v>
      </c>
      <c r="M98" s="2482">
        <f t="shared" ca="1" si="148"/>
        <v>5.7669606874332766</v>
      </c>
      <c r="N98" s="2482">
        <f t="shared" ca="1" si="148"/>
        <v>5.7669606874332766</v>
      </c>
      <c r="O98" s="2482">
        <f t="shared" ca="1" si="148"/>
        <v>5.7669606874332766</v>
      </c>
      <c r="P98" s="2482">
        <f t="shared" ca="1" si="148"/>
        <v>5.7669606874332766</v>
      </c>
      <c r="Q98" s="2482">
        <f t="shared" ca="1" si="148"/>
        <v>5.7669606874332766</v>
      </c>
      <c r="R98" s="2580">
        <f t="shared" ca="1" si="148"/>
        <v>5.7669606874332766</v>
      </c>
      <c r="T98" s="2549">
        <f t="shared" si="138"/>
        <v>2026</v>
      </c>
      <c r="U98" s="2583">
        <f t="shared" ca="1" si="149"/>
        <v>5.7669606874332766</v>
      </c>
      <c r="V98" s="2583">
        <f t="shared" ca="1" si="149"/>
        <v>5.7669606874332766</v>
      </c>
      <c r="W98" s="2583">
        <f t="shared" ca="1" si="149"/>
        <v>5.7669606874332766</v>
      </c>
      <c r="X98" s="2583">
        <f t="shared" ca="1" si="149"/>
        <v>5.7669606874332766</v>
      </c>
      <c r="Y98" s="2583">
        <f t="shared" ca="1" si="149"/>
        <v>5.7669606874332766</v>
      </c>
      <c r="Z98" s="2583">
        <f t="shared" ca="1" si="149"/>
        <v>5.7669606874332766</v>
      </c>
      <c r="AA98" s="2580">
        <f t="shared" ca="1" si="149"/>
        <v>5.7669606874332766</v>
      </c>
      <c r="AC98" s="2549">
        <f t="shared" si="150"/>
        <v>2026</v>
      </c>
      <c r="AD98" s="2482">
        <f t="shared" ca="1" si="151"/>
        <v>5.7669606874332766</v>
      </c>
      <c r="AE98" s="2482">
        <f t="shared" ca="1" si="151"/>
        <v>5.7669606874332766</v>
      </c>
      <c r="AF98" s="2482">
        <f t="shared" ca="1" si="151"/>
        <v>5.7669606874332766</v>
      </c>
      <c r="AG98" s="2482">
        <f t="shared" ca="1" si="151"/>
        <v>5.7669606874332766</v>
      </c>
      <c r="AH98" s="2482">
        <f t="shared" ca="1" si="151"/>
        <v>5.7669606874332766</v>
      </c>
      <c r="AI98" s="2482">
        <f t="shared" ca="1" si="151"/>
        <v>5.7669606874332766</v>
      </c>
      <c r="AJ98" s="2580">
        <f t="shared" ca="1" si="151"/>
        <v>5.7669606874332766</v>
      </c>
      <c r="AL98" s="2549">
        <f t="shared" si="144"/>
        <v>2026</v>
      </c>
      <c r="AM98" s="2482">
        <f t="shared" ca="1" si="152"/>
        <v>5.7669606874332775</v>
      </c>
      <c r="AN98" s="2482">
        <f t="shared" ca="1" si="152"/>
        <v>5.7669606874332775</v>
      </c>
      <c r="AO98" s="2482">
        <f t="shared" ca="1" si="152"/>
        <v>5.7669606874332775</v>
      </c>
      <c r="AP98" s="2482">
        <f t="shared" ca="1" si="152"/>
        <v>5.7669606874332775</v>
      </c>
      <c r="AQ98" s="2482">
        <f t="shared" ca="1" si="152"/>
        <v>5.7669606874332775</v>
      </c>
      <c r="AR98" s="2482">
        <f t="shared" ca="1" si="152"/>
        <v>5.7669606874332775</v>
      </c>
      <c r="AS98" s="2580">
        <f t="shared" ca="1" si="152"/>
        <v>5.7669606874332775</v>
      </c>
    </row>
    <row r="99" spans="2:45">
      <c r="B99" s="2549">
        <f t="shared" si="146"/>
        <v>2027</v>
      </c>
      <c r="C99" s="2482">
        <f t="shared" ca="1" si="147"/>
        <v>5.8954084876945547</v>
      </c>
      <c r="D99" s="2482">
        <f t="shared" ca="1" si="147"/>
        <v>5.8954084876945547</v>
      </c>
      <c r="E99" s="2482">
        <f t="shared" ca="1" si="147"/>
        <v>5.8954084876945547</v>
      </c>
      <c r="F99" s="2482">
        <f t="shared" ca="1" si="147"/>
        <v>5.8954084876945547</v>
      </c>
      <c r="G99" s="2482">
        <f t="shared" ca="1" si="147"/>
        <v>5.8954084876945547</v>
      </c>
      <c r="H99" s="2482">
        <f t="shared" ca="1" si="147"/>
        <v>5.8954084876945547</v>
      </c>
      <c r="I99" s="2580">
        <f t="shared" ca="1" si="147"/>
        <v>5.8954084876945547</v>
      </c>
      <c r="K99" s="2549">
        <f t="shared" si="136"/>
        <v>2027</v>
      </c>
      <c r="L99" s="2482">
        <f t="shared" ca="1" si="148"/>
        <v>5.8954084876945547</v>
      </c>
      <c r="M99" s="2482">
        <f t="shared" ca="1" si="148"/>
        <v>5.8954084876945547</v>
      </c>
      <c r="N99" s="2482">
        <f t="shared" ca="1" si="148"/>
        <v>5.8954084876945547</v>
      </c>
      <c r="O99" s="2482">
        <f t="shared" ca="1" si="148"/>
        <v>5.8954084876945547</v>
      </c>
      <c r="P99" s="2482">
        <f t="shared" ca="1" si="148"/>
        <v>5.8954084876945547</v>
      </c>
      <c r="Q99" s="2482">
        <f ca="1">Q19</f>
        <v>5.8954084876945547</v>
      </c>
      <c r="R99" s="2580">
        <f t="shared" ca="1" si="148"/>
        <v>5.8954084876945547</v>
      </c>
      <c r="T99" s="2549">
        <f t="shared" si="138"/>
        <v>2027</v>
      </c>
      <c r="U99" s="2583">
        <f t="shared" ca="1" si="149"/>
        <v>5.8954084876945547</v>
      </c>
      <c r="V99" s="2583">
        <f t="shared" ca="1" si="149"/>
        <v>5.8954084876945547</v>
      </c>
      <c r="W99" s="2583">
        <f t="shared" ca="1" si="149"/>
        <v>5.8954084876945547</v>
      </c>
      <c r="X99" s="2583">
        <f t="shared" ca="1" si="149"/>
        <v>5.8954084876945547</v>
      </c>
      <c r="Y99" s="2583">
        <f t="shared" ca="1" si="149"/>
        <v>5.8954084876945547</v>
      </c>
      <c r="Z99" s="2583">
        <f t="shared" ca="1" si="149"/>
        <v>5.8954084876945547</v>
      </c>
      <c r="AA99" s="2580">
        <f t="shared" ca="1" si="149"/>
        <v>5.8954084876945547</v>
      </c>
      <c r="AC99" s="2549">
        <f t="shared" si="150"/>
        <v>2027</v>
      </c>
      <c r="AD99" s="2482">
        <f t="shared" ca="1" si="151"/>
        <v>5.8954084876945547</v>
      </c>
      <c r="AE99" s="2482">
        <f t="shared" ca="1" si="151"/>
        <v>5.8954084876945547</v>
      </c>
      <c r="AF99" s="2482">
        <f t="shared" ca="1" si="151"/>
        <v>5.8954084876945547</v>
      </c>
      <c r="AG99" s="2482">
        <f t="shared" ca="1" si="151"/>
        <v>5.8954084876945547</v>
      </c>
      <c r="AH99" s="2482">
        <f t="shared" ca="1" si="151"/>
        <v>5.8954084876945547</v>
      </c>
      <c r="AI99" s="2482">
        <f t="shared" ca="1" si="151"/>
        <v>5.8954084876945547</v>
      </c>
      <c r="AJ99" s="2580">
        <f t="shared" ca="1" si="151"/>
        <v>5.8954084876945547</v>
      </c>
      <c r="AL99" s="2549">
        <f t="shared" si="144"/>
        <v>2027</v>
      </c>
      <c r="AM99" s="2482">
        <f t="shared" ca="1" si="152"/>
        <v>5.8954084876945556</v>
      </c>
      <c r="AN99" s="2482">
        <f t="shared" ca="1" si="152"/>
        <v>5.8954084876945556</v>
      </c>
      <c r="AO99" s="2482">
        <f t="shared" ca="1" si="152"/>
        <v>5.8954084876945556</v>
      </c>
      <c r="AP99" s="2482">
        <f t="shared" ca="1" si="152"/>
        <v>5.8954084876945556</v>
      </c>
      <c r="AQ99" s="2482">
        <f t="shared" ca="1" si="152"/>
        <v>5.8954084876945556</v>
      </c>
      <c r="AR99" s="2482">
        <f t="shared" ca="1" si="152"/>
        <v>5.8954084876945556</v>
      </c>
      <c r="AS99" s="2580">
        <f t="shared" ca="1" si="152"/>
        <v>5.8954084876945556</v>
      </c>
    </row>
    <row r="100" spans="2:45">
      <c r="B100" s="2549">
        <f t="shared" si="146"/>
        <v>2028</v>
      </c>
      <c r="C100" s="2482">
        <f t="shared" ca="1" si="147"/>
        <v>6.0887274707054306</v>
      </c>
      <c r="D100" s="2482">
        <f t="shared" ca="1" si="147"/>
        <v>6.0887274707054306</v>
      </c>
      <c r="E100" s="2482">
        <f t="shared" ca="1" si="147"/>
        <v>6.0887274707054306</v>
      </c>
      <c r="F100" s="2482">
        <f t="shared" ca="1" si="147"/>
        <v>6.0887274707054306</v>
      </c>
      <c r="G100" s="2482">
        <f t="shared" ca="1" si="147"/>
        <v>6.0887274707054306</v>
      </c>
      <c r="H100" s="2482">
        <f t="shared" ca="1" si="147"/>
        <v>6.0887274707054306</v>
      </c>
      <c r="I100" s="2580">
        <f t="shared" ca="1" si="147"/>
        <v>6.0887274707054306</v>
      </c>
      <c r="K100" s="2549">
        <f t="shared" si="136"/>
        <v>2028</v>
      </c>
      <c r="L100" s="2482">
        <f t="shared" ca="1" si="148"/>
        <v>6.0887274707054306</v>
      </c>
      <c r="M100" s="2482">
        <f t="shared" ca="1" si="148"/>
        <v>6.0887274707054306</v>
      </c>
      <c r="N100" s="2482">
        <f t="shared" ca="1" si="148"/>
        <v>6.0887274707054306</v>
      </c>
      <c r="O100" s="2482">
        <f t="shared" ca="1" si="148"/>
        <v>6.0887274707054306</v>
      </c>
      <c r="P100" s="2482">
        <f t="shared" ca="1" si="148"/>
        <v>6.0887274707054306</v>
      </c>
      <c r="Q100" s="2482">
        <f t="shared" ca="1" si="148"/>
        <v>6.0887274707054306</v>
      </c>
      <c r="R100" s="2580">
        <f t="shared" ca="1" si="148"/>
        <v>6.0887274707054306</v>
      </c>
      <c r="T100" s="2549">
        <f t="shared" si="138"/>
        <v>2028</v>
      </c>
      <c r="U100" s="2583">
        <f t="shared" ca="1" si="149"/>
        <v>6.0887274707054306</v>
      </c>
      <c r="V100" s="2583">
        <f t="shared" ca="1" si="149"/>
        <v>6.0887274707054306</v>
      </c>
      <c r="W100" s="2583">
        <f t="shared" ca="1" si="149"/>
        <v>6.0887274707054306</v>
      </c>
      <c r="X100" s="2583">
        <f t="shared" ca="1" si="149"/>
        <v>6.0887274707054306</v>
      </c>
      <c r="Y100" s="2583">
        <f t="shared" ca="1" si="149"/>
        <v>6.0887274707054306</v>
      </c>
      <c r="Z100" s="2583">
        <f t="shared" ca="1" si="149"/>
        <v>6.0887274707054306</v>
      </c>
      <c r="AA100" s="2580">
        <f t="shared" ca="1" si="149"/>
        <v>6.0887274707054306</v>
      </c>
      <c r="AC100" s="2549">
        <f t="shared" si="150"/>
        <v>2028</v>
      </c>
      <c r="AD100" s="2482">
        <f t="shared" ca="1" si="151"/>
        <v>6.0887274707054306</v>
      </c>
      <c r="AE100" s="2482">
        <f t="shared" ca="1" si="151"/>
        <v>6.0887274707054306</v>
      </c>
      <c r="AF100" s="2482">
        <f t="shared" ca="1" si="151"/>
        <v>6.0887274707054306</v>
      </c>
      <c r="AG100" s="2482">
        <f t="shared" ca="1" si="151"/>
        <v>6.0887274707054306</v>
      </c>
      <c r="AH100" s="2482">
        <f t="shared" ca="1" si="151"/>
        <v>6.0887274707054306</v>
      </c>
      <c r="AI100" s="2482">
        <f t="shared" ca="1" si="151"/>
        <v>6.0887274707054306</v>
      </c>
      <c r="AJ100" s="2580">
        <f t="shared" ca="1" si="151"/>
        <v>6.0887274707054306</v>
      </c>
      <c r="AL100" s="2549">
        <f t="shared" si="144"/>
        <v>2028</v>
      </c>
      <c r="AM100" s="2482">
        <f t="shared" ca="1" si="152"/>
        <v>6.0887274707054315</v>
      </c>
      <c r="AN100" s="2482">
        <f t="shared" ca="1" si="152"/>
        <v>6.0887274707054315</v>
      </c>
      <c r="AO100" s="2482">
        <f t="shared" ca="1" si="152"/>
        <v>6.0887274707054315</v>
      </c>
      <c r="AP100" s="2482">
        <f t="shared" ca="1" si="152"/>
        <v>6.0887274707054315</v>
      </c>
      <c r="AQ100" s="2482">
        <f t="shared" ca="1" si="152"/>
        <v>6.0887274707054315</v>
      </c>
      <c r="AR100" s="2482">
        <f t="shared" ca="1" si="152"/>
        <v>6.0887274707054315</v>
      </c>
      <c r="AS100" s="2580">
        <f t="shared" ca="1" si="152"/>
        <v>6.0887274707054315</v>
      </c>
    </row>
    <row r="101" spans="2:45">
      <c r="B101" s="2549">
        <f>B59</f>
        <v>2029</v>
      </c>
      <c r="C101" s="2482">
        <f t="shared" ca="1" si="147"/>
        <v>6.239049321139758</v>
      </c>
      <c r="D101" s="2482">
        <f t="shared" ca="1" si="147"/>
        <v>6.239049321139758</v>
      </c>
      <c r="E101" s="2482">
        <f t="shared" ca="1" si="147"/>
        <v>6.239049321139758</v>
      </c>
      <c r="F101" s="2482">
        <f t="shared" ca="1" si="147"/>
        <v>6.239049321139758</v>
      </c>
      <c r="G101" s="2482">
        <f t="shared" ca="1" si="147"/>
        <v>6.239049321139758</v>
      </c>
      <c r="H101" s="2482">
        <f t="shared" ca="1" si="147"/>
        <v>6.239049321139758</v>
      </c>
      <c r="I101" s="2580">
        <f t="shared" ca="1" si="147"/>
        <v>6.239049321139758</v>
      </c>
      <c r="K101" s="2549">
        <f>K59</f>
        <v>2029</v>
      </c>
      <c r="L101" s="2482">
        <f t="shared" ca="1" si="148"/>
        <v>6.239049321139758</v>
      </c>
      <c r="M101" s="2482">
        <f t="shared" ca="1" si="148"/>
        <v>6.239049321139758</v>
      </c>
      <c r="N101" s="2482">
        <f t="shared" ca="1" si="148"/>
        <v>6.239049321139758</v>
      </c>
      <c r="O101" s="2482">
        <f t="shared" ca="1" si="148"/>
        <v>6.239049321139758</v>
      </c>
      <c r="P101" s="2482">
        <f t="shared" ca="1" si="148"/>
        <v>6.239049321139758</v>
      </c>
      <c r="Q101" s="2482">
        <f t="shared" ca="1" si="148"/>
        <v>6.239049321139758</v>
      </c>
      <c r="R101" s="2580">
        <f t="shared" ca="1" si="148"/>
        <v>6.239049321139758</v>
      </c>
      <c r="T101" s="2549">
        <f t="shared" si="138"/>
        <v>2029</v>
      </c>
      <c r="U101" s="2583">
        <f t="shared" ca="1" si="149"/>
        <v>6.2390493211397571</v>
      </c>
      <c r="V101" s="2583">
        <f t="shared" ca="1" si="149"/>
        <v>6.2390493211397571</v>
      </c>
      <c r="W101" s="2583">
        <f t="shared" ca="1" si="149"/>
        <v>6.2390493211397571</v>
      </c>
      <c r="X101" s="2583">
        <f t="shared" ca="1" si="149"/>
        <v>6.2390493211397571</v>
      </c>
      <c r="Y101" s="2583">
        <f t="shared" ca="1" si="149"/>
        <v>6.2390493211397571</v>
      </c>
      <c r="Z101" s="2583">
        <f t="shared" ca="1" si="149"/>
        <v>6.2390493211397571</v>
      </c>
      <c r="AA101" s="2580">
        <f t="shared" ca="1" si="149"/>
        <v>6.2390493211397571</v>
      </c>
      <c r="AC101" s="2549">
        <f>AC59</f>
        <v>2029</v>
      </c>
      <c r="AD101" s="2482">
        <f t="shared" ca="1" si="151"/>
        <v>6.2390493211397571</v>
      </c>
      <c r="AE101" s="2482">
        <f t="shared" ca="1" si="151"/>
        <v>6.2390493211397571</v>
      </c>
      <c r="AF101" s="2482">
        <f t="shared" ca="1" si="151"/>
        <v>6.2390493211397571</v>
      </c>
      <c r="AG101" s="2482">
        <f t="shared" ca="1" si="151"/>
        <v>6.2390493211397571</v>
      </c>
      <c r="AH101" s="2482">
        <f t="shared" ca="1" si="151"/>
        <v>6.2390493211397571</v>
      </c>
      <c r="AI101" s="2482">
        <f t="shared" ca="1" si="151"/>
        <v>6.2390493211397571</v>
      </c>
      <c r="AJ101" s="2580">
        <f t="shared" ca="1" si="151"/>
        <v>6.2390493211397571</v>
      </c>
      <c r="AL101" s="2549">
        <f>AL59</f>
        <v>2029</v>
      </c>
      <c r="AM101" s="2482">
        <f t="shared" ca="1" si="152"/>
        <v>6.239049321139758</v>
      </c>
      <c r="AN101" s="2482">
        <f t="shared" ca="1" si="152"/>
        <v>6.239049321139758</v>
      </c>
      <c r="AO101" s="2482">
        <f t="shared" ca="1" si="152"/>
        <v>6.239049321139758</v>
      </c>
      <c r="AP101" s="2482">
        <f t="shared" ca="1" si="152"/>
        <v>6.239049321139758</v>
      </c>
      <c r="AQ101" s="2482">
        <f t="shared" ca="1" si="152"/>
        <v>6.239049321139758</v>
      </c>
      <c r="AR101" s="2482">
        <f t="shared" ca="1" si="152"/>
        <v>6.239049321139758</v>
      </c>
      <c r="AS101" s="2580">
        <f t="shared" ca="1" si="152"/>
        <v>6.239049321139758</v>
      </c>
    </row>
    <row r="102" spans="2:45">
      <c r="B102" s="2549"/>
      <c r="I102" s="2547"/>
      <c r="K102" s="2549"/>
      <c r="R102" s="2547"/>
      <c r="T102" s="2549"/>
      <c r="U102" s="2566"/>
      <c r="V102" s="2566"/>
      <c r="W102" s="2566"/>
      <c r="X102" s="2566"/>
      <c r="Y102" s="2566"/>
      <c r="Z102" s="2566"/>
      <c r="AA102" s="2547"/>
      <c r="AC102" s="2549"/>
      <c r="AD102" s="2554"/>
      <c r="AE102" s="2554"/>
      <c r="AF102" s="2554"/>
      <c r="AG102" s="2554"/>
      <c r="AH102" s="2554"/>
      <c r="AI102" s="2554"/>
      <c r="AJ102" s="2555"/>
      <c r="AL102" s="2549"/>
      <c r="AS102" s="2547"/>
    </row>
    <row r="103" spans="2:45">
      <c r="B103" s="2549" t="str">
        <f t="shared" ref="B103:B108" si="153">B89</f>
        <v>Value of semi finished goods</v>
      </c>
      <c r="C103" s="2554"/>
      <c r="D103" s="2554"/>
      <c r="E103" s="2554"/>
      <c r="F103" s="2554"/>
      <c r="G103" s="2554"/>
      <c r="H103" s="2554"/>
      <c r="I103" s="2555"/>
      <c r="K103" s="2549" t="str">
        <f t="shared" ref="K103:K115" si="154">K89</f>
        <v>Value of semi finished goods</v>
      </c>
      <c r="L103" s="2554"/>
      <c r="M103" s="2554"/>
      <c r="N103" s="2554"/>
      <c r="O103" s="2554"/>
      <c r="P103" s="2554"/>
      <c r="Q103" s="2554"/>
      <c r="R103" s="2555"/>
      <c r="T103" s="2549" t="str">
        <f t="shared" ref="T103:T115" si="155">T89</f>
        <v>Value of semi finished goods</v>
      </c>
      <c r="U103" s="2554"/>
      <c r="V103" s="2554"/>
      <c r="W103" s="2554"/>
      <c r="X103" s="2554"/>
      <c r="Y103" s="2554"/>
      <c r="Z103" s="2554"/>
      <c r="AA103" s="2555"/>
      <c r="AC103" s="2549" t="str">
        <f>AC89</f>
        <v>Value of semi finished goods</v>
      </c>
      <c r="AD103" s="2554"/>
      <c r="AE103" s="2554"/>
      <c r="AF103" s="2554"/>
      <c r="AG103" s="2554"/>
      <c r="AH103" s="2554"/>
      <c r="AI103" s="2554"/>
      <c r="AJ103" s="2555"/>
      <c r="AL103" s="2549" t="str">
        <f>AL89</f>
        <v>Value of semi finished goods</v>
      </c>
      <c r="AM103" s="2554"/>
      <c r="AN103" s="2554"/>
      <c r="AO103" s="2554"/>
      <c r="AP103" s="2554"/>
      <c r="AQ103" s="2554"/>
      <c r="AR103" s="2554"/>
      <c r="AS103" s="2555"/>
    </row>
    <row r="104" spans="2:45">
      <c r="B104" s="2549" t="str">
        <f t="shared" si="153"/>
        <v>2019/2020</v>
      </c>
      <c r="C104" s="2556">
        <f t="shared" ref="C104:I104" ca="1" si="156">C34*C90</f>
        <v>0</v>
      </c>
      <c r="D104" s="2556">
        <f t="shared" ca="1" si="156"/>
        <v>0</v>
      </c>
      <c r="E104" s="2556">
        <f t="shared" ca="1" si="156"/>
        <v>0</v>
      </c>
      <c r="F104" s="2556">
        <f t="shared" ca="1" si="156"/>
        <v>0</v>
      </c>
      <c r="G104" s="2556">
        <f t="shared" ca="1" si="156"/>
        <v>0</v>
      </c>
      <c r="H104" s="2556">
        <f t="shared" ca="1" si="156"/>
        <v>0</v>
      </c>
      <c r="I104" s="2557">
        <f t="shared" ca="1" si="156"/>
        <v>0</v>
      </c>
      <c r="K104" s="2549">
        <f t="shared" si="154"/>
        <v>2018</v>
      </c>
      <c r="L104" s="2556">
        <f ca="1">L34*L90</f>
        <v>0</v>
      </c>
      <c r="M104" s="2556">
        <f t="shared" ref="M104:R104" ca="1" si="157">M34*M90</f>
        <v>0</v>
      </c>
      <c r="N104" s="2556">
        <f t="shared" ca="1" si="157"/>
        <v>0</v>
      </c>
      <c r="O104" s="2556">
        <f t="shared" ca="1" si="157"/>
        <v>0</v>
      </c>
      <c r="P104" s="2556">
        <f t="shared" ca="1" si="157"/>
        <v>0</v>
      </c>
      <c r="Q104" s="2556">
        <f t="shared" ca="1" si="157"/>
        <v>0</v>
      </c>
      <c r="R104" s="2557">
        <f t="shared" ca="1" si="157"/>
        <v>0</v>
      </c>
      <c r="T104" s="2549" t="str">
        <f t="shared" si="155"/>
        <v>2019/2020</v>
      </c>
      <c r="U104" s="2556">
        <f t="shared" ref="U104:AA115" ca="1" si="158">U34*U90</f>
        <v>57353.704405967757</v>
      </c>
      <c r="V104" s="2556">
        <f t="shared" ca="1" si="158"/>
        <v>0</v>
      </c>
      <c r="W104" s="2556">
        <f t="shared" ca="1" si="158"/>
        <v>0</v>
      </c>
      <c r="X104" s="2556">
        <f t="shared" ca="1" si="158"/>
        <v>0</v>
      </c>
      <c r="Y104" s="2556">
        <f t="shared" ca="1" si="158"/>
        <v>0</v>
      </c>
      <c r="Z104" s="2556">
        <f t="shared" ca="1" si="158"/>
        <v>0</v>
      </c>
      <c r="AA104" s="2557">
        <f t="shared" ca="1" si="158"/>
        <v>0</v>
      </c>
      <c r="AC104" s="2549">
        <f>AC90</f>
        <v>2018</v>
      </c>
      <c r="AD104" s="2554">
        <f t="shared" ref="AD104:AJ115" ca="1" si="159">AD34*AD90</f>
        <v>0</v>
      </c>
      <c r="AE104" s="2554">
        <f t="shared" ca="1" si="159"/>
        <v>0</v>
      </c>
      <c r="AF104" s="2554">
        <f t="shared" ca="1" si="159"/>
        <v>0</v>
      </c>
      <c r="AG104" s="2554">
        <f t="shared" ca="1" si="159"/>
        <v>0</v>
      </c>
      <c r="AH104" s="2554">
        <f t="shared" ca="1" si="159"/>
        <v>0</v>
      </c>
      <c r="AI104" s="2554">
        <f t="shared" ca="1" si="159"/>
        <v>0</v>
      </c>
      <c r="AJ104" s="2555">
        <f t="shared" ca="1" si="159"/>
        <v>0</v>
      </c>
      <c r="AL104" s="2549">
        <f>AL90</f>
        <v>2018</v>
      </c>
      <c r="AM104" s="2556">
        <f t="shared" ref="AM104:AS104" ca="1" si="160">AM34*AM90</f>
        <v>0</v>
      </c>
      <c r="AN104" s="2556">
        <f t="shared" ca="1" si="160"/>
        <v>0</v>
      </c>
      <c r="AO104" s="2556">
        <f t="shared" ca="1" si="160"/>
        <v>0</v>
      </c>
      <c r="AP104" s="2556">
        <f t="shared" ca="1" si="160"/>
        <v>0</v>
      </c>
      <c r="AQ104" s="2556">
        <f t="shared" ca="1" si="160"/>
        <v>0</v>
      </c>
      <c r="AR104" s="2556">
        <f t="shared" ca="1" si="160"/>
        <v>0</v>
      </c>
      <c r="AS104" s="2557">
        <f t="shared" ca="1" si="160"/>
        <v>0</v>
      </c>
    </row>
    <row r="105" spans="2:45">
      <c r="B105" s="2549">
        <f t="shared" si="153"/>
        <v>2019</v>
      </c>
      <c r="C105" s="2556">
        <f t="shared" ref="C105:I105" ca="1" si="161">C35*C91</f>
        <v>0</v>
      </c>
      <c r="D105" s="2556">
        <f t="shared" ca="1" si="161"/>
        <v>0</v>
      </c>
      <c r="E105" s="2556">
        <f t="shared" ca="1" si="161"/>
        <v>0</v>
      </c>
      <c r="F105" s="2556">
        <f t="shared" ca="1" si="161"/>
        <v>0</v>
      </c>
      <c r="G105" s="2556">
        <f t="shared" ca="1" si="161"/>
        <v>0</v>
      </c>
      <c r="H105" s="2556">
        <f t="shared" ca="1" si="161"/>
        <v>0</v>
      </c>
      <c r="I105" s="2557">
        <f t="shared" ca="1" si="161"/>
        <v>0</v>
      </c>
      <c r="K105" s="2549">
        <f t="shared" si="154"/>
        <v>2019</v>
      </c>
      <c r="L105" s="2556">
        <f t="shared" ref="L105:L115" ca="1" si="162">L35*L91</f>
        <v>0</v>
      </c>
      <c r="M105" s="2556">
        <f t="shared" ref="M105:R105" ca="1" si="163">M35*M91</f>
        <v>0</v>
      </c>
      <c r="N105" s="2556">
        <f t="shared" ca="1" si="163"/>
        <v>0</v>
      </c>
      <c r="O105" s="2556">
        <f t="shared" ca="1" si="163"/>
        <v>0</v>
      </c>
      <c r="P105" s="2556">
        <f t="shared" ca="1" si="163"/>
        <v>0</v>
      </c>
      <c r="Q105" s="2556">
        <f t="shared" ca="1" si="163"/>
        <v>0</v>
      </c>
      <c r="R105" s="2557">
        <f t="shared" ca="1" si="163"/>
        <v>0</v>
      </c>
      <c r="T105" s="2549">
        <f t="shared" si="155"/>
        <v>2019</v>
      </c>
      <c r="U105" s="2556">
        <f ca="1">U35*U91</f>
        <v>137888.77930083222</v>
      </c>
      <c r="V105" s="2556">
        <f t="shared" ca="1" si="158"/>
        <v>0</v>
      </c>
      <c r="W105" s="2556">
        <f t="shared" ca="1" si="158"/>
        <v>0</v>
      </c>
      <c r="X105" s="2556">
        <f t="shared" ca="1" si="158"/>
        <v>0</v>
      </c>
      <c r="Y105" s="2556">
        <f t="shared" ca="1" si="158"/>
        <v>0</v>
      </c>
      <c r="Z105" s="2556">
        <f t="shared" ca="1" si="158"/>
        <v>0</v>
      </c>
      <c r="AA105" s="2557">
        <f t="shared" ca="1" si="158"/>
        <v>0</v>
      </c>
      <c r="AC105" s="2549">
        <f>AC91</f>
        <v>2019</v>
      </c>
      <c r="AD105" s="2556">
        <f t="shared" ca="1" si="159"/>
        <v>0</v>
      </c>
      <c r="AE105" s="2556">
        <f t="shared" ca="1" si="159"/>
        <v>0</v>
      </c>
      <c r="AF105" s="2556">
        <f t="shared" ca="1" si="159"/>
        <v>0</v>
      </c>
      <c r="AG105" s="2556">
        <f t="shared" ca="1" si="159"/>
        <v>0</v>
      </c>
      <c r="AH105" s="2556">
        <f t="shared" ca="1" si="159"/>
        <v>0</v>
      </c>
      <c r="AI105" s="2556">
        <f t="shared" ca="1" si="159"/>
        <v>0</v>
      </c>
      <c r="AJ105" s="2557">
        <f t="shared" ca="1" si="159"/>
        <v>0</v>
      </c>
      <c r="AL105" s="2549">
        <v>2019</v>
      </c>
      <c r="AM105" s="2556">
        <f t="shared" ref="AM105:AS105" ca="1" si="164">AM35*AM91</f>
        <v>0</v>
      </c>
      <c r="AN105" s="2556">
        <f t="shared" ca="1" si="164"/>
        <v>0</v>
      </c>
      <c r="AO105" s="2556">
        <f t="shared" ca="1" si="164"/>
        <v>0</v>
      </c>
      <c r="AP105" s="2556">
        <f t="shared" ca="1" si="164"/>
        <v>0</v>
      </c>
      <c r="AQ105" s="2556">
        <f t="shared" ca="1" si="164"/>
        <v>0</v>
      </c>
      <c r="AR105" s="2556">
        <f t="shared" ca="1" si="164"/>
        <v>0</v>
      </c>
      <c r="AS105" s="2557">
        <f t="shared" ca="1" si="164"/>
        <v>0</v>
      </c>
    </row>
    <row r="106" spans="2:45">
      <c r="B106" s="2549">
        <f t="shared" si="153"/>
        <v>2020</v>
      </c>
      <c r="C106" s="2556">
        <f t="shared" ref="C106:I106" ca="1" si="165">C36*C92</f>
        <v>0</v>
      </c>
      <c r="D106" s="2556">
        <f t="shared" ca="1" si="165"/>
        <v>0</v>
      </c>
      <c r="E106" s="2556">
        <f t="shared" ca="1" si="165"/>
        <v>0</v>
      </c>
      <c r="F106" s="2556">
        <f t="shared" ca="1" si="165"/>
        <v>0</v>
      </c>
      <c r="G106" s="2556">
        <f t="shared" ca="1" si="165"/>
        <v>0</v>
      </c>
      <c r="H106" s="2556">
        <f t="shared" ca="1" si="165"/>
        <v>0</v>
      </c>
      <c r="I106" s="2557">
        <f t="shared" ca="1" si="165"/>
        <v>0</v>
      </c>
      <c r="K106" s="2549">
        <f t="shared" si="154"/>
        <v>2020</v>
      </c>
      <c r="L106" s="2556">
        <f t="shared" ca="1" si="162"/>
        <v>0</v>
      </c>
      <c r="M106" s="2556">
        <f t="shared" ref="M106:R106" ca="1" si="166">M36*M92</f>
        <v>0</v>
      </c>
      <c r="N106" s="2556">
        <f t="shared" ca="1" si="166"/>
        <v>0</v>
      </c>
      <c r="O106" s="2556">
        <f t="shared" ca="1" si="166"/>
        <v>0</v>
      </c>
      <c r="P106" s="2556">
        <f t="shared" ca="1" si="166"/>
        <v>0</v>
      </c>
      <c r="Q106" s="2556">
        <f t="shared" ca="1" si="166"/>
        <v>0</v>
      </c>
      <c r="R106" s="2557">
        <f t="shared" ca="1" si="166"/>
        <v>0</v>
      </c>
      <c r="T106" s="2549">
        <f t="shared" si="155"/>
        <v>2020</v>
      </c>
      <c r="U106" s="2556">
        <f t="shared" ca="1" si="158"/>
        <v>109481.62752295677</v>
      </c>
      <c r="V106" s="2556">
        <f t="shared" ca="1" si="158"/>
        <v>0</v>
      </c>
      <c r="W106" s="2556">
        <f t="shared" ca="1" si="158"/>
        <v>0</v>
      </c>
      <c r="X106" s="2556">
        <f t="shared" ca="1" si="158"/>
        <v>0</v>
      </c>
      <c r="Y106" s="2556">
        <f t="shared" ca="1" si="158"/>
        <v>0</v>
      </c>
      <c r="Z106" s="2556">
        <f t="shared" ca="1" si="158"/>
        <v>0</v>
      </c>
      <c r="AA106" s="2557">
        <f t="shared" ca="1" si="158"/>
        <v>0</v>
      </c>
      <c r="AC106" s="2549">
        <f>AC92</f>
        <v>2020</v>
      </c>
      <c r="AD106" s="2556">
        <f ca="1">AD36*AD92</f>
        <v>73484.433770146192</v>
      </c>
      <c r="AE106" s="2556">
        <f t="shared" ca="1" si="159"/>
        <v>0</v>
      </c>
      <c r="AF106" s="2556">
        <f t="shared" ca="1" si="159"/>
        <v>0</v>
      </c>
      <c r="AG106" s="2556">
        <f t="shared" ca="1" si="159"/>
        <v>0</v>
      </c>
      <c r="AH106" s="2556">
        <f t="shared" ca="1" si="159"/>
        <v>0</v>
      </c>
      <c r="AI106" s="2556">
        <f t="shared" ca="1" si="159"/>
        <v>0</v>
      </c>
      <c r="AJ106" s="2557">
        <f t="shared" ca="1" si="159"/>
        <v>0</v>
      </c>
      <c r="AL106" s="2549">
        <f t="shared" ref="AL106:AL115" si="167">AL92</f>
        <v>2020</v>
      </c>
      <c r="AM106" s="2556">
        <f t="shared" ref="AM106:AS106" ca="1" si="168">AM36*AM92</f>
        <v>0</v>
      </c>
      <c r="AN106" s="2556">
        <f t="shared" ca="1" si="168"/>
        <v>0</v>
      </c>
      <c r="AO106" s="2556">
        <f t="shared" ca="1" si="168"/>
        <v>0</v>
      </c>
      <c r="AP106" s="2556">
        <f t="shared" ca="1" si="168"/>
        <v>0</v>
      </c>
      <c r="AQ106" s="2556">
        <f t="shared" ca="1" si="168"/>
        <v>0</v>
      </c>
      <c r="AR106" s="2556">
        <f t="shared" ca="1" si="168"/>
        <v>0</v>
      </c>
      <c r="AS106" s="2557">
        <f t="shared" ca="1" si="168"/>
        <v>0</v>
      </c>
    </row>
    <row r="107" spans="2:45">
      <c r="B107" s="2549">
        <f t="shared" si="153"/>
        <v>2021</v>
      </c>
      <c r="C107" s="2556">
        <f t="shared" ref="C107:I107" ca="1" si="169">C37*C93</f>
        <v>0</v>
      </c>
      <c r="D107" s="2556">
        <f t="shared" ca="1" si="169"/>
        <v>0</v>
      </c>
      <c r="E107" s="2556">
        <f t="shared" ca="1" si="169"/>
        <v>0</v>
      </c>
      <c r="F107" s="2556">
        <f t="shared" ca="1" si="169"/>
        <v>0</v>
      </c>
      <c r="G107" s="2556">
        <f t="shared" ca="1" si="169"/>
        <v>0</v>
      </c>
      <c r="H107" s="2556">
        <f t="shared" ca="1" si="169"/>
        <v>0</v>
      </c>
      <c r="I107" s="2557">
        <f t="shared" ca="1" si="169"/>
        <v>0</v>
      </c>
      <c r="K107" s="2549">
        <f t="shared" si="154"/>
        <v>2021</v>
      </c>
      <c r="L107" s="2556">
        <f t="shared" ca="1" si="162"/>
        <v>0</v>
      </c>
      <c r="M107" s="2556">
        <f t="shared" ref="M107:R107" ca="1" si="170">M37*M93</f>
        <v>0</v>
      </c>
      <c r="N107" s="2556">
        <f t="shared" ca="1" si="170"/>
        <v>0</v>
      </c>
      <c r="O107" s="2556">
        <f t="shared" ca="1" si="170"/>
        <v>0</v>
      </c>
      <c r="P107" s="2556">
        <f t="shared" ca="1" si="170"/>
        <v>0</v>
      </c>
      <c r="Q107" s="2556">
        <f t="shared" ca="1" si="170"/>
        <v>0</v>
      </c>
      <c r="R107" s="2557">
        <f t="shared" ca="1" si="170"/>
        <v>0</v>
      </c>
      <c r="T107" s="2549">
        <f t="shared" si="155"/>
        <v>2021</v>
      </c>
      <c r="U107" s="2556">
        <f ca="1">U37*U93</f>
        <v>0</v>
      </c>
      <c r="V107" s="2556">
        <f t="shared" ca="1" si="158"/>
        <v>0</v>
      </c>
      <c r="W107" s="2556">
        <f t="shared" ca="1" si="158"/>
        <v>0</v>
      </c>
      <c r="X107" s="2556">
        <f t="shared" ca="1" si="158"/>
        <v>0</v>
      </c>
      <c r="Y107" s="2556">
        <f t="shared" ca="1" si="158"/>
        <v>0</v>
      </c>
      <c r="Z107" s="2556">
        <f t="shared" ca="1" si="158"/>
        <v>0</v>
      </c>
      <c r="AA107" s="2557">
        <f t="shared" ca="1" si="158"/>
        <v>0</v>
      </c>
      <c r="AC107" s="2549">
        <f>AC93</f>
        <v>2021</v>
      </c>
      <c r="AD107" s="2556">
        <f ca="1">AD37*AD93</f>
        <v>150553.47406566536</v>
      </c>
      <c r="AE107" s="2556">
        <f t="shared" ca="1" si="159"/>
        <v>0</v>
      </c>
      <c r="AF107" s="2556">
        <f t="shared" ca="1" si="159"/>
        <v>0</v>
      </c>
      <c r="AG107" s="2556">
        <f t="shared" ca="1" si="159"/>
        <v>0</v>
      </c>
      <c r="AH107" s="2556">
        <f t="shared" ca="1" si="159"/>
        <v>0</v>
      </c>
      <c r="AI107" s="2556">
        <f t="shared" ca="1" si="159"/>
        <v>0</v>
      </c>
      <c r="AJ107" s="2557">
        <f t="shared" ca="1" si="159"/>
        <v>0</v>
      </c>
      <c r="AL107" s="2549">
        <f t="shared" si="167"/>
        <v>2021</v>
      </c>
      <c r="AM107" s="2556">
        <f t="shared" ref="AM107:AS115" ca="1" si="171">AM37*AM93</f>
        <v>0</v>
      </c>
      <c r="AN107" s="2556">
        <f t="shared" ca="1" si="171"/>
        <v>0</v>
      </c>
      <c r="AO107" s="2556">
        <f t="shared" ca="1" si="171"/>
        <v>0</v>
      </c>
      <c r="AP107" s="2556">
        <f t="shared" ca="1" si="171"/>
        <v>0</v>
      </c>
      <c r="AQ107" s="2556">
        <f t="shared" ca="1" si="171"/>
        <v>0</v>
      </c>
      <c r="AR107" s="2556">
        <f t="shared" ca="1" si="171"/>
        <v>0</v>
      </c>
      <c r="AS107" s="2557">
        <f t="shared" ca="1" si="171"/>
        <v>0</v>
      </c>
    </row>
    <row r="108" spans="2:45">
      <c r="B108" s="2549">
        <f t="shared" si="153"/>
        <v>2022</v>
      </c>
      <c r="C108" s="2556">
        <f t="shared" ref="C108:I108" ca="1" si="172">C38*C94</f>
        <v>0</v>
      </c>
      <c r="D108" s="2556">
        <f t="shared" ca="1" si="172"/>
        <v>0</v>
      </c>
      <c r="E108" s="2556">
        <f t="shared" ca="1" si="172"/>
        <v>0</v>
      </c>
      <c r="F108" s="2556">
        <f t="shared" ca="1" si="172"/>
        <v>0</v>
      </c>
      <c r="G108" s="2556">
        <f t="shared" ca="1" si="172"/>
        <v>0</v>
      </c>
      <c r="H108" s="2556">
        <f t="shared" ca="1" si="172"/>
        <v>0</v>
      </c>
      <c r="I108" s="2557">
        <f t="shared" ca="1" si="172"/>
        <v>0</v>
      </c>
      <c r="K108" s="2549">
        <f t="shared" si="154"/>
        <v>2022</v>
      </c>
      <c r="L108" s="2556">
        <f t="shared" ca="1" si="162"/>
        <v>0</v>
      </c>
      <c r="M108" s="2556">
        <f t="shared" ref="M108:R108" ca="1" si="173">M38*M94</f>
        <v>0</v>
      </c>
      <c r="N108" s="2556">
        <f t="shared" ca="1" si="173"/>
        <v>0</v>
      </c>
      <c r="O108" s="2556">
        <f t="shared" ca="1" si="173"/>
        <v>0</v>
      </c>
      <c r="P108" s="2556">
        <f t="shared" ca="1" si="173"/>
        <v>0</v>
      </c>
      <c r="Q108" s="2556">
        <f t="shared" ca="1" si="173"/>
        <v>0</v>
      </c>
      <c r="R108" s="2557">
        <f t="shared" ca="1" si="173"/>
        <v>0</v>
      </c>
      <c r="T108" s="2549">
        <f t="shared" si="155"/>
        <v>2022</v>
      </c>
      <c r="U108" s="2556">
        <f t="shared" ca="1" si="158"/>
        <v>0</v>
      </c>
      <c r="V108" s="2556">
        <f t="shared" ca="1" si="158"/>
        <v>0</v>
      </c>
      <c r="W108" s="2556">
        <f t="shared" ca="1" si="158"/>
        <v>0</v>
      </c>
      <c r="X108" s="2556">
        <f t="shared" ca="1" si="158"/>
        <v>0</v>
      </c>
      <c r="Y108" s="2556">
        <f t="shared" ca="1" si="158"/>
        <v>0</v>
      </c>
      <c r="Z108" s="2556">
        <f t="shared" ca="1" si="158"/>
        <v>0</v>
      </c>
      <c r="AA108" s="2557">
        <f t="shared" ca="1" si="158"/>
        <v>0</v>
      </c>
      <c r="AC108" s="2549">
        <v>2022</v>
      </c>
      <c r="AD108" s="2556">
        <f t="shared" ca="1" si="159"/>
        <v>0</v>
      </c>
      <c r="AE108" s="2556">
        <f t="shared" ca="1" si="159"/>
        <v>0</v>
      </c>
      <c r="AF108" s="2556">
        <f t="shared" ca="1" si="159"/>
        <v>0</v>
      </c>
      <c r="AG108" s="2556">
        <f t="shared" ca="1" si="159"/>
        <v>0</v>
      </c>
      <c r="AH108" s="2556">
        <f t="shared" ca="1" si="159"/>
        <v>0</v>
      </c>
      <c r="AI108" s="2556">
        <f t="shared" ca="1" si="159"/>
        <v>0</v>
      </c>
      <c r="AJ108" s="2557">
        <f t="shared" ca="1" si="159"/>
        <v>0</v>
      </c>
      <c r="AL108" s="2549">
        <f t="shared" si="167"/>
        <v>2022</v>
      </c>
      <c r="AM108" s="2556">
        <f t="shared" ca="1" si="171"/>
        <v>0</v>
      </c>
      <c r="AN108" s="2556">
        <f t="shared" ca="1" si="171"/>
        <v>0</v>
      </c>
      <c r="AO108" s="2556">
        <f t="shared" ca="1" si="171"/>
        <v>0</v>
      </c>
      <c r="AP108" s="2556">
        <f t="shared" ca="1" si="171"/>
        <v>0</v>
      </c>
      <c r="AQ108" s="2556">
        <f t="shared" ca="1" si="171"/>
        <v>0</v>
      </c>
      <c r="AR108" s="2556">
        <f t="shared" ca="1" si="171"/>
        <v>0</v>
      </c>
      <c r="AS108" s="2557">
        <f t="shared" ca="1" si="171"/>
        <v>0</v>
      </c>
    </row>
    <row r="109" spans="2:45">
      <c r="B109" s="2549">
        <f t="shared" ref="B109:B115" si="174">B95</f>
        <v>2023</v>
      </c>
      <c r="C109" s="2556">
        <f t="shared" ref="C109:I109" ca="1" si="175">C39*C95</f>
        <v>0</v>
      </c>
      <c r="D109" s="2556">
        <f t="shared" ca="1" si="175"/>
        <v>0</v>
      </c>
      <c r="E109" s="2556">
        <f t="shared" ca="1" si="175"/>
        <v>0</v>
      </c>
      <c r="F109" s="2556">
        <f t="shared" ca="1" si="175"/>
        <v>0</v>
      </c>
      <c r="G109" s="2556">
        <f t="shared" ca="1" si="175"/>
        <v>0</v>
      </c>
      <c r="H109" s="2556">
        <f t="shared" ca="1" si="175"/>
        <v>0</v>
      </c>
      <c r="I109" s="2557">
        <f t="shared" ca="1" si="175"/>
        <v>0</v>
      </c>
      <c r="K109" s="2549">
        <f t="shared" si="154"/>
        <v>2023</v>
      </c>
      <c r="L109" s="2556">
        <f t="shared" ca="1" si="162"/>
        <v>0</v>
      </c>
      <c r="M109" s="2556">
        <f t="shared" ref="M109:R109" ca="1" si="176">M39*M95</f>
        <v>0</v>
      </c>
      <c r="N109" s="2556">
        <f t="shared" ca="1" si="176"/>
        <v>0</v>
      </c>
      <c r="O109" s="2556">
        <f t="shared" ca="1" si="176"/>
        <v>0</v>
      </c>
      <c r="P109" s="2556">
        <f t="shared" ca="1" si="176"/>
        <v>0</v>
      </c>
      <c r="Q109" s="2556">
        <f t="shared" ca="1" si="176"/>
        <v>0</v>
      </c>
      <c r="R109" s="2557">
        <f t="shared" ca="1" si="176"/>
        <v>0</v>
      </c>
      <c r="T109" s="2549">
        <f t="shared" si="155"/>
        <v>2023</v>
      </c>
      <c r="U109" s="2556">
        <f t="shared" ca="1" si="158"/>
        <v>0</v>
      </c>
      <c r="V109" s="2556">
        <f ca="1">V39*V95</f>
        <v>0</v>
      </c>
      <c r="W109" s="2556">
        <f t="shared" ca="1" si="158"/>
        <v>0</v>
      </c>
      <c r="X109" s="2556">
        <f t="shared" ca="1" si="158"/>
        <v>0</v>
      </c>
      <c r="Y109" s="2556">
        <f t="shared" ca="1" si="158"/>
        <v>0</v>
      </c>
      <c r="Z109" s="2556">
        <f t="shared" ca="1" si="158"/>
        <v>0</v>
      </c>
      <c r="AA109" s="2557">
        <f t="shared" ca="1" si="158"/>
        <v>0</v>
      </c>
      <c r="AC109" s="2549">
        <f t="shared" ref="AC109:AC115" si="177">AC95</f>
        <v>2023</v>
      </c>
      <c r="AD109" s="2556">
        <f t="shared" ca="1" si="159"/>
        <v>0</v>
      </c>
      <c r="AE109" s="2556">
        <f ca="1">AE39*AE95</f>
        <v>213982.78038355874</v>
      </c>
      <c r="AF109" s="2556">
        <f t="shared" ca="1" si="159"/>
        <v>0</v>
      </c>
      <c r="AG109" s="2556">
        <f t="shared" ca="1" si="159"/>
        <v>0</v>
      </c>
      <c r="AH109" s="2556">
        <f t="shared" ca="1" si="159"/>
        <v>0</v>
      </c>
      <c r="AI109" s="2556">
        <f t="shared" ca="1" si="159"/>
        <v>0</v>
      </c>
      <c r="AJ109" s="2557">
        <f t="shared" ca="1" si="159"/>
        <v>0</v>
      </c>
      <c r="AL109" s="2549">
        <f t="shared" si="167"/>
        <v>2023</v>
      </c>
      <c r="AM109" s="2556">
        <f t="shared" ca="1" si="171"/>
        <v>0</v>
      </c>
      <c r="AN109" s="2556">
        <f t="shared" ca="1" si="171"/>
        <v>29206.487217512647</v>
      </c>
      <c r="AO109" s="2556">
        <f t="shared" ca="1" si="171"/>
        <v>29206.487217512647</v>
      </c>
      <c r="AP109" s="2556">
        <f t="shared" ca="1" si="171"/>
        <v>0</v>
      </c>
      <c r="AQ109" s="2556">
        <f t="shared" ca="1" si="171"/>
        <v>0</v>
      </c>
      <c r="AR109" s="2556">
        <f t="shared" ca="1" si="171"/>
        <v>0</v>
      </c>
      <c r="AS109" s="2557">
        <f t="shared" ca="1" si="171"/>
        <v>0</v>
      </c>
    </row>
    <row r="110" spans="2:45">
      <c r="B110" s="2549">
        <f t="shared" si="174"/>
        <v>2024</v>
      </c>
      <c r="C110" s="2556">
        <f t="shared" ref="C110:I110" ca="1" si="178">C40*C96</f>
        <v>0</v>
      </c>
      <c r="D110" s="2556">
        <f t="shared" ca="1" si="178"/>
        <v>0</v>
      </c>
      <c r="E110" s="2556">
        <f t="shared" ca="1" si="178"/>
        <v>0</v>
      </c>
      <c r="F110" s="2556">
        <f t="shared" ca="1" si="178"/>
        <v>0</v>
      </c>
      <c r="G110" s="2556">
        <f t="shared" ca="1" si="178"/>
        <v>0</v>
      </c>
      <c r="H110" s="2556">
        <f t="shared" ca="1" si="178"/>
        <v>0</v>
      </c>
      <c r="I110" s="2557">
        <f t="shared" ca="1" si="178"/>
        <v>0</v>
      </c>
      <c r="K110" s="2549">
        <f t="shared" si="154"/>
        <v>2024</v>
      </c>
      <c r="L110" s="2556">
        <f t="shared" ca="1" si="162"/>
        <v>0</v>
      </c>
      <c r="M110" s="2556">
        <f t="shared" ref="M110:R110" ca="1" si="179">M40*M96</f>
        <v>0</v>
      </c>
      <c r="N110" s="2556">
        <f t="shared" ca="1" si="179"/>
        <v>0</v>
      </c>
      <c r="O110" s="2556">
        <f t="shared" ca="1" si="179"/>
        <v>0</v>
      </c>
      <c r="P110" s="2556">
        <f t="shared" ca="1" si="179"/>
        <v>0</v>
      </c>
      <c r="Q110" s="2556">
        <f t="shared" ca="1" si="179"/>
        <v>0</v>
      </c>
      <c r="R110" s="2557">
        <f t="shared" ca="1" si="179"/>
        <v>0</v>
      </c>
      <c r="T110" s="2549">
        <f t="shared" si="155"/>
        <v>2024</v>
      </c>
      <c r="U110" s="2556">
        <f t="shared" ca="1" si="158"/>
        <v>0</v>
      </c>
      <c r="V110" s="2556">
        <f t="shared" ca="1" si="158"/>
        <v>0</v>
      </c>
      <c r="W110" s="2556">
        <f t="shared" ca="1" si="158"/>
        <v>0</v>
      </c>
      <c r="X110" s="2556">
        <f t="shared" ca="1" si="158"/>
        <v>0</v>
      </c>
      <c r="Y110" s="2556">
        <f t="shared" ca="1" si="158"/>
        <v>0</v>
      </c>
      <c r="Z110" s="2556">
        <f t="shared" ca="1" si="158"/>
        <v>0</v>
      </c>
      <c r="AA110" s="2557">
        <f t="shared" ca="1" si="158"/>
        <v>0</v>
      </c>
      <c r="AC110" s="2549">
        <f t="shared" si="177"/>
        <v>2024</v>
      </c>
      <c r="AD110" s="2556">
        <f t="shared" ca="1" si="159"/>
        <v>0</v>
      </c>
      <c r="AE110" s="2556">
        <f t="shared" ca="1" si="159"/>
        <v>0</v>
      </c>
      <c r="AF110" s="2556">
        <f t="shared" ca="1" si="159"/>
        <v>260855.43119024066</v>
      </c>
      <c r="AG110" s="2556">
        <f t="shared" ca="1" si="159"/>
        <v>0</v>
      </c>
      <c r="AH110" s="2556">
        <f t="shared" ca="1" si="159"/>
        <v>0</v>
      </c>
      <c r="AI110" s="2556">
        <f t="shared" ca="1" si="159"/>
        <v>0</v>
      </c>
      <c r="AJ110" s="2557">
        <f t="shared" ca="1" si="159"/>
        <v>0</v>
      </c>
      <c r="AL110" s="2549">
        <f t="shared" si="167"/>
        <v>2024</v>
      </c>
      <c r="AM110" s="2556">
        <f t="shared" ca="1" si="171"/>
        <v>0</v>
      </c>
      <c r="AN110" s="2556">
        <f t="shared" ca="1" si="171"/>
        <v>0</v>
      </c>
      <c r="AO110" s="2556">
        <f t="shared" ca="1" si="171"/>
        <v>32342.439614818897</v>
      </c>
      <c r="AP110" s="2556">
        <f t="shared" ca="1" si="171"/>
        <v>32342.439614818897</v>
      </c>
      <c r="AQ110" s="2556">
        <f t="shared" ca="1" si="171"/>
        <v>0</v>
      </c>
      <c r="AR110" s="2556">
        <f t="shared" ca="1" si="171"/>
        <v>0</v>
      </c>
      <c r="AS110" s="2557">
        <f t="shared" ca="1" si="171"/>
        <v>0</v>
      </c>
    </row>
    <row r="111" spans="2:45">
      <c r="B111" s="2549">
        <f t="shared" si="174"/>
        <v>2025</v>
      </c>
      <c r="C111" s="2556">
        <f t="shared" ref="C111:I111" ca="1" si="180">C41*C97</f>
        <v>0</v>
      </c>
      <c r="D111" s="2556">
        <f t="shared" ca="1" si="180"/>
        <v>0</v>
      </c>
      <c r="E111" s="2556">
        <f t="shared" ca="1" si="180"/>
        <v>0</v>
      </c>
      <c r="F111" s="2556">
        <f t="shared" ca="1" si="180"/>
        <v>0</v>
      </c>
      <c r="G111" s="2556">
        <f t="shared" ca="1" si="180"/>
        <v>0</v>
      </c>
      <c r="H111" s="2556">
        <f t="shared" ca="1" si="180"/>
        <v>0</v>
      </c>
      <c r="I111" s="2557">
        <f t="shared" ca="1" si="180"/>
        <v>0</v>
      </c>
      <c r="K111" s="2549">
        <f t="shared" si="154"/>
        <v>2025</v>
      </c>
      <c r="L111" s="2556">
        <f t="shared" ca="1" si="162"/>
        <v>0</v>
      </c>
      <c r="M111" s="2556">
        <f t="shared" ref="M111:R111" ca="1" si="181">M41*M97</f>
        <v>0</v>
      </c>
      <c r="N111" s="2556">
        <f t="shared" ca="1" si="181"/>
        <v>0</v>
      </c>
      <c r="O111" s="2556">
        <f t="shared" ca="1" si="181"/>
        <v>0</v>
      </c>
      <c r="P111" s="2556">
        <f t="shared" ca="1" si="181"/>
        <v>0</v>
      </c>
      <c r="Q111" s="2556">
        <f t="shared" ca="1" si="181"/>
        <v>0</v>
      </c>
      <c r="R111" s="2557">
        <f t="shared" ca="1" si="181"/>
        <v>0</v>
      </c>
      <c r="T111" s="2549">
        <f t="shared" si="155"/>
        <v>2025</v>
      </c>
      <c r="U111" s="2556">
        <f t="shared" ca="1" si="158"/>
        <v>0</v>
      </c>
      <c r="V111" s="2556">
        <f t="shared" ca="1" si="158"/>
        <v>0</v>
      </c>
      <c r="W111" s="2556">
        <f t="shared" ca="1" si="158"/>
        <v>0</v>
      </c>
      <c r="X111" s="2556">
        <f t="shared" ca="1" si="158"/>
        <v>0</v>
      </c>
      <c r="Y111" s="2556">
        <f t="shared" ca="1" si="158"/>
        <v>0</v>
      </c>
      <c r="Z111" s="2556">
        <f t="shared" ca="1" si="158"/>
        <v>0</v>
      </c>
      <c r="AA111" s="2557">
        <f t="shared" ca="1" si="158"/>
        <v>0</v>
      </c>
      <c r="AC111" s="2549">
        <f t="shared" si="177"/>
        <v>2025</v>
      </c>
      <c r="AD111" s="2556">
        <f t="shared" ca="1" si="159"/>
        <v>0</v>
      </c>
      <c r="AE111" s="2556">
        <f t="shared" ca="1" si="159"/>
        <v>0</v>
      </c>
      <c r="AF111" s="2556">
        <f t="shared" ca="1" si="159"/>
        <v>0</v>
      </c>
      <c r="AG111" s="2556">
        <f t="shared" ca="1" si="159"/>
        <v>289945.13302731473</v>
      </c>
      <c r="AH111" s="2556">
        <f t="shared" ca="1" si="159"/>
        <v>0</v>
      </c>
      <c r="AI111" s="2556">
        <f t="shared" ca="1" si="159"/>
        <v>0</v>
      </c>
      <c r="AJ111" s="2557">
        <f t="shared" ca="1" si="159"/>
        <v>0</v>
      </c>
      <c r="AL111" s="2549">
        <f t="shared" si="167"/>
        <v>2025</v>
      </c>
      <c r="AM111" s="2556">
        <f t="shared" ca="1" si="171"/>
        <v>0</v>
      </c>
      <c r="AN111" s="2556">
        <f t="shared" ca="1" si="171"/>
        <v>0</v>
      </c>
      <c r="AO111" s="2556">
        <f t="shared" ca="1" si="171"/>
        <v>0</v>
      </c>
      <c r="AP111" s="2556">
        <f t="shared" ca="1" si="171"/>
        <v>35867.970898328378</v>
      </c>
      <c r="AQ111" s="2556">
        <f t="shared" ca="1" si="171"/>
        <v>35867.970898328378</v>
      </c>
      <c r="AR111" s="2556">
        <f t="shared" ca="1" si="171"/>
        <v>0</v>
      </c>
      <c r="AS111" s="2557">
        <f t="shared" ca="1" si="171"/>
        <v>0</v>
      </c>
    </row>
    <row r="112" spans="2:45">
      <c r="B112" s="2549">
        <f t="shared" si="174"/>
        <v>2026</v>
      </c>
      <c r="C112" s="2556">
        <f t="shared" ref="C112:I112" ca="1" si="182">C42*C98</f>
        <v>0</v>
      </c>
      <c r="D112" s="2556">
        <f t="shared" ca="1" si="182"/>
        <v>0</v>
      </c>
      <c r="E112" s="2556">
        <f t="shared" ca="1" si="182"/>
        <v>0</v>
      </c>
      <c r="F112" s="2556">
        <f t="shared" ca="1" si="182"/>
        <v>0</v>
      </c>
      <c r="G112" s="2556">
        <f t="shared" ca="1" si="182"/>
        <v>0</v>
      </c>
      <c r="H112" s="2556">
        <f t="shared" ca="1" si="182"/>
        <v>0</v>
      </c>
      <c r="I112" s="2557">
        <f t="shared" ca="1" si="182"/>
        <v>0</v>
      </c>
      <c r="K112" s="2549">
        <f t="shared" si="154"/>
        <v>2026</v>
      </c>
      <c r="L112" s="2556">
        <f t="shared" ca="1" si="162"/>
        <v>0</v>
      </c>
      <c r="M112" s="2556">
        <f t="shared" ref="M112:R112" ca="1" si="183">M42*M98</f>
        <v>0</v>
      </c>
      <c r="N112" s="2556">
        <f t="shared" ca="1" si="183"/>
        <v>0</v>
      </c>
      <c r="O112" s="2556">
        <f t="shared" ca="1" si="183"/>
        <v>0</v>
      </c>
      <c r="P112" s="2556">
        <f t="shared" ca="1" si="183"/>
        <v>0</v>
      </c>
      <c r="Q112" s="2556">
        <f t="shared" ca="1" si="183"/>
        <v>0</v>
      </c>
      <c r="R112" s="2557">
        <f t="shared" ca="1" si="183"/>
        <v>0</v>
      </c>
      <c r="T112" s="2549">
        <f t="shared" si="155"/>
        <v>2026</v>
      </c>
      <c r="U112" s="2556">
        <f t="shared" ca="1" si="158"/>
        <v>0</v>
      </c>
      <c r="V112" s="2556">
        <f t="shared" ca="1" si="158"/>
        <v>0</v>
      </c>
      <c r="W112" s="2556">
        <f t="shared" ca="1" si="158"/>
        <v>0</v>
      </c>
      <c r="X112" s="2556">
        <f t="shared" ca="1" si="158"/>
        <v>0</v>
      </c>
      <c r="Y112" s="2556">
        <f t="shared" ca="1" si="158"/>
        <v>0</v>
      </c>
      <c r="Z112" s="2556">
        <f t="shared" ca="1" si="158"/>
        <v>0</v>
      </c>
      <c r="AA112" s="2557">
        <f t="shared" ca="1" si="158"/>
        <v>0</v>
      </c>
      <c r="AC112" s="2549">
        <f t="shared" si="177"/>
        <v>2026</v>
      </c>
      <c r="AD112" s="2556">
        <f t="shared" ca="1" si="159"/>
        <v>0</v>
      </c>
      <c r="AE112" s="2556">
        <f t="shared" ca="1" si="159"/>
        <v>0</v>
      </c>
      <c r="AF112" s="2556">
        <f t="shared" ca="1" si="159"/>
        <v>0</v>
      </c>
      <c r="AG112" s="2556">
        <f t="shared" ca="1" si="159"/>
        <v>0</v>
      </c>
      <c r="AH112" s="2556">
        <f t="shared" ca="1" si="159"/>
        <v>304472.45645372727</v>
      </c>
      <c r="AI112" s="2556">
        <f t="shared" ca="1" si="159"/>
        <v>0</v>
      </c>
      <c r="AJ112" s="2557">
        <f t="shared" ca="1" si="159"/>
        <v>0</v>
      </c>
      <c r="AL112" s="2549">
        <f t="shared" si="167"/>
        <v>2026</v>
      </c>
      <c r="AM112" s="2556">
        <f t="shared" ca="1" si="171"/>
        <v>0</v>
      </c>
      <c r="AN112" s="2556">
        <f t="shared" ca="1" si="171"/>
        <v>0</v>
      </c>
      <c r="AO112" s="2556">
        <f t="shared" ca="1" si="171"/>
        <v>0</v>
      </c>
      <c r="AP112" s="2556">
        <f t="shared" ca="1" si="171"/>
        <v>0</v>
      </c>
      <c r="AQ112" s="2556">
        <f t="shared" ca="1" si="171"/>
        <v>37629.418485502138</v>
      </c>
      <c r="AR112" s="2556">
        <f t="shared" ca="1" si="171"/>
        <v>37629.418485502138</v>
      </c>
      <c r="AS112" s="2557">
        <f ca="1">AS42*AS98</f>
        <v>0</v>
      </c>
    </row>
    <row r="113" spans="2:48">
      <c r="B113" s="2549">
        <f t="shared" si="174"/>
        <v>2027</v>
      </c>
      <c r="C113" s="2556">
        <f t="shared" ref="C113:I113" ca="1" si="184">C43*C99</f>
        <v>0</v>
      </c>
      <c r="D113" s="2556">
        <f t="shared" ca="1" si="184"/>
        <v>0</v>
      </c>
      <c r="E113" s="2556">
        <f t="shared" ca="1" si="184"/>
        <v>0</v>
      </c>
      <c r="F113" s="2556">
        <f t="shared" ca="1" si="184"/>
        <v>0</v>
      </c>
      <c r="G113" s="2556">
        <f t="shared" ca="1" si="184"/>
        <v>0</v>
      </c>
      <c r="H113" s="2556">
        <f t="shared" ca="1" si="184"/>
        <v>0</v>
      </c>
      <c r="I113" s="2557">
        <f t="shared" ca="1" si="184"/>
        <v>0</v>
      </c>
      <c r="K113" s="2549">
        <f t="shared" si="154"/>
        <v>2027</v>
      </c>
      <c r="L113" s="2556">
        <f t="shared" ca="1" si="162"/>
        <v>0</v>
      </c>
      <c r="M113" s="2556">
        <f t="shared" ref="M113:R113" ca="1" si="185">M43*M99</f>
        <v>0</v>
      </c>
      <c r="N113" s="2556">
        <f t="shared" ca="1" si="185"/>
        <v>0</v>
      </c>
      <c r="O113" s="2556">
        <f t="shared" ca="1" si="185"/>
        <v>0</v>
      </c>
      <c r="P113" s="2556">
        <f t="shared" ca="1" si="185"/>
        <v>0</v>
      </c>
      <c r="Q113" s="2556">
        <f t="shared" ca="1" si="185"/>
        <v>0</v>
      </c>
      <c r="R113" s="2557">
        <f t="shared" ca="1" si="185"/>
        <v>0</v>
      </c>
      <c r="T113" s="2549">
        <f t="shared" si="155"/>
        <v>2027</v>
      </c>
      <c r="U113" s="2556">
        <f t="shared" ca="1" si="158"/>
        <v>0</v>
      </c>
      <c r="V113" s="2556">
        <f t="shared" ca="1" si="158"/>
        <v>0</v>
      </c>
      <c r="W113" s="2556">
        <f t="shared" ca="1" si="158"/>
        <v>0</v>
      </c>
      <c r="X113" s="2556">
        <f t="shared" ca="1" si="158"/>
        <v>0</v>
      </c>
      <c r="Y113" s="2556">
        <f t="shared" ca="1" si="158"/>
        <v>0</v>
      </c>
      <c r="Z113" s="2556">
        <f t="shared" ca="1" si="158"/>
        <v>0</v>
      </c>
      <c r="AA113" s="2557">
        <f t="shared" ca="1" si="158"/>
        <v>0</v>
      </c>
      <c r="AC113" s="2549">
        <f t="shared" si="177"/>
        <v>2027</v>
      </c>
      <c r="AD113" s="2556">
        <f t="shared" ca="1" si="159"/>
        <v>0</v>
      </c>
      <c r="AE113" s="2556">
        <f t="shared" ca="1" si="159"/>
        <v>0</v>
      </c>
      <c r="AF113" s="2556">
        <f t="shared" ca="1" si="159"/>
        <v>0</v>
      </c>
      <c r="AG113" s="2556">
        <f t="shared" ca="1" si="159"/>
        <v>0</v>
      </c>
      <c r="AH113" s="2556">
        <f t="shared" ca="1" si="159"/>
        <v>0</v>
      </c>
      <c r="AI113" s="2556">
        <f t="shared" ca="1" si="159"/>
        <v>311253.98651632172</v>
      </c>
      <c r="AJ113" s="2557">
        <f ca="1">AJ43*AJ99</f>
        <v>0</v>
      </c>
      <c r="AL113" s="2549">
        <f t="shared" si="167"/>
        <v>2027</v>
      </c>
      <c r="AM113" s="2556">
        <f t="shared" ca="1" si="171"/>
        <v>0</v>
      </c>
      <c r="AN113" s="2556">
        <f t="shared" ca="1" si="171"/>
        <v>0</v>
      </c>
      <c r="AO113" s="2556">
        <f t="shared" ca="1" si="171"/>
        <v>0</v>
      </c>
      <c r="AP113" s="2556">
        <f t="shared" ca="1" si="171"/>
        <v>0</v>
      </c>
      <c r="AQ113" s="2556">
        <f t="shared" ca="1" si="171"/>
        <v>0</v>
      </c>
      <c r="AR113" s="2556">
        <f t="shared" ca="1" si="171"/>
        <v>38467.540382206978</v>
      </c>
      <c r="AS113" s="2557">
        <f ca="1">AS43*AS99</f>
        <v>38467.540382206978</v>
      </c>
    </row>
    <row r="114" spans="2:48">
      <c r="B114" s="2549">
        <f t="shared" si="174"/>
        <v>2028</v>
      </c>
      <c r="C114" s="2556">
        <f t="shared" ref="C114:I114" ca="1" si="186">C44*C100</f>
        <v>0</v>
      </c>
      <c r="D114" s="2556">
        <f t="shared" ca="1" si="186"/>
        <v>0</v>
      </c>
      <c r="E114" s="2556">
        <f t="shared" ca="1" si="186"/>
        <v>0</v>
      </c>
      <c r="F114" s="2556">
        <f t="shared" ca="1" si="186"/>
        <v>0</v>
      </c>
      <c r="G114" s="2556">
        <f t="shared" ca="1" si="186"/>
        <v>0</v>
      </c>
      <c r="H114" s="2556">
        <f t="shared" ca="1" si="186"/>
        <v>0</v>
      </c>
      <c r="I114" s="2557">
        <f t="shared" ca="1" si="186"/>
        <v>0</v>
      </c>
      <c r="K114" s="2549">
        <f t="shared" si="154"/>
        <v>2028</v>
      </c>
      <c r="L114" s="2556">
        <f t="shared" ca="1" si="162"/>
        <v>0</v>
      </c>
      <c r="M114" s="2556">
        <f t="shared" ref="M114:R114" ca="1" si="187">M44*M100</f>
        <v>0</v>
      </c>
      <c r="N114" s="2556">
        <f t="shared" ca="1" si="187"/>
        <v>0</v>
      </c>
      <c r="O114" s="2556">
        <f t="shared" ca="1" si="187"/>
        <v>0</v>
      </c>
      <c r="P114" s="2556">
        <f t="shared" ca="1" si="187"/>
        <v>0</v>
      </c>
      <c r="Q114" s="2556">
        <f t="shared" ca="1" si="187"/>
        <v>0</v>
      </c>
      <c r="R114" s="2557">
        <f t="shared" ca="1" si="187"/>
        <v>0</v>
      </c>
      <c r="T114" s="2549">
        <f t="shared" si="155"/>
        <v>2028</v>
      </c>
      <c r="U114" s="2556">
        <f t="shared" ca="1" si="158"/>
        <v>0</v>
      </c>
      <c r="V114" s="2556">
        <f t="shared" ca="1" si="158"/>
        <v>0</v>
      </c>
      <c r="W114" s="2556">
        <f t="shared" ca="1" si="158"/>
        <v>0</v>
      </c>
      <c r="X114" s="2556">
        <f t="shared" ca="1" si="158"/>
        <v>0</v>
      </c>
      <c r="Y114" s="2556">
        <f t="shared" ca="1" si="158"/>
        <v>0</v>
      </c>
      <c r="Z114" s="2556">
        <f t="shared" ca="1" si="158"/>
        <v>0</v>
      </c>
      <c r="AA114" s="2557">
        <f t="shared" ca="1" si="158"/>
        <v>0</v>
      </c>
      <c r="AC114" s="2549">
        <f t="shared" si="177"/>
        <v>2028</v>
      </c>
      <c r="AD114" s="2556">
        <f t="shared" ca="1" si="159"/>
        <v>0</v>
      </c>
      <c r="AE114" s="2556">
        <f t="shared" ca="1" si="159"/>
        <v>0</v>
      </c>
      <c r="AF114" s="2556">
        <f t="shared" ca="1" si="159"/>
        <v>0</v>
      </c>
      <c r="AG114" s="2556">
        <f t="shared" ca="1" si="159"/>
        <v>0</v>
      </c>
      <c r="AH114" s="2556">
        <f t="shared" ca="1" si="159"/>
        <v>0</v>
      </c>
      <c r="AI114" s="2556">
        <f t="shared" ca="1" si="159"/>
        <v>0</v>
      </c>
      <c r="AJ114" s="2557">
        <f t="shared" ca="1" si="159"/>
        <v>321460.45554336393</v>
      </c>
      <c r="AL114" s="2549">
        <f t="shared" si="167"/>
        <v>2028</v>
      </c>
      <c r="AM114" s="2556">
        <f t="shared" ca="1" si="171"/>
        <v>0</v>
      </c>
      <c r="AN114" s="2556">
        <f t="shared" ca="1" si="171"/>
        <v>0</v>
      </c>
      <c r="AO114" s="2556">
        <f t="shared" ca="1" si="171"/>
        <v>0</v>
      </c>
      <c r="AP114" s="2556">
        <f t="shared" ca="1" si="171"/>
        <v>0</v>
      </c>
      <c r="AQ114" s="2556">
        <f t="shared" ca="1" si="171"/>
        <v>0</v>
      </c>
      <c r="AR114" s="2556">
        <f t="shared" ca="1" si="171"/>
        <v>0</v>
      </c>
      <c r="AS114" s="2557">
        <f ca="1">AS44*AS100</f>
        <v>39728.946746352944</v>
      </c>
    </row>
    <row r="115" spans="2:48">
      <c r="B115" s="2549">
        <f t="shared" si="174"/>
        <v>2029</v>
      </c>
      <c r="C115" s="2556">
        <f t="shared" ref="C115:I115" ca="1" si="188">C45*C101</f>
        <v>0</v>
      </c>
      <c r="D115" s="2556">
        <f t="shared" ca="1" si="188"/>
        <v>0</v>
      </c>
      <c r="E115" s="2556">
        <f t="shared" ca="1" si="188"/>
        <v>0</v>
      </c>
      <c r="F115" s="2556">
        <f t="shared" ca="1" si="188"/>
        <v>0</v>
      </c>
      <c r="G115" s="2556">
        <f t="shared" ca="1" si="188"/>
        <v>0</v>
      </c>
      <c r="H115" s="2556">
        <f t="shared" ca="1" si="188"/>
        <v>0</v>
      </c>
      <c r="I115" s="2557">
        <f t="shared" ca="1" si="188"/>
        <v>0</v>
      </c>
      <c r="K115" s="2549">
        <f t="shared" si="154"/>
        <v>2029</v>
      </c>
      <c r="L115" s="2556">
        <f t="shared" ca="1" si="162"/>
        <v>0</v>
      </c>
      <c r="M115" s="2556">
        <f t="shared" ref="M115:R115" ca="1" si="189">M45*M101</f>
        <v>0</v>
      </c>
      <c r="N115" s="2556">
        <f t="shared" ca="1" si="189"/>
        <v>0</v>
      </c>
      <c r="O115" s="2556">
        <f t="shared" ca="1" si="189"/>
        <v>0</v>
      </c>
      <c r="P115" s="2556">
        <f t="shared" ca="1" si="189"/>
        <v>0</v>
      </c>
      <c r="Q115" s="2556">
        <f t="shared" ca="1" si="189"/>
        <v>0</v>
      </c>
      <c r="R115" s="2557">
        <f t="shared" ca="1" si="189"/>
        <v>0</v>
      </c>
      <c r="T115" s="2549">
        <f t="shared" si="155"/>
        <v>2029</v>
      </c>
      <c r="U115" s="2556">
        <f t="shared" ca="1" si="158"/>
        <v>0</v>
      </c>
      <c r="V115" s="2556">
        <f t="shared" ca="1" si="158"/>
        <v>0</v>
      </c>
      <c r="W115" s="2556">
        <f t="shared" ca="1" si="158"/>
        <v>0</v>
      </c>
      <c r="X115" s="2556">
        <f t="shared" ca="1" si="158"/>
        <v>0</v>
      </c>
      <c r="Y115" s="2556">
        <f t="shared" ca="1" si="158"/>
        <v>0</v>
      </c>
      <c r="Z115" s="2556">
        <f t="shared" ca="1" si="158"/>
        <v>0</v>
      </c>
      <c r="AA115" s="2557">
        <f t="shared" ca="1" si="158"/>
        <v>0</v>
      </c>
      <c r="AC115" s="2549">
        <f t="shared" si="177"/>
        <v>2029</v>
      </c>
      <c r="AD115" s="2556">
        <f t="shared" ca="1" si="159"/>
        <v>0</v>
      </c>
      <c r="AE115" s="2556">
        <f t="shared" ca="1" si="159"/>
        <v>0</v>
      </c>
      <c r="AF115" s="2556">
        <f t="shared" ca="1" si="159"/>
        <v>0</v>
      </c>
      <c r="AG115" s="2556">
        <f t="shared" ca="1" si="159"/>
        <v>0</v>
      </c>
      <c r="AH115" s="2556">
        <f t="shared" ca="1" si="159"/>
        <v>0</v>
      </c>
      <c r="AI115" s="2556">
        <f t="shared" ca="1" si="159"/>
        <v>0</v>
      </c>
      <c r="AJ115" s="2557">
        <f t="shared" ca="1" si="159"/>
        <v>0</v>
      </c>
      <c r="AL115" s="2549">
        <f t="shared" si="167"/>
        <v>2029</v>
      </c>
      <c r="AM115" s="2556">
        <f t="shared" ca="1" si="171"/>
        <v>0</v>
      </c>
      <c r="AN115" s="2556">
        <f t="shared" ca="1" si="171"/>
        <v>0</v>
      </c>
      <c r="AO115" s="2556">
        <f t="shared" ca="1" si="171"/>
        <v>0</v>
      </c>
      <c r="AP115" s="2556">
        <f t="shared" ca="1" si="171"/>
        <v>0</v>
      </c>
      <c r="AQ115" s="2556">
        <f t="shared" ca="1" si="171"/>
        <v>0</v>
      </c>
      <c r="AR115" s="2556">
        <f t="shared" ca="1" si="171"/>
        <v>0</v>
      </c>
      <c r="AS115" s="2557">
        <f t="shared" ca="1" si="171"/>
        <v>0</v>
      </c>
    </row>
    <row r="116" spans="2:48">
      <c r="B116" s="2549"/>
      <c r="I116" s="2547"/>
      <c r="K116" s="2549"/>
      <c r="R116" s="2547"/>
      <c r="T116" s="2549"/>
      <c r="U116" s="2566"/>
      <c r="V116" s="2566"/>
      <c r="W116" s="2566"/>
      <c r="X116" s="2566"/>
      <c r="Y116" s="2566"/>
      <c r="Z116" s="2566"/>
      <c r="AA116" s="2547"/>
      <c r="AC116" s="2549"/>
      <c r="AD116" s="2556"/>
      <c r="AE116" s="2556"/>
      <c r="AF116" s="2556"/>
      <c r="AG116" s="2556"/>
      <c r="AH116" s="2556"/>
      <c r="AI116" s="2556"/>
      <c r="AJ116" s="2557"/>
      <c r="AL116" s="2549"/>
      <c r="AM116" s="2899"/>
      <c r="AN116" s="2899"/>
      <c r="AO116" s="2899"/>
      <c r="AP116" s="2899"/>
      <c r="AQ116" s="2899"/>
      <c r="AR116" s="2899"/>
      <c r="AS116" s="2557"/>
    </row>
    <row r="117" spans="2:48">
      <c r="B117" s="2549" t="s">
        <v>799</v>
      </c>
      <c r="I117" s="2547"/>
      <c r="K117" s="2549" t="s">
        <v>799</v>
      </c>
      <c r="R117" s="2547"/>
      <c r="T117" s="2549" t="s">
        <v>799</v>
      </c>
      <c r="U117" s="2583"/>
      <c r="V117" s="2566"/>
      <c r="W117" s="2566"/>
      <c r="X117" s="2566"/>
      <c r="Y117" s="2566"/>
      <c r="Z117" s="2566"/>
      <c r="AA117" s="2547"/>
      <c r="AC117" s="2549" t="s">
        <v>799</v>
      </c>
      <c r="AD117" s="2556"/>
      <c r="AE117" s="2556"/>
      <c r="AF117" s="2556"/>
      <c r="AG117" s="2556"/>
      <c r="AH117" s="2556"/>
      <c r="AI117" s="2556"/>
      <c r="AJ117" s="2557"/>
      <c r="AL117" s="2549" t="s">
        <v>799</v>
      </c>
      <c r="AS117" s="2547"/>
    </row>
    <row r="118" spans="2:48">
      <c r="B118" s="2549" t="str">
        <f t="shared" ref="B118:B128" si="190">B62</f>
        <v>2019/2020</v>
      </c>
      <c r="C118" s="2556">
        <f t="shared" ref="C118:I118" ca="1" si="191">C104+C76</f>
        <v>0</v>
      </c>
      <c r="D118" s="2556">
        <f t="shared" ca="1" si="191"/>
        <v>0</v>
      </c>
      <c r="E118" s="2556">
        <f t="shared" ca="1" si="191"/>
        <v>0</v>
      </c>
      <c r="F118" s="2556">
        <f t="shared" ca="1" si="191"/>
        <v>0</v>
      </c>
      <c r="G118" s="2556">
        <f t="shared" ca="1" si="191"/>
        <v>0</v>
      </c>
      <c r="H118" s="2556">
        <f t="shared" ca="1" si="191"/>
        <v>0</v>
      </c>
      <c r="I118" s="2557">
        <f t="shared" ca="1" si="191"/>
        <v>0</v>
      </c>
      <c r="K118" s="2549">
        <f t="shared" ref="K118:K128" si="192">K62</f>
        <v>2018</v>
      </c>
      <c r="L118" s="2556">
        <f ca="1">L104+L76</f>
        <v>0</v>
      </c>
      <c r="M118" s="2556">
        <f t="shared" ref="M118:R118" ca="1" si="193">M104+M76</f>
        <v>0</v>
      </c>
      <c r="N118" s="2556">
        <f t="shared" ca="1" si="193"/>
        <v>0</v>
      </c>
      <c r="O118" s="2556">
        <f t="shared" ca="1" si="193"/>
        <v>0</v>
      </c>
      <c r="P118" s="2556">
        <f t="shared" ca="1" si="193"/>
        <v>0</v>
      </c>
      <c r="Q118" s="2556">
        <f t="shared" ca="1" si="193"/>
        <v>0</v>
      </c>
      <c r="R118" s="2557">
        <f t="shared" ca="1" si="193"/>
        <v>0</v>
      </c>
      <c r="T118" s="2549" t="str">
        <f t="shared" ref="T118:T128" si="194">T62</f>
        <v>2019/2020</v>
      </c>
      <c r="U118" s="2556">
        <f t="shared" ref="U118:AA128" ca="1" si="195">U104+U76</f>
        <v>57353.704405967757</v>
      </c>
      <c r="V118" s="2556">
        <f t="shared" ca="1" si="195"/>
        <v>0</v>
      </c>
      <c r="W118" s="2556">
        <f t="shared" ca="1" si="195"/>
        <v>0</v>
      </c>
      <c r="X118" s="2556">
        <f t="shared" ca="1" si="195"/>
        <v>0</v>
      </c>
      <c r="Y118" s="2556">
        <f t="shared" ca="1" si="195"/>
        <v>0</v>
      </c>
      <c r="Z118" s="2556">
        <f t="shared" ca="1" si="195"/>
        <v>0</v>
      </c>
      <c r="AA118" s="2557">
        <f t="shared" ca="1" si="195"/>
        <v>0</v>
      </c>
      <c r="AC118" s="2549">
        <f t="shared" ref="AC118:AC128" si="196">AC62</f>
        <v>2018</v>
      </c>
      <c r="AD118" s="2556">
        <f t="shared" ref="AD118:AJ122" ca="1" si="197">AD104+AD76</f>
        <v>0</v>
      </c>
      <c r="AE118" s="2556">
        <f t="shared" ca="1" si="197"/>
        <v>0</v>
      </c>
      <c r="AF118" s="2556">
        <f t="shared" ca="1" si="197"/>
        <v>0</v>
      </c>
      <c r="AG118" s="2556">
        <f t="shared" ca="1" si="197"/>
        <v>0</v>
      </c>
      <c r="AH118" s="2556">
        <f t="shared" ca="1" si="197"/>
        <v>0</v>
      </c>
      <c r="AI118" s="2556">
        <f t="shared" ca="1" si="197"/>
        <v>0</v>
      </c>
      <c r="AJ118" s="2557">
        <f t="shared" ca="1" si="197"/>
        <v>0</v>
      </c>
      <c r="AL118" s="2549">
        <f>AL62</f>
        <v>2018</v>
      </c>
      <c r="AM118" s="2556">
        <f t="shared" ref="AM118:AS118" ca="1" si="198">AM104+AM76</f>
        <v>0</v>
      </c>
      <c r="AN118" s="2556">
        <f t="shared" ca="1" si="198"/>
        <v>0</v>
      </c>
      <c r="AO118" s="2556">
        <f t="shared" ca="1" si="198"/>
        <v>0</v>
      </c>
      <c r="AP118" s="2556">
        <f t="shared" ca="1" si="198"/>
        <v>0</v>
      </c>
      <c r="AQ118" s="2556">
        <f t="shared" ca="1" si="198"/>
        <v>0</v>
      </c>
      <c r="AR118" s="2556">
        <f t="shared" ca="1" si="198"/>
        <v>0</v>
      </c>
      <c r="AS118" s="2557">
        <f t="shared" ca="1" si="198"/>
        <v>0</v>
      </c>
    </row>
    <row r="119" spans="2:48">
      <c r="B119" s="2549">
        <f t="shared" si="190"/>
        <v>2019</v>
      </c>
      <c r="C119" s="2556">
        <f t="shared" ref="C119:I119" ca="1" si="199">C105+C77</f>
        <v>0</v>
      </c>
      <c r="D119" s="2556">
        <f t="shared" ca="1" si="199"/>
        <v>0</v>
      </c>
      <c r="E119" s="2556">
        <f t="shared" ca="1" si="199"/>
        <v>0</v>
      </c>
      <c r="F119" s="2556">
        <f t="shared" ca="1" si="199"/>
        <v>0</v>
      </c>
      <c r="G119" s="2556">
        <f t="shared" ca="1" si="199"/>
        <v>0</v>
      </c>
      <c r="H119" s="2556">
        <f t="shared" ca="1" si="199"/>
        <v>0</v>
      </c>
      <c r="I119" s="2557">
        <f t="shared" ca="1" si="199"/>
        <v>0</v>
      </c>
      <c r="K119" s="2549">
        <f t="shared" si="192"/>
        <v>2019</v>
      </c>
      <c r="L119" s="2556">
        <f t="shared" ref="L119:L128" ca="1" si="200">L105+L77</f>
        <v>0</v>
      </c>
      <c r="M119" s="2556">
        <f t="shared" ref="M119:R119" ca="1" si="201">M105+M77</f>
        <v>0</v>
      </c>
      <c r="N119" s="2556">
        <f t="shared" ca="1" si="201"/>
        <v>0</v>
      </c>
      <c r="O119" s="2556">
        <f t="shared" ca="1" si="201"/>
        <v>0</v>
      </c>
      <c r="P119" s="2556">
        <f t="shared" ca="1" si="201"/>
        <v>0</v>
      </c>
      <c r="Q119" s="2556">
        <f t="shared" ca="1" si="201"/>
        <v>0</v>
      </c>
      <c r="R119" s="2557">
        <f t="shared" ca="1" si="201"/>
        <v>0</v>
      </c>
      <c r="T119" s="2549">
        <f t="shared" si="194"/>
        <v>2019</v>
      </c>
      <c r="U119" s="2556">
        <f ca="1">U105+U77</f>
        <v>160773.58555911767</v>
      </c>
      <c r="V119" s="2556">
        <f t="shared" ca="1" si="195"/>
        <v>0</v>
      </c>
      <c r="W119" s="2556">
        <f t="shared" ca="1" si="195"/>
        <v>0</v>
      </c>
      <c r="X119" s="2556">
        <f t="shared" ca="1" si="195"/>
        <v>0</v>
      </c>
      <c r="Y119" s="2556">
        <f t="shared" ca="1" si="195"/>
        <v>0</v>
      </c>
      <c r="Z119" s="2556">
        <f t="shared" ca="1" si="195"/>
        <v>0</v>
      </c>
      <c r="AA119" s="2557">
        <f t="shared" ca="1" si="195"/>
        <v>0</v>
      </c>
      <c r="AC119" s="2549">
        <f t="shared" si="196"/>
        <v>2019</v>
      </c>
      <c r="AD119" s="2556">
        <f t="shared" ca="1" si="197"/>
        <v>0</v>
      </c>
      <c r="AE119" s="2556">
        <f t="shared" ca="1" si="197"/>
        <v>0</v>
      </c>
      <c r="AF119" s="2556">
        <f t="shared" ca="1" si="197"/>
        <v>0</v>
      </c>
      <c r="AG119" s="2556">
        <f t="shared" ca="1" si="197"/>
        <v>0</v>
      </c>
      <c r="AH119" s="2556">
        <f t="shared" ca="1" si="197"/>
        <v>0</v>
      </c>
      <c r="AI119" s="2556">
        <f t="shared" ca="1" si="197"/>
        <v>0</v>
      </c>
      <c r="AJ119" s="2557">
        <f t="shared" ca="1" si="197"/>
        <v>0</v>
      </c>
      <c r="AL119" s="2549"/>
      <c r="AM119" s="2556"/>
      <c r="AN119" s="2556"/>
      <c r="AO119" s="2556"/>
      <c r="AP119" s="2556"/>
      <c r="AQ119" s="2556"/>
      <c r="AR119" s="2556"/>
      <c r="AS119" s="2557"/>
    </row>
    <row r="120" spans="2:48">
      <c r="B120" s="2549">
        <f t="shared" si="190"/>
        <v>2020</v>
      </c>
      <c r="C120" s="2556">
        <f t="shared" ref="C120:I120" ca="1" si="202">C106+C78</f>
        <v>0</v>
      </c>
      <c r="D120" s="2556">
        <f t="shared" ca="1" si="202"/>
        <v>0</v>
      </c>
      <c r="E120" s="2556">
        <f t="shared" ca="1" si="202"/>
        <v>0</v>
      </c>
      <c r="F120" s="2556">
        <f t="shared" ca="1" si="202"/>
        <v>0</v>
      </c>
      <c r="G120" s="2556">
        <f t="shared" ca="1" si="202"/>
        <v>0</v>
      </c>
      <c r="H120" s="2556">
        <f t="shared" ca="1" si="202"/>
        <v>0</v>
      </c>
      <c r="I120" s="2557">
        <f t="shared" ca="1" si="202"/>
        <v>0</v>
      </c>
      <c r="K120" s="2549">
        <f t="shared" si="192"/>
        <v>2020</v>
      </c>
      <c r="L120" s="2556">
        <f t="shared" ca="1" si="200"/>
        <v>0</v>
      </c>
      <c r="M120" s="2556">
        <f t="shared" ref="M120:R120" ca="1" si="203">M106+M78</f>
        <v>0</v>
      </c>
      <c r="N120" s="2556">
        <f t="shared" ca="1" si="203"/>
        <v>0</v>
      </c>
      <c r="O120" s="2556">
        <f t="shared" ca="1" si="203"/>
        <v>0</v>
      </c>
      <c r="P120" s="2556">
        <f t="shared" ca="1" si="203"/>
        <v>0</v>
      </c>
      <c r="Q120" s="2556">
        <f t="shared" ca="1" si="203"/>
        <v>0</v>
      </c>
      <c r="R120" s="2557">
        <f t="shared" ca="1" si="203"/>
        <v>0</v>
      </c>
      <c r="T120" s="2549">
        <f t="shared" si="194"/>
        <v>2020</v>
      </c>
      <c r="U120" s="2556">
        <f t="shared" ca="1" si="195"/>
        <v>127651.82126467131</v>
      </c>
      <c r="V120" s="2556">
        <f t="shared" ca="1" si="195"/>
        <v>0</v>
      </c>
      <c r="W120" s="2556">
        <f t="shared" ca="1" si="195"/>
        <v>0</v>
      </c>
      <c r="X120" s="2556">
        <f t="shared" ca="1" si="195"/>
        <v>0</v>
      </c>
      <c r="Y120" s="2556">
        <f t="shared" ca="1" si="195"/>
        <v>0</v>
      </c>
      <c r="Z120" s="2556">
        <f t="shared" ca="1" si="195"/>
        <v>0</v>
      </c>
      <c r="AA120" s="2557">
        <f t="shared" ca="1" si="195"/>
        <v>0</v>
      </c>
      <c r="AC120" s="2549">
        <f t="shared" si="196"/>
        <v>2020</v>
      </c>
      <c r="AD120" s="2556">
        <f t="shared" ca="1" si="197"/>
        <v>73484.433770146192</v>
      </c>
      <c r="AE120" s="2556">
        <f t="shared" ca="1" si="197"/>
        <v>0</v>
      </c>
      <c r="AF120" s="2556">
        <f t="shared" ca="1" si="197"/>
        <v>0</v>
      </c>
      <c r="AG120" s="2556">
        <f t="shared" ca="1" si="197"/>
        <v>0</v>
      </c>
      <c r="AH120" s="2556">
        <f t="shared" ca="1" si="197"/>
        <v>0</v>
      </c>
      <c r="AI120" s="2556">
        <f t="shared" ca="1" si="197"/>
        <v>0</v>
      </c>
      <c r="AJ120" s="2557">
        <f t="shared" ca="1" si="197"/>
        <v>0</v>
      </c>
      <c r="AL120" s="2549">
        <f t="shared" ref="AL120:AL128" si="204">AL64</f>
        <v>2020</v>
      </c>
      <c r="AM120" s="2556">
        <f t="shared" ref="AM120:AS128" ca="1" si="205">AM106+AM78</f>
        <v>0</v>
      </c>
      <c r="AN120" s="2556">
        <f t="shared" ca="1" si="205"/>
        <v>0</v>
      </c>
      <c r="AO120" s="2556">
        <f t="shared" ca="1" si="205"/>
        <v>0</v>
      </c>
      <c r="AP120" s="2556">
        <f t="shared" ca="1" si="205"/>
        <v>0</v>
      </c>
      <c r="AQ120" s="2556">
        <f t="shared" ca="1" si="205"/>
        <v>0</v>
      </c>
      <c r="AR120" s="2556">
        <f t="shared" ca="1" si="205"/>
        <v>0</v>
      </c>
      <c r="AS120" s="2557">
        <f t="shared" ca="1" si="205"/>
        <v>0</v>
      </c>
    </row>
    <row r="121" spans="2:48">
      <c r="B121" s="2549">
        <f t="shared" si="190"/>
        <v>2021</v>
      </c>
      <c r="C121" s="2556">
        <f t="shared" ref="C121:I121" ca="1" si="206">C107+C79</f>
        <v>0</v>
      </c>
      <c r="D121" s="2556">
        <f t="shared" ca="1" si="206"/>
        <v>0</v>
      </c>
      <c r="E121" s="2556">
        <f t="shared" ca="1" si="206"/>
        <v>0</v>
      </c>
      <c r="F121" s="2556">
        <f t="shared" ca="1" si="206"/>
        <v>0</v>
      </c>
      <c r="G121" s="2556">
        <f t="shared" ca="1" si="206"/>
        <v>0</v>
      </c>
      <c r="H121" s="2556">
        <f t="shared" ca="1" si="206"/>
        <v>0</v>
      </c>
      <c r="I121" s="2557">
        <f t="shared" ca="1" si="206"/>
        <v>0</v>
      </c>
      <c r="K121" s="2549">
        <f t="shared" si="192"/>
        <v>2021</v>
      </c>
      <c r="L121" s="2556">
        <f t="shared" ca="1" si="200"/>
        <v>0</v>
      </c>
      <c r="M121" s="2556">
        <f t="shared" ref="M121:R121" ca="1" si="207">M107+M79</f>
        <v>0</v>
      </c>
      <c r="N121" s="2556">
        <f t="shared" ca="1" si="207"/>
        <v>0</v>
      </c>
      <c r="O121" s="2556">
        <f t="shared" ca="1" si="207"/>
        <v>0</v>
      </c>
      <c r="P121" s="2556">
        <f t="shared" ca="1" si="207"/>
        <v>0</v>
      </c>
      <c r="Q121" s="2556">
        <f t="shared" ca="1" si="207"/>
        <v>0</v>
      </c>
      <c r="R121" s="2557">
        <f t="shared" ca="1" si="207"/>
        <v>0</v>
      </c>
      <c r="T121" s="2549">
        <f t="shared" si="194"/>
        <v>2021</v>
      </c>
      <c r="U121" s="2556">
        <f t="shared" ca="1" si="195"/>
        <v>0</v>
      </c>
      <c r="V121" s="2556">
        <f t="shared" ca="1" si="195"/>
        <v>0</v>
      </c>
      <c r="W121" s="2556">
        <f t="shared" ca="1" si="195"/>
        <v>0</v>
      </c>
      <c r="X121" s="2556">
        <f t="shared" ca="1" si="195"/>
        <v>0</v>
      </c>
      <c r="Y121" s="2556">
        <f t="shared" ca="1" si="195"/>
        <v>0</v>
      </c>
      <c r="Z121" s="2556">
        <f t="shared" ca="1" si="195"/>
        <v>0</v>
      </c>
      <c r="AA121" s="2557">
        <f t="shared" ca="1" si="195"/>
        <v>0</v>
      </c>
      <c r="AC121" s="2549">
        <f t="shared" si="196"/>
        <v>2021</v>
      </c>
      <c r="AD121" s="2556">
        <f ca="1">AD107+AD79</f>
        <v>150553.47406566536</v>
      </c>
      <c r="AE121" s="2556">
        <f t="shared" ca="1" si="197"/>
        <v>0</v>
      </c>
      <c r="AF121" s="2556">
        <f t="shared" ca="1" si="197"/>
        <v>0</v>
      </c>
      <c r="AG121" s="2556">
        <f t="shared" ca="1" si="197"/>
        <v>0</v>
      </c>
      <c r="AH121" s="2556">
        <f t="shared" ca="1" si="197"/>
        <v>0</v>
      </c>
      <c r="AI121" s="2556">
        <f t="shared" ca="1" si="197"/>
        <v>0</v>
      </c>
      <c r="AJ121" s="2557">
        <f t="shared" ca="1" si="197"/>
        <v>0</v>
      </c>
      <c r="AL121" s="2549">
        <f t="shared" si="204"/>
        <v>2021</v>
      </c>
      <c r="AM121" s="2556">
        <f t="shared" ca="1" si="205"/>
        <v>0</v>
      </c>
      <c r="AN121" s="2556">
        <f t="shared" ca="1" si="205"/>
        <v>0</v>
      </c>
      <c r="AO121" s="2556">
        <f t="shared" ca="1" si="205"/>
        <v>0</v>
      </c>
      <c r="AP121" s="2556">
        <f t="shared" ca="1" si="205"/>
        <v>0</v>
      </c>
      <c r="AQ121" s="2556">
        <f t="shared" ca="1" si="205"/>
        <v>0</v>
      </c>
      <c r="AR121" s="2556">
        <f t="shared" ca="1" si="205"/>
        <v>0</v>
      </c>
      <c r="AS121" s="2557">
        <f t="shared" ca="1" si="205"/>
        <v>0</v>
      </c>
    </row>
    <row r="122" spans="2:48">
      <c r="B122" s="2549">
        <f t="shared" si="190"/>
        <v>2022</v>
      </c>
      <c r="C122" s="2556">
        <f t="shared" ref="C122:I122" ca="1" si="208">C108+C80</f>
        <v>0</v>
      </c>
      <c r="D122" s="2556">
        <f t="shared" ca="1" si="208"/>
        <v>0</v>
      </c>
      <c r="E122" s="2556">
        <f t="shared" ca="1" si="208"/>
        <v>0</v>
      </c>
      <c r="F122" s="2556">
        <f t="shared" ca="1" si="208"/>
        <v>0</v>
      </c>
      <c r="G122" s="2556">
        <f t="shared" ca="1" si="208"/>
        <v>0</v>
      </c>
      <c r="H122" s="2556">
        <f t="shared" ca="1" si="208"/>
        <v>0</v>
      </c>
      <c r="I122" s="2557">
        <f t="shared" ca="1" si="208"/>
        <v>0</v>
      </c>
      <c r="K122" s="2549">
        <f t="shared" si="192"/>
        <v>2022</v>
      </c>
      <c r="L122" s="2556">
        <f t="shared" ca="1" si="200"/>
        <v>0</v>
      </c>
      <c r="M122" s="2556">
        <f t="shared" ref="M122:R122" ca="1" si="209">M108+M80</f>
        <v>0</v>
      </c>
      <c r="N122" s="2556">
        <f t="shared" ca="1" si="209"/>
        <v>0</v>
      </c>
      <c r="O122" s="2556">
        <f t="shared" ca="1" si="209"/>
        <v>0</v>
      </c>
      <c r="P122" s="2556">
        <f t="shared" ca="1" si="209"/>
        <v>0</v>
      </c>
      <c r="Q122" s="2556">
        <f t="shared" ca="1" si="209"/>
        <v>0</v>
      </c>
      <c r="R122" s="2557">
        <f t="shared" ca="1" si="209"/>
        <v>0</v>
      </c>
      <c r="T122" s="2549">
        <f t="shared" si="194"/>
        <v>2022</v>
      </c>
      <c r="U122" s="2556">
        <f t="shared" ca="1" si="195"/>
        <v>0</v>
      </c>
      <c r="V122" s="2556">
        <f t="shared" ca="1" si="195"/>
        <v>0</v>
      </c>
      <c r="W122" s="2556">
        <f t="shared" ca="1" si="195"/>
        <v>0</v>
      </c>
      <c r="X122" s="2556">
        <f t="shared" ca="1" si="195"/>
        <v>0</v>
      </c>
      <c r="Y122" s="2556">
        <f t="shared" ca="1" si="195"/>
        <v>0</v>
      </c>
      <c r="Z122" s="2556">
        <f t="shared" ca="1" si="195"/>
        <v>0</v>
      </c>
      <c r="AA122" s="2557">
        <f t="shared" ca="1" si="195"/>
        <v>0</v>
      </c>
      <c r="AC122" s="2549">
        <f t="shared" si="196"/>
        <v>2022</v>
      </c>
      <c r="AD122" s="2556">
        <f t="shared" ca="1" si="197"/>
        <v>0</v>
      </c>
      <c r="AE122" s="2556">
        <f t="shared" ca="1" si="197"/>
        <v>0</v>
      </c>
      <c r="AF122" s="2556">
        <f t="shared" ca="1" si="197"/>
        <v>0</v>
      </c>
      <c r="AG122" s="2556">
        <f t="shared" ca="1" si="197"/>
        <v>0</v>
      </c>
      <c r="AH122" s="2556">
        <f t="shared" ca="1" si="197"/>
        <v>0</v>
      </c>
      <c r="AI122" s="2556">
        <f t="shared" ca="1" si="197"/>
        <v>0</v>
      </c>
      <c r="AJ122" s="2557">
        <f t="shared" ca="1" si="197"/>
        <v>0</v>
      </c>
      <c r="AL122" s="2549">
        <f t="shared" si="204"/>
        <v>2022</v>
      </c>
      <c r="AM122" s="2556">
        <f t="shared" ca="1" si="205"/>
        <v>0</v>
      </c>
      <c r="AN122" s="2556">
        <f t="shared" ca="1" si="205"/>
        <v>0</v>
      </c>
      <c r="AO122" s="2556">
        <f t="shared" ca="1" si="205"/>
        <v>0</v>
      </c>
      <c r="AP122" s="2556">
        <f t="shared" ca="1" si="205"/>
        <v>0</v>
      </c>
      <c r="AQ122" s="2556">
        <f t="shared" ca="1" si="205"/>
        <v>0</v>
      </c>
      <c r="AR122" s="2556">
        <f t="shared" ca="1" si="205"/>
        <v>0</v>
      </c>
      <c r="AS122" s="2557">
        <f t="shared" ca="1" si="205"/>
        <v>0</v>
      </c>
    </row>
    <row r="123" spans="2:48">
      <c r="B123" s="2549">
        <f t="shared" si="190"/>
        <v>2023</v>
      </c>
      <c r="C123" s="2556">
        <f t="shared" ref="C123:I123" ca="1" si="210">C109+C81</f>
        <v>0</v>
      </c>
      <c r="D123" s="2556">
        <f t="shared" ca="1" si="210"/>
        <v>0</v>
      </c>
      <c r="E123" s="2556">
        <f t="shared" ca="1" si="210"/>
        <v>0</v>
      </c>
      <c r="F123" s="2556">
        <f t="shared" ca="1" si="210"/>
        <v>0</v>
      </c>
      <c r="G123" s="2556">
        <f t="shared" ca="1" si="210"/>
        <v>0</v>
      </c>
      <c r="H123" s="2556">
        <f t="shared" ca="1" si="210"/>
        <v>0</v>
      </c>
      <c r="I123" s="2557">
        <f t="shared" ca="1" si="210"/>
        <v>0</v>
      </c>
      <c r="K123" s="2549">
        <f t="shared" si="192"/>
        <v>2023</v>
      </c>
      <c r="L123" s="2556">
        <f t="shared" ca="1" si="200"/>
        <v>0</v>
      </c>
      <c r="M123" s="2556">
        <f t="shared" ref="M123:R123" ca="1" si="211">M109+M81</f>
        <v>0</v>
      </c>
      <c r="N123" s="2556">
        <f t="shared" ca="1" si="211"/>
        <v>0</v>
      </c>
      <c r="O123" s="2556">
        <f t="shared" ca="1" si="211"/>
        <v>0</v>
      </c>
      <c r="P123" s="2556">
        <f t="shared" ca="1" si="211"/>
        <v>0</v>
      </c>
      <c r="Q123" s="2556">
        <f t="shared" ca="1" si="211"/>
        <v>0</v>
      </c>
      <c r="R123" s="2557">
        <f t="shared" ca="1" si="211"/>
        <v>0</v>
      </c>
      <c r="T123" s="2549">
        <f t="shared" si="194"/>
        <v>2023</v>
      </c>
      <c r="U123" s="2556">
        <f t="shared" ca="1" si="195"/>
        <v>0</v>
      </c>
      <c r="V123" s="2556">
        <f ca="1">V109+V81</f>
        <v>0</v>
      </c>
      <c r="W123" s="2556">
        <f t="shared" ca="1" si="195"/>
        <v>0</v>
      </c>
      <c r="X123" s="2556">
        <f t="shared" ca="1" si="195"/>
        <v>0</v>
      </c>
      <c r="Y123" s="2556">
        <f t="shared" ca="1" si="195"/>
        <v>0</v>
      </c>
      <c r="Z123" s="2556">
        <f t="shared" ca="1" si="195"/>
        <v>0</v>
      </c>
      <c r="AA123" s="2557">
        <f t="shared" ca="1" si="195"/>
        <v>0</v>
      </c>
      <c r="AC123" s="2549">
        <f t="shared" si="196"/>
        <v>2023</v>
      </c>
      <c r="AD123" s="2556">
        <f t="shared" ref="AD123:AJ123" ca="1" si="212">AD109+AD81</f>
        <v>0</v>
      </c>
      <c r="AE123" s="2556">
        <f ca="1">AE109+AE81</f>
        <v>251314.85859578388</v>
      </c>
      <c r="AF123" s="2556">
        <f t="shared" ca="1" si="212"/>
        <v>0</v>
      </c>
      <c r="AG123" s="2556">
        <f t="shared" ca="1" si="212"/>
        <v>0</v>
      </c>
      <c r="AH123" s="2556">
        <f t="shared" ca="1" si="212"/>
        <v>0</v>
      </c>
      <c r="AI123" s="2556">
        <f t="shared" ca="1" si="212"/>
        <v>0</v>
      </c>
      <c r="AJ123" s="2557">
        <f t="shared" ca="1" si="212"/>
        <v>0</v>
      </c>
      <c r="AL123" s="2549">
        <f t="shared" si="204"/>
        <v>2023</v>
      </c>
      <c r="AM123" s="2556">
        <f t="shared" ca="1" si="205"/>
        <v>0</v>
      </c>
      <c r="AN123" s="2556">
        <f t="shared" ca="1" si="205"/>
        <v>34301.938651287506</v>
      </c>
      <c r="AO123" s="2556">
        <f t="shared" ca="1" si="205"/>
        <v>34301.938651287506</v>
      </c>
      <c r="AP123" s="2556">
        <f t="shared" ca="1" si="205"/>
        <v>0</v>
      </c>
      <c r="AQ123" s="2556">
        <f t="shared" ca="1" si="205"/>
        <v>0</v>
      </c>
      <c r="AR123" s="2556">
        <f t="shared" ca="1" si="205"/>
        <v>0</v>
      </c>
      <c r="AS123" s="2557">
        <f t="shared" ca="1" si="205"/>
        <v>0</v>
      </c>
    </row>
    <row r="124" spans="2:48">
      <c r="B124" s="2549">
        <f t="shared" si="190"/>
        <v>2024</v>
      </c>
      <c r="C124" s="2556">
        <f t="shared" ref="C124:I124" ca="1" si="213">C110+C82</f>
        <v>0</v>
      </c>
      <c r="D124" s="2556">
        <f t="shared" ca="1" si="213"/>
        <v>0</v>
      </c>
      <c r="E124" s="2556">
        <f t="shared" ca="1" si="213"/>
        <v>0</v>
      </c>
      <c r="F124" s="2556">
        <f t="shared" ca="1" si="213"/>
        <v>0</v>
      </c>
      <c r="G124" s="2556">
        <f t="shared" ca="1" si="213"/>
        <v>0</v>
      </c>
      <c r="H124" s="2556">
        <f t="shared" ca="1" si="213"/>
        <v>0</v>
      </c>
      <c r="I124" s="2557">
        <f t="shared" ca="1" si="213"/>
        <v>0</v>
      </c>
      <c r="K124" s="2549">
        <f t="shared" si="192"/>
        <v>2024</v>
      </c>
      <c r="L124" s="2556">
        <f t="shared" ca="1" si="200"/>
        <v>0</v>
      </c>
      <c r="M124" s="2556">
        <f t="shared" ref="M124:R124" ca="1" si="214">M110+M82</f>
        <v>0</v>
      </c>
      <c r="N124" s="2556">
        <f t="shared" ca="1" si="214"/>
        <v>0</v>
      </c>
      <c r="O124" s="2556">
        <f t="shared" ca="1" si="214"/>
        <v>0</v>
      </c>
      <c r="P124" s="2556">
        <f t="shared" ca="1" si="214"/>
        <v>0</v>
      </c>
      <c r="Q124" s="2556">
        <f t="shared" ca="1" si="214"/>
        <v>0</v>
      </c>
      <c r="R124" s="2557">
        <f t="shared" ca="1" si="214"/>
        <v>0</v>
      </c>
      <c r="T124" s="2549">
        <f t="shared" si="194"/>
        <v>2024</v>
      </c>
      <c r="U124" s="2556">
        <f t="shared" ca="1" si="195"/>
        <v>0</v>
      </c>
      <c r="V124" s="2556">
        <f t="shared" ca="1" si="195"/>
        <v>0</v>
      </c>
      <c r="W124" s="2556">
        <f t="shared" ca="1" si="195"/>
        <v>0</v>
      </c>
      <c r="X124" s="2556">
        <f t="shared" ca="1" si="195"/>
        <v>0</v>
      </c>
      <c r="Y124" s="2556">
        <f t="shared" ca="1" si="195"/>
        <v>0</v>
      </c>
      <c r="Z124" s="2556">
        <f t="shared" ca="1" si="195"/>
        <v>0</v>
      </c>
      <c r="AA124" s="2557">
        <f t="shared" ca="1" si="195"/>
        <v>0</v>
      </c>
      <c r="AC124" s="2549">
        <f t="shared" si="196"/>
        <v>2024</v>
      </c>
      <c r="AD124" s="2556">
        <f t="shared" ref="AD124:AJ124" ca="1" si="215">AD110+AD82</f>
        <v>0</v>
      </c>
      <c r="AE124" s="2556">
        <f t="shared" ca="1" si="215"/>
        <v>0</v>
      </c>
      <c r="AF124" s="2556">
        <f t="shared" ca="1" si="215"/>
        <v>346150.40590623551</v>
      </c>
      <c r="AG124" s="2556">
        <f t="shared" ca="1" si="215"/>
        <v>0</v>
      </c>
      <c r="AH124" s="2556">
        <f t="shared" ca="1" si="215"/>
        <v>0</v>
      </c>
      <c r="AI124" s="2556">
        <f t="shared" ca="1" si="215"/>
        <v>0</v>
      </c>
      <c r="AJ124" s="2557">
        <f t="shared" ca="1" si="215"/>
        <v>0</v>
      </c>
      <c r="AL124" s="2549">
        <f t="shared" si="204"/>
        <v>2024</v>
      </c>
      <c r="AM124" s="2556">
        <f t="shared" ca="1" si="205"/>
        <v>0</v>
      </c>
      <c r="AN124" s="2556">
        <f t="shared" ca="1" si="205"/>
        <v>0</v>
      </c>
      <c r="AO124" s="2556">
        <f t="shared" ca="1" si="205"/>
        <v>42917.828275934022</v>
      </c>
      <c r="AP124" s="2556">
        <f t="shared" ca="1" si="205"/>
        <v>42917.828275934022</v>
      </c>
      <c r="AQ124" s="2556">
        <f t="shared" ca="1" si="205"/>
        <v>0</v>
      </c>
      <c r="AR124" s="2556">
        <f t="shared" ca="1" si="205"/>
        <v>0</v>
      </c>
      <c r="AS124" s="2557">
        <f t="shared" ca="1" si="205"/>
        <v>0</v>
      </c>
    </row>
    <row r="125" spans="2:48">
      <c r="B125" s="2549">
        <f t="shared" si="190"/>
        <v>2025</v>
      </c>
      <c r="C125" s="2556">
        <f t="shared" ref="C125:I125" ca="1" si="216">C111+C83</f>
        <v>0</v>
      </c>
      <c r="D125" s="2556">
        <f t="shared" ca="1" si="216"/>
        <v>0</v>
      </c>
      <c r="E125" s="2556">
        <f t="shared" ca="1" si="216"/>
        <v>0</v>
      </c>
      <c r="F125" s="2556">
        <f t="shared" ca="1" si="216"/>
        <v>0</v>
      </c>
      <c r="G125" s="2556">
        <f t="shared" ca="1" si="216"/>
        <v>0</v>
      </c>
      <c r="H125" s="2556">
        <f t="shared" ca="1" si="216"/>
        <v>0</v>
      </c>
      <c r="I125" s="2557">
        <f t="shared" ca="1" si="216"/>
        <v>0</v>
      </c>
      <c r="K125" s="2549">
        <f t="shared" si="192"/>
        <v>2025</v>
      </c>
      <c r="L125" s="2556">
        <f t="shared" ca="1" si="200"/>
        <v>0</v>
      </c>
      <c r="M125" s="2556">
        <f t="shared" ref="M125:R125" ca="1" si="217">M111+M83</f>
        <v>0</v>
      </c>
      <c r="N125" s="2556">
        <f t="shared" ca="1" si="217"/>
        <v>0</v>
      </c>
      <c r="O125" s="2556">
        <f t="shared" ca="1" si="217"/>
        <v>0</v>
      </c>
      <c r="P125" s="2556">
        <f t="shared" ca="1" si="217"/>
        <v>0</v>
      </c>
      <c r="Q125" s="2556">
        <f t="shared" ca="1" si="217"/>
        <v>0</v>
      </c>
      <c r="R125" s="2557">
        <f t="shared" ca="1" si="217"/>
        <v>0</v>
      </c>
      <c r="T125" s="2549">
        <f t="shared" si="194"/>
        <v>2025</v>
      </c>
      <c r="U125" s="2556">
        <f t="shared" ca="1" si="195"/>
        <v>0</v>
      </c>
      <c r="V125" s="2556">
        <f t="shared" ca="1" si="195"/>
        <v>0</v>
      </c>
      <c r="W125" s="2556">
        <f t="shared" ca="1" si="195"/>
        <v>0</v>
      </c>
      <c r="X125" s="2556">
        <f t="shared" ca="1" si="195"/>
        <v>0</v>
      </c>
      <c r="Y125" s="2556">
        <f t="shared" ca="1" si="195"/>
        <v>0</v>
      </c>
      <c r="Z125" s="2556">
        <f t="shared" ca="1" si="195"/>
        <v>0</v>
      </c>
      <c r="AA125" s="2557">
        <f t="shared" ca="1" si="195"/>
        <v>0</v>
      </c>
      <c r="AC125" s="2549">
        <f t="shared" si="196"/>
        <v>2025</v>
      </c>
      <c r="AD125" s="2556">
        <f t="shared" ref="AD125:AJ125" ca="1" si="218">AD111+AD83</f>
        <v>0</v>
      </c>
      <c r="AE125" s="2556">
        <f t="shared" ca="1" si="218"/>
        <v>0</v>
      </c>
      <c r="AF125" s="2556">
        <f t="shared" ca="1" si="218"/>
        <v>0</v>
      </c>
      <c r="AG125" s="2556">
        <f t="shared" ca="1" si="218"/>
        <v>371674.12438441737</v>
      </c>
      <c r="AH125" s="2556">
        <f t="shared" ca="1" si="218"/>
        <v>0</v>
      </c>
      <c r="AI125" s="2556">
        <f t="shared" ca="1" si="218"/>
        <v>0</v>
      </c>
      <c r="AJ125" s="2557">
        <f t="shared" ca="1" si="218"/>
        <v>0</v>
      </c>
      <c r="AL125" s="2549">
        <f t="shared" si="204"/>
        <v>2025</v>
      </c>
      <c r="AM125" s="2556">
        <f t="shared" ca="1" si="205"/>
        <v>0</v>
      </c>
      <c r="AN125" s="2556">
        <f t="shared" ca="1" si="205"/>
        <v>0</v>
      </c>
      <c r="AO125" s="2556">
        <f t="shared" ca="1" si="205"/>
        <v>0</v>
      </c>
      <c r="AP125" s="2556">
        <f t="shared" ca="1" si="205"/>
        <v>45978.342653629152</v>
      </c>
      <c r="AQ125" s="2556">
        <f t="shared" ca="1" si="205"/>
        <v>45978.342653629152</v>
      </c>
      <c r="AR125" s="2556">
        <f t="shared" ca="1" si="205"/>
        <v>0</v>
      </c>
      <c r="AS125" s="2557">
        <f t="shared" ca="1" si="205"/>
        <v>0</v>
      </c>
    </row>
    <row r="126" spans="2:48">
      <c r="B126" s="2549">
        <f t="shared" si="190"/>
        <v>2026</v>
      </c>
      <c r="C126" s="2556">
        <f t="shared" ref="C126:I128" ca="1" si="219">C112+C84</f>
        <v>0</v>
      </c>
      <c r="D126" s="2556">
        <f t="shared" ca="1" si="219"/>
        <v>0</v>
      </c>
      <c r="E126" s="2556">
        <f t="shared" ca="1" si="219"/>
        <v>0</v>
      </c>
      <c r="F126" s="2556">
        <f t="shared" ca="1" si="219"/>
        <v>0</v>
      </c>
      <c r="G126" s="2556">
        <f t="shared" ca="1" si="219"/>
        <v>0</v>
      </c>
      <c r="H126" s="2556">
        <f t="shared" ca="1" si="219"/>
        <v>0</v>
      </c>
      <c r="I126" s="2557">
        <f t="shared" ca="1" si="219"/>
        <v>0</v>
      </c>
      <c r="K126" s="2549">
        <f t="shared" si="192"/>
        <v>2026</v>
      </c>
      <c r="L126" s="2556">
        <f t="shared" ca="1" si="200"/>
        <v>0</v>
      </c>
      <c r="M126" s="2556">
        <f t="shared" ref="M126:R126" ca="1" si="220">M112+M84</f>
        <v>0</v>
      </c>
      <c r="N126" s="2556">
        <f t="shared" ca="1" si="220"/>
        <v>0</v>
      </c>
      <c r="O126" s="2556">
        <f t="shared" ca="1" si="220"/>
        <v>0</v>
      </c>
      <c r="P126" s="2556">
        <f t="shared" ca="1" si="220"/>
        <v>0</v>
      </c>
      <c r="Q126" s="2556">
        <f t="shared" ca="1" si="220"/>
        <v>0</v>
      </c>
      <c r="R126" s="2557">
        <f t="shared" ca="1" si="220"/>
        <v>0</v>
      </c>
      <c r="T126" s="2549">
        <f t="shared" si="194"/>
        <v>2026</v>
      </c>
      <c r="U126" s="2556">
        <f t="shared" ca="1" si="195"/>
        <v>0</v>
      </c>
      <c r="V126" s="2556">
        <f t="shared" ca="1" si="195"/>
        <v>0</v>
      </c>
      <c r="W126" s="2556">
        <f t="shared" ca="1" si="195"/>
        <v>0</v>
      </c>
      <c r="X126" s="2556">
        <f t="shared" ca="1" si="195"/>
        <v>0</v>
      </c>
      <c r="Y126" s="2556">
        <f t="shared" ca="1" si="195"/>
        <v>0</v>
      </c>
      <c r="Z126" s="2556">
        <f t="shared" ca="1" si="195"/>
        <v>0</v>
      </c>
      <c r="AA126" s="2557">
        <f t="shared" ca="1" si="195"/>
        <v>0</v>
      </c>
      <c r="AC126" s="2549">
        <f t="shared" si="196"/>
        <v>2026</v>
      </c>
      <c r="AD126" s="2556">
        <f t="shared" ref="AD126:AJ126" ca="1" si="221">AD112+AD84</f>
        <v>0</v>
      </c>
      <c r="AE126" s="2556">
        <f t="shared" ca="1" si="221"/>
        <v>0</v>
      </c>
      <c r="AF126" s="2556">
        <f t="shared" ca="1" si="221"/>
        <v>0</v>
      </c>
      <c r="AG126" s="2556">
        <f t="shared" ca="1" si="221"/>
        <v>0</v>
      </c>
      <c r="AH126" s="2556">
        <f t="shared" ca="1" si="221"/>
        <v>372708.68024205993</v>
      </c>
      <c r="AI126" s="2556">
        <f t="shared" ca="1" si="221"/>
        <v>0</v>
      </c>
      <c r="AJ126" s="2557">
        <f t="shared" ca="1" si="221"/>
        <v>0</v>
      </c>
      <c r="AL126" s="2549">
        <f t="shared" si="204"/>
        <v>2026</v>
      </c>
      <c r="AM126" s="2556">
        <f t="shared" ca="1" si="205"/>
        <v>0</v>
      </c>
      <c r="AN126" s="2556">
        <f t="shared" ca="1" si="205"/>
        <v>0</v>
      </c>
      <c r="AO126" s="2556">
        <f t="shared" ca="1" si="205"/>
        <v>0</v>
      </c>
      <c r="AP126" s="2556">
        <f t="shared" ca="1" si="205"/>
        <v>0</v>
      </c>
      <c r="AQ126" s="2556">
        <f t="shared" ca="1" si="205"/>
        <v>46062.658886647507</v>
      </c>
      <c r="AR126" s="2556">
        <f t="shared" ca="1" si="205"/>
        <v>46062.658886647507</v>
      </c>
      <c r="AS126" s="2557">
        <f ca="1">AS112+AS84</f>
        <v>0</v>
      </c>
    </row>
    <row r="127" spans="2:48">
      <c r="B127" s="2549">
        <f t="shared" si="190"/>
        <v>2027</v>
      </c>
      <c r="C127" s="2556">
        <f t="shared" ca="1" si="219"/>
        <v>0</v>
      </c>
      <c r="D127" s="2556">
        <f t="shared" ca="1" si="219"/>
        <v>0</v>
      </c>
      <c r="E127" s="2556">
        <f t="shared" ca="1" si="219"/>
        <v>0</v>
      </c>
      <c r="F127" s="2556">
        <f t="shared" ca="1" si="219"/>
        <v>0</v>
      </c>
      <c r="G127" s="2556">
        <f t="shared" ca="1" si="219"/>
        <v>0</v>
      </c>
      <c r="H127" s="2556">
        <f t="shared" ca="1" si="219"/>
        <v>0</v>
      </c>
      <c r="I127" s="2557">
        <f t="shared" ca="1" si="219"/>
        <v>0</v>
      </c>
      <c r="K127" s="2549">
        <f t="shared" si="192"/>
        <v>2027</v>
      </c>
      <c r="L127" s="2556">
        <f t="shared" ca="1" si="200"/>
        <v>0</v>
      </c>
      <c r="M127" s="2556">
        <f t="shared" ref="M127:R127" ca="1" si="222">M113+M85</f>
        <v>0</v>
      </c>
      <c r="N127" s="2556">
        <f t="shared" ca="1" si="222"/>
        <v>0</v>
      </c>
      <c r="O127" s="2556">
        <f t="shared" ca="1" si="222"/>
        <v>0</v>
      </c>
      <c r="P127" s="2556">
        <f t="shared" ca="1" si="222"/>
        <v>0</v>
      </c>
      <c r="Q127" s="2556">
        <f t="shared" ca="1" si="222"/>
        <v>0</v>
      </c>
      <c r="R127" s="2557">
        <f t="shared" ca="1" si="222"/>
        <v>0</v>
      </c>
      <c r="T127" s="2549">
        <f t="shared" si="194"/>
        <v>2027</v>
      </c>
      <c r="U127" s="2556">
        <f t="shared" ca="1" si="195"/>
        <v>0</v>
      </c>
      <c r="V127" s="2556">
        <f t="shared" ca="1" si="195"/>
        <v>0</v>
      </c>
      <c r="W127" s="2556">
        <f t="shared" ca="1" si="195"/>
        <v>0</v>
      </c>
      <c r="X127" s="2556">
        <f t="shared" ca="1" si="195"/>
        <v>0</v>
      </c>
      <c r="Y127" s="2556">
        <f t="shared" ca="1" si="195"/>
        <v>0</v>
      </c>
      <c r="Z127" s="2556">
        <f t="shared" ca="1" si="195"/>
        <v>0</v>
      </c>
      <c r="AA127" s="2557">
        <f t="shared" ca="1" si="195"/>
        <v>0</v>
      </c>
      <c r="AC127" s="2549">
        <f t="shared" si="196"/>
        <v>2027</v>
      </c>
      <c r="AD127" s="2556">
        <f t="shared" ref="AD127:AJ127" ca="1" si="223">AD113+AD85</f>
        <v>0</v>
      </c>
      <c r="AE127" s="2556">
        <f t="shared" ca="1" si="223"/>
        <v>0</v>
      </c>
      <c r="AF127" s="2556">
        <f t="shared" ca="1" si="223"/>
        <v>0</v>
      </c>
      <c r="AG127" s="2556">
        <f t="shared" ca="1" si="223"/>
        <v>0</v>
      </c>
      <c r="AH127" s="2556">
        <f t="shared" ca="1" si="223"/>
        <v>0</v>
      </c>
      <c r="AI127" s="2556">
        <f t="shared" ca="1" si="223"/>
        <v>424046.40645387041</v>
      </c>
      <c r="AJ127" s="2557">
        <f t="shared" ca="1" si="223"/>
        <v>0</v>
      </c>
      <c r="AL127" s="2549">
        <f t="shared" si="204"/>
        <v>2027</v>
      </c>
      <c r="AM127" s="2556">
        <f t="shared" ca="1" si="205"/>
        <v>0</v>
      </c>
      <c r="AN127" s="2556">
        <f t="shared" ca="1" si="205"/>
        <v>0</v>
      </c>
      <c r="AO127" s="2556">
        <f t="shared" ca="1" si="205"/>
        <v>0</v>
      </c>
      <c r="AP127" s="2556">
        <f t="shared" ca="1" si="205"/>
        <v>0</v>
      </c>
      <c r="AQ127" s="2556">
        <f t="shared" ca="1" si="205"/>
        <v>0</v>
      </c>
      <c r="AR127" s="2556">
        <f t="shared" ca="1" si="205"/>
        <v>52407.432421234655</v>
      </c>
      <c r="AS127" s="2557">
        <f t="shared" ca="1" si="205"/>
        <v>52407.432421234655</v>
      </c>
    </row>
    <row r="128" spans="2:48">
      <c r="B128" s="2549">
        <f t="shared" si="190"/>
        <v>2028</v>
      </c>
      <c r="C128" s="2561">
        <f t="shared" ca="1" si="219"/>
        <v>0</v>
      </c>
      <c r="D128" s="2561">
        <f t="shared" ca="1" si="219"/>
        <v>0</v>
      </c>
      <c r="E128" s="2561">
        <f t="shared" ca="1" si="219"/>
        <v>0</v>
      </c>
      <c r="F128" s="2561">
        <f t="shared" ca="1" si="219"/>
        <v>0</v>
      </c>
      <c r="G128" s="2561">
        <f t="shared" ca="1" si="219"/>
        <v>0</v>
      </c>
      <c r="H128" s="2561">
        <f t="shared" ca="1" si="219"/>
        <v>0</v>
      </c>
      <c r="I128" s="2562">
        <f t="shared" ca="1" si="219"/>
        <v>0</v>
      </c>
      <c r="K128" s="2549">
        <f t="shared" si="192"/>
        <v>2028</v>
      </c>
      <c r="L128" s="2561">
        <f t="shared" ca="1" si="200"/>
        <v>0</v>
      </c>
      <c r="M128" s="2561">
        <f t="shared" ref="M128:R128" ca="1" si="224">M114+M86</f>
        <v>0</v>
      </c>
      <c r="N128" s="2561">
        <f t="shared" ca="1" si="224"/>
        <v>0</v>
      </c>
      <c r="O128" s="2561">
        <f t="shared" ca="1" si="224"/>
        <v>0</v>
      </c>
      <c r="P128" s="2561">
        <f t="shared" ca="1" si="224"/>
        <v>0</v>
      </c>
      <c r="Q128" s="2561">
        <f t="shared" ca="1" si="224"/>
        <v>0</v>
      </c>
      <c r="R128" s="2562">
        <f t="shared" ca="1" si="224"/>
        <v>0</v>
      </c>
      <c r="T128" s="2560">
        <f t="shared" si="194"/>
        <v>2028</v>
      </c>
      <c r="U128" s="2561">
        <f t="shared" ca="1" si="195"/>
        <v>0</v>
      </c>
      <c r="V128" s="2561">
        <f t="shared" ca="1" si="195"/>
        <v>0</v>
      </c>
      <c r="W128" s="2561">
        <f t="shared" ca="1" si="195"/>
        <v>0</v>
      </c>
      <c r="X128" s="2561">
        <f t="shared" ca="1" si="195"/>
        <v>0</v>
      </c>
      <c r="Y128" s="2561">
        <f t="shared" ca="1" si="195"/>
        <v>0</v>
      </c>
      <c r="Z128" s="2561">
        <f t="shared" ca="1" si="195"/>
        <v>0</v>
      </c>
      <c r="AA128" s="2562">
        <f ca="1">AA114+AA86</f>
        <v>0</v>
      </c>
      <c r="AC128" s="2549">
        <f t="shared" si="196"/>
        <v>2028</v>
      </c>
      <c r="AD128" s="2561">
        <f t="shared" ref="AD128:AJ128" ca="1" si="225">AD114+AD86</f>
        <v>0</v>
      </c>
      <c r="AE128" s="2561">
        <f t="shared" ca="1" si="225"/>
        <v>0</v>
      </c>
      <c r="AF128" s="2561">
        <f t="shared" ca="1" si="225"/>
        <v>0</v>
      </c>
      <c r="AG128" s="2561">
        <f t="shared" ca="1" si="225"/>
        <v>0</v>
      </c>
      <c r="AH128" s="2561">
        <f t="shared" ca="1" si="225"/>
        <v>0</v>
      </c>
      <c r="AI128" s="2561">
        <f t="shared" ca="1" si="225"/>
        <v>0</v>
      </c>
      <c r="AJ128" s="2562">
        <f t="shared" ca="1" si="225"/>
        <v>409373.50400130911</v>
      </c>
      <c r="AL128" s="2549">
        <f t="shared" si="204"/>
        <v>2028</v>
      </c>
      <c r="AM128" s="2561">
        <f t="shared" ca="1" si="205"/>
        <v>0</v>
      </c>
      <c r="AN128" s="2561">
        <f t="shared" ca="1" si="205"/>
        <v>0</v>
      </c>
      <c r="AO128" s="2561">
        <f t="shared" ca="1" si="205"/>
        <v>0</v>
      </c>
      <c r="AP128" s="2561">
        <f t="shared" ca="1" si="205"/>
        <v>0</v>
      </c>
      <c r="AQ128" s="2561">
        <f t="shared" ca="1" si="205"/>
        <v>0</v>
      </c>
      <c r="AR128" s="2561">
        <f t="shared" ca="1" si="205"/>
        <v>0</v>
      </c>
      <c r="AS128" s="2562">
        <f ca="1">AS114+AS86</f>
        <v>50594.024426254684</v>
      </c>
      <c r="AV128" s="2585"/>
    </row>
    <row r="129" spans="2:48">
      <c r="B129" s="2586" t="s">
        <v>806</v>
      </c>
      <c r="C129" s="2587">
        <f t="shared" ref="C129:I129" ca="1" si="226">SUM(C118:C128)</f>
        <v>0</v>
      </c>
      <c r="D129" s="2587">
        <f t="shared" ca="1" si="226"/>
        <v>0</v>
      </c>
      <c r="E129" s="2587">
        <f t="shared" ca="1" si="226"/>
        <v>0</v>
      </c>
      <c r="F129" s="2587">
        <f t="shared" ca="1" si="226"/>
        <v>0</v>
      </c>
      <c r="G129" s="2587">
        <f t="shared" ca="1" si="226"/>
        <v>0</v>
      </c>
      <c r="H129" s="2587">
        <f t="shared" ca="1" si="226"/>
        <v>0</v>
      </c>
      <c r="I129" s="2588">
        <f t="shared" ca="1" si="226"/>
        <v>0</v>
      </c>
      <c r="K129" s="2586" t="s">
        <v>806</v>
      </c>
      <c r="L129" s="2587">
        <f t="shared" ref="L129:R129" ca="1" si="227">SUM(L118:L128)</f>
        <v>0</v>
      </c>
      <c r="M129" s="2587">
        <f t="shared" ca="1" si="227"/>
        <v>0</v>
      </c>
      <c r="N129" s="2587">
        <f t="shared" ca="1" si="227"/>
        <v>0</v>
      </c>
      <c r="O129" s="2587">
        <f t="shared" ca="1" si="227"/>
        <v>0</v>
      </c>
      <c r="P129" s="2587">
        <f t="shared" ca="1" si="227"/>
        <v>0</v>
      </c>
      <c r="Q129" s="2587">
        <f t="shared" ca="1" si="227"/>
        <v>0</v>
      </c>
      <c r="R129" s="2588">
        <f t="shared" ca="1" si="227"/>
        <v>0</v>
      </c>
      <c r="T129" s="2586" t="s">
        <v>806</v>
      </c>
      <c r="U129" s="2587">
        <f t="shared" ref="U129:AA129" ca="1" si="228">SUM(U118:U128)</f>
        <v>345779.11122975673</v>
      </c>
      <c r="V129" s="2587">
        <f t="shared" ca="1" si="228"/>
        <v>0</v>
      </c>
      <c r="W129" s="2587">
        <f t="shared" ca="1" si="228"/>
        <v>0</v>
      </c>
      <c r="X129" s="2587">
        <f t="shared" ca="1" si="228"/>
        <v>0</v>
      </c>
      <c r="Y129" s="2587">
        <f t="shared" ca="1" si="228"/>
        <v>0</v>
      </c>
      <c r="Z129" s="2587">
        <f t="shared" ca="1" si="228"/>
        <v>0</v>
      </c>
      <c r="AA129" s="2588">
        <f t="shared" ca="1" si="228"/>
        <v>0</v>
      </c>
      <c r="AC129" s="2586" t="s">
        <v>806</v>
      </c>
      <c r="AD129" s="2587">
        <f t="shared" ref="AD129:AJ129" ca="1" si="229">SUM(AD118:AD128)</f>
        <v>224037.90783581155</v>
      </c>
      <c r="AE129" s="2587">
        <f t="shared" ca="1" si="229"/>
        <v>251314.85859578388</v>
      </c>
      <c r="AF129" s="2587">
        <f t="shared" ca="1" si="229"/>
        <v>346150.40590623551</v>
      </c>
      <c r="AG129" s="2587">
        <f t="shared" ca="1" si="229"/>
        <v>371674.12438441737</v>
      </c>
      <c r="AH129" s="2587">
        <f t="shared" ca="1" si="229"/>
        <v>372708.68024205993</v>
      </c>
      <c r="AI129" s="2587">
        <f t="shared" ca="1" si="229"/>
        <v>424046.40645387041</v>
      </c>
      <c r="AJ129" s="2588">
        <f t="shared" ca="1" si="229"/>
        <v>409373.50400130911</v>
      </c>
      <c r="AL129" s="2586" t="s">
        <v>806</v>
      </c>
      <c r="AM129" s="2587">
        <f t="shared" ref="AM129:AS129" ca="1" si="230">SUM(AM118:AM128)</f>
        <v>0</v>
      </c>
      <c r="AN129" s="2587">
        <f t="shared" ca="1" si="230"/>
        <v>34301.938651287506</v>
      </c>
      <c r="AO129" s="2587">
        <f t="shared" ca="1" si="230"/>
        <v>77219.766927221528</v>
      </c>
      <c r="AP129" s="2587">
        <f t="shared" ca="1" si="230"/>
        <v>88896.170929563174</v>
      </c>
      <c r="AQ129" s="2587">
        <f t="shared" ca="1" si="230"/>
        <v>92041.001540276658</v>
      </c>
      <c r="AR129" s="2587">
        <f t="shared" ca="1" si="230"/>
        <v>98470.091307882161</v>
      </c>
      <c r="AS129" s="2588">
        <f t="shared" ca="1" si="230"/>
        <v>103001.45684748935</v>
      </c>
      <c r="AV129" s="2585"/>
    </row>
    <row r="130" spans="2:48">
      <c r="L130" s="2558"/>
      <c r="M130" s="2558"/>
      <c r="U130" s="2585"/>
      <c r="V130" s="2585"/>
      <c r="W130" s="2585"/>
    </row>
    <row r="131" spans="2:48">
      <c r="B131" s="2538" t="s">
        <v>790</v>
      </c>
      <c r="C131" s="2589">
        <f t="shared" ref="C131:I131" si="231">C5</f>
        <v>2023</v>
      </c>
      <c r="D131" s="2589">
        <f t="shared" si="231"/>
        <v>2024</v>
      </c>
      <c r="E131" s="2589">
        <f t="shared" si="231"/>
        <v>2025</v>
      </c>
      <c r="F131" s="2589">
        <f t="shared" si="231"/>
        <v>2026</v>
      </c>
      <c r="G131" s="2589">
        <f t="shared" si="231"/>
        <v>2027</v>
      </c>
      <c r="H131" s="2589">
        <f t="shared" si="231"/>
        <v>2028</v>
      </c>
      <c r="I131" s="2590">
        <f t="shared" si="231"/>
        <v>2029</v>
      </c>
      <c r="K131" s="2538" t="s">
        <v>790</v>
      </c>
      <c r="L131" s="2589">
        <f t="shared" ref="L131:R131" si="232">L5</f>
        <v>2023</v>
      </c>
      <c r="M131" s="2589">
        <f t="shared" si="232"/>
        <v>2024</v>
      </c>
      <c r="N131" s="2589">
        <f t="shared" si="232"/>
        <v>2025</v>
      </c>
      <c r="O131" s="2589">
        <f t="shared" si="232"/>
        <v>2026</v>
      </c>
      <c r="P131" s="2589">
        <f t="shared" si="232"/>
        <v>2027</v>
      </c>
      <c r="Q131" s="2589">
        <f t="shared" si="232"/>
        <v>2028</v>
      </c>
      <c r="R131" s="2590">
        <f t="shared" si="232"/>
        <v>2029</v>
      </c>
      <c r="T131" s="2538" t="s">
        <v>790</v>
      </c>
      <c r="U131" s="2589">
        <f t="shared" ref="U131:AA131" si="233">U5</f>
        <v>2023</v>
      </c>
      <c r="V131" s="2589">
        <f t="shared" si="233"/>
        <v>2024</v>
      </c>
      <c r="W131" s="2589">
        <f t="shared" si="233"/>
        <v>2025</v>
      </c>
      <c r="X131" s="2589">
        <f t="shared" si="233"/>
        <v>2026</v>
      </c>
      <c r="Y131" s="2589">
        <f t="shared" si="233"/>
        <v>2027</v>
      </c>
      <c r="Z131" s="2589">
        <f t="shared" si="233"/>
        <v>2028</v>
      </c>
      <c r="AA131" s="2590">
        <f t="shared" si="233"/>
        <v>2029</v>
      </c>
      <c r="AC131" s="2538" t="s">
        <v>790</v>
      </c>
      <c r="AD131" s="2589">
        <f t="shared" ref="AD131:AJ131" si="234">AD5</f>
        <v>2023</v>
      </c>
      <c r="AE131" s="2589">
        <f t="shared" si="234"/>
        <v>2024</v>
      </c>
      <c r="AF131" s="2589">
        <f t="shared" si="234"/>
        <v>2025</v>
      </c>
      <c r="AG131" s="2589">
        <f t="shared" si="234"/>
        <v>2026</v>
      </c>
      <c r="AH131" s="2589">
        <f t="shared" si="234"/>
        <v>2027</v>
      </c>
      <c r="AI131" s="2589">
        <f t="shared" si="234"/>
        <v>2028</v>
      </c>
      <c r="AJ131" s="2590">
        <f t="shared" si="234"/>
        <v>2029</v>
      </c>
      <c r="AL131" s="2538" t="s">
        <v>790</v>
      </c>
      <c r="AM131" s="2589">
        <f t="shared" ref="AM131:AS131" si="235">AM5</f>
        <v>2023</v>
      </c>
      <c r="AN131" s="2589">
        <f t="shared" si="235"/>
        <v>2024</v>
      </c>
      <c r="AO131" s="2589">
        <f t="shared" si="235"/>
        <v>2025</v>
      </c>
      <c r="AP131" s="2589">
        <f t="shared" si="235"/>
        <v>2026</v>
      </c>
      <c r="AQ131" s="2589">
        <f t="shared" si="235"/>
        <v>2027</v>
      </c>
      <c r="AR131" s="2589">
        <f t="shared" si="235"/>
        <v>2028</v>
      </c>
      <c r="AS131" s="2590">
        <f t="shared" si="235"/>
        <v>2029</v>
      </c>
    </row>
    <row r="132" spans="2:48">
      <c r="B132" s="2549">
        <v>2018</v>
      </c>
      <c r="C132" s="2565">
        <f>'Inv. start'!B139</f>
        <v>0</v>
      </c>
      <c r="D132" s="2591"/>
      <c r="E132" s="2591"/>
      <c r="F132" s="2591"/>
      <c r="G132" s="2591"/>
      <c r="H132" s="2591"/>
      <c r="I132" s="2592"/>
      <c r="K132" s="2570">
        <v>2018</v>
      </c>
      <c r="L132" s="2565">
        <f>'Inv. start'!B140</f>
        <v>0</v>
      </c>
      <c r="M132" s="2591"/>
      <c r="N132" s="2591"/>
      <c r="O132" s="2591"/>
      <c r="P132" s="2591"/>
      <c r="Q132" s="2591"/>
      <c r="R132" s="2592"/>
      <c r="T132" s="2549">
        <v>2018</v>
      </c>
      <c r="U132" s="2565">
        <f>'Inv. start'!B141</f>
        <v>16186.5</v>
      </c>
      <c r="V132" s="2565"/>
      <c r="W132" s="2556">
        <f>'Prod info'!R139</f>
        <v>0</v>
      </c>
      <c r="X132" s="2556">
        <f>'Prod info'!S139</f>
        <v>0</v>
      </c>
      <c r="Y132" s="2556">
        <f>'Prod info'!T139</f>
        <v>0</v>
      </c>
      <c r="Z132" s="2556">
        <f>'Prod info'!U139</f>
        <v>0</v>
      </c>
      <c r="AA132" s="2557">
        <f>'Prod info'!V139</f>
        <v>0</v>
      </c>
      <c r="AC132" s="2549">
        <v>2018</v>
      </c>
      <c r="AD132" s="2556">
        <f>'Prod info'!P195</f>
        <v>5436</v>
      </c>
      <c r="AE132" s="2556">
        <f>'Prod info'!Q195</f>
        <v>0</v>
      </c>
      <c r="AF132" s="2556">
        <f>'Prod info'!R195</f>
        <v>0</v>
      </c>
      <c r="AG132" s="2556">
        <f>'Prod info'!S195</f>
        <v>0</v>
      </c>
      <c r="AH132" s="2556">
        <f>'Prod info'!T195</f>
        <v>0</v>
      </c>
      <c r="AI132" s="2556">
        <f>'Prod info'!U195</f>
        <v>0</v>
      </c>
      <c r="AJ132" s="2557">
        <f>'Prod info'!V195</f>
        <v>0</v>
      </c>
      <c r="AL132" s="2549">
        <v>2018</v>
      </c>
      <c r="AM132" s="2558">
        <f>'Prod info'!P251</f>
        <v>898.5</v>
      </c>
      <c r="AN132" s="2556">
        <f>'Prod info'!Q251</f>
        <v>0</v>
      </c>
      <c r="AO132" s="2556">
        <f>'Prod info'!R251</f>
        <v>0</v>
      </c>
      <c r="AP132" s="2556">
        <f>'Prod info'!S251</f>
        <v>0</v>
      </c>
      <c r="AQ132" s="2556">
        <f>'Prod info'!T251</f>
        <v>0</v>
      </c>
      <c r="AR132" s="2556">
        <f>'Prod info'!U251</f>
        <v>0</v>
      </c>
      <c r="AS132" s="2557">
        <f>'Prod info'!V251</f>
        <v>0</v>
      </c>
    </row>
    <row r="133" spans="2:48">
      <c r="B133" s="2549">
        <v>2019</v>
      </c>
      <c r="C133" s="2565">
        <f>'Inv. start'!B139</f>
        <v>0</v>
      </c>
      <c r="D133" s="2556"/>
      <c r="E133" s="2556"/>
      <c r="F133" s="2556"/>
      <c r="G133" s="2556"/>
      <c r="H133" s="2556"/>
      <c r="I133" s="2557"/>
      <c r="K133" s="2549">
        <v>2019</v>
      </c>
      <c r="L133" s="2565">
        <f>'Inv. start'!C24</f>
        <v>0</v>
      </c>
      <c r="M133" s="2556"/>
      <c r="N133" s="2556"/>
      <c r="O133" s="2556"/>
      <c r="P133" s="2556"/>
      <c r="Q133" s="2556"/>
      <c r="R133" s="2557"/>
      <c r="T133" s="2549">
        <v>2019</v>
      </c>
      <c r="U133" s="2565"/>
      <c r="V133" s="2565">
        <f>U35+'Inv. start'!C66</f>
        <v>22658</v>
      </c>
      <c r="W133" s="2556">
        <f>'Prod info'!R140</f>
        <v>0</v>
      </c>
      <c r="X133" s="2556">
        <f>'Prod info'!S140</f>
        <v>0</v>
      </c>
      <c r="Y133" s="2556">
        <f>'Prod info'!T140</f>
        <v>0</v>
      </c>
      <c r="Z133" s="2556">
        <f>'Prod info'!U140</f>
        <v>0</v>
      </c>
      <c r="AA133" s="2557">
        <f>'Prod info'!V140</f>
        <v>0</v>
      </c>
      <c r="AC133" s="2549">
        <f>AC134-1</f>
        <v>2019</v>
      </c>
      <c r="AD133" s="2556">
        <f>'Prod info'!P196</f>
        <v>11011.5</v>
      </c>
      <c r="AE133" s="2556">
        <f>'Prod info'!Q196</f>
        <v>0</v>
      </c>
      <c r="AF133" s="2556">
        <f>'Prod info'!R196</f>
        <v>0</v>
      </c>
      <c r="AG133" s="2556">
        <f>'Prod info'!S196</f>
        <v>0</v>
      </c>
      <c r="AH133" s="2556">
        <f>'Prod info'!T196</f>
        <v>0</v>
      </c>
      <c r="AI133" s="2556">
        <f>'Prod info'!U196</f>
        <v>0</v>
      </c>
      <c r="AJ133" s="2557">
        <f>'Prod info'!V196</f>
        <v>0</v>
      </c>
      <c r="AL133" s="2549">
        <v>2019</v>
      </c>
      <c r="AM133" s="2558">
        <f>'Prod info'!P252</f>
        <v>1835</v>
      </c>
      <c r="AN133" s="2556">
        <f>'Prod info'!Q252</f>
        <v>0</v>
      </c>
      <c r="AO133" s="2556">
        <f>'Prod info'!R252</f>
        <v>0</v>
      </c>
      <c r="AP133" s="2556">
        <f>'Prod info'!S252</f>
        <v>0</v>
      </c>
      <c r="AQ133" s="2556">
        <f>'Prod info'!T252</f>
        <v>0</v>
      </c>
      <c r="AR133" s="2556">
        <f>'Prod info'!U252</f>
        <v>0</v>
      </c>
      <c r="AS133" s="2557">
        <f>'Prod info'!V252</f>
        <v>0</v>
      </c>
    </row>
    <row r="134" spans="2:48">
      <c r="B134" s="2549">
        <f>B135-1</f>
        <v>2020</v>
      </c>
      <c r="C134" s="2565">
        <f>'Inv. start'!C139</f>
        <v>0</v>
      </c>
      <c r="D134" s="2556"/>
      <c r="E134" s="2556"/>
      <c r="F134" s="2556"/>
      <c r="G134" s="2556"/>
      <c r="H134" s="2556"/>
      <c r="I134" s="2557"/>
      <c r="K134" s="2549">
        <v>2020</v>
      </c>
      <c r="L134" s="2565">
        <f>'Inv. start'!D24</f>
        <v>0</v>
      </c>
      <c r="M134" s="2556"/>
      <c r="N134" s="2556"/>
      <c r="O134" s="2556"/>
      <c r="P134" s="2556"/>
      <c r="Q134" s="2556"/>
      <c r="R134" s="2557"/>
      <c r="T134" s="2549">
        <v>2020</v>
      </c>
      <c r="U134" s="2565"/>
      <c r="V134" s="2565">
        <f>U36+'Inv. start'!D66</f>
        <v>20750</v>
      </c>
      <c r="W134" s="2556">
        <f>'Prod info'!R141</f>
        <v>0</v>
      </c>
      <c r="X134" s="2556">
        <f>'Prod info'!S141</f>
        <v>0</v>
      </c>
      <c r="Y134" s="2556">
        <f>'Prod info'!T141</f>
        <v>0</v>
      </c>
      <c r="Z134" s="2556">
        <f>'Prod info'!U141</f>
        <v>0</v>
      </c>
      <c r="AA134" s="2557">
        <f>'Prod info'!V141</f>
        <v>0</v>
      </c>
      <c r="AC134" s="2549">
        <v>2020</v>
      </c>
      <c r="AD134" s="2556">
        <f>'Prod info'!P197</f>
        <v>0</v>
      </c>
      <c r="AE134" s="2556">
        <f>'Prod info'!Q197</f>
        <v>9225</v>
      </c>
      <c r="AF134" s="2556">
        <f>'Prod info'!R197</f>
        <v>0</v>
      </c>
      <c r="AG134" s="2556">
        <f>'Prod info'!S197</f>
        <v>0</v>
      </c>
      <c r="AH134" s="2556">
        <f>'Prod info'!T197</f>
        <v>0</v>
      </c>
      <c r="AI134" s="2556">
        <f>'Prod info'!U197</f>
        <v>0</v>
      </c>
      <c r="AJ134" s="2557">
        <f>'Prod info'!V197</f>
        <v>0</v>
      </c>
      <c r="AL134" s="2549">
        <f>AL135-1</f>
        <v>2020</v>
      </c>
      <c r="AM134" s="2558">
        <f>'Prod info'!P253</f>
        <v>0</v>
      </c>
      <c r="AN134" s="2556">
        <f>'Prod info'!Q253</f>
        <v>0</v>
      </c>
      <c r="AO134" s="2556">
        <f>'Prod info'!R253</f>
        <v>0</v>
      </c>
      <c r="AP134" s="2556">
        <f>'Prod info'!S253</f>
        <v>0</v>
      </c>
      <c r="AQ134" s="2556">
        <f>'Prod info'!T253</f>
        <v>0</v>
      </c>
      <c r="AR134" s="2556">
        <f>'Prod info'!U253</f>
        <v>0</v>
      </c>
      <c r="AS134" s="2557">
        <f>'Prod info'!V253</f>
        <v>0</v>
      </c>
    </row>
    <row r="135" spans="2:48">
      <c r="B135" s="2549">
        <f>B136-1</f>
        <v>2021</v>
      </c>
      <c r="C135" s="2565">
        <f>'Inv. start'!E139</f>
        <v>1756.5</v>
      </c>
      <c r="D135" s="2556"/>
      <c r="E135" s="2556"/>
      <c r="F135" s="2556"/>
      <c r="G135" s="2556"/>
      <c r="H135" s="2556"/>
      <c r="I135" s="2557"/>
      <c r="K135" s="2549">
        <f>K136-1</f>
        <v>2021</v>
      </c>
      <c r="L135" s="2565">
        <f>'Inv. start'!E24</f>
        <v>3950</v>
      </c>
      <c r="M135" s="2556"/>
      <c r="N135" s="2556"/>
      <c r="O135" s="2556"/>
      <c r="P135" s="2556"/>
      <c r="Q135" s="2556"/>
      <c r="R135" s="2557"/>
      <c r="T135" s="2549">
        <v>2021</v>
      </c>
      <c r="U135" s="2558">
        <f>'Inv. start'!E125</f>
        <v>0</v>
      </c>
      <c r="V135" s="2558">
        <f>U37</f>
        <v>0</v>
      </c>
      <c r="W135" s="2556">
        <f>'Prod info'!R142</f>
        <v>0</v>
      </c>
      <c r="X135" s="2556">
        <f>'Prod info'!S142</f>
        <v>0</v>
      </c>
      <c r="Y135" s="2556">
        <f>'Prod info'!T142</f>
        <v>0</v>
      </c>
      <c r="Z135" s="2556">
        <f>'Prod info'!U142</f>
        <v>0</v>
      </c>
      <c r="AA135" s="2557">
        <f>'Prod info'!V142</f>
        <v>0</v>
      </c>
      <c r="AC135" s="2549">
        <v>2021</v>
      </c>
      <c r="AD135" s="2556">
        <f>'Prod info'!P198</f>
        <v>0</v>
      </c>
      <c r="AE135" s="2556">
        <f>'Prod info'!Q198</f>
        <v>18900</v>
      </c>
      <c r="AF135" s="2556">
        <f>'Prod info'!R198</f>
        <v>0</v>
      </c>
      <c r="AG135" s="2556">
        <f>'Prod info'!S198</f>
        <v>0</v>
      </c>
      <c r="AH135" s="2556">
        <f>'Prod info'!T198</f>
        <v>0</v>
      </c>
      <c r="AI135" s="2556">
        <f>'Prod info'!U198</f>
        <v>0</v>
      </c>
      <c r="AJ135" s="2557">
        <f>'Prod info'!V198</f>
        <v>0</v>
      </c>
      <c r="AL135" s="2549">
        <f>AL136-1</f>
        <v>2021</v>
      </c>
      <c r="AM135" s="2558">
        <f>'Prod info'!P254</f>
        <v>0</v>
      </c>
      <c r="AN135" s="2556">
        <f>'Prod info'!Q254</f>
        <v>0</v>
      </c>
      <c r="AO135" s="2556">
        <f>'Prod info'!R254</f>
        <v>0</v>
      </c>
      <c r="AP135" s="2556">
        <f>'Prod info'!S254</f>
        <v>0</v>
      </c>
      <c r="AQ135" s="2556">
        <f>'Prod info'!T254</f>
        <v>0</v>
      </c>
      <c r="AR135" s="2556">
        <f>'Prod info'!U254</f>
        <v>0</v>
      </c>
      <c r="AS135" s="2557">
        <f>'Prod info'!V254</f>
        <v>0</v>
      </c>
    </row>
    <row r="136" spans="2:48">
      <c r="B136" s="2549">
        <f>B137-1</f>
        <v>2022</v>
      </c>
      <c r="C136" s="2565"/>
      <c r="D136" s="2556"/>
      <c r="E136" s="2556"/>
      <c r="F136" s="2556"/>
      <c r="G136" s="2556"/>
      <c r="H136" s="2556"/>
      <c r="I136" s="2557"/>
      <c r="K136" s="2549">
        <f>K137-1</f>
        <v>2022</v>
      </c>
      <c r="L136" s="2565">
        <f>'Inv. start'!E124</f>
        <v>0</v>
      </c>
      <c r="M136" s="2556"/>
      <c r="N136" s="2556"/>
      <c r="O136" s="2556"/>
      <c r="P136" s="2556"/>
      <c r="Q136" s="2556"/>
      <c r="R136" s="2557"/>
      <c r="T136" s="2549">
        <v>2022</v>
      </c>
      <c r="U136" s="2558">
        <f>'Inv. start'!E126</f>
        <v>0</v>
      </c>
      <c r="V136" s="2556">
        <f>'Prod info'!Q144</f>
        <v>0</v>
      </c>
      <c r="W136" s="2556">
        <f>'Prod info'!R143</f>
        <v>0</v>
      </c>
      <c r="X136" s="2556">
        <f>'Prod info'!S143</f>
        <v>0</v>
      </c>
      <c r="Y136" s="2556">
        <f>'Prod info'!T143</f>
        <v>0</v>
      </c>
      <c r="Z136" s="2556">
        <f>'Prod info'!U143</f>
        <v>0</v>
      </c>
      <c r="AA136" s="2557">
        <f>'Prod info'!V143</f>
        <v>0</v>
      </c>
      <c r="AC136" s="2549">
        <v>2022</v>
      </c>
      <c r="AD136" s="2556">
        <f>'Prod info'!P200</f>
        <v>0</v>
      </c>
      <c r="AE136" s="2556">
        <f ca="1">'Prod info'!Q200</f>
        <v>0</v>
      </c>
      <c r="AF136" s="2556">
        <f>'Prod info'!R199</f>
        <v>0</v>
      </c>
      <c r="AG136" s="2556">
        <f>'Prod info'!S199</f>
        <v>0</v>
      </c>
      <c r="AH136" s="2556">
        <f>'Prod info'!T199</f>
        <v>0</v>
      </c>
      <c r="AI136" s="2556">
        <f>'Prod info'!U199</f>
        <v>0</v>
      </c>
      <c r="AJ136" s="2557">
        <f>'Prod info'!V199</f>
        <v>0</v>
      </c>
      <c r="AL136" s="2549">
        <f>AL137-1</f>
        <v>2022</v>
      </c>
      <c r="AM136" s="2558">
        <f>'Prod info'!P255</f>
        <v>0</v>
      </c>
      <c r="AN136" s="2556">
        <f>'Prod info'!Q255</f>
        <v>0</v>
      </c>
      <c r="AO136" s="2556">
        <f>'Prod info'!R255</f>
        <v>0</v>
      </c>
      <c r="AP136" s="2556">
        <f>'Prod info'!S255</f>
        <v>0</v>
      </c>
      <c r="AQ136" s="2556">
        <f>'Prod info'!T255</f>
        <v>0</v>
      </c>
      <c r="AR136" s="2556">
        <f>'Prod info'!U255</f>
        <v>0</v>
      </c>
      <c r="AS136" s="2557">
        <f>'Prod info'!V255</f>
        <v>0</v>
      </c>
      <c r="AV136" s="2585"/>
    </row>
    <row r="137" spans="2:48">
      <c r="B137" s="2549">
        <f t="shared" ref="B137:B143" si="236">B6</f>
        <v>2023</v>
      </c>
      <c r="C137" s="2556">
        <f>IF(C$5-$B6=$C$3,'Prod info'!P268,0)</f>
        <v>0</v>
      </c>
      <c r="D137" s="2556">
        <f>IF(D$5-$B6=$C$3,'Prod info'!Q268,0)</f>
        <v>1699.5</v>
      </c>
      <c r="E137" s="2556">
        <f>IF(E$5-$B6=$C$3,'Prod info'!R268,0)</f>
        <v>0</v>
      </c>
      <c r="F137" s="2556">
        <f>IF(F$5-$B6=$C$3,'Prod info'!S268,0)</f>
        <v>0</v>
      </c>
      <c r="G137" s="2556">
        <f>IF(G$5-$B6=$C$3,'Prod info'!T268,0)</f>
        <v>0</v>
      </c>
      <c r="H137" s="2556">
        <f>IF(H$5-$B6=$C$3,'Prod info'!U268,0)</f>
        <v>0</v>
      </c>
      <c r="I137" s="2557">
        <f>IF(I$5-$B6=$C$3,'Prod info'!V268,0)</f>
        <v>0</v>
      </c>
      <c r="K137" s="2549">
        <f t="shared" ref="K137:K143" si="237">K6</f>
        <v>2023</v>
      </c>
      <c r="L137" s="2556">
        <f>IF(L$5-$K6=$L$3,'Prod info'!P269,0)</f>
        <v>0</v>
      </c>
      <c r="M137" s="2556">
        <f>IF(M$5-$K6=$L$3,'Prod info'!Q269,0)</f>
        <v>0</v>
      </c>
      <c r="N137" s="2556">
        <f>IF(N$5-$K6=$L$3,'Prod info'!R269,0)</f>
        <v>0</v>
      </c>
      <c r="O137" s="2556">
        <f>IF(O$5-$K6=$L$3,'Prod info'!S269,0)</f>
        <v>0</v>
      </c>
      <c r="P137" s="2556">
        <f>IF(P$5-$K6=$L$3,'Prod info'!T269,0)</f>
        <v>0</v>
      </c>
      <c r="Q137" s="2556">
        <f>IF(Q$5-$K6=$L$3,'Prod info'!U269,0)</f>
        <v>0</v>
      </c>
      <c r="R137" s="2557">
        <f>IF(R$5-$K6=$L$3,'Prod info'!V269,0)</f>
        <v>0</v>
      </c>
      <c r="T137" s="2549">
        <f t="shared" ref="T137:T143" si="238">T6</f>
        <v>2023</v>
      </c>
      <c r="U137" s="2556">
        <f>'Prod info'!P145</f>
        <v>0</v>
      </c>
      <c r="V137" s="2556">
        <f>'Prod info'!Q145</f>
        <v>0</v>
      </c>
      <c r="W137" s="2556">
        <f>'Prod info'!R145</f>
        <v>0</v>
      </c>
      <c r="X137" s="2556">
        <f>'Prod info'!S145</f>
        <v>0</v>
      </c>
      <c r="Y137" s="2556">
        <f>'Prod info'!T145</f>
        <v>0</v>
      </c>
      <c r="Z137" s="2556">
        <f>'Prod info'!U145</f>
        <v>0</v>
      </c>
      <c r="AA137" s="2557">
        <f>'Prod info'!V145</f>
        <v>0</v>
      </c>
      <c r="AC137" s="2549">
        <v>2023</v>
      </c>
      <c r="AD137" s="2556">
        <f>'Prod info'!P201</f>
        <v>0</v>
      </c>
      <c r="AE137" s="2556">
        <f>'Prod info'!Q201</f>
        <v>0</v>
      </c>
      <c r="AF137" s="2556">
        <f ca="1">'Prod info'!R200</f>
        <v>31321</v>
      </c>
      <c r="AG137" s="2556">
        <f>'Prod info'!S200</f>
        <v>0</v>
      </c>
      <c r="AH137" s="2556">
        <f>'Prod info'!T200</f>
        <v>0</v>
      </c>
      <c r="AI137" s="2556">
        <f>'Prod info'!U200</f>
        <v>0</v>
      </c>
      <c r="AJ137" s="2557">
        <f>'Prod info'!V200</f>
        <v>0</v>
      </c>
      <c r="AL137" s="2549">
        <f t="shared" ref="AL137:AL143" si="239">AL6</f>
        <v>2023</v>
      </c>
      <c r="AM137" s="2558">
        <f>'Prod info'!P256</f>
        <v>0</v>
      </c>
      <c r="AN137" s="2556">
        <f>'Prod info'!Q256</f>
        <v>0</v>
      </c>
      <c r="AO137" s="2556">
        <f>'Prod info'!R256</f>
        <v>0</v>
      </c>
      <c r="AP137" s="2556">
        <f>'Prod info'!S256</f>
        <v>4275</v>
      </c>
      <c r="AQ137" s="2556">
        <f>'Prod info'!T256</f>
        <v>0</v>
      </c>
      <c r="AR137" s="2556">
        <f>'Prod info'!U256</f>
        <v>0</v>
      </c>
      <c r="AS137" s="2557">
        <f>'Prod info'!V256</f>
        <v>0</v>
      </c>
    </row>
    <row r="138" spans="2:48">
      <c r="B138" s="2549">
        <f t="shared" si="236"/>
        <v>2024</v>
      </c>
      <c r="C138" s="2556">
        <f>IF(C$5-$B7=$C$3,'Prod info'!P268,0)</f>
        <v>0</v>
      </c>
      <c r="D138" s="2556">
        <f>IF(D$5-$B7=$C$3,'Prod info'!Q268,0)</f>
        <v>0</v>
      </c>
      <c r="E138" s="2556">
        <f>IF(E$5-$B7=$C$3,'Prod info'!R268,0)</f>
        <v>2804.25</v>
      </c>
      <c r="F138" s="2556">
        <f>IF(F$5-$B7=$C$3,'Prod info'!S268,0)</f>
        <v>0</v>
      </c>
      <c r="G138" s="2556">
        <f>IF(G$5-$B7=$C$3,'Prod info'!T268,0)</f>
        <v>0</v>
      </c>
      <c r="H138" s="2556">
        <f>IF(H$5-$B7=$C$3,'Prod info'!U268,0)</f>
        <v>0</v>
      </c>
      <c r="I138" s="2557">
        <f>IF(I$5-$B7=$C$3,'Prod info'!V268,0)</f>
        <v>0</v>
      </c>
      <c r="K138" s="2549">
        <f t="shared" si="237"/>
        <v>2024</v>
      </c>
      <c r="L138" s="2556">
        <f>IF(L$5-$K7=$L$3,'Prod info'!P269,0)</f>
        <v>0</v>
      </c>
      <c r="M138" s="2556">
        <f>IF(M$5-$K7=$L$3,'Prod info'!Q269,0)</f>
        <v>0</v>
      </c>
      <c r="N138" s="2556">
        <f>IF(N$5-$K7=$L$3,'Prod info'!R269,0)</f>
        <v>0</v>
      </c>
      <c r="O138" s="2556">
        <f>IF(O$5-$K7=$L$3,'Prod info'!S269,0)</f>
        <v>0</v>
      </c>
      <c r="P138" s="2556">
        <f>IF(P$5-$K7=$L$3,'Prod info'!T269,0)</f>
        <v>0</v>
      </c>
      <c r="Q138" s="2556">
        <f>IF(Q$5-$K7=$L$3,'Prod info'!U269,0)</f>
        <v>0</v>
      </c>
      <c r="R138" s="2557">
        <f>IF(R$5-$K7=$L$3,'Prod info'!V269,0)</f>
        <v>0</v>
      </c>
      <c r="T138" s="2549">
        <f t="shared" si="238"/>
        <v>2024</v>
      </c>
      <c r="U138" s="2556">
        <f>'Prod info'!P146</f>
        <v>0</v>
      </c>
      <c r="V138" s="2556">
        <f>'Prod info'!Q146</f>
        <v>0</v>
      </c>
      <c r="W138" s="2556">
        <f>'Prod info'!R146</f>
        <v>0</v>
      </c>
      <c r="X138" s="2556">
        <f>'Prod info'!S146</f>
        <v>0</v>
      </c>
      <c r="Y138" s="2556">
        <f>'Prod info'!T146</f>
        <v>0</v>
      </c>
      <c r="Z138" s="2556">
        <f>'Prod info'!U146</f>
        <v>0</v>
      </c>
      <c r="AA138" s="2557">
        <f>'Prod info'!V146</f>
        <v>0</v>
      </c>
      <c r="AC138" s="2549">
        <f t="shared" ref="AC138:AC143" si="240">AC7</f>
        <v>2024</v>
      </c>
      <c r="AD138" s="2556">
        <f>'Prod info'!P202</f>
        <v>0</v>
      </c>
      <c r="AE138" s="2556">
        <f>'Prod info'!Q202</f>
        <v>0</v>
      </c>
      <c r="AF138" s="2556">
        <f ca="1">'Prod info'!R201</f>
        <v>0</v>
      </c>
      <c r="AG138" s="2556">
        <f ca="1">'Prod info'!S201</f>
        <v>45368</v>
      </c>
      <c r="AH138" s="2556">
        <f>'Prod info'!T201</f>
        <v>0</v>
      </c>
      <c r="AI138" s="2556">
        <f>'Prod info'!U201</f>
        <v>0</v>
      </c>
      <c r="AJ138" s="2557">
        <f>'Prod info'!V201</f>
        <v>0</v>
      </c>
      <c r="AL138" s="2549">
        <f t="shared" si="239"/>
        <v>2024</v>
      </c>
      <c r="AM138" s="2558">
        <f>'Prod info'!P257</f>
        <v>0</v>
      </c>
      <c r="AN138" s="2556">
        <f>'Prod info'!Q257</f>
        <v>0</v>
      </c>
      <c r="AO138" s="2556">
        <f>'Prod info'!R257</f>
        <v>0</v>
      </c>
      <c r="AP138" s="2556">
        <f>'Prod info'!S257</f>
        <v>0</v>
      </c>
      <c r="AQ138" s="2556">
        <f>'Prod info'!T257</f>
        <v>5625</v>
      </c>
      <c r="AR138" s="2556">
        <f>'Prod info'!U257</f>
        <v>0</v>
      </c>
      <c r="AS138" s="2557">
        <f>'Prod info'!V257</f>
        <v>0</v>
      </c>
    </row>
    <row r="139" spans="2:48">
      <c r="B139" s="2549">
        <f t="shared" si="236"/>
        <v>2025</v>
      </c>
      <c r="C139" s="2556">
        <f>IF(C$5-$B8=$C$3,'Prod info'!P268,0)</f>
        <v>0</v>
      </c>
      <c r="D139" s="2556">
        <f>IF(D$5-$B8=$C$3,'Prod info'!Q268,0)</f>
        <v>0</v>
      </c>
      <c r="E139" s="2556">
        <f>IF(E$5-$B8=$C$3,'Prod info'!R268,0)</f>
        <v>0</v>
      </c>
      <c r="F139" s="2556">
        <f>IF(F$5-$B8=$C$3,'Prod info'!S268,0)</f>
        <v>3295.5</v>
      </c>
      <c r="G139" s="2556">
        <f>IF(G$5-$B8=$C$3,'Prod info'!T268,0)</f>
        <v>0</v>
      </c>
      <c r="H139" s="2556">
        <f>IF(H$5-$B8=$C$3,'Prod info'!U268,0)</f>
        <v>0</v>
      </c>
      <c r="I139" s="2557">
        <f>IF(I$5-$B8=$C$3,'Prod info'!V268,0)</f>
        <v>0</v>
      </c>
      <c r="K139" s="2549">
        <f t="shared" si="237"/>
        <v>2025</v>
      </c>
      <c r="L139" s="2556">
        <f>IF(L$5-$K8=$L$3,'Prod info'!P269,0)</f>
        <v>0</v>
      </c>
      <c r="M139" s="2556">
        <f>IF(M$5-$K8=$L$3,'Prod info'!Q269,0)</f>
        <v>0</v>
      </c>
      <c r="N139" s="2556">
        <f>IF(N$5-$K8=$L$3,'Prod info'!R269,0)</f>
        <v>0</v>
      </c>
      <c r="O139" s="2556">
        <f>IF(O$5-$K8=$L$3,'Prod info'!S269,0)</f>
        <v>0</v>
      </c>
      <c r="P139" s="2556">
        <f>IF(P$5-$K8=$L$3,'Prod info'!T269,0)</f>
        <v>0</v>
      </c>
      <c r="Q139" s="2556">
        <f>IF(Q$5-$K8=$L$3,'Prod info'!U269,0)</f>
        <v>0</v>
      </c>
      <c r="R139" s="2557">
        <f>IF(R$5-$K8=$L$3,'Prod info'!V269,0)</f>
        <v>0</v>
      </c>
      <c r="T139" s="2549">
        <f t="shared" si="238"/>
        <v>2025</v>
      </c>
      <c r="U139" s="2556">
        <f>'Prod info'!P147</f>
        <v>0</v>
      </c>
      <c r="V139" s="2556">
        <f>'Prod info'!Q147</f>
        <v>0</v>
      </c>
      <c r="W139" s="2556">
        <f>'Prod info'!R147</f>
        <v>0</v>
      </c>
      <c r="X139" s="2556">
        <f>'Prod info'!S147</f>
        <v>0</v>
      </c>
      <c r="Y139" s="2556">
        <f>'Prod info'!T147</f>
        <v>0</v>
      </c>
      <c r="Z139" s="2556">
        <f>'Prod info'!U147</f>
        <v>0</v>
      </c>
      <c r="AA139" s="2557">
        <f>'Prod info'!V147</f>
        <v>0</v>
      </c>
      <c r="AC139" s="2549">
        <f t="shared" si="240"/>
        <v>2025</v>
      </c>
      <c r="AD139" s="2556">
        <f>'Prod info'!P203</f>
        <v>0</v>
      </c>
      <c r="AE139" s="2556">
        <f>'Prod info'!Q203</f>
        <v>0</v>
      </c>
      <c r="AF139" s="2556">
        <f>'Prod info'!R202</f>
        <v>0</v>
      </c>
      <c r="AG139" s="2556">
        <f ca="1">'Prod info'!S202</f>
        <v>0</v>
      </c>
      <c r="AH139" s="2556">
        <f ca="1">'Prod info'!T202</f>
        <v>52746</v>
      </c>
      <c r="AI139" s="2556">
        <f>'Prod info'!U202</f>
        <v>0</v>
      </c>
      <c r="AJ139" s="2557">
        <f>'Prod info'!V202</f>
        <v>0</v>
      </c>
      <c r="AL139" s="2549">
        <f t="shared" si="239"/>
        <v>2025</v>
      </c>
      <c r="AM139" s="2558">
        <f>'Prod info'!P258</f>
        <v>0</v>
      </c>
      <c r="AN139" s="2556">
        <f>'Prod info'!Q258</f>
        <v>0</v>
      </c>
      <c r="AO139" s="2556">
        <f>'Prod info'!R258</f>
        <v>0</v>
      </c>
      <c r="AP139" s="2556">
        <f>'Prod info'!S258</f>
        <v>0</v>
      </c>
      <c r="AQ139" s="2556">
        <f>'Prod info'!T258</f>
        <v>0</v>
      </c>
      <c r="AR139" s="2556">
        <f>'Prod info'!U258</f>
        <v>6525</v>
      </c>
      <c r="AS139" s="2557">
        <f>'Prod info'!V258</f>
        <v>0</v>
      </c>
    </row>
    <row r="140" spans="2:48">
      <c r="B140" s="2549">
        <f t="shared" si="236"/>
        <v>2026</v>
      </c>
      <c r="C140" s="2556">
        <f>IF(C$5-$B9=$C$3,'Prod info'!P268,0)</f>
        <v>0</v>
      </c>
      <c r="D140" s="2556">
        <f>IF(D$5-$B9=$C$3,'Prod info'!Q268,0)</f>
        <v>0</v>
      </c>
      <c r="E140" s="2556">
        <f>IF(E$5-$B9=$C$3,'Prod info'!R268,0)</f>
        <v>0</v>
      </c>
      <c r="F140" s="2556">
        <f>IF(F$5-$B9=$C$3,'Prod info'!S268,0)</f>
        <v>0</v>
      </c>
      <c r="G140" s="2556">
        <f>IF(G$5-$B9=$C$3,'Prod info'!T268,0)</f>
        <v>3312</v>
      </c>
      <c r="H140" s="2556">
        <f>IF(H$5-$B9=$C$3,'Prod info'!U268,0)</f>
        <v>0</v>
      </c>
      <c r="I140" s="2557">
        <f>IF(I$5-$B9=$C$3,'Prod info'!V268,0)</f>
        <v>0</v>
      </c>
      <c r="K140" s="2549">
        <f t="shared" si="237"/>
        <v>2026</v>
      </c>
      <c r="L140" s="2556">
        <f>IF(L$5-$K9=$L$3,'Prod info'!P269,0)</f>
        <v>0</v>
      </c>
      <c r="M140" s="2556">
        <f>IF(M$5-$K9=$L$3,'Prod info'!Q269,0)</f>
        <v>0</v>
      </c>
      <c r="N140" s="2556">
        <f>IF(N$5-$K9=$L$3,'Prod info'!R269,0)</f>
        <v>0</v>
      </c>
      <c r="O140" s="2556">
        <f>IF(O$5-$K9=$L$3,'Prod info'!S269,0)</f>
        <v>0</v>
      </c>
      <c r="P140" s="2556">
        <f>IF(P$5-$K9=$L$3,'Prod info'!T269,0)</f>
        <v>0</v>
      </c>
      <c r="Q140" s="2556">
        <f>IF(Q$5-$K9=$L$3,'Prod info'!U269,0)</f>
        <v>0</v>
      </c>
      <c r="R140" s="2557">
        <f>IF(R$5-$K9=$L$3,'Prod info'!V269,0)</f>
        <v>0</v>
      </c>
      <c r="T140" s="2549">
        <f t="shared" si="238"/>
        <v>2026</v>
      </c>
      <c r="U140" s="2556">
        <f>'Prod info'!P148</f>
        <v>0</v>
      </c>
      <c r="V140" s="2556">
        <f>'Prod info'!Q148</f>
        <v>0</v>
      </c>
      <c r="W140" s="2556">
        <f>'Prod info'!R148</f>
        <v>0</v>
      </c>
      <c r="X140" s="2556">
        <f>'Prod info'!S148</f>
        <v>0</v>
      </c>
      <c r="Y140" s="2556">
        <f>'Prod info'!T148</f>
        <v>0</v>
      </c>
      <c r="Z140" s="2556">
        <f>'Prod info'!U148</f>
        <v>0</v>
      </c>
      <c r="AA140" s="2557">
        <f>'Prod info'!V148</f>
        <v>0</v>
      </c>
      <c r="AC140" s="2549">
        <f t="shared" si="240"/>
        <v>2026</v>
      </c>
      <c r="AD140" s="2556">
        <f>'Prod info'!P204</f>
        <v>0</v>
      </c>
      <c r="AE140" s="2556">
        <f>'Prod info'!Q204</f>
        <v>0</v>
      </c>
      <c r="AF140" s="2556">
        <f>'Prod info'!R203</f>
        <v>0</v>
      </c>
      <c r="AG140" s="2556">
        <f>'Prod info'!S203</f>
        <v>0</v>
      </c>
      <c r="AH140" s="2556">
        <f ca="1">'Prod info'!T203</f>
        <v>0</v>
      </c>
      <c r="AI140" s="2556">
        <f ca="1">'Prod info'!U203</f>
        <v>52796</v>
      </c>
      <c r="AJ140" s="2557">
        <f>'Prod info'!V203</f>
        <v>0</v>
      </c>
      <c r="AL140" s="2549">
        <f t="shared" si="239"/>
        <v>2026</v>
      </c>
      <c r="AM140" s="2558">
        <f>'Prod info'!P259</f>
        <v>0</v>
      </c>
      <c r="AN140" s="2556">
        <f>'Prod info'!Q259</f>
        <v>0</v>
      </c>
      <c r="AO140" s="2556">
        <f>'Prod info'!R259</f>
        <v>0</v>
      </c>
      <c r="AP140" s="2556">
        <f>'Prod info'!S259</f>
        <v>0</v>
      </c>
      <c r="AQ140" s="2556">
        <f>'Prod info'!T259</f>
        <v>0</v>
      </c>
      <c r="AR140" s="2556">
        <f>'Prod info'!U259</f>
        <v>0</v>
      </c>
      <c r="AS140" s="2557">
        <f>'Prod info'!V259</f>
        <v>6525</v>
      </c>
    </row>
    <row r="141" spans="2:48">
      <c r="B141" s="2549">
        <f t="shared" si="236"/>
        <v>2027</v>
      </c>
      <c r="C141" s="2556">
        <f>IF(C$5-$B10=$C$3,'Prod info'!P268,0)</f>
        <v>0</v>
      </c>
      <c r="D141" s="2556">
        <f>IF(D$5-$B10=$C$3,'Prod info'!Q268,0)</f>
        <v>0</v>
      </c>
      <c r="E141" s="2556">
        <f>IF(E$5-$B10=$C$3,'Prod info'!R268,0)</f>
        <v>0</v>
      </c>
      <c r="F141" s="2556">
        <f>IF(F$5-$B10=$C$3,'Prod info'!S268,0)</f>
        <v>0</v>
      </c>
      <c r="G141" s="2556">
        <f>IF(G$5-$B10=$C$3,'Prod info'!T268,0)</f>
        <v>0</v>
      </c>
      <c r="H141" s="2556">
        <f>IF(H$5-$B10=$C$3,'Prod info'!U268,0)</f>
        <v>3312</v>
      </c>
      <c r="I141" s="2557">
        <f>IF(I$5-$B10=$C$3,'Prod info'!V268,0)</f>
        <v>0</v>
      </c>
      <c r="K141" s="2549">
        <f t="shared" si="237"/>
        <v>2027</v>
      </c>
      <c r="L141" s="2556">
        <f>IF(L$5-$K10=$L$3,'Prod info'!P269,0)</f>
        <v>0</v>
      </c>
      <c r="M141" s="2556">
        <f>IF(M$5-$K10=$L$3,'Prod info'!Q269,0)</f>
        <v>0</v>
      </c>
      <c r="N141" s="2556">
        <f>IF(N$5-$K10=$L$3,'Prod info'!R269,0)</f>
        <v>0</v>
      </c>
      <c r="O141" s="2556">
        <f>IF(O$5-$K10=$L$3,'Prod info'!S269,0)</f>
        <v>0</v>
      </c>
      <c r="P141" s="2556">
        <f>IF(P$5-$K10=$L$3,'Prod info'!T269,0)</f>
        <v>0</v>
      </c>
      <c r="Q141" s="2556">
        <f>IF(Q$5-$K10=$L$3,'Prod info'!U269,0)</f>
        <v>0</v>
      </c>
      <c r="R141" s="2557">
        <f>IF(R$5-$K10=$L$3,'Prod info'!V269,0)</f>
        <v>0</v>
      </c>
      <c r="T141" s="2549">
        <f t="shared" si="238"/>
        <v>2027</v>
      </c>
      <c r="U141" s="2556">
        <f>'Prod info'!P149</f>
        <v>0</v>
      </c>
      <c r="V141" s="2556">
        <f>'Prod info'!Q149</f>
        <v>0</v>
      </c>
      <c r="W141" s="2556">
        <f>'Prod info'!R149</f>
        <v>0</v>
      </c>
      <c r="X141" s="2556">
        <f>'Prod info'!S149</f>
        <v>0</v>
      </c>
      <c r="Y141" s="2556">
        <f>'Prod info'!T149</f>
        <v>0</v>
      </c>
      <c r="Z141" s="2556">
        <f>'Prod info'!U149</f>
        <v>0</v>
      </c>
      <c r="AA141" s="2557">
        <f>'Prod info'!V149</f>
        <v>0</v>
      </c>
      <c r="AC141" s="2549">
        <f t="shared" si="240"/>
        <v>2027</v>
      </c>
      <c r="AD141" s="2556">
        <f>'Prod info'!P205</f>
        <v>0</v>
      </c>
      <c r="AE141" s="2556">
        <f>'Prod info'!Q205</f>
        <v>0</v>
      </c>
      <c r="AF141" s="2556">
        <f>'Prod info'!R204</f>
        <v>0</v>
      </c>
      <c r="AG141" s="2556">
        <f>'Prod info'!S204</f>
        <v>0</v>
      </c>
      <c r="AH141" s="2556">
        <f>'Prod info'!T204</f>
        <v>0</v>
      </c>
      <c r="AI141" s="2556">
        <f ca="1">'Prod info'!U204</f>
        <v>0</v>
      </c>
      <c r="AJ141" s="2557">
        <f ca="1">'Prod info'!V204</f>
        <v>52796</v>
      </c>
      <c r="AL141" s="2549">
        <f t="shared" si="239"/>
        <v>2027</v>
      </c>
      <c r="AM141" s="2558">
        <f>'Prod info'!P260</f>
        <v>0</v>
      </c>
      <c r="AN141" s="2556">
        <f>'Prod info'!Q260</f>
        <v>0</v>
      </c>
      <c r="AO141" s="2556">
        <f>'Prod info'!R260</f>
        <v>0</v>
      </c>
      <c r="AP141" s="2556">
        <f>'Prod info'!S260</f>
        <v>0</v>
      </c>
      <c r="AQ141" s="2556">
        <f>'Prod info'!T260</f>
        <v>0</v>
      </c>
      <c r="AR141" s="2556">
        <f>'Prod info'!U260</f>
        <v>0</v>
      </c>
      <c r="AS141" s="2557">
        <f>'Prod info'!V260</f>
        <v>0</v>
      </c>
    </row>
    <row r="142" spans="2:48">
      <c r="B142" s="2549">
        <f t="shared" si="236"/>
        <v>2028</v>
      </c>
      <c r="C142" s="2556">
        <f>IF(C$5-$B11=$C$3,'Prod info'!P268,0)</f>
        <v>0</v>
      </c>
      <c r="D142" s="2556">
        <f>IF(D$5-$B11=$C$3,'Prod info'!Q268,0)</f>
        <v>0</v>
      </c>
      <c r="E142" s="2556">
        <f>IF(E$5-$B11=$C$3,'Prod info'!R268,0)</f>
        <v>0</v>
      </c>
      <c r="F142" s="2556">
        <f>IF(F$5-$B11=$C$3,'Prod info'!S268,0)</f>
        <v>0</v>
      </c>
      <c r="G142" s="2556">
        <f>IF(G$5-$B11=$C$3,'Prod info'!T268,0)</f>
        <v>0</v>
      </c>
      <c r="H142" s="2556">
        <f>IF(H$5-$B11=$C$3,'Prod info'!U268,0)</f>
        <v>0</v>
      </c>
      <c r="I142" s="2557">
        <f>IF(I$5-$B11=$C$3,'Prod info'!V268,0)</f>
        <v>3312</v>
      </c>
      <c r="K142" s="2549">
        <f t="shared" si="237"/>
        <v>2028</v>
      </c>
      <c r="L142" s="2556">
        <f>IF(L$5-$K11=$L$3,'Prod info'!P269,0)</f>
        <v>0</v>
      </c>
      <c r="M142" s="2556">
        <f>IF(M$5-$K11=$L$3,'Prod info'!Q269,0)</f>
        <v>0</v>
      </c>
      <c r="N142" s="2556">
        <f>IF(N$5-$K11=$L$3,'Prod info'!R269,0)</f>
        <v>0</v>
      </c>
      <c r="O142" s="2556">
        <f>IF(O$5-$K11=$L$3,'Prod info'!S269,0)</f>
        <v>0</v>
      </c>
      <c r="P142" s="2556">
        <f>IF(P$5-$K11=$L$3,'Prod info'!T269,0)</f>
        <v>0</v>
      </c>
      <c r="Q142" s="2556">
        <f>IF(Q$5-$K11=$L$3,'Prod info'!U269,0)</f>
        <v>0</v>
      </c>
      <c r="R142" s="2557">
        <f>IF(R$5-$K11=$L$3,'Prod info'!V269,0)</f>
        <v>0</v>
      </c>
      <c r="T142" s="2549">
        <f t="shared" si="238"/>
        <v>2028</v>
      </c>
      <c r="U142" s="2556">
        <f>'Prod info'!P150</f>
        <v>0</v>
      </c>
      <c r="V142" s="2556">
        <f>'Prod info'!Q150</f>
        <v>0</v>
      </c>
      <c r="W142" s="2556">
        <f>'Prod info'!R150</f>
        <v>0</v>
      </c>
      <c r="X142" s="2556">
        <f>'Prod info'!S150</f>
        <v>0</v>
      </c>
      <c r="Y142" s="2556">
        <f>'Prod info'!T150</f>
        <v>0</v>
      </c>
      <c r="Z142" s="2556">
        <f>'Prod info'!U150</f>
        <v>0</v>
      </c>
      <c r="AA142" s="2557">
        <f>'Prod info'!V150</f>
        <v>0</v>
      </c>
      <c r="AC142" s="2549">
        <f t="shared" si="240"/>
        <v>2028</v>
      </c>
      <c r="AD142" s="2556">
        <f>'Prod info'!P206</f>
        <v>0</v>
      </c>
      <c r="AE142" s="2556">
        <f>'Prod info'!Q206</f>
        <v>0</v>
      </c>
      <c r="AF142" s="2556">
        <f>'Prod info'!R205</f>
        <v>0</v>
      </c>
      <c r="AG142" s="2556">
        <f>'Prod info'!S205</f>
        <v>0</v>
      </c>
      <c r="AH142" s="2556">
        <f>'Prod info'!T205</f>
        <v>0</v>
      </c>
      <c r="AI142" s="2556">
        <f>'Prod info'!U205</f>
        <v>0</v>
      </c>
      <c r="AJ142" s="2557">
        <f ca="1">'Prod info'!V205</f>
        <v>0</v>
      </c>
      <c r="AL142" s="2549">
        <f t="shared" si="239"/>
        <v>2028</v>
      </c>
      <c r="AM142" s="2558">
        <f>'Prod info'!P261</f>
        <v>0</v>
      </c>
      <c r="AN142" s="2556">
        <f>'Prod info'!Q261</f>
        <v>0</v>
      </c>
      <c r="AO142" s="2556">
        <f>'Prod info'!R261</f>
        <v>0</v>
      </c>
      <c r="AP142" s="2556">
        <f>'Prod info'!S261</f>
        <v>0</v>
      </c>
      <c r="AQ142" s="2556">
        <f>'Prod info'!T261</f>
        <v>0</v>
      </c>
      <c r="AR142" s="2556">
        <f>'Prod info'!U261</f>
        <v>0</v>
      </c>
      <c r="AS142" s="2557">
        <f>'Prod info'!V261</f>
        <v>0</v>
      </c>
    </row>
    <row r="143" spans="2:48">
      <c r="B143" s="2549">
        <f t="shared" si="236"/>
        <v>2029</v>
      </c>
      <c r="C143" s="2556">
        <f>IF(C$5-$B12=$C$3,'Prod info'!P268,0)</f>
        <v>0</v>
      </c>
      <c r="D143" s="2556">
        <f>IF(D$5-$B12=$C$3,'Prod info'!Q268,0)</f>
        <v>0</v>
      </c>
      <c r="E143" s="2556">
        <f>IF(E$5-$B12=$C$3,'Prod info'!R268,0)</f>
        <v>0</v>
      </c>
      <c r="F143" s="2556">
        <f>IF(F$5-$B12=$C$3,'Prod info'!S268,0)</f>
        <v>0</v>
      </c>
      <c r="G143" s="2556">
        <f>IF(G$5-$B12=$C$3,'Prod info'!T268,0)</f>
        <v>0</v>
      </c>
      <c r="H143" s="2556">
        <f>IF(H$5-$B12=$C$3,'Prod info'!U268,0)</f>
        <v>0</v>
      </c>
      <c r="I143" s="2557">
        <f>IF(I$5-$B12=$C$3,'Prod info'!V268,0)</f>
        <v>0</v>
      </c>
      <c r="K143" s="2549">
        <f t="shared" si="237"/>
        <v>2029</v>
      </c>
      <c r="L143" s="2556">
        <f>IF(L$5-$K12=$L$3,'Prod info'!P269,0)</f>
        <v>0</v>
      </c>
      <c r="M143" s="2556">
        <f>IF(M$5-$K12=$L$3,'Prod info'!Q269,0)</f>
        <v>0</v>
      </c>
      <c r="N143" s="2556">
        <f>IF(N$5-$K12=$L$3,'Prod info'!R269,0)</f>
        <v>0</v>
      </c>
      <c r="O143" s="2556">
        <f>IF(O$5-$K12=$L$3,'Prod info'!S269,0)</f>
        <v>0</v>
      </c>
      <c r="P143" s="2556">
        <f>IF(P$5-$K12=$L$3,'Prod info'!T269,0)</f>
        <v>0</v>
      </c>
      <c r="Q143" s="2556">
        <f>IF(Q$5-$K12=$L$3,'Prod info'!U269,0)</f>
        <v>0</v>
      </c>
      <c r="R143" s="2557">
        <f>IF(R$5-$K12=$L$3,'Prod info'!V269,0)</f>
        <v>0</v>
      </c>
      <c r="T143" s="2549">
        <f t="shared" si="238"/>
        <v>2029</v>
      </c>
      <c r="U143" s="2556">
        <f>'Prod info'!P151</f>
        <v>0</v>
      </c>
      <c r="V143" s="2556">
        <f>'Prod info'!Q151</f>
        <v>0</v>
      </c>
      <c r="W143" s="2556">
        <f>'Prod info'!R151</f>
        <v>0</v>
      </c>
      <c r="X143" s="2556">
        <f>'Prod info'!S151</f>
        <v>0</v>
      </c>
      <c r="Y143" s="2556">
        <f>'Prod info'!T151</f>
        <v>0</v>
      </c>
      <c r="Z143" s="2556">
        <f>'Prod info'!U151</f>
        <v>0</v>
      </c>
      <c r="AA143" s="2557">
        <f>'Prod info'!V151</f>
        <v>0</v>
      </c>
      <c r="AC143" s="2549">
        <f t="shared" si="240"/>
        <v>2029</v>
      </c>
      <c r="AD143" s="2556"/>
      <c r="AE143" s="2556">
        <f>'Prod info'!Q206</f>
        <v>0</v>
      </c>
      <c r="AF143" s="2556">
        <f>'Prod info'!R206</f>
        <v>0</v>
      </c>
      <c r="AG143" s="2556">
        <f>'Prod info'!S206</f>
        <v>0</v>
      </c>
      <c r="AH143" s="2556">
        <f>'Prod info'!T206</f>
        <v>0</v>
      </c>
      <c r="AI143" s="2556">
        <f>'Prod info'!U206</f>
        <v>0</v>
      </c>
      <c r="AJ143" s="2557">
        <f>'Prod info'!V206</f>
        <v>0</v>
      </c>
      <c r="AL143" s="2549">
        <f t="shared" si="239"/>
        <v>2029</v>
      </c>
      <c r="AM143" s="2558">
        <f>'Prod info'!P262</f>
        <v>0</v>
      </c>
      <c r="AN143" s="2556">
        <f>'Prod info'!Q262</f>
        <v>0</v>
      </c>
      <c r="AO143" s="2556">
        <f>'Prod info'!R262</f>
        <v>0</v>
      </c>
      <c r="AP143" s="2556">
        <f>'Prod info'!S262</f>
        <v>0</v>
      </c>
      <c r="AQ143" s="2556">
        <f>'Prod info'!T262</f>
        <v>0</v>
      </c>
      <c r="AR143" s="2556">
        <f>'Prod info'!U262</f>
        <v>0</v>
      </c>
      <c r="AS143" s="2557">
        <f>'Prod info'!V262</f>
        <v>0</v>
      </c>
    </row>
    <row r="144" spans="2:48">
      <c r="B144" s="2549"/>
      <c r="C144" s="2556"/>
      <c r="D144" s="2556"/>
      <c r="E144" s="2556"/>
      <c r="F144" s="2556"/>
      <c r="G144" s="2556"/>
      <c r="H144" s="2556"/>
      <c r="I144" s="2557"/>
      <c r="K144" s="2549"/>
      <c r="L144" s="2556"/>
      <c r="M144" s="2556"/>
      <c r="N144" s="2556"/>
      <c r="O144" s="2556"/>
      <c r="P144" s="2556"/>
      <c r="Q144" s="2556"/>
      <c r="R144" s="2557"/>
      <c r="T144" s="2549"/>
      <c r="U144" s="2556"/>
      <c r="V144" s="2556"/>
      <c r="W144" s="2556"/>
      <c r="X144" s="2556"/>
      <c r="Y144" s="2556"/>
      <c r="Z144" s="2556"/>
      <c r="AA144" s="2557"/>
      <c r="AC144" s="2549"/>
      <c r="AD144" s="2556"/>
      <c r="AE144" s="2556"/>
      <c r="AF144" s="2556"/>
      <c r="AG144" s="2556"/>
      <c r="AH144" s="2556"/>
      <c r="AI144" s="2556"/>
      <c r="AJ144" s="2557"/>
      <c r="AL144" s="2549"/>
      <c r="AM144" s="2556"/>
      <c r="AN144" s="2556"/>
      <c r="AO144" s="2556"/>
      <c r="AP144" s="2556"/>
      <c r="AQ144" s="2556"/>
      <c r="AR144" s="2556"/>
      <c r="AS144" s="2557"/>
    </row>
    <row r="145" spans="2:45">
      <c r="B145" s="2549">
        <v>2018</v>
      </c>
      <c r="C145" s="2583">
        <f>Costprice!O$14</f>
        <v>1.8784502191371635</v>
      </c>
      <c r="D145" s="2583">
        <f t="shared" ref="D145:I146" si="241">C145</f>
        <v>1.8784502191371635</v>
      </c>
      <c r="E145" s="2583">
        <f t="shared" si="241"/>
        <v>1.8784502191371635</v>
      </c>
      <c r="F145" s="2583">
        <f t="shared" si="241"/>
        <v>1.8784502191371635</v>
      </c>
      <c r="G145" s="2583">
        <f t="shared" si="241"/>
        <v>1.8784502191371635</v>
      </c>
      <c r="H145" s="2583">
        <f t="shared" si="241"/>
        <v>1.8784502191371635</v>
      </c>
      <c r="I145" s="2580">
        <f t="shared" si="241"/>
        <v>1.8784502191371635</v>
      </c>
      <c r="K145" s="2549">
        <v>2018</v>
      </c>
      <c r="L145" s="2482">
        <f>IF(AND(L$131=Costprice!O$2,'Inv. wine'!L132&gt;0),Costprice!O$26,0)</f>
        <v>0</v>
      </c>
      <c r="M145" s="2482">
        <f>SUMIF(Costprice!$O$2:$U$2,SUMIF($L$133:$R$133,"&gt;0",$L$131:$R$131),Costprice!$O$26:$U$26)</f>
        <v>0</v>
      </c>
      <c r="N145" s="2482">
        <f>SUMIF(Costprice!$O$2:$U$2,SUMIF($L$133:$R$133,"&gt;0",$L$131:$R$131),Costprice!$O$26:$U$26)</f>
        <v>0</v>
      </c>
      <c r="O145" s="2482">
        <f>SUMIF(Costprice!$O$2:$U$2,SUMIF($L$133:$R$133,"&gt;0",$L$131:$R$131),Costprice!$O$26:$U$26)</f>
        <v>0</v>
      </c>
      <c r="P145" s="2482">
        <f>SUMIF(Costprice!$O$2:$U$2,SUMIF($L$133:$R$133,"&gt;0",$L$131:$R$131),Costprice!$O$26:$U$26)</f>
        <v>0</v>
      </c>
      <c r="Q145" s="2482">
        <f>SUMIF(Costprice!$O$2:$U$2,SUMIF($L$133:$R$133,"&gt;0",$L$131:$R$131),Costprice!$O$26:$U$26)</f>
        <v>0</v>
      </c>
      <c r="R145" s="2580">
        <f>SUMIF(Costprice!$O$2:$U$2,SUMIF($L$133:$R$133,"&gt;0",$L$131:$R$131),Costprice!$O$26:$U$26)</f>
        <v>0</v>
      </c>
      <c r="T145" s="2549">
        <f t="shared" ref="T145:T150" si="242">T132</f>
        <v>2018</v>
      </c>
      <c r="U145" s="2571"/>
      <c r="V145" s="2571"/>
      <c r="W145" s="2571"/>
      <c r="X145" s="2571"/>
      <c r="Y145" s="2571"/>
      <c r="Z145" s="2571"/>
      <c r="AA145" s="2579"/>
      <c r="AC145" s="2549">
        <f>AC132</f>
        <v>2018</v>
      </c>
      <c r="AD145" s="2571"/>
      <c r="AE145" s="2571"/>
      <c r="AF145" s="2571"/>
      <c r="AG145" s="2571"/>
      <c r="AH145" s="2571"/>
      <c r="AI145" s="2571"/>
      <c r="AJ145" s="2579"/>
      <c r="AL145" s="2549">
        <f>AL132</f>
        <v>2018</v>
      </c>
      <c r="AM145" s="2571"/>
      <c r="AN145" s="2571"/>
      <c r="AO145" s="2571"/>
      <c r="AP145" s="2571"/>
      <c r="AQ145" s="2571"/>
      <c r="AR145" s="2571"/>
      <c r="AS145" s="2579"/>
    </row>
    <row r="146" spans="2:45">
      <c r="B146" s="2549">
        <f t="shared" ref="B146:B156" si="243">B133</f>
        <v>2019</v>
      </c>
      <c r="C146" s="2583">
        <f>Costprice!O$14</f>
        <v>1.8784502191371635</v>
      </c>
      <c r="D146" s="2583">
        <f t="shared" si="241"/>
        <v>1.8784502191371635</v>
      </c>
      <c r="E146" s="2583">
        <f t="shared" si="241"/>
        <v>1.8784502191371635</v>
      </c>
      <c r="F146" s="2583">
        <f t="shared" si="241"/>
        <v>1.8784502191371635</v>
      </c>
      <c r="G146" s="2583">
        <f t="shared" si="241"/>
        <v>1.8784502191371635</v>
      </c>
      <c r="H146" s="2583">
        <f t="shared" si="241"/>
        <v>1.8784502191371635</v>
      </c>
      <c r="I146" s="2580">
        <f t="shared" si="241"/>
        <v>1.8784502191371635</v>
      </c>
      <c r="K146" s="2549">
        <f t="shared" ref="K146:K156" si="244">K133</f>
        <v>2019</v>
      </c>
      <c r="L146" s="2482">
        <f>IF(AND(L$131=Costprice!O$2,'Inv. wine'!L133&gt;0),Costprice!O$26,0)</f>
        <v>0</v>
      </c>
      <c r="M146" s="2482">
        <f>SUMIF(Costprice!$O$2:$U$2,SUMIF($L$133:$R$133,"&gt;0",$L$131:$R$131),Costprice!$O$26:$U$26)</f>
        <v>0</v>
      </c>
      <c r="N146" s="2482">
        <f>SUMIF(Costprice!$O$2:$U$2,SUMIF($L$133:$R$133,"&gt;0",$L$131:$R$131),Costprice!$O$26:$U$26)</f>
        <v>0</v>
      </c>
      <c r="O146" s="2482">
        <f>SUMIF(Costprice!$O$2:$U$2,SUMIF($L$133:$R$133,"&gt;0",$L$131:$R$131),Costprice!$O$26:$U$26)</f>
        <v>0</v>
      </c>
      <c r="P146" s="2482">
        <f>SUMIF(Costprice!$O$2:$U$2,SUMIF($L$133:$R$133,"&gt;0",$L$131:$R$131),Costprice!$O$26:$U$26)</f>
        <v>0</v>
      </c>
      <c r="Q146" s="2482">
        <f>SUMIF(Costprice!$O$2:$U$2,SUMIF($L$133:$R$133,"&gt;0",$L$131:$R$131),Costprice!$O$26:$U$26)</f>
        <v>0</v>
      </c>
      <c r="R146" s="2580">
        <f>SUMIF(Costprice!$O$2:$U$2,SUMIF($L$133:$R$133,"&gt;0",$L$131:$R$131),Costprice!$O$26:$U$26)</f>
        <v>0</v>
      </c>
      <c r="T146" s="2549">
        <f t="shared" si="242"/>
        <v>2019</v>
      </c>
      <c r="U146" s="2581">
        <f>U147</f>
        <v>2.4400815072474424</v>
      </c>
      <c r="V146" s="2581">
        <f t="shared" ref="V146:X147" si="245">U146</f>
        <v>2.4400815072474424</v>
      </c>
      <c r="W146" s="2581">
        <f t="shared" si="245"/>
        <v>2.4400815072474424</v>
      </c>
      <c r="X146" s="2581">
        <f t="shared" si="245"/>
        <v>2.4400815072474424</v>
      </c>
      <c r="Y146" s="2581">
        <f t="shared" ref="Y146:AA147" si="246">X146</f>
        <v>2.4400815072474424</v>
      </c>
      <c r="Z146" s="2581">
        <f t="shared" si="246"/>
        <v>2.4400815072474424</v>
      </c>
      <c r="AA146" s="2752">
        <f t="shared" si="246"/>
        <v>2.4400815072474424</v>
      </c>
      <c r="AC146" s="2549">
        <f>AC133</f>
        <v>2019</v>
      </c>
      <c r="AD146" s="2571"/>
      <c r="AE146" s="2571"/>
      <c r="AF146" s="2571"/>
      <c r="AG146" s="2571"/>
      <c r="AH146" s="2571"/>
      <c r="AI146" s="2571"/>
      <c r="AJ146" s="2579"/>
      <c r="AL146" s="2549">
        <f>AL133</f>
        <v>2019</v>
      </c>
      <c r="AM146" s="2571"/>
      <c r="AN146" s="2571"/>
      <c r="AO146" s="2571"/>
      <c r="AP146" s="2571"/>
      <c r="AQ146" s="2571"/>
      <c r="AR146" s="2571"/>
      <c r="AS146" s="2579"/>
    </row>
    <row r="147" spans="2:45">
      <c r="B147" s="2549">
        <f t="shared" si="243"/>
        <v>2020</v>
      </c>
      <c r="C147" s="2583">
        <f>Costprice!O$14</f>
        <v>1.8784502191371635</v>
      </c>
      <c r="D147" s="2583">
        <f t="shared" ref="D147:I147" si="247">C147</f>
        <v>1.8784502191371635</v>
      </c>
      <c r="E147" s="2583">
        <f t="shared" si="247"/>
        <v>1.8784502191371635</v>
      </c>
      <c r="F147" s="2583">
        <f t="shared" si="247"/>
        <v>1.8784502191371635</v>
      </c>
      <c r="G147" s="2583">
        <f t="shared" si="247"/>
        <v>1.8784502191371635</v>
      </c>
      <c r="H147" s="2583">
        <f t="shared" si="247"/>
        <v>1.8784502191371635</v>
      </c>
      <c r="I147" s="2580">
        <f t="shared" si="247"/>
        <v>1.8784502191371635</v>
      </c>
      <c r="K147" s="2549">
        <f t="shared" si="244"/>
        <v>2020</v>
      </c>
      <c r="L147" s="2482">
        <f>SUMIF(Costprice!$O$2:$U$2,SUMIF($L$134:$R$134,"&gt;0",$L$131:$R$131),Costprice!$O$26:$U$26)</f>
        <v>0</v>
      </c>
      <c r="M147" s="2482">
        <f>SUMIF(Costprice!$O$2:$U$2,SUMIF($L$134:$R$134,"&gt;0",$L$131:$R$131),Costprice!$O$26:$U$26)</f>
        <v>0</v>
      </c>
      <c r="N147" s="2482">
        <f>SUMIF(Costprice!$O$2:$U$2,SUMIF($L$134:$R$134,"&gt;0",$L$131:$R$131),Costprice!$O$26:$U$26)</f>
        <v>0</v>
      </c>
      <c r="O147" s="2482">
        <f>SUMIF(Costprice!$O$2:$U$2,SUMIF($L$134:$R$134,"&gt;0",$L$131:$R$131),Costprice!$O$26:$U$26)</f>
        <v>0</v>
      </c>
      <c r="P147" s="2482">
        <f>SUMIF(Costprice!$O$2:$U$2,SUMIF($L$134:$R$134,"&gt;0",$L$131:$R$131),Costprice!$O$26:$U$26)</f>
        <v>0</v>
      </c>
      <c r="Q147" s="2482">
        <f>SUMIF(Costprice!$O$2:$U$2,SUMIF($L$134:$R$134,"&gt;0",$L$131:$R$131),Costprice!$O$26:$U$26)</f>
        <v>0</v>
      </c>
      <c r="R147" s="2580">
        <f>SUMIF(Costprice!$O$2:$U$2,SUMIF($L$134:$R$134,"&gt;0",$L$131:$R$131),Costprice!$O$26:$U$26)</f>
        <v>0</v>
      </c>
      <c r="T147" s="2549">
        <f t="shared" si="242"/>
        <v>2020</v>
      </c>
      <c r="U147" s="2581">
        <f>SUMIF(Costprice!$O$2:$U$2,SUMIF($U$134:$AA$134,"&gt;0",$U$131:$AA$131),Costprice!$O$38:$U$38)</f>
        <v>2.4400815072474424</v>
      </c>
      <c r="V147" s="2581">
        <f t="shared" si="245"/>
        <v>2.4400815072474424</v>
      </c>
      <c r="W147" s="2581">
        <f t="shared" si="245"/>
        <v>2.4400815072474424</v>
      </c>
      <c r="X147" s="2581">
        <f t="shared" si="245"/>
        <v>2.4400815072474424</v>
      </c>
      <c r="Y147" s="2581">
        <f t="shared" si="246"/>
        <v>2.4400815072474424</v>
      </c>
      <c r="Z147" s="2581">
        <f t="shared" si="246"/>
        <v>2.4400815072474424</v>
      </c>
      <c r="AA147" s="2752">
        <f t="shared" si="246"/>
        <v>2.4400815072474424</v>
      </c>
      <c r="AC147" s="2549">
        <f>AC134</f>
        <v>2020</v>
      </c>
      <c r="AD147" s="2583">
        <f ca="1">SUMIF(Costprice!$O$2:$U$2,SUMIF($AD$134:$AJ$134,"&gt;0",$U$131:$AA$131),Costprice!$O$50:$U$50)</f>
        <v>2.6109247376322027</v>
      </c>
      <c r="AE147" s="2583">
        <f ca="1">SUMIF(Costprice!$O$2:$U$2,SUMIF($AD$134:$AJ$134,"&gt;0",$U$131:$AA$131),Costprice!$O$50:$U$50)</f>
        <v>2.6109247376322027</v>
      </c>
      <c r="AF147" s="2583">
        <f ca="1">SUMIF(Costprice!$O$2:$U$2,SUMIF($AD$134:$AJ$134,"&gt;0",$U$131:$AA$131),Costprice!$O$50:$U$50)</f>
        <v>2.6109247376322027</v>
      </c>
      <c r="AG147" s="2583">
        <f ca="1">SUMIF(Costprice!$O$2:$U$2,SUMIF($AD$134:$AJ$134,"&gt;0",$U$131:$AA$131),Costprice!$O$50:$U$50)</f>
        <v>2.6109247376322027</v>
      </c>
      <c r="AH147" s="2583">
        <f ca="1">SUMIF(Costprice!$O$2:$U$2,SUMIF($AD$134:$AJ$134,"&gt;0",$U$131:$AA$131),Costprice!$O$50:$U$50)</f>
        <v>2.6109247376322027</v>
      </c>
      <c r="AI147" s="2583">
        <f ca="1">SUMIF(Costprice!$O$2:$U$2,SUMIF($AD$134:$AJ$134,"&gt;0",$U$131:$AA$131),Costprice!$O$50:$U$50)</f>
        <v>2.6109247376322027</v>
      </c>
      <c r="AJ147" s="2580">
        <f ca="1">SUMIF(Costprice!$O$2:$U$2,SUMIF($AD$134:$AJ$134,"&gt;0",$U$131:$AA$131),Costprice!$O$50:$U$50)</f>
        <v>2.6109247376322027</v>
      </c>
      <c r="AL147" s="2549">
        <f>AL134</f>
        <v>2020</v>
      </c>
      <c r="AM147" s="2571"/>
      <c r="AN147" s="2571"/>
      <c r="AO147" s="2571"/>
      <c r="AP147" s="2571"/>
      <c r="AQ147" s="2571"/>
      <c r="AR147" s="2571"/>
      <c r="AS147" s="2579"/>
    </row>
    <row r="148" spans="2:45">
      <c r="B148" s="2549">
        <f t="shared" si="243"/>
        <v>2021</v>
      </c>
      <c r="C148" s="2583"/>
      <c r="D148" s="2583"/>
      <c r="E148" s="2583"/>
      <c r="F148" s="2583"/>
      <c r="G148" s="2583"/>
      <c r="H148" s="2583"/>
      <c r="I148" s="2580"/>
      <c r="K148" s="2549">
        <f t="shared" si="244"/>
        <v>2021</v>
      </c>
      <c r="L148" s="2482">
        <f>IF(AND(L$131=Costprice!O$2,'Inv. wine'!L135&gt;0),Costprice!O$26,0)</f>
        <v>1.9073329325137274</v>
      </c>
      <c r="M148" s="2482">
        <f>SUMIF(Costprice!$O$2:$U$2,SUMIF($L$136:$R$136,"&gt;0",$L$131:$R$131),Costprice!$O$26:$U$26)</f>
        <v>0</v>
      </c>
      <c r="N148" s="2482">
        <f>SUMIF(Costprice!$O$2:$U$2,SUMIF($L$136:$R$136,"&gt;0",$L$131:$R$131),Costprice!$O$26:$U$26)</f>
        <v>0</v>
      </c>
      <c r="O148" s="2482">
        <f>SUMIF(Costprice!$O$2:$U$2,SUMIF($L$136:$R$136,"&gt;0",$L$131:$R$131),Costprice!$O$26:$U$26)</f>
        <v>0</v>
      </c>
      <c r="P148" s="2482">
        <f>SUMIF(Costprice!$O$2:$U$2,SUMIF($L$136:$R$136,"&gt;0",$L$131:$R$131),Costprice!$O$26:$U$26)</f>
        <v>0</v>
      </c>
      <c r="Q148" s="2482">
        <f>SUMIF(Costprice!$O$2:$U$2,SUMIF($L$136:$R$136,"&gt;0",$L$131:$R$131),Costprice!$O$26:$U$26)</f>
        <v>0</v>
      </c>
      <c r="R148" s="2580">
        <f>SUMIF(Costprice!$O$2:$U$2,SUMIF($L$136:$R$136,"&gt;0",$L$131:$R$131),Costprice!$O$26:$U$26)</f>
        <v>0</v>
      </c>
      <c r="T148" s="2549">
        <f t="shared" si="242"/>
        <v>2021</v>
      </c>
      <c r="U148" s="2583">
        <f>SUMIF(Costprice!$O$2:$U$2,SUMIF($U$135:$AA$135,"&gt;0",$U$131:$AA$131),Costprice!$O$38:$U$38)</f>
        <v>0</v>
      </c>
      <c r="V148" s="2583">
        <f>SUMIF(Costprice!$O$2:$U$2,SUMIF($U$135:$AA$135,"&gt;0",$U$131:$AA$131),Costprice!$O$38:$U$38)</f>
        <v>0</v>
      </c>
      <c r="W148" s="2583">
        <f>SUMIF(Costprice!$O$2:$U$2,SUMIF($U$135:$AA$135,"&gt;0",$U$131:$AA$131),Costprice!$O$38:$U$38)</f>
        <v>0</v>
      </c>
      <c r="X148" s="2583">
        <f>SUMIF(Costprice!$O$2:$U$2,SUMIF($U$135:$AA$135,"&gt;0",$U$131:$AA$131),Costprice!$O$38:$U$38)</f>
        <v>0</v>
      </c>
      <c r="Y148" s="2583">
        <f>SUMIF(Costprice!$O$2:$U$2,SUMIF($U$135:$AA$135,"&gt;0",$U$131:$AA$131),Costprice!$O$38:$U$38)</f>
        <v>0</v>
      </c>
      <c r="Z148" s="2583">
        <f>SUMIF(Costprice!$O$2:$U$2,SUMIF($U$135:$AA$135,"&gt;0",$U$131:$AA$131),Costprice!$O$38:$U$38)</f>
        <v>0</v>
      </c>
      <c r="AA148" s="2580">
        <f>SUMIF(Costprice!$O$2:$U$2,SUMIF($U$135:$AA$135,"&gt;0",$U$131:$AA$131),Costprice!$O$38:$U$38)</f>
        <v>0</v>
      </c>
      <c r="AC148" s="2549">
        <f>AC135</f>
        <v>2021</v>
      </c>
      <c r="AD148" s="2583">
        <f ca="1">SUMIF(Costprice!$O$2:$U$2,SUMIF($AD$135:$AJ$135,"&gt;0",$U$131:$AA$131),Costprice!$O$50:$U$50)</f>
        <v>2.6109247376322027</v>
      </c>
      <c r="AE148" s="2583">
        <f ca="1">SUMIF(Costprice!$O$2:$U$2,SUMIF($AD$135:$AJ$135,"&gt;0",$U$131:$AA$131),Costprice!$O$50:$U$50)</f>
        <v>2.6109247376322027</v>
      </c>
      <c r="AF148" s="2583">
        <f ca="1">SUMIF(Costprice!$O$2:$U$2,SUMIF($AD$135:$AJ$135,"&gt;0",$U$131:$AA$131),Costprice!$O$50:$U$50)</f>
        <v>2.6109247376322027</v>
      </c>
      <c r="AG148" s="2583">
        <f ca="1">SUMIF(Costprice!$O$2:$U$2,SUMIF($AD$135:$AJ$135,"&gt;0",$U$131:$AA$131),Costprice!$O$50:$U$50)</f>
        <v>2.6109247376322027</v>
      </c>
      <c r="AH148" s="2583">
        <f ca="1">SUMIF(Costprice!$O$2:$U$2,SUMIF($AD$135:$AJ$135,"&gt;0",$U$131:$AA$131),Costprice!$O$50:$U$50)</f>
        <v>2.6109247376322027</v>
      </c>
      <c r="AI148" s="2583">
        <f ca="1">SUMIF(Costprice!$O$2:$U$2,SUMIF($AD$135:$AJ$135,"&gt;0",$U$131:$AA$131),Costprice!$O$50:$U$50)</f>
        <v>2.6109247376322027</v>
      </c>
      <c r="AJ148" s="2580">
        <f ca="1">SUMIF(Costprice!$O$2:$U$2,SUMIF($AD$135:$AJ$135,"&gt;0",$U$131:$AA$131),Costprice!$O$50:$U$50)</f>
        <v>2.6109247376322027</v>
      </c>
      <c r="AL148" s="2549">
        <f t="shared" ref="AL148:AL156" si="248">AL135</f>
        <v>2021</v>
      </c>
      <c r="AM148" s="2571">
        <f>SUMIF(Costprice!$O$2:$U$2,SUMIF($AM$132:$AS$132,"&gt;0",$U$131:$AA$131),Costprice!O$63:$U65)</f>
        <v>2.4620718004496105</v>
      </c>
      <c r="AN148" s="2571">
        <f t="shared" ref="AN148:AS148" si="249">AM148</f>
        <v>2.4620718004496105</v>
      </c>
      <c r="AO148" s="2571">
        <f t="shared" si="249"/>
        <v>2.4620718004496105</v>
      </c>
      <c r="AP148" s="2571">
        <f t="shared" si="249"/>
        <v>2.4620718004496105</v>
      </c>
      <c r="AQ148" s="2571">
        <f t="shared" si="249"/>
        <v>2.4620718004496105</v>
      </c>
      <c r="AR148" s="2571">
        <f t="shared" si="249"/>
        <v>2.4620718004496105</v>
      </c>
      <c r="AS148" s="2579">
        <f t="shared" si="249"/>
        <v>2.4620718004496105</v>
      </c>
    </row>
    <row r="149" spans="2:45">
      <c r="B149" s="2549">
        <f t="shared" si="243"/>
        <v>2022</v>
      </c>
      <c r="C149" s="2583">
        <f>Costprice!O$14</f>
        <v>1.8784502191371635</v>
      </c>
      <c r="D149" s="2583">
        <f t="shared" ref="D149:I149" si="250">C149</f>
        <v>1.8784502191371635</v>
      </c>
      <c r="E149" s="2583">
        <f t="shared" si="250"/>
        <v>1.8784502191371635</v>
      </c>
      <c r="F149" s="2583">
        <f t="shared" si="250"/>
        <v>1.8784502191371635</v>
      </c>
      <c r="G149" s="2583">
        <f t="shared" si="250"/>
        <v>1.8784502191371635</v>
      </c>
      <c r="H149" s="2583">
        <f t="shared" si="250"/>
        <v>1.8784502191371635</v>
      </c>
      <c r="I149" s="2580">
        <f t="shared" si="250"/>
        <v>1.8784502191371635</v>
      </c>
      <c r="K149" s="2549">
        <f t="shared" si="244"/>
        <v>2022</v>
      </c>
      <c r="L149" s="2482">
        <f>SUMIF(Costprice!$O$2:$U$2,SUMIF($L$136:$R$136,"&gt;0",$L$131:$R$131),Costprice!$O$26:$U$26)</f>
        <v>0</v>
      </c>
      <c r="M149" s="2482">
        <f>SUMIF(Costprice!$O$2:$U$2,SUMIF($L$136:$R$136,"&gt;0",$L$131:$R$131),Costprice!$O$26:$U$26)</f>
        <v>0</v>
      </c>
      <c r="N149" s="2482">
        <f>SUMIF(Costprice!$O$2:$U$2,SUMIF($L$136:$R$136,"&gt;0",$L$131:$R$131),Costprice!$O$26:$U$26)</f>
        <v>0</v>
      </c>
      <c r="O149" s="2482">
        <f>SUMIF(Costprice!$O$2:$U$2,SUMIF($L$136:$R$136,"&gt;0",$L$131:$R$131),Costprice!$O$26:$U$26)</f>
        <v>0</v>
      </c>
      <c r="P149" s="2482">
        <f>SUMIF(Costprice!$O$2:$U$2,SUMIF($L$136:$R$136,"&gt;0",$L$131:$R$131),Costprice!$O$26:$U$26)</f>
        <v>0</v>
      </c>
      <c r="Q149" s="2482">
        <f>SUMIF(Costprice!$O$2:$U$2,SUMIF($L$136:$R$136,"&gt;0",$L$131:$R$131),Costprice!$O$26:$U$26)</f>
        <v>0</v>
      </c>
      <c r="R149" s="2580">
        <f>SUMIF(Costprice!$O$2:$U$2,SUMIF($L$136:$R$136,"&gt;0",$L$131:$R$131),Costprice!$O$26:$U$26)</f>
        <v>0</v>
      </c>
      <c r="T149" s="2549">
        <f t="shared" si="242"/>
        <v>2022</v>
      </c>
      <c r="U149" s="2583">
        <f>SUMIF(Costprice!$O$2:$U$2,SUMIF($U$136:$AA$136,"&gt;0",$U$131:$AA$131),Costprice!$O$38:$U$38)</f>
        <v>0</v>
      </c>
      <c r="V149" s="2583">
        <f>SUMIF(Costprice!$O$2:$U$2,SUMIF($U$136:$AA$136,"&gt;0",$U$131:$AA$131),Costprice!$O$38:$U$38)</f>
        <v>0</v>
      </c>
      <c r="W149" s="2583">
        <f>SUMIF(Costprice!$O$2:$U$2,SUMIF($U$136:$AA$136,"&gt;0",$U$131:$AA$131),Costprice!$O$38:$U$38)</f>
        <v>0</v>
      </c>
      <c r="X149" s="2583">
        <f>SUMIF(Costprice!$O$2:$U$2,SUMIF($U$136:$AA$136,"&gt;0",$U$131:$AA$131),Costprice!$O$38:$U$38)</f>
        <v>0</v>
      </c>
      <c r="Y149" s="2583">
        <f>SUMIF(Costprice!$O$2:$U$2,SUMIF($U$136:$AA$136,"&gt;0",$U$131:$AA$131),Costprice!$O$38:$U$38)</f>
        <v>0</v>
      </c>
      <c r="Z149" s="2583">
        <f>SUMIF(Costprice!$O$2:$U$2,SUMIF($U$136:$AA$136,"&gt;0",$U$131:$AA$131),Costprice!$O$38:$U$38)</f>
        <v>0</v>
      </c>
      <c r="AA149" s="2580">
        <f>SUMIF(Costprice!$O$2:$U$2,SUMIF($U$136:$AA$136,"&gt;0",$U$131:$AA$131),Costprice!$O$38:$U$38)</f>
        <v>0</v>
      </c>
      <c r="AC149" s="2549">
        <f>AC136</f>
        <v>2022</v>
      </c>
      <c r="AD149" s="2583">
        <f ca="1">SUMIF(Costprice!$O$2:$U$2,SUMIF($AD$136:$AJ$136,"&gt;0",$U$131:$AA$131),Costprice!$O$50:$U$50)</f>
        <v>0</v>
      </c>
      <c r="AE149" s="2583">
        <f ca="1">SUMIF(Costprice!$O$2:$U$2,SUMIF($AD$136:$AJ$136,"&gt;0",$U$131:$AA$131),Costprice!$O$50:$U$50)</f>
        <v>0</v>
      </c>
      <c r="AF149" s="2583">
        <f ca="1">SUMIF(Costprice!$O$2:$U$2,SUMIF($AD$136:$AJ$136,"&gt;0",$U$131:$AA$131),Costprice!$O$50:$U$50)</f>
        <v>0</v>
      </c>
      <c r="AG149" s="2583">
        <f ca="1">SUMIF(Costprice!$O$2:$U$2,SUMIF($AD$136:$AJ$136,"&gt;0",$U$131:$AA$131),Costprice!$O$50:$U$50)</f>
        <v>0</v>
      </c>
      <c r="AH149" s="2583">
        <f ca="1">SUMIF(Costprice!$O$2:$U$2,SUMIF($AD$136:$AJ$136,"&gt;0",$U$131:$AA$131),Costprice!$O$50:$U$50)</f>
        <v>0</v>
      </c>
      <c r="AI149" s="2583">
        <f ca="1">SUMIF(Costprice!$O$2:$U$2,SUMIF($AD$136:$AJ$136,"&gt;0",$U$131:$AA$131),Costprice!$O$50:$U$50)</f>
        <v>0</v>
      </c>
      <c r="AJ149" s="2580">
        <f ca="1">SUMIF(Costprice!$O$2:$U$2,SUMIF($AD$136:$AJ$136,"&gt;0",$U$131:$AA$131),Costprice!$O$50:$U$50)</f>
        <v>0</v>
      </c>
      <c r="AL149" s="2549">
        <f t="shared" si="248"/>
        <v>2022</v>
      </c>
      <c r="AM149" s="2571">
        <f>SUMIF(Costprice!$O$2:$U$2,SUMIF($AM$132:$AS$132,"&gt;0",$U$131:$AA$131),Costprice!O$63:$U67)</f>
        <v>2.4620718004496105</v>
      </c>
      <c r="AN149" s="2571">
        <f t="shared" ref="AN149:AS149" si="251">AM149</f>
        <v>2.4620718004496105</v>
      </c>
      <c r="AO149" s="2571">
        <f t="shared" si="251"/>
        <v>2.4620718004496105</v>
      </c>
      <c r="AP149" s="2571">
        <f t="shared" si="251"/>
        <v>2.4620718004496105</v>
      </c>
      <c r="AQ149" s="2571">
        <f t="shared" si="251"/>
        <v>2.4620718004496105</v>
      </c>
      <c r="AR149" s="2571">
        <f t="shared" si="251"/>
        <v>2.4620718004496105</v>
      </c>
      <c r="AS149" s="2579">
        <f t="shared" si="251"/>
        <v>2.4620718004496105</v>
      </c>
    </row>
    <row r="150" spans="2:45">
      <c r="B150" s="2549">
        <f t="shared" si="243"/>
        <v>2023</v>
      </c>
      <c r="C150" s="2583">
        <f>SUMIF(Costprice!$O$2:$U$2,SUMIF($C$137:$I$137,"&gt;0",$C$131:$I$131),Costprice!$O$14:$U$14)</f>
        <v>1.978166595511081</v>
      </c>
      <c r="D150" s="2583">
        <f>SUMIF(Costprice!$O$2:$U$2,SUMIF($C$137:$I$137,"&gt;0",$C$131:$I$131),Costprice!$O$14:$U$14)</f>
        <v>1.978166595511081</v>
      </c>
      <c r="E150" s="2583">
        <f>SUMIF(Costprice!$O$2:$U$2,SUMIF($C$137:$I$137,"&gt;0",$C$131:$I$131),Costprice!$O$14:$U$14)</f>
        <v>1.978166595511081</v>
      </c>
      <c r="F150" s="2583">
        <f>SUMIF(Costprice!$O$2:$U$2,SUMIF($C$137:$I$137,"&gt;0",$C$131:$I$131),Costprice!$O$14:$U$14)</f>
        <v>1.978166595511081</v>
      </c>
      <c r="G150" s="2583">
        <f>SUMIF(Costprice!$O$2:$U$2,SUMIF($C$137:$I$137,"&gt;0",$C$131:$I$131),Costprice!$O$14:$U$14)</f>
        <v>1.978166595511081</v>
      </c>
      <c r="H150" s="2583">
        <f>SUMIF(Costprice!$O$2:$U$2,SUMIF($C$137:$I$137,"&gt;0",$C$131:$I$131),Costprice!$O$14:$U$14)</f>
        <v>1.978166595511081</v>
      </c>
      <c r="I150" s="2580">
        <f>SUMIF(Costprice!$O$2:$U$2,SUMIF($C$137:$I$137,"&gt;0",$C$131:$I$131),Costprice!$O$14:$U$14)</f>
        <v>1.978166595511081</v>
      </c>
      <c r="K150" s="2549">
        <f t="shared" si="244"/>
        <v>2023</v>
      </c>
      <c r="L150" s="2482">
        <f>SUMIF(Costprice!$O$2:$U$2,SUMIF($L$137:$R$137,"&gt;0",$L$131:$R$131),Costprice!$O$26:$U$26)</f>
        <v>0</v>
      </c>
      <c r="M150" s="2482">
        <f>SUMIF(Costprice!$O$2:$U$2,SUMIF($L$137:$R$137,"&gt;0",$L$131:$R$131),Costprice!$O$26:$U$26)</f>
        <v>0</v>
      </c>
      <c r="N150" s="2482">
        <f>SUMIF(Costprice!$O$2:$U$2,SUMIF($L$137:$R$137,"&gt;0",$L$131:$R$131),Costprice!$O$26:$U$26)</f>
        <v>0</v>
      </c>
      <c r="O150" s="2482">
        <f>SUMIF(Costprice!$O$2:$U$2,SUMIF($L$137:$R$137,"&gt;0",$L$131:$R$131),Costprice!$O$26:$U$26)</f>
        <v>0</v>
      </c>
      <c r="P150" s="2482">
        <f>SUMIF(Costprice!$O$2:$U$2,SUMIF($L$137:$R$137,"&gt;0",$L$131:$R$131),Costprice!$O$26:$U$26)</f>
        <v>0</v>
      </c>
      <c r="Q150" s="2482">
        <f>SUMIF(Costprice!$O$2:$U$2,SUMIF($L$137:$R$137,"&gt;0",$L$131:$R$131),Costprice!$O$26:$U$26)</f>
        <v>0</v>
      </c>
      <c r="R150" s="2580">
        <f>SUMIF(Costprice!$O$2:$U$2,SUMIF($L$137:$R$137,"&gt;0",$L$131:$R$131),Costprice!$O$26:$U$26)</f>
        <v>0</v>
      </c>
      <c r="T150" s="2549">
        <f t="shared" si="242"/>
        <v>2023</v>
      </c>
      <c r="U150" s="2583">
        <f>SUMIF(Costprice!$O$2:$U$2,SUMIF($U$137:$AA$137,"&gt;0",$U$131:$AA$131),Costprice!$O$38:$U$38)</f>
        <v>0</v>
      </c>
      <c r="V150" s="2583">
        <f>SUMIF(Costprice!$O$2:$U$2,SUMIF($U$137:$AA$137,"&gt;0",$U$131:$AA$131),Costprice!$O$38:$U$38)</f>
        <v>0</v>
      </c>
      <c r="W150" s="2583">
        <f>SUMIF(Costprice!$O$2:$U$2,SUMIF($U$137:$AA$137,"&gt;0",$U$131:$AA$131),Costprice!$O$38:$U$38)</f>
        <v>0</v>
      </c>
      <c r="X150" s="2583">
        <f>SUMIF(Costprice!$O$2:$U$2,SUMIF($U$137:$AA$137,"&gt;0",$U$131:$AA$131),Costprice!$O$38:$U$38)</f>
        <v>0</v>
      </c>
      <c r="Y150" s="2583">
        <f>SUMIF(Costprice!$O$2:$U$2,SUMIF($U$137:$AA$137,"&gt;0",$U$131:$AA$131),Costprice!$O$38:$U$38)</f>
        <v>0</v>
      </c>
      <c r="Z150" s="2583">
        <f>SUMIF(Costprice!$O$2:$U$2,SUMIF($U$137:$AA$137,"&gt;0",$U$131:$AA$131),Costprice!$O$38:$U$38)</f>
        <v>0</v>
      </c>
      <c r="AA150" s="2580">
        <f>SUMIF(Costprice!$O$2:$U$2,SUMIF($U$137:$AA$137,"&gt;0",$U$131:$AA$131),Costprice!$O$38:$U$38)</f>
        <v>0</v>
      </c>
      <c r="AC150" s="2549">
        <v>2023</v>
      </c>
      <c r="AD150" s="2583">
        <f ca="1">SUMIF(Costprice!$O$2:$U$2,SUMIF($AD$137:$AJ$137,"&gt;0",$U$131:$AA$131),Costprice!$O$50:$U$50)</f>
        <v>2.6644887371457942</v>
      </c>
      <c r="AE150" s="2583">
        <f ca="1">SUMIF(Costprice!$O$2:$U$2,SUMIF($AD$137:$AJ$137,"&gt;0",$U$131:$AA$131),Costprice!$O$50:$U$50)</f>
        <v>2.6644887371457942</v>
      </c>
      <c r="AF150" s="2583">
        <f ca="1">SUMIF(Costprice!$O$2:$U$2,SUMIF($AD$137:$AJ$137,"&gt;0",$U$131:$AA$131),Costprice!$O$50:$U$50)</f>
        <v>2.6644887371457942</v>
      </c>
      <c r="AG150" s="2583">
        <f ca="1">SUMIF(Costprice!$O$2:$U$2,SUMIF($AD$137:$AJ$137,"&gt;0",$U$131:$AA$131),Costprice!$O$50:$U$50)</f>
        <v>2.6644887371457942</v>
      </c>
      <c r="AH150" s="2583">
        <f ca="1">SUMIF(Costprice!$O$2:$U$2,SUMIF($AD$137:$AJ$137,"&gt;0",$U$131:$AA$131),Costprice!$O$50:$U$50)</f>
        <v>2.6644887371457942</v>
      </c>
      <c r="AI150" s="2583">
        <f ca="1">SUMIF(Costprice!$O$2:$U$2,SUMIF($AD$137:$AJ$137,"&gt;0",$U$131:$AA$131),Costprice!$O$50:$U$50)</f>
        <v>2.6644887371457942</v>
      </c>
      <c r="AJ150" s="2580">
        <f ca="1">SUMIF(Costprice!$O$2:$U$2,SUMIF($AD$137:$AJ$137,"&gt;0",$U$131:$AA$131),Costprice!$O$50:$U$50)</f>
        <v>2.6644887371457942</v>
      </c>
      <c r="AL150" s="2549">
        <f t="shared" si="248"/>
        <v>2023</v>
      </c>
      <c r="AM150" s="2583">
        <f>SUMIF(Costprice!$O$2:$U$2,SUMIF($AM$137:$AS$137,"&gt;0",$U$131:$AA$131),Costprice!$O$63:$U$63)</f>
        <v>3.5202588286954026</v>
      </c>
      <c r="AN150" s="2583">
        <f>SUMIF(Costprice!$O$2:$U$2,SUMIF($AM$137:$AS$137,"&gt;0",$U$131:$AA$131),Costprice!$O$63:$U$63)</f>
        <v>3.5202588286954026</v>
      </c>
      <c r="AO150" s="2583">
        <f>SUMIF(Costprice!$O$2:$U$2,SUMIF($AM$137:$AS$137,"&gt;0",$U$131:$AA$131),Costprice!$O$63:$U$63)</f>
        <v>3.5202588286954026</v>
      </c>
      <c r="AP150" s="2583">
        <f>SUMIF(Costprice!$O$2:$U$2,SUMIF($AM$137:$AS$137,"&gt;0",$U$131:$AA$131),Costprice!$O$63:$U$63)</f>
        <v>3.5202588286954026</v>
      </c>
      <c r="AQ150" s="2583">
        <f>SUMIF(Costprice!$O$2:$U$2,SUMIF($AM$137:$AS$137,"&gt;0",$U$131:$AA$131),Costprice!$O$63:$U$63)</f>
        <v>3.5202588286954026</v>
      </c>
      <c r="AR150" s="2583">
        <f>SUMIF(Costprice!$O$2:$U$2,SUMIF($AM$137:$AS$137,"&gt;0",$U$131:$AA$131),Costprice!$O$63:$U$63)</f>
        <v>3.5202588286954026</v>
      </c>
      <c r="AS150" s="2580">
        <f>SUMIF(Costprice!$O$2:$U$2,SUMIF($AM$137:$AS$137,"&gt;0",$U$131:$AA$131),Costprice!$O$63:$U$63)</f>
        <v>3.5202588286954026</v>
      </c>
    </row>
    <row r="151" spans="2:45">
      <c r="B151" s="2549">
        <f t="shared" si="243"/>
        <v>2024</v>
      </c>
      <c r="C151" s="2583">
        <f>SUMIF(Costprice!$O$2:$U$2,SUMIF($C$138:$I$138,"&gt;0",$C$131:$I$131),Costprice!$O$14:$U$14)</f>
        <v>2.0096340407640851</v>
      </c>
      <c r="D151" s="2583">
        <f>SUMIF(Costprice!$O$2:$U$2,SUMIF($C$138:$I$138,"&gt;0",$C$131:$I$131),Costprice!$O$14:$U$14)</f>
        <v>2.0096340407640851</v>
      </c>
      <c r="E151" s="2583">
        <f>SUMIF(Costprice!$O$2:$U$2,SUMIF($C$138:$I$138,"&gt;0",$C$131:$I$131),Costprice!$O$14:$U$14)</f>
        <v>2.0096340407640851</v>
      </c>
      <c r="F151" s="2583">
        <f>SUMIF(Costprice!$O$2:$U$2,SUMIF($C$138:$I$138,"&gt;0",$C$131:$I$131),Costprice!$O$14:$U$14)</f>
        <v>2.0096340407640851</v>
      </c>
      <c r="G151" s="2583">
        <f>SUMIF(Costprice!$O$2:$U$2,SUMIF($C$138:$I$138,"&gt;0",$C$131:$I$131),Costprice!$O$14:$U$14)</f>
        <v>2.0096340407640851</v>
      </c>
      <c r="H151" s="2583">
        <f>SUMIF(Costprice!$O$2:$U$2,SUMIF($C$138:$I$138,"&gt;0",$C$131:$I$131),Costprice!$O$14:$U$14)</f>
        <v>2.0096340407640851</v>
      </c>
      <c r="I151" s="2580">
        <f>SUMIF(Costprice!$O$2:$U$2,SUMIF($C$138:$I$138,"&gt;0",$C$131:$I$131),Costprice!$O$14:$U$14)</f>
        <v>2.0096340407640851</v>
      </c>
      <c r="K151" s="2549">
        <f t="shared" si="244"/>
        <v>2024</v>
      </c>
      <c r="L151" s="2482">
        <f>SUMIF(Costprice!$O$2:$U$2,SUMIF($L$138:$R$138,"&gt;0",$L$131:$R$131),Costprice!$O$26:$U$26)</f>
        <v>0</v>
      </c>
      <c r="M151" s="2482">
        <f>SUMIF(Costprice!$O$2:$U$2,SUMIF($L$138:$R$138,"&gt;0",$L$131:$R$131),Costprice!$O$26:$U$26)</f>
        <v>0</v>
      </c>
      <c r="N151" s="2482">
        <f>SUMIF(Costprice!$O$2:$U$2,SUMIF($L$138:$R$138,"&gt;0",$L$131:$R$131),Costprice!$O$26:$U$26)</f>
        <v>0</v>
      </c>
      <c r="O151" s="2482">
        <f>SUMIF(Costprice!$O$2:$U$2,SUMIF($L$138:$R$138,"&gt;0",$L$131:$R$131),Costprice!$O$26:$U$26)</f>
        <v>0</v>
      </c>
      <c r="P151" s="2482">
        <f>SUMIF(Costprice!$O$2:$U$2,SUMIF($L$138:$R$138,"&gt;0",$L$131:$R$131),Costprice!$O$26:$U$26)</f>
        <v>0</v>
      </c>
      <c r="Q151" s="2482">
        <f>SUMIF(Costprice!$O$2:$U$2,SUMIF($L$138:$R$138,"&gt;0",$L$131:$R$131),Costprice!$O$26:$U$26)</f>
        <v>0</v>
      </c>
      <c r="R151" s="2580">
        <f>SUMIF(Costprice!$O$2:$U$2,SUMIF($L$138:$R$138,"&gt;0",$L$131:$R$131),Costprice!$O$26:$U$26)</f>
        <v>0</v>
      </c>
      <c r="T151" s="2549">
        <f t="shared" ref="T151:T156" si="252">T138</f>
        <v>2024</v>
      </c>
      <c r="U151" s="2583">
        <f>SUMIF(Costprice!$O$2:$U$2,SUMIF($U$138:$AA$138,"&gt;0",$U$131:$AA$131),Costprice!$O$38:$U$38)</f>
        <v>0</v>
      </c>
      <c r="V151" s="2583">
        <f>SUMIF(Costprice!$O$2:$U$2,SUMIF($U$138:$AA$138,"&gt;0",$U$131:$AA$131),Costprice!$O$38:$U$38)</f>
        <v>0</v>
      </c>
      <c r="W151" s="2583">
        <f>SUMIF(Costprice!$O$2:$U$2,SUMIF($U$138:$AA$138,"&gt;0",$U$131:$AA$131),Costprice!$O$38:$U$38)</f>
        <v>0</v>
      </c>
      <c r="X151" s="2583">
        <f>SUMIF(Costprice!$O$2:$U$2,SUMIF($U$138:$AA$138,"&gt;0",$U$131:$AA$131),Costprice!$O$38:$U$38)</f>
        <v>0</v>
      </c>
      <c r="Y151" s="2583">
        <f>SUMIF(Costprice!$O$2:$U$2,SUMIF($U$138:$AA$138,"&gt;0",$U$131:$AA$131),Costprice!$O$38:$U$38)</f>
        <v>0</v>
      </c>
      <c r="Z151" s="2583">
        <f>SUMIF(Costprice!$O$2:$U$2,SUMIF($U$138:$AA$138,"&gt;0",$U$131:$AA$131),Costprice!$O$38:$U$38)</f>
        <v>0</v>
      </c>
      <c r="AA151" s="2580">
        <f>SUMIF(Costprice!$O$2:$U$2,SUMIF($U$138:$AA$138,"&gt;0",$U$131:$AA$131),Costprice!$O$38:$U$38)</f>
        <v>0</v>
      </c>
      <c r="AC151" s="2549">
        <f t="shared" ref="AC151:AC156" si="253">AC138</f>
        <v>2024</v>
      </c>
      <c r="AD151" s="2583">
        <f ca="1">SUMIF(Costprice!$O$2:$U$2,SUMIF($AD$138:$AJ$138,"&gt;0",$U$131:$AA$131),Costprice!$O$50:$U$50)</f>
        <v>2.7189794828167764</v>
      </c>
      <c r="AE151" s="2583">
        <f ca="1">SUMIF(Costprice!$O$2:$U$2,SUMIF($AD$138:$AJ$138,"&gt;0",$U$131:$AA$131),Costprice!$O$50:$U$50)</f>
        <v>2.7189794828167764</v>
      </c>
      <c r="AF151" s="2583">
        <f ca="1">SUMIF(Costprice!$O$2:$U$2,SUMIF($AD$138:$AJ$138,"&gt;0",$U$131:$AA$131),Costprice!$O$50:$U$50)</f>
        <v>2.7189794828167764</v>
      </c>
      <c r="AG151" s="2583">
        <f ca="1">SUMIF(Costprice!$O$2:$U$2,SUMIF($AD$138:$AJ$138,"&gt;0",$U$131:$AA$131),Costprice!$O$50:$U$50)</f>
        <v>2.7189794828167764</v>
      </c>
      <c r="AH151" s="2583">
        <f ca="1">SUMIF(Costprice!$O$2:$U$2,SUMIF($AD$138:$AJ$138,"&gt;0",$U$131:$AA$131),Costprice!$O$50:$U$50)</f>
        <v>2.7189794828167764</v>
      </c>
      <c r="AI151" s="2583">
        <f ca="1">SUMIF(Costprice!$O$2:$U$2,SUMIF($AD$138:$AJ$138,"&gt;0",$U$131:$AA$131),Costprice!$O$50:$U$50)</f>
        <v>2.7189794828167764</v>
      </c>
      <c r="AJ151" s="2580">
        <f ca="1">SUMIF(Costprice!$O$2:$U$2,SUMIF($AD$138:$AJ$138,"&gt;0",$U$131:$AA$131),Costprice!$O$50:$U$50)</f>
        <v>2.7189794828167764</v>
      </c>
      <c r="AL151" s="2549">
        <f t="shared" si="248"/>
        <v>2024</v>
      </c>
      <c r="AM151" s="2583">
        <f>SUMIF(Costprice!$O$2:$U$2,SUMIF($AM$138:$AS$138,"&gt;0",$U$131:$AA$131),Costprice!$O$63:$U$63)</f>
        <v>3.5839029804968829</v>
      </c>
      <c r="AN151" s="2583">
        <f>SUMIF(Costprice!$O$2:$U$2,SUMIF($AM$138:$AS$138,"&gt;0",$U$131:$AA$131),Costprice!$O$63:$U$63)</f>
        <v>3.5839029804968829</v>
      </c>
      <c r="AO151" s="2583">
        <f>SUMIF(Costprice!$O$2:$U$2,SUMIF($AM$138:$AS$138,"&gt;0",$U$131:$AA$131),Costprice!$O$63:$U$63)</f>
        <v>3.5839029804968829</v>
      </c>
      <c r="AP151" s="2583">
        <f>SUMIF(Costprice!$O$2:$U$2,SUMIF($AM$138:$AS$138,"&gt;0",$U$131:$AA$131),Costprice!$O$63:$U$63)</f>
        <v>3.5839029804968829</v>
      </c>
      <c r="AQ151" s="2583">
        <f>SUMIF(Costprice!$O$2:$U$2,SUMIF($AM$138:$AS$138,"&gt;0",$U$131:$AA$131),Costprice!$O$63:$U$63)</f>
        <v>3.5839029804968829</v>
      </c>
      <c r="AR151" s="2583">
        <f>SUMIF(Costprice!$O$2:$U$2,SUMIF($AM$138:$AS$138,"&gt;0",$U$131:$AA$131),Costprice!$O$63:$U$63)</f>
        <v>3.5839029804968829</v>
      </c>
      <c r="AS151" s="2580">
        <f>SUMIF(Costprice!$O$2:$U$2,SUMIF($AM$138:$AS$138,"&gt;0",$U$131:$AA$131),Costprice!$O$63:$U$63)</f>
        <v>3.5839029804968829</v>
      </c>
    </row>
    <row r="152" spans="2:45">
      <c r="B152" s="2549">
        <f t="shared" si="243"/>
        <v>2025</v>
      </c>
      <c r="C152" s="2583">
        <f>SUMIF(Costprice!$O$2:$U$2,SUMIF($C$139:$I$139,"&gt;0",$C$131:$I$131),Costprice!$O$14:$U$14)</f>
        <v>2.0513097845684682</v>
      </c>
      <c r="D152" s="2583">
        <f>SUMIF(Costprice!$O$2:$U$2,SUMIF($C$139:$I$139,"&gt;0",$C$131:$I$131),Costprice!$O$14:$U$14)</f>
        <v>2.0513097845684682</v>
      </c>
      <c r="E152" s="2583">
        <f>SUMIF(Costprice!$O$2:$U$2,SUMIF($C$139:$I$139,"&gt;0",$C$131:$I$131),Costprice!$O$14:$U$14)</f>
        <v>2.0513097845684682</v>
      </c>
      <c r="F152" s="2583">
        <f>SUMIF(Costprice!$O$2:$U$2,SUMIF($C$139:$I$139,"&gt;0",$C$131:$I$131),Costprice!$O$14:$U$14)</f>
        <v>2.0513097845684682</v>
      </c>
      <c r="G152" s="2583">
        <f>SUMIF(Costprice!$O$2:$U$2,SUMIF($C$139:$I$139,"&gt;0",$C$131:$I$131),Costprice!$O$14:$U$14)</f>
        <v>2.0513097845684682</v>
      </c>
      <c r="H152" s="2583">
        <f>SUMIF(Costprice!$O$2:$U$2,SUMIF($C$139:$I$139,"&gt;0",$C$131:$I$131),Costprice!$O$14:$U$14)</f>
        <v>2.0513097845684682</v>
      </c>
      <c r="I152" s="2580">
        <f>SUMIF(Costprice!$O$2:$U$2,SUMIF($C$139:$I$139,"&gt;0",$C$131:$I$131),Costprice!$O$14:$U$14)</f>
        <v>2.0513097845684682</v>
      </c>
      <c r="K152" s="2549">
        <f t="shared" si="244"/>
        <v>2025</v>
      </c>
      <c r="L152" s="2482">
        <f>SUMIF(Costprice!$O$2:$U$2,SUMIF($L$139:$R$139,"&gt;0",$L$131:$R$131),Costprice!$O$26:$U$26)</f>
        <v>0</v>
      </c>
      <c r="M152" s="2482">
        <f>SUMIF(Costprice!$O$2:$U$2,SUMIF($L$139:$R$139,"&gt;0",$L$131:$R$131),Costprice!$O$26:$U$26)</f>
        <v>0</v>
      </c>
      <c r="N152" s="2482">
        <f>SUMIF(Costprice!$O$2:$U$2,SUMIF($L$139:$R$139,"&gt;0",$L$131:$R$131),Costprice!$O$26:$U$26)</f>
        <v>0</v>
      </c>
      <c r="O152" s="2482">
        <f>SUMIF(Costprice!$O$2:$U$2,SUMIF($L$139:$R$139,"&gt;0",$L$131:$R$131),Costprice!$O$26:$U$26)</f>
        <v>0</v>
      </c>
      <c r="P152" s="2482">
        <f>SUMIF(Costprice!$O$2:$U$2,SUMIF($L$139:$R$139,"&gt;0",$L$131:$R$131),Costprice!$O$26:$U$26)</f>
        <v>0</v>
      </c>
      <c r="Q152" s="2482">
        <f>SUMIF(Costprice!$O$2:$U$2,SUMIF($L$139:$R$139,"&gt;0",$L$131:$R$131),Costprice!$O$26:$U$26)</f>
        <v>0</v>
      </c>
      <c r="R152" s="2580">
        <f>SUMIF(Costprice!$O$2:$U$2,SUMIF($L$139:$R$139,"&gt;0",$L$131:$R$131),Costprice!$O$26:$U$26)</f>
        <v>0</v>
      </c>
      <c r="T152" s="2549">
        <f t="shared" si="252"/>
        <v>2025</v>
      </c>
      <c r="U152" s="2583">
        <f>SUMIF(Costprice!$O$2:$U$2,SUMIF($U$139:$AA$139,"&gt;0",$U$131:$AA$131),Costprice!$O$38:$U$38)</f>
        <v>0</v>
      </c>
      <c r="V152" s="2583">
        <f>SUMIF(Costprice!$O$2:$U$2,SUMIF($U$139:$AA$139,"&gt;0",$U$131:$AA$131),Costprice!$O$38:$U$38)</f>
        <v>0</v>
      </c>
      <c r="W152" s="2583">
        <f>SUMIF(Costprice!$O$2:$U$2,SUMIF($U$139:$AA$139,"&gt;0",$U$131:$AA$131),Costprice!$O$38:$U$38)</f>
        <v>0</v>
      </c>
      <c r="X152" s="2583">
        <f>SUMIF(Costprice!$O$2:$U$2,SUMIF($U$139:$AA$139,"&gt;0",$U$131:$AA$131),Costprice!$O$38:$U$38)</f>
        <v>0</v>
      </c>
      <c r="Y152" s="2583">
        <f>SUMIF(Costprice!$O$2:$U$2,SUMIF($U$139:$AA$139,"&gt;0",$U$131:$AA$131),Costprice!$O$38:$U$38)</f>
        <v>0</v>
      </c>
      <c r="Z152" s="2583">
        <f>SUMIF(Costprice!$O$2:$U$2,SUMIF($U$139:$AA$139,"&gt;0",$U$131:$AA$131),Costprice!$O$38:$U$38)</f>
        <v>0</v>
      </c>
      <c r="AA152" s="2580">
        <f>SUMIF(Costprice!$O$2:$U$2,SUMIF($U$139:$AA$139,"&gt;0",$U$131:$AA$131),Costprice!$O$38:$U$38)</f>
        <v>0</v>
      </c>
      <c r="AC152" s="2549">
        <f t="shared" si="253"/>
        <v>2025</v>
      </c>
      <c r="AD152" s="2583">
        <f ca="1">SUMIF(Costprice!$O$2:$U$2,SUMIF($AD$139:$AJ$139,"&gt;0",$U$131:$AA$131),Costprice!$O$50:$U$50)</f>
        <v>2.7721925512561634</v>
      </c>
      <c r="AE152" s="2583">
        <f ca="1">SUMIF(Costprice!$O$2:$U$2,SUMIF($AD$139:$AJ$139,"&gt;0",$U$131:$AA$131),Costprice!$O$50:$U$50)</f>
        <v>2.7721925512561634</v>
      </c>
      <c r="AF152" s="2583">
        <f ca="1">SUMIF(Costprice!$O$2:$U$2,SUMIF($AD$139:$AJ$139,"&gt;0",$U$131:$AA$131),Costprice!$O$50:$U$50)</f>
        <v>2.7721925512561634</v>
      </c>
      <c r="AG152" s="2583">
        <f ca="1">SUMIF(Costprice!$O$2:$U$2,SUMIF($AD$139:$AJ$139,"&gt;0",$U$131:$AA$131),Costprice!$O$50:$U$50)</f>
        <v>2.7721925512561634</v>
      </c>
      <c r="AH152" s="2583">
        <f ca="1">SUMIF(Costprice!$O$2:$U$2,SUMIF($AD$139:$AJ$139,"&gt;0",$U$131:$AA$131),Costprice!$O$50:$U$50)</f>
        <v>2.7721925512561634</v>
      </c>
      <c r="AI152" s="2583">
        <f ca="1">SUMIF(Costprice!$O$2:$U$2,SUMIF($AD$139:$AJ$139,"&gt;0",$U$131:$AA$131),Costprice!$O$50:$U$50)</f>
        <v>2.7721925512561634</v>
      </c>
      <c r="AJ152" s="2580">
        <f ca="1">SUMIF(Costprice!$O$2:$U$2,SUMIF($AD$139:$AJ$139,"&gt;0",$U$131:$AA$131),Costprice!$O$50:$U$50)</f>
        <v>2.7721925512561634</v>
      </c>
      <c r="AL152" s="2549">
        <f t="shared" si="248"/>
        <v>2025</v>
      </c>
      <c r="AM152" s="2583">
        <f>SUMIF(Costprice!$O$2:$U$2,SUMIF($AM$139:$AS$139,"&gt;0",$U$131:$AA$131),Costprice!$O$63:$U$63)</f>
        <v>3.65562970978826</v>
      </c>
      <c r="AN152" s="2583">
        <f>SUMIF(Costprice!$O$2:$U$2,SUMIF($AM$139:$AS$139,"&gt;0",$U$131:$AA$131),Costprice!$O$63:$U$63)</f>
        <v>3.65562970978826</v>
      </c>
      <c r="AO152" s="2583">
        <f>SUMIF(Costprice!$O$2:$U$2,SUMIF($AM$139:$AS$139,"&gt;0",$U$131:$AA$131),Costprice!$O$63:$U$63)</f>
        <v>3.65562970978826</v>
      </c>
      <c r="AP152" s="2583">
        <f>SUMIF(Costprice!$O$2:$U$2,SUMIF($AM$139:$AS$139,"&gt;0",$U$131:$AA$131),Costprice!$O$63:$U$63)</f>
        <v>3.65562970978826</v>
      </c>
      <c r="AQ152" s="2583">
        <f>SUMIF(Costprice!$O$2:$U$2,SUMIF($AM$139:$AS$139,"&gt;0",$U$131:$AA$131),Costprice!$O$63:$U$63)</f>
        <v>3.65562970978826</v>
      </c>
      <c r="AR152" s="2583">
        <f>SUMIF(Costprice!$O$2:$U$2,SUMIF($AM$139:$AS$139,"&gt;0",$U$131:$AA$131),Costprice!$O$63:$U$63)</f>
        <v>3.65562970978826</v>
      </c>
      <c r="AS152" s="2580">
        <f>SUMIF(Costprice!$O$2:$U$2,SUMIF($AM$139:$AS$139,"&gt;0",$U$131:$AA$131),Costprice!$O$63:$U$63)</f>
        <v>3.65562970978826</v>
      </c>
    </row>
    <row r="153" spans="2:45">
      <c r="B153" s="2549">
        <f t="shared" si="243"/>
        <v>2026</v>
      </c>
      <c r="C153" s="2583">
        <f>SUMIF(Costprice!$O$2:$U$2,SUMIF($C$140:$I$140,"&gt;0",$C$131:$I$131),Costprice!$O$14:$U$14)</f>
        <v>2.0916711020596672</v>
      </c>
      <c r="D153" s="2583">
        <f>SUMIF(Costprice!$O$2:$U$2,SUMIF($C$140:$I$140,"&gt;0",$C$131:$I$131),Costprice!$O$14:$U$14)</f>
        <v>2.0916711020596672</v>
      </c>
      <c r="E153" s="2583">
        <f>SUMIF(Costprice!$O$2:$U$2,SUMIF($C$140:$I$140,"&gt;0",$C$131:$I$131),Costprice!$O$14:$U$14)</f>
        <v>2.0916711020596672</v>
      </c>
      <c r="F153" s="2583">
        <f>SUMIF(Costprice!$O$2:$U$2,SUMIF($C$140:$I$140,"&gt;0",$C$131:$I$131),Costprice!$O$14:$U$14)</f>
        <v>2.0916711020596672</v>
      </c>
      <c r="G153" s="2583">
        <f>SUMIF(Costprice!$O$2:$U$2,SUMIF($C$140:$I$140,"&gt;0",$C$131:$I$131),Costprice!$O$14:$U$14)</f>
        <v>2.0916711020596672</v>
      </c>
      <c r="H153" s="2583">
        <f>SUMIF(Costprice!$O$2:$U$2,SUMIF($C$140:$I$140,"&gt;0",$C$131:$I$131),Costprice!$O$14:$U$14)</f>
        <v>2.0916711020596672</v>
      </c>
      <c r="I153" s="2580">
        <f>SUMIF(Costprice!$O$2:$U$2,SUMIF($C$140:$I$140,"&gt;0",$C$131:$I$131),Costprice!$O$14:$U$14)</f>
        <v>2.0916711020596672</v>
      </c>
      <c r="K153" s="2549">
        <f t="shared" si="244"/>
        <v>2026</v>
      </c>
      <c r="L153" s="2482">
        <f>SUMIF(Costprice!$O$2:$U$2,SUMIF($L$140:$R$140,"&gt;0",$L$131:$R$131),Costprice!$O$26:$U$26)</f>
        <v>0</v>
      </c>
      <c r="M153" s="2482">
        <f>SUMIF(Costprice!$O$2:$U$2,SUMIF($L$140:$R$140,"&gt;0",$L$131:$R$131),Costprice!$O$26:$U$26)</f>
        <v>0</v>
      </c>
      <c r="N153" s="2482">
        <f>SUMIF(Costprice!$O$2:$U$2,SUMIF($L$140:$R$140,"&gt;0",$L$131:$R$131),Costprice!$O$26:$U$26)</f>
        <v>0</v>
      </c>
      <c r="O153" s="2482">
        <f>SUMIF(Costprice!$O$2:$U$2,SUMIF($L$140:$R$140,"&gt;0",$L$131:$R$131),Costprice!$O$26:$U$26)</f>
        <v>0</v>
      </c>
      <c r="P153" s="2482">
        <f>SUMIF(Costprice!$O$2:$U$2,SUMIF($L$140:$R$140,"&gt;0",$L$131:$R$131),Costprice!$O$26:$U$26)</f>
        <v>0</v>
      </c>
      <c r="Q153" s="2482">
        <f>SUMIF(Costprice!$O$2:$U$2,SUMIF($L$140:$R$140,"&gt;0",$L$131:$R$131),Costprice!$O$26:$U$26)</f>
        <v>0</v>
      </c>
      <c r="R153" s="2580">
        <f>SUMIF(Costprice!$O$2:$U$2,SUMIF($L$140:$R$140,"&gt;0",$L$131:$R$131),Costprice!$O$26:$U$26)</f>
        <v>0</v>
      </c>
      <c r="T153" s="2549">
        <f t="shared" si="252"/>
        <v>2026</v>
      </c>
      <c r="U153" s="2583">
        <f>SUMIF(Costprice!$O$2:$U$2,SUMIF($U$140:$AA$140,"&gt;0",$U$131:$AA$131),Costprice!$O$38:$U$38)</f>
        <v>0</v>
      </c>
      <c r="V153" s="2583">
        <f>SUMIF(Costprice!$O$2:$U$2,SUMIF($U$140:$AA$140,"&gt;0",$U$131:$AA$131),Costprice!$O$38:$U$38)</f>
        <v>0</v>
      </c>
      <c r="W153" s="2583">
        <f>SUMIF(Costprice!$O$2:$U$2,SUMIF($U$140:$AA$140,"&gt;0",$U$131:$AA$131),Costprice!$O$38:$U$38)</f>
        <v>0</v>
      </c>
      <c r="X153" s="2583">
        <f>SUMIF(Costprice!$O$2:$U$2,SUMIF($U$140:$AA$140,"&gt;0",$U$131:$AA$131),Costprice!$O$38:$U$38)</f>
        <v>0</v>
      </c>
      <c r="Y153" s="2583">
        <f>SUMIF(Costprice!$O$2:$U$2,SUMIF($U$140:$AA$140,"&gt;0",$U$131:$AA$131),Costprice!$O$38:$U$38)</f>
        <v>0</v>
      </c>
      <c r="Z153" s="2583">
        <f>SUMIF(Costprice!$O$2:$U$2,SUMIF($U$140:$AA$140,"&gt;0",$U$131:$AA$131),Costprice!$O$38:$U$38)</f>
        <v>0</v>
      </c>
      <c r="AA153" s="2580">
        <f>SUMIF(Costprice!$O$2:$U$2,SUMIF($U$140:$AA$140,"&gt;0",$U$131:$AA$131),Costprice!$O$38:$U$38)</f>
        <v>0</v>
      </c>
      <c r="AC153" s="2549">
        <f t="shared" si="253"/>
        <v>2026</v>
      </c>
      <c r="AD153" s="2583">
        <f ca="1">SUMIF(Costprice!$O$2:$U$2,SUMIF($AD$140:$AJ$140,"&gt;0",$U$131:$AA$131),Costprice!$O$50:$U$50)</f>
        <v>2.8269637505361245</v>
      </c>
      <c r="AE153" s="2583">
        <f ca="1">SUMIF(Costprice!$O$2:$U$2,SUMIF($AD$140:$AJ$140,"&gt;0",$U$131:$AA$131),Costprice!$O$50:$U$50)</f>
        <v>2.8269637505361245</v>
      </c>
      <c r="AF153" s="2583">
        <f ca="1">SUMIF(Costprice!$O$2:$U$2,SUMIF($AD$140:$AJ$140,"&gt;0",$U$131:$AA$131),Costprice!$O$50:$U$50)</f>
        <v>2.8269637505361245</v>
      </c>
      <c r="AG153" s="2583">
        <f ca="1">SUMIF(Costprice!$O$2:$U$2,SUMIF($AD$140:$AJ$140,"&gt;0",$U$131:$AA$131),Costprice!$O$50:$U$50)</f>
        <v>2.8269637505361245</v>
      </c>
      <c r="AH153" s="2583">
        <f ca="1">SUMIF(Costprice!$O$2:$U$2,SUMIF($AD$140:$AJ$140,"&gt;0",$U$131:$AA$131),Costprice!$O$50:$U$50)</f>
        <v>2.8269637505361245</v>
      </c>
      <c r="AI153" s="2583">
        <f ca="1">SUMIF(Costprice!$O$2:$U$2,SUMIF($AD$140:$AJ$140,"&gt;0",$U$131:$AA$131),Costprice!$O$50:$U$50)</f>
        <v>2.8269637505361245</v>
      </c>
      <c r="AJ153" s="2583">
        <f ca="1">SUMIF(Costprice!$O$2:$U$2,SUMIF($AD$140:$AJ$140,"&gt;0",$U$131:$AA$131),Costprice!$O$50:$U$50)</f>
        <v>2.8269637505361245</v>
      </c>
      <c r="AL153" s="2549">
        <f t="shared" si="248"/>
        <v>2026</v>
      </c>
      <c r="AM153" s="2583">
        <f>IF(SUMIF(Costprice!$O$2:$U$2,SUMIF($AM$140:$AS$140,"&gt;0",$U$131:$AA$131),Costprice!$O$63:$U$63)=0,AM152*(1+Opex!$J$28),SUMIF(Costprice!$O$2:$U$2,SUMIF($AM$140:$AS$140,"&gt;0",$U$131:$AA$131),Costprice!$O$63:$U$63))</f>
        <v>3.7278413279809497</v>
      </c>
      <c r="AN153" s="2583">
        <f>IF(SUMIF(Costprice!$O$2:$U$2,SUMIF($AM$140:$AS$140,"&gt;0",$U$131:$AA$131),Costprice!$O$63:$U$63)=0,AN152*(1+Opex!$J$28),SUMIF(Costprice!$O$2:$U$2,SUMIF($AM$140:$AS$140,"&gt;0",$U$131:$AA$131),Costprice!$O$63:$U$63))</f>
        <v>3.7278413279809497</v>
      </c>
      <c r="AO153" s="2583">
        <f>IF(SUMIF(Costprice!$O$2:$U$2,SUMIF($AM$140:$AS$140,"&gt;0",$U$131:$AA$131),Costprice!$O$63:$U$63)=0,AO152*(1+Opex!$J$28),SUMIF(Costprice!$O$2:$U$2,SUMIF($AM$140:$AS$140,"&gt;0",$U$131:$AA$131),Costprice!$O$63:$U$63))</f>
        <v>3.7278413279809497</v>
      </c>
      <c r="AP153" s="2583">
        <f>IF(SUMIF(Costprice!$O$2:$U$2,SUMIF($AM$140:$AS$140,"&gt;0",$U$131:$AA$131),Costprice!$O$63:$U$63)=0,AP152*(1+Opex!$J$28),SUMIF(Costprice!$O$2:$U$2,SUMIF($AM$140:$AS$140,"&gt;0",$U$131:$AA$131),Costprice!$O$63:$U$63))</f>
        <v>3.7278413279809497</v>
      </c>
      <c r="AQ153" s="2583">
        <f>IF(SUMIF(Costprice!$O$2:$U$2,SUMIF($AM$140:$AS$140,"&gt;0",$U$131:$AA$131),Costprice!$O$63:$U$63)=0,AQ152*(1+Opex!$J$28),SUMIF(Costprice!$O$2:$U$2,SUMIF($AM$140:$AS$140,"&gt;0",$U$131:$AA$131),Costprice!$O$63:$U$63))</f>
        <v>3.7278413279809497</v>
      </c>
      <c r="AR153" s="2583">
        <f>IF(SUMIF(Costprice!$O$2:$U$2,SUMIF($AM$140:$AS$140,"&gt;0",$U$131:$AA$131),Costprice!$O$63:$U$63)=0,AR152*(1+Opex!$J$28),SUMIF(Costprice!$O$2:$U$2,SUMIF($AM$140:$AS$140,"&gt;0",$U$131:$AA$131),Costprice!$O$63:$U$63))</f>
        <v>3.7278413279809497</v>
      </c>
      <c r="AS153" s="2580">
        <f>IF(SUMIF(Costprice!$O$2:$U$2,SUMIF($AM$140:$AS$140,"&gt;0",$U$131:$AA$131),Costprice!$O$63:$U$63)=0,AS152*(1+Opex!$J$28),SUMIF(Costprice!$O$2:$U$2,SUMIF($AM$140:$AS$140,"&gt;0",$U$131:$AA$131),Costprice!$O$63:$U$63))</f>
        <v>3.7278413279809497</v>
      </c>
    </row>
    <row r="154" spans="2:45">
      <c r="B154" s="2549">
        <f t="shared" si="243"/>
        <v>2027</v>
      </c>
      <c r="C154" s="2583">
        <f>SUMIF(Costprice!$O$2:$U$2,SUMIF($C$141:$I$141,"&gt;0",$C$131:$I$131),Costprice!$O$14:$U$14)</f>
        <v>2.1334207054649807</v>
      </c>
      <c r="D154" s="2583">
        <f>SUMIF(Costprice!$O$2:$U$2,SUMIF($C$141:$I$141,"&gt;0",$C$131:$I$131),Costprice!$O$14:$U$14)</f>
        <v>2.1334207054649807</v>
      </c>
      <c r="E154" s="2583">
        <f>SUMIF(Costprice!$O$2:$U$2,SUMIF($C$141:$I$141,"&gt;0",$C$131:$I$131),Costprice!$O$14:$U$14)</f>
        <v>2.1334207054649807</v>
      </c>
      <c r="F154" s="2583">
        <f>SUMIF(Costprice!$O$2:$U$2,SUMIF($C$141:$I$141,"&gt;0",$C$131:$I$131),Costprice!$O$14:$U$14)</f>
        <v>2.1334207054649807</v>
      </c>
      <c r="G154" s="2583">
        <f>SUMIF(Costprice!$O$2:$U$2,SUMIF($C$141:$I$141,"&gt;0",$C$131:$I$131),Costprice!$O$14:$U$14)</f>
        <v>2.1334207054649807</v>
      </c>
      <c r="H154" s="2583">
        <f>SUMIF(Costprice!$O$2:$U$2,SUMIF($C$141:$I$141,"&gt;0",$C$131:$I$131),Costprice!$O$14:$U$14)</f>
        <v>2.1334207054649807</v>
      </c>
      <c r="I154" s="2580">
        <f>SUMIF(Costprice!$O$2:$U$2,SUMIF($C$141:$I$141,"&gt;0",$C$131:$I$131),Costprice!$O$14:$U$14)</f>
        <v>2.1334207054649807</v>
      </c>
      <c r="K154" s="2549">
        <f t="shared" si="244"/>
        <v>2027</v>
      </c>
      <c r="L154" s="2482">
        <f>SUMIF(Costprice!$O$2:$U$2,SUMIF($L$141:$R$141,"&gt;0",$L$131:$R$131),Costprice!$O$26:$U$26)</f>
        <v>0</v>
      </c>
      <c r="M154" s="2482">
        <f>SUMIF(Costprice!$O$2:$U$2,SUMIF($L$141:$R$141,"&gt;0",$L$131:$R$131),Costprice!$O$26:$U$26)</f>
        <v>0</v>
      </c>
      <c r="N154" s="2482">
        <f>SUMIF(Costprice!$O$2:$U$2,SUMIF($L$141:$R$141,"&gt;0",$L$131:$R$131),Costprice!$O$26:$U$26)</f>
        <v>0</v>
      </c>
      <c r="O154" s="2482">
        <f>SUMIF(Costprice!$O$2:$U$2,SUMIF($L$141:$R$141,"&gt;0",$L$131:$R$131),Costprice!$O$26:$U$26)</f>
        <v>0</v>
      </c>
      <c r="P154" s="2482">
        <f>SUMIF(Costprice!$O$2:$U$2,SUMIF($L$141:$R$141,"&gt;0",$L$131:$R$131),Costprice!$O$26:$U$26)</f>
        <v>0</v>
      </c>
      <c r="Q154" s="2482">
        <f>SUMIF(Costprice!$O$2:$U$2,SUMIF($L$141:$R$141,"&gt;0",$L$131:$R$131),Costprice!$O$26:$U$26)</f>
        <v>0</v>
      </c>
      <c r="R154" s="2580">
        <f>SUMIF(Costprice!$O$2:$U$2,SUMIF($L$141:$R$141,"&gt;0",$L$131:$R$131),Costprice!$O$26:$U$26)</f>
        <v>0</v>
      </c>
      <c r="T154" s="2549">
        <f t="shared" si="252"/>
        <v>2027</v>
      </c>
      <c r="U154" s="2583">
        <f>SUMIF(Costprice!$O$2:$U$2,SUMIF($U$141:$AA$141,"&gt;0",$U$131:$AA$131),Costprice!$O$38:$U$38)</f>
        <v>0</v>
      </c>
      <c r="V154" s="2583">
        <f>SUMIF(Costprice!$O$2:$U$2,SUMIF($U$141:$AA$141,"&gt;0",$U$131:$AA$131),Costprice!$O$38:$U$38)</f>
        <v>0</v>
      </c>
      <c r="W154" s="2583">
        <f>SUMIF(Costprice!$O$2:$U$2,SUMIF($U$141:$AA$141,"&gt;0",$U$131:$AA$131),Costprice!$O$38:$U$38)</f>
        <v>0</v>
      </c>
      <c r="X154" s="2583">
        <f>SUMIF(Costprice!$O$2:$U$2,SUMIF($U$141:$AA$141,"&gt;0",$U$131:$AA$131),Costprice!$O$38:$U$38)</f>
        <v>0</v>
      </c>
      <c r="Y154" s="2583">
        <f>SUMIF(Costprice!$O$2:$U$2,SUMIF($U$141:$AA$141,"&gt;0",$U$131:$AA$131),Costprice!$O$38:$U$38)</f>
        <v>0</v>
      </c>
      <c r="Z154" s="2583">
        <f>SUMIF(Costprice!$O$2:$U$2,SUMIF($U$141:$AA$141,"&gt;0",$U$131:$AA$131),Costprice!$O$38:$U$38)</f>
        <v>0</v>
      </c>
      <c r="AA154" s="2580">
        <f>SUMIF(Costprice!$O$2:$U$2,SUMIF($U$141:$AA$141,"&gt;0",$U$131:$AA$131),Costprice!$O$38:$U$38)</f>
        <v>0</v>
      </c>
      <c r="AC154" s="2549">
        <f t="shared" si="253"/>
        <v>2027</v>
      </c>
      <c r="AD154" s="2583">
        <f ca="1">IF(SUMIF(Costprice!$O$2:$U$2,SUMIF($AD$142:$AJ$142,"&gt;0",$U$131:$AA$131),Costprice!$O$38:$U$38)=0,AD153*(1+Opex!$J$28),SUMIF(Costprice!$O$2:$U$2,SUMIF($AD$142:$AJ$142,"&gt;0",$U$131:$AA$131),Costprice!$O$38:$U$38))</f>
        <v>2.883503025546847</v>
      </c>
      <c r="AE154" s="2583">
        <f ca="1">IF(SUMIF(Costprice!$O$2:$U$2,SUMIF($AD$142:$AJ$142,"&gt;0",$U$131:$AA$131),Costprice!$O$38:$U$38)=0,AE153*(1+Opex!$J$28),SUMIF(Costprice!$O$2:$U$2,SUMIF($AD$142:$AJ$142,"&gt;0",$U$131:$AA$131),Costprice!$O$38:$U$38))</f>
        <v>2.883503025546847</v>
      </c>
      <c r="AF154" s="2583">
        <f ca="1">IF(SUMIF(Costprice!$O$2:$U$2,SUMIF($AD$142:$AJ$142,"&gt;0",$U$131:$AA$131),Costprice!$O$38:$U$38)=0,AF153*(1+Opex!$J$28),SUMIF(Costprice!$O$2:$U$2,SUMIF($AD$142:$AJ$142,"&gt;0",$U$131:$AA$131),Costprice!$O$38:$U$38))</f>
        <v>2.883503025546847</v>
      </c>
      <c r="AG154" s="2583">
        <f ca="1">IF(SUMIF(Costprice!$O$2:$U$2,SUMIF($AD$142:$AJ$142,"&gt;0",$U$131:$AA$131),Costprice!$O$38:$U$38)=0,AG153*(1+Opex!$J$28),SUMIF(Costprice!$O$2:$U$2,SUMIF($AD$142:$AJ$142,"&gt;0",$U$131:$AA$131),Costprice!$O$38:$U$38))</f>
        <v>2.883503025546847</v>
      </c>
      <c r="AH154" s="2583">
        <f ca="1">IF(SUMIF(Costprice!$O$2:$U$2,SUMIF($AD$142:$AJ$142,"&gt;0",$U$131:$AA$131),Costprice!$O$38:$U$38)=0,AH153*(1+Opex!$J$28),SUMIF(Costprice!$O$2:$U$2,SUMIF($AD$142:$AJ$142,"&gt;0",$U$131:$AA$131),Costprice!$O$38:$U$38))</f>
        <v>2.883503025546847</v>
      </c>
      <c r="AI154" s="2583">
        <f ca="1">IF(SUMIF(Costprice!$O$2:$U$2,SUMIF($AD$142:$AJ$142,"&gt;0",$U$131:$AA$131),Costprice!$O$38:$U$38)=0,AI153*(1+Opex!$J$28),SUMIF(Costprice!$O$2:$U$2,SUMIF($AD$142:$AJ$142,"&gt;0",$U$131:$AA$131),Costprice!$O$38:$U$38))</f>
        <v>2.883503025546847</v>
      </c>
      <c r="AJ154" s="2583">
        <f ca="1">SUMIF(Costprice!$O$2:$U$2,SUMIF($AD$141:$AJ$141,"&gt;0",$U$131:$AA$131),Costprice!$O$50:$U$50)</f>
        <v>2.8835611401676666</v>
      </c>
      <c r="AL154" s="2549">
        <f t="shared" si="248"/>
        <v>2027</v>
      </c>
      <c r="AM154" s="2583">
        <f>IF(SUMIF(Costprice!$O$2:$U$2,SUMIF($AM$141:$AS$141,"&gt;0",$U$131:$AA$131),Costprice!$O$63:$U$63)=0,AM153*(1+Opex!$J$28),SUMIF(Costprice!$O$2:$U$2,SUMIF($AM$141:$AS$141,"&gt;0",$U$131:$AA$131),Costprice!$O$63:$U$63))</f>
        <v>3.802398154540569</v>
      </c>
      <c r="AN154" s="2583">
        <f>IF(SUMIF(Costprice!$O$2:$U$2,SUMIF($AM$141:$AS$141,"&gt;0",$U$131:$AA$131),Costprice!$O$63:$U$63)=0,AN153*(1+Opex!$J$28),SUMIF(Costprice!$O$2:$U$2,SUMIF($AM$141:$AS$141,"&gt;0",$U$131:$AA$131),Costprice!$O$63:$U$63))</f>
        <v>3.802398154540569</v>
      </c>
      <c r="AO154" s="2583">
        <f>IF(SUMIF(Costprice!$O$2:$U$2,SUMIF($AM$141:$AS$141,"&gt;0",$U$131:$AA$131),Costprice!$O$63:$U$63)=0,AO153*(1+Opex!$J$28),SUMIF(Costprice!$O$2:$U$2,SUMIF($AM$141:$AS$141,"&gt;0",$U$131:$AA$131),Costprice!$O$63:$U$63))</f>
        <v>3.802398154540569</v>
      </c>
      <c r="AP154" s="2583">
        <f>IF(SUMIF(Costprice!$O$2:$U$2,SUMIF($AM$141:$AS$141,"&gt;0",$U$131:$AA$131),Costprice!$O$63:$U$63)=0,AP153*(1+Opex!$J$28),SUMIF(Costprice!$O$2:$U$2,SUMIF($AM$141:$AS$141,"&gt;0",$U$131:$AA$131),Costprice!$O$63:$U$63))</f>
        <v>3.802398154540569</v>
      </c>
      <c r="AQ154" s="2583">
        <f>IF(SUMIF(Costprice!$O$2:$U$2,SUMIF($AM$141:$AS$141,"&gt;0",$U$131:$AA$131),Costprice!$O$63:$U$63)=0,AQ153*(1+Opex!$J$28),SUMIF(Costprice!$O$2:$U$2,SUMIF($AM$141:$AS$141,"&gt;0",$U$131:$AA$131),Costprice!$O$63:$U$63))</f>
        <v>3.802398154540569</v>
      </c>
      <c r="AR154" s="2583">
        <f>IF(SUMIF(Costprice!$O$2:$U$2,SUMIF($AM$141:$AS$141,"&gt;0",$U$131:$AA$131),Costprice!$O$63:$U$63)=0,AR153*(1+Opex!$J$28),SUMIF(Costprice!$O$2:$U$2,SUMIF($AM$141:$AS$141,"&gt;0",$U$131:$AA$131),Costprice!$O$63:$U$63))</f>
        <v>3.802398154540569</v>
      </c>
      <c r="AS154" s="2580">
        <f>IF(SUMIF(Costprice!$O$2:$U$2,SUMIF($AM$141:$AS$141,"&gt;0",$U$131:$AA$131),Costprice!$O$63:$U$63)=0,AS153*(1+Opex!$J$28),SUMIF(Costprice!$O$2:$U$2,SUMIF($AM$141:$AS$141,"&gt;0",$U$131:$AA$131),Costprice!$O$63:$U$63))</f>
        <v>3.802398154540569</v>
      </c>
    </row>
    <row r="155" spans="2:45">
      <c r="B155" s="2549">
        <f t="shared" si="243"/>
        <v>2028</v>
      </c>
      <c r="C155" s="2583">
        <f>SUMIF(Costprice!$O$2:$U$2,SUMIF($C$142:$I$142,"&gt;0",$C$131:$I$131),Costprice!$O$14:$U$14)</f>
        <v>2.1761942964325982</v>
      </c>
      <c r="D155" s="2583">
        <f>SUMIF(Costprice!$O$2:$U$2,SUMIF($C$142:$I$142,"&gt;0",$C$131:$I$131),Costprice!$O$14:$U$14)</f>
        <v>2.1761942964325982</v>
      </c>
      <c r="E155" s="2583">
        <f>SUMIF(Costprice!$O$2:$U$2,SUMIF($C$142:$I$142,"&gt;0",$C$131:$I$131),Costprice!$O$14:$U$14)</f>
        <v>2.1761942964325982</v>
      </c>
      <c r="F155" s="2583">
        <f>SUMIF(Costprice!$O$2:$U$2,SUMIF($C$142:$I$142,"&gt;0",$C$131:$I$131),Costprice!$O$14:$U$14)</f>
        <v>2.1761942964325982</v>
      </c>
      <c r="G155" s="2583">
        <f>SUMIF(Costprice!$O$2:$U$2,SUMIF($C$142:$I$142,"&gt;0",$C$131:$I$131),Costprice!$O$14:$U$14)</f>
        <v>2.1761942964325982</v>
      </c>
      <c r="H155" s="2583">
        <f>SUMIF(Costprice!$O$2:$U$2,SUMIF($C$142:$I$142,"&gt;0",$C$131:$I$131),Costprice!$O$14:$U$14)</f>
        <v>2.1761942964325982</v>
      </c>
      <c r="I155" s="2580">
        <f>SUMIF(Costprice!$O$2:$U$2,SUMIF($C$142:$I$142,"&gt;0",$C$131:$I$131),Costprice!$O$14:$U$14)</f>
        <v>2.1761942964325982</v>
      </c>
      <c r="K155" s="2549">
        <f t="shared" si="244"/>
        <v>2028</v>
      </c>
      <c r="L155" s="2482">
        <f>SUMIF(Costprice!$O$2:$U$2,SUMIF($L$142:$R$142,"&gt;0",$L$131:$R$131),Costprice!$O$26:$U$26)</f>
        <v>0</v>
      </c>
      <c r="M155" s="2482">
        <f>SUMIF(Costprice!$O$2:$U$2,SUMIF($L$142:$R$142,"&gt;0",$L$131:$R$131),Costprice!$O$26:$U$26)</f>
        <v>0</v>
      </c>
      <c r="N155" s="2482">
        <f>SUMIF(Costprice!$O$2:$U$2,SUMIF($L$142:$R$142,"&gt;0",$L$131:$R$131),Costprice!$O$26:$U$26)</f>
        <v>0</v>
      </c>
      <c r="O155" s="2482">
        <f>SUMIF(Costprice!$O$2:$U$2,SUMIF($L$142:$R$142,"&gt;0",$L$131:$R$131),Costprice!$O$26:$U$26)</f>
        <v>0</v>
      </c>
      <c r="P155" s="2482">
        <f>SUMIF(Costprice!$O$2:$U$2,SUMIF($L$142:$R$142,"&gt;0",$L$131:$R$131),Costprice!$O$26:$U$26)</f>
        <v>0</v>
      </c>
      <c r="Q155" s="2482">
        <f>SUMIF(Costprice!$O$2:$U$2,SUMIF($L$142:$R$142,"&gt;0",$L$131:$R$131),Costprice!$O$26:$U$26)</f>
        <v>0</v>
      </c>
      <c r="R155" s="2580">
        <f>SUMIF(Costprice!$O$2:$U$2,SUMIF($L$142:$R$142,"&gt;0",$L$131:$R$131),Costprice!$O$26:$U$26)</f>
        <v>0</v>
      </c>
      <c r="T155" s="2549">
        <f t="shared" si="252"/>
        <v>2028</v>
      </c>
      <c r="U155" s="2583">
        <f>IF(SUMIF(Costprice!$O$2:$U$2,SUMIF($U$142:$AA$142,"&gt;0",$U$131:$AA$131),Costprice!$O$38:$U$38)=0,U154*(1+Opex!$I$28),SUMIF(Costprice!$O$2:$U$2,SUMIF($U$142:$AA$142,"&gt;0",$U$131:$AA$131),Costprice!$O$38:$U$38))</f>
        <v>0</v>
      </c>
      <c r="V155" s="2583">
        <f>IF(SUMIF(Costprice!$O$2:$U$2,SUMIF($U$142:$AA$142,"&gt;0",$U$131:$AA$131),Costprice!$O$38:$U$38)=0,V154*(1+Opex!$J$28),SUMIF(Costprice!$O$2:$U$2,SUMIF($U$142:$AA$142,"&gt;0",$U$131:$AA$131),Costprice!$O$38:$U$38))</f>
        <v>0</v>
      </c>
      <c r="W155" s="2583">
        <f>IF(SUMIF(Costprice!$O$2:$U$2,SUMIF($U$142:$AA$142,"&gt;0",$U$131:$AA$131),Costprice!$O$38:$U$38)=0,W154*(1+Opex!$J$28),SUMIF(Costprice!$O$2:$U$2,SUMIF($U$142:$AA$142,"&gt;0",$U$131:$AA$131),Costprice!$O$38:$U$38))</f>
        <v>0</v>
      </c>
      <c r="X155" s="2583">
        <f>IF(SUMIF(Costprice!$O$2:$U$2,SUMIF($U$142:$AA$142,"&gt;0",$U$131:$AA$131),Costprice!$O$38:$U$38)=0,X154*(1+Opex!$J$28),SUMIF(Costprice!$O$2:$U$2,SUMIF($U$142:$AA$142,"&gt;0",$U$131:$AA$131),Costprice!$O$38:$U$38))</f>
        <v>0</v>
      </c>
      <c r="Y155" s="2583">
        <f>IF(SUMIF(Costprice!$O$2:$U$2,SUMIF($U$142:$AA$142,"&gt;0",$U$131:$AA$131),Costprice!$O$38:$U$38)=0,Y154*(1+Opex!$J$28),SUMIF(Costprice!$O$2:$U$2,SUMIF($U$142:$AA$142,"&gt;0",$U$131:$AA$131),Costprice!$O$38:$U$38))</f>
        <v>0</v>
      </c>
      <c r="Z155" s="2583">
        <f>IF(SUMIF(Costprice!$O$2:$U$2,SUMIF($U$142:$AA$142,"&gt;0",$U$131:$AA$131),Costprice!$O$38:$U$38)=0,Z154*(1+Opex!$J$28),SUMIF(Costprice!$O$2:$U$2,SUMIF($U$142:$AA$142,"&gt;0",$U$131:$AA$131),Costprice!$O$38:$U$38))</f>
        <v>0</v>
      </c>
      <c r="AA155" s="2580">
        <f>IF(SUMIF(Costprice!$O$2:$U$2,SUMIF($U$142:$AA$142,"&gt;0",$U$131:$AA$131),Costprice!$O$38:$U$38)=0,AA154*(1+Opex!$J$28),SUMIF(Costprice!$O$2:$U$2,SUMIF($U$142:$AA$142,"&gt;0",$U$131:$AA$131),Costprice!$O$38:$U$38))</f>
        <v>0</v>
      </c>
      <c r="AC155" s="2549">
        <f t="shared" si="253"/>
        <v>2028</v>
      </c>
      <c r="AD155" s="2583">
        <f ca="1">IF(SUMIF(Costprice!$O$2:$U$2,SUMIF($AD$142:$AJ$142,"&gt;0",$U$131:$AA$131),Costprice!$O$38:$U$38)=0,AD154*(1+Opex!$J$28),SUMIF(Costprice!$O$2:$U$2,SUMIF($AD$142:$AJ$142,"&gt;0",$U$131:$AA$131),Costprice!$O$38:$U$38))</f>
        <v>2.941173086057784</v>
      </c>
      <c r="AE155" s="2583">
        <f ca="1">IF(SUMIF(Costprice!$O$2:$U$2,SUMIF($AD$142:$AJ$142,"&gt;0",$U$131:$AA$131),Costprice!$O$38:$U$38)=0,AE154*(1+Opex!$J$28),SUMIF(Costprice!$O$2:$U$2,SUMIF($AD$142:$AJ$142,"&gt;0",$U$131:$AA$131),Costprice!$O$38:$U$38))</f>
        <v>2.941173086057784</v>
      </c>
      <c r="AF155" s="2583">
        <f ca="1">IF(SUMIF(Costprice!$O$2:$U$2,SUMIF($AD$142:$AJ$142,"&gt;0",$U$131:$AA$131),Costprice!$O$38:$U$38)=0,AF154*(1+Opex!$J$28),SUMIF(Costprice!$O$2:$U$2,SUMIF($AD$142:$AJ$142,"&gt;0",$U$131:$AA$131),Costprice!$O$38:$U$38))</f>
        <v>2.941173086057784</v>
      </c>
      <c r="AG155" s="2583">
        <f ca="1">IF(SUMIF(Costprice!$O$2:$U$2,SUMIF($AD$142:$AJ$142,"&gt;0",$U$131:$AA$131),Costprice!$O$38:$U$38)=0,AG154*(1+Opex!$J$28),SUMIF(Costprice!$O$2:$U$2,SUMIF($AD$142:$AJ$142,"&gt;0",$U$131:$AA$131),Costprice!$O$38:$U$38))</f>
        <v>2.941173086057784</v>
      </c>
      <c r="AH155" s="2583">
        <f ca="1">IF(SUMIF(Costprice!$O$2:$U$2,SUMIF($AD$142:$AJ$142,"&gt;0",$U$131:$AA$131),Costprice!$O$38:$U$38)=0,AH154*(1+Opex!$J$28),SUMIF(Costprice!$O$2:$U$2,SUMIF($AD$142:$AJ$142,"&gt;0",$U$131:$AA$131),Costprice!$O$38:$U$38))</f>
        <v>2.941173086057784</v>
      </c>
      <c r="AI155" s="2583">
        <f ca="1">IF(SUMIF(Costprice!$O$2:$U$2,SUMIF($AD$142:$AJ$142,"&gt;0",$U$131:$AA$131),Costprice!$O$38:$U$38)=0,AI154*(1+Opex!$J$28),SUMIF(Costprice!$O$2:$U$2,SUMIF($AD$142:$AJ$142,"&gt;0",$U$131:$AA$131),Costprice!$O$38:$U$38))</f>
        <v>2.941173086057784</v>
      </c>
      <c r="AJ155" s="2580">
        <f ca="1">IF(SUMIF(Costprice!$O$2:$U$2,SUMIF($AD$142:$AJ$142,"&gt;0",$U$131:$AA$131),Costprice!$O$38:$U$38)=0,AJ154*(1+Opex!$J$28),SUMIF(Costprice!$O$2:$U$2,SUMIF($AD$142:$AJ$142,"&gt;0",$U$131:$AA$131),Costprice!$O$38:$U$38))</f>
        <v>2.9412323629710202</v>
      </c>
      <c r="AL155" s="2549">
        <f t="shared" si="248"/>
        <v>2028</v>
      </c>
      <c r="AM155" s="2583">
        <f>IF(SUMIF(Costprice!$O$2:$U$2,SUMIF($AM$142:$AS$142,"&gt;0",$U$131:$AA$131),Costprice!$O$63:$U$63)=0,AM154*(1+Opex!$J$28),SUMIF(Costprice!$O$2:$U$2,SUMIF($AM$142:$AS$142,"&gt;0",$U$131:$AA$131),Costprice!$O$63:$U$63))</f>
        <v>3.8784461176313805</v>
      </c>
      <c r="AN155" s="2583">
        <f>IF(SUMIF(Costprice!$O$2:$U$2,SUMIF($AM$142:$AS$142,"&gt;0",$U$131:$AA$131),Costprice!$O$63:$U$63)=0,AN154*(1+Opex!$J$28),SUMIF(Costprice!$O$2:$U$2,SUMIF($AM$142:$AS$142,"&gt;0",$U$131:$AA$131),Costprice!$O$63:$U$63))</f>
        <v>3.8784461176313805</v>
      </c>
      <c r="AO155" s="2583">
        <f>IF(SUMIF(Costprice!$O$2:$U$2,SUMIF($AM$142:$AS$142,"&gt;0",$U$131:$AA$131),Costprice!$O$63:$U$63)=0,AO154*(1+Opex!$J$28),SUMIF(Costprice!$O$2:$U$2,SUMIF($AM$142:$AS$142,"&gt;0",$U$131:$AA$131),Costprice!$O$63:$U$63))</f>
        <v>3.8784461176313805</v>
      </c>
      <c r="AP155" s="2583">
        <f>IF(SUMIF(Costprice!$O$2:$U$2,SUMIF($AM$142:$AS$142,"&gt;0",$U$131:$AA$131),Costprice!$O$63:$U$63)=0,AP154*(1+Opex!$J$28),SUMIF(Costprice!$O$2:$U$2,SUMIF($AM$142:$AS$142,"&gt;0",$U$131:$AA$131),Costprice!$O$63:$U$63))</f>
        <v>3.8784461176313805</v>
      </c>
      <c r="AQ155" s="2583">
        <f>IF(SUMIF(Costprice!$O$2:$U$2,SUMIF($AM$142:$AS$142,"&gt;0",$U$131:$AA$131),Costprice!$O$63:$U$63)=0,AQ154*(1+Opex!$J$28),SUMIF(Costprice!$O$2:$U$2,SUMIF($AM$142:$AS$142,"&gt;0",$U$131:$AA$131),Costprice!$O$63:$U$63))</f>
        <v>3.8784461176313805</v>
      </c>
      <c r="AR155" s="2583">
        <f>IF(SUMIF(Costprice!$O$2:$U$2,SUMIF($AM$142:$AS$142,"&gt;0",$U$131:$AA$131),Costprice!$O$63:$U$63)=0,AR154*(1+Opex!$J$28),SUMIF(Costprice!$O$2:$U$2,SUMIF($AM$142:$AS$142,"&gt;0",$U$131:$AA$131),Costprice!$O$63:$U$63))</f>
        <v>3.8784461176313805</v>
      </c>
      <c r="AS155" s="2580">
        <f>IF(SUMIF(Costprice!$O$2:$U$2,SUMIF($AM$142:$AS$142,"&gt;0",$U$131:$AA$131),Costprice!$O$63:$U$63)=0,AS154*(1+Opex!$J$28),SUMIF(Costprice!$O$2:$U$2,SUMIF($AM$142:$AS$142,"&gt;0",$U$131:$AA$131),Costprice!$O$63:$U$63))</f>
        <v>3.8784461176313805</v>
      </c>
    </row>
    <row r="156" spans="2:45">
      <c r="B156" s="2549">
        <f t="shared" si="243"/>
        <v>2029</v>
      </c>
      <c r="C156" s="2583">
        <f>IF(SUMIF(Costprice!$O$2:$U$2,SUMIF($C$143:$I$143,"&gt;0",$U$131:$AA$131),Costprice!$O$38:$U$38)=0,C155*(1+Opex!$J$28),SUMIF(Costprice!$O$2:$U$2,SUMIF($C$143:$I$143,"&gt;0",$U$131:$AA$131),Costprice!$O$38:$U$38))</f>
        <v>2.2197181823612504</v>
      </c>
      <c r="D156" s="2583">
        <f>IF(SUMIF(Costprice!$O$2:$U$2,SUMIF($C$143:$I$143,"&gt;0",$U$131:$AA$131),Costprice!$O$38:$U$38)=0,D155*(1+Opex!$J$28),SUMIF(Costprice!$O$2:$U$2,SUMIF($C$143:$I$143,"&gt;0",$U$131:$AA$131),Costprice!$O$38:$U$38))</f>
        <v>2.2197181823612504</v>
      </c>
      <c r="E156" s="2583">
        <f>IF(SUMIF(Costprice!$O$2:$U$2,SUMIF($C$143:$I$143,"&gt;0",$U$131:$AA$131),Costprice!$O$38:$U$38)=0,E155*(1+Opex!$J$28),SUMIF(Costprice!$O$2:$U$2,SUMIF($C$143:$I$143,"&gt;0",$U$131:$AA$131),Costprice!$O$38:$U$38))</f>
        <v>2.2197181823612504</v>
      </c>
      <c r="F156" s="2583">
        <f>IF(SUMIF(Costprice!$O$2:$U$2,SUMIF($C$143:$I$143,"&gt;0",$U$131:$AA$131),Costprice!$O$38:$U$38)=0,F155*(1+Opex!$J$28),SUMIF(Costprice!$O$2:$U$2,SUMIF($C$143:$I$143,"&gt;0",$U$131:$AA$131),Costprice!$O$38:$U$38))</f>
        <v>2.2197181823612504</v>
      </c>
      <c r="G156" s="2583">
        <f>IF(SUMIF(Costprice!$O$2:$U$2,SUMIF($C$143:$I$143,"&gt;0",$U$131:$AA$131),Costprice!$O$38:$U$38)=0,G155*(1+Opex!$J$28),SUMIF(Costprice!$O$2:$U$2,SUMIF($C$143:$I$143,"&gt;0",$U$131:$AA$131),Costprice!$O$38:$U$38))</f>
        <v>2.2197181823612504</v>
      </c>
      <c r="H156" s="2583">
        <f>IF(SUMIF(Costprice!$O$2:$U$2,SUMIF($C$143:$I$143,"&gt;0",$U$131:$AA$131),Costprice!$O$38:$U$38)=0,H155*(1+Opex!$J$28),SUMIF(Costprice!$O$2:$U$2,SUMIF($C$143:$I$143,"&gt;0",$U$131:$AA$131),Costprice!$O$38:$U$38))</f>
        <v>2.2197181823612504</v>
      </c>
      <c r="I156" s="2580">
        <f>IF(SUMIF(Costprice!$O$2:$U$2,SUMIF($C$143:$I$143,"&gt;0",$U$131:$AA$131),Costprice!$O$38:$U$38)=0,I155*(1+Opex!$J$28),SUMIF(Costprice!$O$2:$U$2,SUMIF($C$143:$I$143,"&gt;0",$U$131:$AA$131),Costprice!$O$38:$U$38))</f>
        <v>2.2197181823612504</v>
      </c>
      <c r="K156" s="2549">
        <f t="shared" si="244"/>
        <v>2029</v>
      </c>
      <c r="L156" s="2482">
        <f>IF(SUMIF(Costprice!$O$2:$U$2,SUMIF($L$143:$R$143,"&gt;0",$U$131:$AA$131),Costprice!$O$38:$U$38)=0,L155*(1+Opex!$J$28),SUMIF(Costprice!$O$2:$U$2,SUMIF($L$143:$R$143,"&gt;0",$U$131:$AA$131),Costprice!$O$38:$U$38))</f>
        <v>0</v>
      </c>
      <c r="M156" s="2482">
        <f>IF(SUMIF(Costprice!$O$2:$U$2,SUMIF($L$143:$R$143,"&gt;0",$U$131:$AA$131),Costprice!$O$38:$U$38)=0,M155*(1+Opex!$J$28),SUMIF(Costprice!$O$2:$U$2,SUMIF($L$143:$R$143,"&gt;0",$U$131:$AA$131),Costprice!$O$38:$U$38))</f>
        <v>0</v>
      </c>
      <c r="N156" s="2482">
        <f>IF(SUMIF(Costprice!$O$2:$U$2,SUMIF($L$143:$R$143,"&gt;0",$U$131:$AA$131),Costprice!$O$38:$U$38)=0,N155*(1+Opex!$J$28),SUMIF(Costprice!$O$2:$U$2,SUMIF($L$143:$R$143,"&gt;0",$U$131:$AA$131),Costprice!$O$38:$U$38))</f>
        <v>0</v>
      </c>
      <c r="O156" s="2482">
        <f>IF(SUMIF(Costprice!$O$2:$U$2,SUMIF($L$143:$R$143,"&gt;0",$U$131:$AA$131),Costprice!$O$38:$U$38)=0,O155*(1+Opex!$J$28),SUMIF(Costprice!$O$2:$U$2,SUMIF($L$143:$R$143,"&gt;0",$U$131:$AA$131),Costprice!$O$38:$U$38))</f>
        <v>0</v>
      </c>
      <c r="P156" s="2482">
        <f>IF(SUMIF(Costprice!$O$2:$U$2,SUMIF($L$143:$R$143,"&gt;0",$U$131:$AA$131),Costprice!$O$38:$U$38)=0,P155*(1+Opex!$J$28),SUMIF(Costprice!$O$2:$U$2,SUMIF($L$143:$R$143,"&gt;0",$U$131:$AA$131),Costprice!$O$38:$U$38))</f>
        <v>0</v>
      </c>
      <c r="Q156" s="2482">
        <f>IF(SUMIF(Costprice!$O$2:$U$2,SUMIF($L$143:$R$143,"&gt;0",$U$131:$AA$131),Costprice!$O$38:$U$38)=0,Q155*(1+Opex!$J$28),SUMIF(Costprice!$O$2:$U$2,SUMIF($L$143:$R$143,"&gt;0",$U$131:$AA$131),Costprice!$O$38:$U$38))</f>
        <v>0</v>
      </c>
      <c r="R156" s="2580">
        <f>IF(SUMIF(Costprice!$O$2:$U$2,SUMIF($L$143:$R$143,"&gt;0",$U$131:$AA$131),Costprice!$O$38:$U$38)=0,R155*(1+Opex!$J$28),SUMIF(Costprice!$O$2:$U$2,SUMIF($L$143:$R$143,"&gt;0",$U$131:$AA$131),Costprice!$O$38:$U$38))</f>
        <v>0</v>
      </c>
      <c r="T156" s="2549">
        <f t="shared" si="252"/>
        <v>2029</v>
      </c>
      <c r="U156" s="2583">
        <f>IF(SUMIF(Costprice!$O$2:$U$2,SUMIF($U$142:$AA$142,"&gt;0",$U$131:$AA$131),Costprice!$O$38:$U$38)=0,U155*(1+Opex!$J$28),SUMIF(Costprice!$O$2:$U$2,SUMIF($U$142:$AA$142,"&gt;0",$U$131:$AA$131),Costprice!$O$38:$U$38))</f>
        <v>0</v>
      </c>
      <c r="V156" s="2583">
        <f>IF(SUMIF(Costprice!$O$2:$U$2,SUMIF($U$142:$AA$142,"&gt;0",$U$131:$AA$131),Costprice!$O$38:$U$38)=0,V155*(1+Opex!$J$28),SUMIF(Costprice!$O$2:$U$2,SUMIF($U$142:$AA$142,"&gt;0",$U$131:$AA$131),Costprice!$O$38:$U$38))</f>
        <v>0</v>
      </c>
      <c r="W156" s="2583">
        <f>IF(SUMIF(Costprice!$O$2:$U$2,SUMIF($U$142:$AA$142,"&gt;0",$U$131:$AA$131),Costprice!$O$38:$U$38)=0,W155*(1+Opex!$J$28),SUMIF(Costprice!$O$2:$U$2,SUMIF($U$142:$AA$142,"&gt;0",$U$131:$AA$131),Costprice!$O$38:$U$38))</f>
        <v>0</v>
      </c>
      <c r="X156" s="2583">
        <f>IF(SUMIF(Costprice!$O$2:$U$2,SUMIF($U$142:$AA$142,"&gt;0",$U$131:$AA$131),Costprice!$O$38:$U$38)=0,X155*(1+Opex!$J$28),SUMIF(Costprice!$O$2:$U$2,SUMIF($U$142:$AA$142,"&gt;0",$U$131:$AA$131),Costprice!$O$38:$U$38))</f>
        <v>0</v>
      </c>
      <c r="Y156" s="2583">
        <f>IF(SUMIF(Costprice!$O$2:$U$2,SUMIF($U$142:$AA$142,"&gt;0",$U$131:$AA$131),Costprice!$O$38:$U$38)=0,Y155*(1+Opex!$J$28),SUMIF(Costprice!$O$2:$U$2,SUMIF($U$142:$AA$142,"&gt;0",$U$131:$AA$131),Costprice!$O$38:$U$38))</f>
        <v>0</v>
      </c>
      <c r="Z156" s="2583">
        <f>IF(SUMIF(Costprice!$O$2:$U$2,SUMIF($U$142:$AA$142,"&gt;0",$U$131:$AA$131),Costprice!$O$38:$U$38)=0,Z155*(1+Opex!$J$28),SUMIF(Costprice!$O$2:$U$2,SUMIF($U$142:$AA$142,"&gt;0",$U$131:$AA$131),Costprice!$O$38:$U$38))</f>
        <v>0</v>
      </c>
      <c r="AA156" s="2580">
        <f>IF(SUMIF(Costprice!$O$2:$U$2,SUMIF($U$142:$AA$142,"&gt;0",$U$131:$AA$131),Costprice!$O$38:$U$38)=0,AA155*(1+Opex!$J$28),SUMIF(Costprice!$O$2:$U$2,SUMIF($U$142:$AA$142,"&gt;0",$U$131:$AA$131),Costprice!$O$38:$U$38))</f>
        <v>0</v>
      </c>
      <c r="AC156" s="2549">
        <f t="shared" si="253"/>
        <v>2029</v>
      </c>
      <c r="AD156" s="2583">
        <f ca="1">IF(SUMIF(Costprice!$O$2:$U$2,SUMIF($AD$142:$AJ$142,"&gt;0",$U$131:$AA$131),Costprice!$O$38:$U$38)=0,AD155*(1+Opex!$J$28),SUMIF(Costprice!$O$2:$U$2,SUMIF($AD$142:$AJ$142,"&gt;0",$U$131:$AA$131),Costprice!$O$38:$U$38))</f>
        <v>2.9999965477789399</v>
      </c>
      <c r="AE156" s="2583">
        <f ca="1">IF(SUMIF(Costprice!$O$2:$U$2,SUMIF($AD$142:$AJ$142,"&gt;0",$U$131:$AA$131),Costprice!$O$38:$U$38)=0,AE155*(1+Opex!$J$28),SUMIF(Costprice!$O$2:$U$2,SUMIF($AD$142:$AJ$142,"&gt;0",$U$131:$AA$131),Costprice!$O$38:$U$38))</f>
        <v>2.9999965477789399</v>
      </c>
      <c r="AF156" s="2583">
        <f ca="1">IF(SUMIF(Costprice!$O$2:$U$2,SUMIF($AD$142:$AJ$142,"&gt;0",$U$131:$AA$131),Costprice!$O$38:$U$38)=0,AF155*(1+Opex!$J$28),SUMIF(Costprice!$O$2:$U$2,SUMIF($AD$142:$AJ$142,"&gt;0",$U$131:$AA$131),Costprice!$O$38:$U$38))</f>
        <v>2.9999965477789399</v>
      </c>
      <c r="AG156" s="2583">
        <f ca="1">IF(SUMIF(Costprice!$O$2:$U$2,SUMIF($AD$142:$AJ$142,"&gt;0",$U$131:$AA$131),Costprice!$O$38:$U$38)=0,AG155*(1+Opex!$J$28),SUMIF(Costprice!$O$2:$U$2,SUMIF($AD$142:$AJ$142,"&gt;0",$U$131:$AA$131),Costprice!$O$38:$U$38))</f>
        <v>2.9999965477789399</v>
      </c>
      <c r="AH156" s="2583">
        <f ca="1">IF(SUMIF(Costprice!$O$2:$U$2,SUMIF($AD$142:$AJ$142,"&gt;0",$U$131:$AA$131),Costprice!$O$38:$U$38)=0,AH155*(1+Opex!$J$28),SUMIF(Costprice!$O$2:$U$2,SUMIF($AD$142:$AJ$142,"&gt;0",$U$131:$AA$131),Costprice!$O$38:$U$38))</f>
        <v>2.9999965477789399</v>
      </c>
      <c r="AI156" s="2583">
        <f ca="1">IF(SUMIF(Costprice!$O$2:$U$2,SUMIF($AD$142:$AJ$142,"&gt;0",$U$131:$AA$131),Costprice!$O$38:$U$38)=0,AI155*(1+Opex!$J$28),SUMIF(Costprice!$O$2:$U$2,SUMIF($AD$142:$AJ$142,"&gt;0",$U$131:$AA$131),Costprice!$O$38:$U$38))</f>
        <v>2.9999965477789399</v>
      </c>
      <c r="AJ156" s="2580">
        <f ca="1">IF(SUMIF(Costprice!$O$2:$U$2,SUMIF($AD$142:$AJ$142,"&gt;0",$U$131:$AA$131),Costprice!$O$38:$U$38)=0,AJ155*(1+Opex!$J$28),SUMIF(Costprice!$O$2:$U$2,SUMIF($AD$142:$AJ$142,"&gt;0",$U$131:$AA$131),Costprice!$O$38:$U$38))</f>
        <v>3.0000570102304405</v>
      </c>
      <c r="AL156" s="2549">
        <f t="shared" si="248"/>
        <v>2029</v>
      </c>
      <c r="AM156" s="2583">
        <f>IF(SUMIF(Costprice!$O$2:$U$2,SUMIF($AM$143:$AS$143,"&gt;0",$U$131:$AA$131),Costprice!$O$63:$U$63)=0,AM155*(1+Opex!$J$28),SUMIF(Costprice!$O$2:$U$2,SUMIF($AM$143:$AS$143,"&gt;0",$U$131:$AA$131),Costprice!$O$63:$U$63))</f>
        <v>3.9560150399840079</v>
      </c>
      <c r="AN156" s="2583">
        <f>IF(SUMIF(Costprice!$O$2:$U$2,SUMIF($AM$143:$AS$143,"&gt;0",$U$131:$AA$131),Costprice!$O$63:$U$63)=0,AN155*(1+Opex!$J$28),SUMIF(Costprice!$O$2:$U$2,SUMIF($AM$143:$AS$143,"&gt;0",$U$131:$AA$131),Costprice!$O$63:$U$63))</f>
        <v>3.9560150399840079</v>
      </c>
      <c r="AO156" s="2583">
        <f>IF(SUMIF(Costprice!$O$2:$U$2,SUMIF($AM$143:$AS$143,"&gt;0",$U$131:$AA$131),Costprice!$O$63:$U$63)=0,AO155*(1+Opex!$J$28),SUMIF(Costprice!$O$2:$U$2,SUMIF($AM$143:$AS$143,"&gt;0",$U$131:$AA$131),Costprice!$O$63:$U$63))</f>
        <v>3.9560150399840079</v>
      </c>
      <c r="AP156" s="2583">
        <f>IF(SUMIF(Costprice!$O$2:$U$2,SUMIF($AM$143:$AS$143,"&gt;0",$U$131:$AA$131),Costprice!$O$63:$U$63)=0,AP155*(1+Opex!$J$28),SUMIF(Costprice!$O$2:$U$2,SUMIF($AM$143:$AS$143,"&gt;0",$U$131:$AA$131),Costprice!$O$63:$U$63))</f>
        <v>3.9560150399840079</v>
      </c>
      <c r="AQ156" s="2583">
        <f>IF(SUMIF(Costprice!$O$2:$U$2,SUMIF($AM$143:$AS$143,"&gt;0",$U$131:$AA$131),Costprice!$O$63:$U$63)=0,AQ155*(1+Opex!$J$28),SUMIF(Costprice!$O$2:$U$2,SUMIF($AM$143:$AS$143,"&gt;0",$U$131:$AA$131),Costprice!$O$63:$U$63))</f>
        <v>3.9560150399840079</v>
      </c>
      <c r="AR156" s="2583">
        <f>IF(SUMIF(Costprice!$O$2:$U$2,SUMIF($AM$143:$AS$143,"&gt;0",$U$131:$AA$131),Costprice!$O$63:$U$63)=0,AR155*(1+Opex!$J$28),SUMIF(Costprice!$O$2:$U$2,SUMIF($AM$143:$AS$143,"&gt;0",$U$131:$AA$131),Costprice!$O$63:$U$63))</f>
        <v>3.9560150399840079</v>
      </c>
      <c r="AS156" s="2580">
        <f>IF(SUMIF(Costprice!$O$2:$U$2,SUMIF($AM$143:$AS$143,"&gt;0",$U$131:$AA$131),Costprice!$O$63:$U$63)=0,AS155*(1+Opex!$J$28),SUMIF(Costprice!$O$2:$U$2,SUMIF($AM$143:$AS$143,"&gt;0",$U$131:$AA$131),Costprice!$O$63:$U$63))</f>
        <v>3.9560150399840079</v>
      </c>
    </row>
    <row r="157" spans="2:45">
      <c r="B157" s="2549"/>
      <c r="C157" s="2566"/>
      <c r="D157" s="2566"/>
      <c r="E157" s="2566"/>
      <c r="F157" s="2566"/>
      <c r="G157" s="2566"/>
      <c r="H157" s="2566"/>
      <c r="I157" s="2547"/>
      <c r="K157" s="2549"/>
      <c r="R157" s="2547"/>
      <c r="T157" s="2549"/>
      <c r="U157" s="2566"/>
      <c r="V157" s="2566"/>
      <c r="W157" s="2566"/>
      <c r="X157" s="2566"/>
      <c r="Y157" s="2566"/>
      <c r="Z157" s="2566"/>
      <c r="AA157" s="2547"/>
      <c r="AC157" s="2549"/>
      <c r="AD157" s="2566"/>
      <c r="AE157" s="2566"/>
      <c r="AF157" s="2566"/>
      <c r="AG157" s="2566"/>
      <c r="AH157" s="2566"/>
      <c r="AI157" s="2566"/>
      <c r="AJ157" s="2547"/>
      <c r="AL157" s="2549"/>
      <c r="AM157" s="2566"/>
      <c r="AN157" s="2566"/>
      <c r="AO157" s="2566"/>
      <c r="AP157" s="2566"/>
      <c r="AQ157" s="2566"/>
      <c r="AR157" s="2566"/>
      <c r="AS157" s="2547"/>
    </row>
    <row r="158" spans="2:45">
      <c r="B158" s="2570" t="s">
        <v>791</v>
      </c>
      <c r="C158" s="2566"/>
      <c r="D158" s="2566"/>
      <c r="E158" s="2566"/>
      <c r="F158" s="2566"/>
      <c r="G158" s="2566"/>
      <c r="H158" s="2566"/>
      <c r="I158" s="2547"/>
      <c r="K158" s="2570" t="s">
        <v>791</v>
      </c>
      <c r="R158" s="2547"/>
      <c r="T158" s="2570" t="s">
        <v>791</v>
      </c>
      <c r="U158" s="2566"/>
      <c r="V158" s="2566"/>
      <c r="W158" s="2566"/>
      <c r="X158" s="2566"/>
      <c r="Y158" s="2566"/>
      <c r="Z158" s="2566"/>
      <c r="AA158" s="2547"/>
      <c r="AC158" s="2570" t="s">
        <v>791</v>
      </c>
      <c r="AD158" s="2566"/>
      <c r="AE158" s="2566"/>
      <c r="AF158" s="2566"/>
      <c r="AG158" s="2566"/>
      <c r="AH158" s="2566"/>
      <c r="AI158" s="2566"/>
      <c r="AJ158" s="2547"/>
      <c r="AL158" s="2570" t="s">
        <v>791</v>
      </c>
      <c r="AM158" s="2566"/>
      <c r="AN158" s="2566"/>
      <c r="AO158" s="2566"/>
      <c r="AP158" s="2566"/>
      <c r="AQ158" s="2566"/>
      <c r="AR158" s="2566"/>
      <c r="AS158" s="2547"/>
    </row>
    <row r="159" spans="2:45">
      <c r="B159" s="2570">
        <v>2018</v>
      </c>
      <c r="C159" s="2556">
        <f t="shared" ref="C159:I170" si="254">C132*C145</f>
        <v>0</v>
      </c>
      <c r="D159" s="2556">
        <f t="shared" si="254"/>
        <v>0</v>
      </c>
      <c r="E159" s="2556">
        <f t="shared" si="254"/>
        <v>0</v>
      </c>
      <c r="F159" s="2556">
        <f t="shared" si="254"/>
        <v>0</v>
      </c>
      <c r="G159" s="2556">
        <f t="shared" si="254"/>
        <v>0</v>
      </c>
      <c r="H159" s="2556">
        <f t="shared" si="254"/>
        <v>0</v>
      </c>
      <c r="I159" s="2557">
        <f t="shared" si="254"/>
        <v>0</v>
      </c>
      <c r="K159" s="2570">
        <v>2018</v>
      </c>
      <c r="L159" s="2558">
        <f t="shared" ref="L159:R170" si="255">L132*L145</f>
        <v>0</v>
      </c>
      <c r="M159" s="2556">
        <f t="shared" si="255"/>
        <v>0</v>
      </c>
      <c r="N159" s="2556">
        <f t="shared" si="255"/>
        <v>0</v>
      </c>
      <c r="O159" s="2556">
        <f t="shared" si="255"/>
        <v>0</v>
      </c>
      <c r="P159" s="2556">
        <f t="shared" si="255"/>
        <v>0</v>
      </c>
      <c r="Q159" s="2556">
        <f t="shared" si="255"/>
        <v>0</v>
      </c>
      <c r="R159" s="2557">
        <f t="shared" si="255"/>
        <v>0</v>
      </c>
      <c r="T159" s="2549">
        <f>T145</f>
        <v>2018</v>
      </c>
      <c r="U159" s="2558">
        <f t="shared" ref="U159:AA162" si="256">U132*U145</f>
        <v>0</v>
      </c>
      <c r="V159" s="2556">
        <f t="shared" si="256"/>
        <v>0</v>
      </c>
      <c r="W159" s="2556">
        <f t="shared" si="256"/>
        <v>0</v>
      </c>
      <c r="X159" s="2556">
        <f t="shared" si="256"/>
        <v>0</v>
      </c>
      <c r="Y159" s="2556">
        <f t="shared" si="256"/>
        <v>0</v>
      </c>
      <c r="Z159" s="2556">
        <f t="shared" si="256"/>
        <v>0</v>
      </c>
      <c r="AA159" s="2557">
        <f t="shared" si="256"/>
        <v>0</v>
      </c>
      <c r="AC159" s="2549">
        <f t="shared" ref="AC159:AC170" si="257">AC145</f>
        <v>2018</v>
      </c>
      <c r="AD159" s="2558">
        <f>AD132*AD145</f>
        <v>0</v>
      </c>
      <c r="AE159" s="2556">
        <f t="shared" ref="AE159:AJ159" si="258">AE132*AE145</f>
        <v>0</v>
      </c>
      <c r="AF159" s="2556">
        <f t="shared" si="258"/>
        <v>0</v>
      </c>
      <c r="AG159" s="2556">
        <f t="shared" si="258"/>
        <v>0</v>
      </c>
      <c r="AH159" s="2556">
        <f t="shared" si="258"/>
        <v>0</v>
      </c>
      <c r="AI159" s="2556">
        <f t="shared" si="258"/>
        <v>0</v>
      </c>
      <c r="AJ159" s="2557">
        <f t="shared" si="258"/>
        <v>0</v>
      </c>
      <c r="AL159" s="2549">
        <f t="shared" ref="AL159:AL170" si="259">AL145</f>
        <v>2018</v>
      </c>
      <c r="AM159" s="2558">
        <f t="shared" ref="AM159:AS159" si="260">AM132*AM145</f>
        <v>0</v>
      </c>
      <c r="AN159" s="2556">
        <f t="shared" si="260"/>
        <v>0</v>
      </c>
      <c r="AO159" s="2556">
        <f t="shared" si="260"/>
        <v>0</v>
      </c>
      <c r="AP159" s="2556">
        <f t="shared" si="260"/>
        <v>0</v>
      </c>
      <c r="AQ159" s="2556">
        <f t="shared" si="260"/>
        <v>0</v>
      </c>
      <c r="AR159" s="2556">
        <f t="shared" si="260"/>
        <v>0</v>
      </c>
      <c r="AS159" s="2557">
        <f t="shared" si="260"/>
        <v>0</v>
      </c>
    </row>
    <row r="160" spans="2:45">
      <c r="B160" s="2549">
        <f t="shared" ref="B160:B170" si="261">B146</f>
        <v>2019</v>
      </c>
      <c r="C160" s="2556">
        <f t="shared" si="254"/>
        <v>0</v>
      </c>
      <c r="D160" s="2556">
        <f t="shared" si="254"/>
        <v>0</v>
      </c>
      <c r="E160" s="2556">
        <f t="shared" si="254"/>
        <v>0</v>
      </c>
      <c r="F160" s="2556">
        <f t="shared" si="254"/>
        <v>0</v>
      </c>
      <c r="G160" s="2556">
        <f t="shared" si="254"/>
        <v>0</v>
      </c>
      <c r="H160" s="2556">
        <f t="shared" si="254"/>
        <v>0</v>
      </c>
      <c r="I160" s="2557">
        <f t="shared" si="254"/>
        <v>0</v>
      </c>
      <c r="K160" s="2549">
        <f t="shared" ref="K160:K170" si="262">K146</f>
        <v>2019</v>
      </c>
      <c r="L160" s="2558">
        <f t="shared" si="255"/>
        <v>0</v>
      </c>
      <c r="M160" s="2556">
        <f t="shared" si="255"/>
        <v>0</v>
      </c>
      <c r="N160" s="2556">
        <f t="shared" si="255"/>
        <v>0</v>
      </c>
      <c r="O160" s="2556">
        <f t="shared" si="255"/>
        <v>0</v>
      </c>
      <c r="P160" s="2556">
        <f t="shared" si="255"/>
        <v>0</v>
      </c>
      <c r="Q160" s="2556">
        <f t="shared" si="255"/>
        <v>0</v>
      </c>
      <c r="R160" s="2557">
        <f t="shared" si="255"/>
        <v>0</v>
      </c>
      <c r="T160" s="2549">
        <f>T146</f>
        <v>2019</v>
      </c>
      <c r="U160" s="2556">
        <f>U133*U146</f>
        <v>0</v>
      </c>
      <c r="V160" s="2556">
        <f>V133*V146</f>
        <v>55287.366791212553</v>
      </c>
      <c r="W160" s="2556">
        <f t="shared" si="256"/>
        <v>0</v>
      </c>
      <c r="X160" s="2556">
        <f t="shared" si="256"/>
        <v>0</v>
      </c>
      <c r="Y160" s="2556">
        <f t="shared" si="256"/>
        <v>0</v>
      </c>
      <c r="Z160" s="2556">
        <f t="shared" si="256"/>
        <v>0</v>
      </c>
      <c r="AA160" s="2557">
        <f t="shared" si="256"/>
        <v>0</v>
      </c>
      <c r="AC160" s="2549">
        <f t="shared" si="257"/>
        <v>2019</v>
      </c>
      <c r="AD160" s="2558">
        <f t="shared" ref="AD160:AD170" si="263">AD133*AD146</f>
        <v>0</v>
      </c>
      <c r="AE160" s="2556">
        <f t="shared" ref="AE160:AJ160" si="264">AE133*AE146</f>
        <v>0</v>
      </c>
      <c r="AF160" s="2556">
        <f t="shared" si="264"/>
        <v>0</v>
      </c>
      <c r="AG160" s="2556">
        <f t="shared" si="264"/>
        <v>0</v>
      </c>
      <c r="AH160" s="2556">
        <f t="shared" si="264"/>
        <v>0</v>
      </c>
      <c r="AI160" s="2556">
        <f t="shared" si="264"/>
        <v>0</v>
      </c>
      <c r="AJ160" s="2557">
        <f t="shared" si="264"/>
        <v>0</v>
      </c>
      <c r="AL160" s="2549">
        <f t="shared" si="259"/>
        <v>2019</v>
      </c>
      <c r="AM160" s="2558"/>
      <c r="AN160" s="2556"/>
      <c r="AO160" s="2556"/>
      <c r="AP160" s="2556"/>
      <c r="AQ160" s="2556"/>
      <c r="AR160" s="2556"/>
      <c r="AS160" s="2557"/>
    </row>
    <row r="161" spans="2:45">
      <c r="B161" s="2549">
        <f t="shared" si="261"/>
        <v>2020</v>
      </c>
      <c r="C161" s="2556">
        <f t="shared" si="254"/>
        <v>0</v>
      </c>
      <c r="D161" s="2556">
        <f t="shared" si="254"/>
        <v>0</v>
      </c>
      <c r="E161" s="2556">
        <f t="shared" si="254"/>
        <v>0</v>
      </c>
      <c r="F161" s="2556">
        <f t="shared" si="254"/>
        <v>0</v>
      </c>
      <c r="G161" s="2556">
        <f t="shared" si="254"/>
        <v>0</v>
      </c>
      <c r="H161" s="2556">
        <f t="shared" si="254"/>
        <v>0</v>
      </c>
      <c r="I161" s="2557">
        <f t="shared" si="254"/>
        <v>0</v>
      </c>
      <c r="K161" s="2549">
        <f t="shared" si="262"/>
        <v>2020</v>
      </c>
      <c r="L161" s="2556">
        <f t="shared" si="255"/>
        <v>0</v>
      </c>
      <c r="M161" s="2556">
        <f t="shared" si="255"/>
        <v>0</v>
      </c>
      <c r="N161" s="2556">
        <f t="shared" si="255"/>
        <v>0</v>
      </c>
      <c r="O161" s="2556">
        <f t="shared" si="255"/>
        <v>0</v>
      </c>
      <c r="P161" s="2556">
        <f t="shared" si="255"/>
        <v>0</v>
      </c>
      <c r="Q161" s="2556">
        <f t="shared" si="255"/>
        <v>0</v>
      </c>
      <c r="R161" s="2557">
        <f t="shared" si="255"/>
        <v>0</v>
      </c>
      <c r="T161" s="2549">
        <f>T147</f>
        <v>2020</v>
      </c>
      <c r="U161" s="2556">
        <f>U134*U147</f>
        <v>0</v>
      </c>
      <c r="V161" s="2556">
        <f t="shared" si="256"/>
        <v>50631.69127538443</v>
      </c>
      <c r="W161" s="2556">
        <f t="shared" si="256"/>
        <v>0</v>
      </c>
      <c r="X161" s="2556">
        <f t="shared" si="256"/>
        <v>0</v>
      </c>
      <c r="Y161" s="2556">
        <f t="shared" si="256"/>
        <v>0</v>
      </c>
      <c r="Z161" s="2556">
        <f t="shared" si="256"/>
        <v>0</v>
      </c>
      <c r="AA161" s="2557">
        <f t="shared" si="256"/>
        <v>0</v>
      </c>
      <c r="AC161" s="2549">
        <f t="shared" si="257"/>
        <v>2020</v>
      </c>
      <c r="AD161" s="2558">
        <f ca="1">AD134*AD147</f>
        <v>0</v>
      </c>
      <c r="AE161" s="2556">
        <f t="shared" ref="AE161:AJ161" ca="1" si="265">AE134*AE147</f>
        <v>24085.780704657071</v>
      </c>
      <c r="AF161" s="2556">
        <f ca="1">AF134*AF147</f>
        <v>0</v>
      </c>
      <c r="AG161" s="2556">
        <f t="shared" ca="1" si="265"/>
        <v>0</v>
      </c>
      <c r="AH161" s="2556">
        <f t="shared" ca="1" si="265"/>
        <v>0</v>
      </c>
      <c r="AI161" s="2556">
        <f t="shared" ca="1" si="265"/>
        <v>0</v>
      </c>
      <c r="AJ161" s="2557">
        <f t="shared" ca="1" si="265"/>
        <v>0</v>
      </c>
      <c r="AL161" s="2549">
        <f t="shared" si="259"/>
        <v>2020</v>
      </c>
      <c r="AM161" s="2556">
        <f t="shared" ref="AM161:AS170" si="266">AM134*AM147</f>
        <v>0</v>
      </c>
      <c r="AN161" s="2556">
        <f t="shared" si="266"/>
        <v>0</v>
      </c>
      <c r="AO161" s="2556">
        <f t="shared" si="266"/>
        <v>0</v>
      </c>
      <c r="AP161" s="2556">
        <f t="shared" si="266"/>
        <v>0</v>
      </c>
      <c r="AQ161" s="2556">
        <f t="shared" si="266"/>
        <v>0</v>
      </c>
      <c r="AR161" s="2556">
        <f t="shared" si="266"/>
        <v>0</v>
      </c>
      <c r="AS161" s="2557">
        <f t="shared" si="266"/>
        <v>0</v>
      </c>
    </row>
    <row r="162" spans="2:45">
      <c r="B162" s="2549">
        <f t="shared" si="261"/>
        <v>2021</v>
      </c>
      <c r="C162" s="2556">
        <f>C135*C148</f>
        <v>0</v>
      </c>
      <c r="D162" s="2556">
        <f t="shared" si="254"/>
        <v>0</v>
      </c>
      <c r="E162" s="2556">
        <f t="shared" si="254"/>
        <v>0</v>
      </c>
      <c r="F162" s="2556">
        <f t="shared" si="254"/>
        <v>0</v>
      </c>
      <c r="G162" s="2556">
        <f t="shared" si="254"/>
        <v>0</v>
      </c>
      <c r="H162" s="2556">
        <f t="shared" si="254"/>
        <v>0</v>
      </c>
      <c r="I162" s="2557">
        <f t="shared" si="254"/>
        <v>0</v>
      </c>
      <c r="K162" s="2549">
        <f t="shared" si="262"/>
        <v>2021</v>
      </c>
      <c r="L162" s="2556">
        <f t="shared" si="255"/>
        <v>7533.9650834292233</v>
      </c>
      <c r="M162" s="2556">
        <f t="shared" si="255"/>
        <v>0</v>
      </c>
      <c r="N162" s="2556">
        <f t="shared" si="255"/>
        <v>0</v>
      </c>
      <c r="O162" s="2556">
        <f t="shared" si="255"/>
        <v>0</v>
      </c>
      <c r="P162" s="2556">
        <f t="shared" si="255"/>
        <v>0</v>
      </c>
      <c r="Q162" s="2556">
        <f t="shared" si="255"/>
        <v>0</v>
      </c>
      <c r="R162" s="2557">
        <f t="shared" si="255"/>
        <v>0</v>
      </c>
      <c r="T162" s="2549">
        <f>T148</f>
        <v>2021</v>
      </c>
      <c r="U162" s="2556">
        <f t="shared" si="256"/>
        <v>0</v>
      </c>
      <c r="V162" s="2556">
        <f>V135*V148</f>
        <v>0</v>
      </c>
      <c r="W162" s="2556">
        <f t="shared" si="256"/>
        <v>0</v>
      </c>
      <c r="X162" s="2556">
        <f t="shared" si="256"/>
        <v>0</v>
      </c>
      <c r="Y162" s="2556">
        <f t="shared" si="256"/>
        <v>0</v>
      </c>
      <c r="Z162" s="2556">
        <f t="shared" si="256"/>
        <v>0</v>
      </c>
      <c r="AA162" s="2557">
        <f t="shared" si="256"/>
        <v>0</v>
      </c>
      <c r="AC162" s="2549">
        <f t="shared" si="257"/>
        <v>2021</v>
      </c>
      <c r="AD162" s="2558">
        <f t="shared" ca="1" si="263"/>
        <v>0</v>
      </c>
      <c r="AE162" s="2556">
        <f ca="1">AE135*AE148</f>
        <v>49346.477541248627</v>
      </c>
      <c r="AF162" s="2556">
        <f ca="1">AF135*AF148</f>
        <v>0</v>
      </c>
      <c r="AG162" s="2556">
        <f ca="1">AG135*AG148</f>
        <v>0</v>
      </c>
      <c r="AH162" s="2556">
        <f ca="1">AH135*AH148</f>
        <v>0</v>
      </c>
      <c r="AI162" s="2556">
        <f ca="1">AI135*AI148</f>
        <v>0</v>
      </c>
      <c r="AJ162" s="2557">
        <f ca="1">AJ135*AJ148</f>
        <v>0</v>
      </c>
      <c r="AL162" s="2549">
        <f t="shared" si="259"/>
        <v>2021</v>
      </c>
      <c r="AM162" s="2556">
        <f t="shared" si="266"/>
        <v>0</v>
      </c>
      <c r="AN162" s="2556">
        <f t="shared" si="266"/>
        <v>0</v>
      </c>
      <c r="AO162" s="2556">
        <f t="shared" si="266"/>
        <v>0</v>
      </c>
      <c r="AP162" s="2556">
        <f t="shared" si="266"/>
        <v>0</v>
      </c>
      <c r="AQ162" s="2556">
        <f t="shared" si="266"/>
        <v>0</v>
      </c>
      <c r="AR162" s="2556">
        <f t="shared" si="266"/>
        <v>0</v>
      </c>
      <c r="AS162" s="2557">
        <f t="shared" si="266"/>
        <v>0</v>
      </c>
    </row>
    <row r="163" spans="2:45">
      <c r="B163" s="2549">
        <f t="shared" si="261"/>
        <v>2022</v>
      </c>
      <c r="C163" s="2556">
        <f t="shared" si="254"/>
        <v>0</v>
      </c>
      <c r="D163" s="2556">
        <f t="shared" si="254"/>
        <v>0</v>
      </c>
      <c r="E163" s="2556">
        <f t="shared" si="254"/>
        <v>0</v>
      </c>
      <c r="F163" s="2556">
        <f t="shared" si="254"/>
        <v>0</v>
      </c>
      <c r="G163" s="2556">
        <f t="shared" si="254"/>
        <v>0</v>
      </c>
      <c r="H163" s="2556">
        <f t="shared" si="254"/>
        <v>0</v>
      </c>
      <c r="I163" s="2557">
        <f t="shared" si="254"/>
        <v>0</v>
      </c>
      <c r="K163" s="2549">
        <f t="shared" si="262"/>
        <v>2022</v>
      </c>
      <c r="L163" s="2556">
        <f t="shared" si="255"/>
        <v>0</v>
      </c>
      <c r="M163" s="2556">
        <f t="shared" si="255"/>
        <v>0</v>
      </c>
      <c r="N163" s="2556">
        <f t="shared" si="255"/>
        <v>0</v>
      </c>
      <c r="O163" s="2556">
        <f t="shared" si="255"/>
        <v>0</v>
      </c>
      <c r="P163" s="2556">
        <f t="shared" si="255"/>
        <v>0</v>
      </c>
      <c r="Q163" s="2556">
        <f t="shared" si="255"/>
        <v>0</v>
      </c>
      <c r="R163" s="2557">
        <f t="shared" si="255"/>
        <v>0</v>
      </c>
      <c r="T163" s="2549">
        <v>2022</v>
      </c>
      <c r="U163" s="2556">
        <f t="shared" ref="U163:AA163" si="267">U136*U149</f>
        <v>0</v>
      </c>
      <c r="V163" s="2556">
        <f t="shared" ref="V163:W170" si="268">V136*V149</f>
        <v>0</v>
      </c>
      <c r="W163" s="2556">
        <f t="shared" si="268"/>
        <v>0</v>
      </c>
      <c r="X163" s="2556">
        <f t="shared" si="267"/>
        <v>0</v>
      </c>
      <c r="Y163" s="2556">
        <f t="shared" si="267"/>
        <v>0</v>
      </c>
      <c r="Z163" s="2556">
        <f t="shared" si="267"/>
        <v>0</v>
      </c>
      <c r="AA163" s="2557">
        <f t="shared" si="267"/>
        <v>0</v>
      </c>
      <c r="AC163" s="2549">
        <f t="shared" si="257"/>
        <v>2022</v>
      </c>
      <c r="AD163" s="2558">
        <f t="shared" ca="1" si="263"/>
        <v>0</v>
      </c>
      <c r="AE163" s="2556">
        <f t="shared" ref="AE163:AJ163" ca="1" si="269">AE136*AE149</f>
        <v>0</v>
      </c>
      <c r="AF163" s="2556">
        <f t="shared" ca="1" si="269"/>
        <v>0</v>
      </c>
      <c r="AG163" s="2556">
        <f t="shared" ca="1" si="269"/>
        <v>0</v>
      </c>
      <c r="AH163" s="2556">
        <f t="shared" ca="1" si="269"/>
        <v>0</v>
      </c>
      <c r="AI163" s="2556">
        <f t="shared" ca="1" si="269"/>
        <v>0</v>
      </c>
      <c r="AJ163" s="2557">
        <f t="shared" ca="1" si="269"/>
        <v>0</v>
      </c>
      <c r="AL163" s="2549">
        <f t="shared" si="259"/>
        <v>2022</v>
      </c>
      <c r="AM163" s="2556">
        <f t="shared" si="266"/>
        <v>0</v>
      </c>
      <c r="AN163" s="2556">
        <f t="shared" si="266"/>
        <v>0</v>
      </c>
      <c r="AO163" s="2556">
        <f t="shared" si="266"/>
        <v>0</v>
      </c>
      <c r="AP163" s="2556">
        <f t="shared" si="266"/>
        <v>0</v>
      </c>
      <c r="AQ163" s="2556">
        <f t="shared" si="266"/>
        <v>0</v>
      </c>
      <c r="AR163" s="2556">
        <f t="shared" si="266"/>
        <v>0</v>
      </c>
      <c r="AS163" s="2557">
        <f t="shared" si="266"/>
        <v>0</v>
      </c>
    </row>
    <row r="164" spans="2:45">
      <c r="B164" s="2549">
        <f t="shared" si="261"/>
        <v>2023</v>
      </c>
      <c r="C164" s="2556">
        <f t="shared" si="254"/>
        <v>0</v>
      </c>
      <c r="D164" s="2556">
        <f t="shared" si="254"/>
        <v>3361.8941290710823</v>
      </c>
      <c r="E164" s="2556">
        <f t="shared" si="254"/>
        <v>0</v>
      </c>
      <c r="F164" s="2556">
        <f t="shared" si="254"/>
        <v>0</v>
      </c>
      <c r="G164" s="2556">
        <f t="shared" si="254"/>
        <v>0</v>
      </c>
      <c r="H164" s="2556">
        <f t="shared" si="254"/>
        <v>0</v>
      </c>
      <c r="I164" s="2557">
        <f t="shared" si="254"/>
        <v>0</v>
      </c>
      <c r="K164" s="2549">
        <f t="shared" si="262"/>
        <v>2023</v>
      </c>
      <c r="L164" s="2556">
        <f t="shared" si="255"/>
        <v>0</v>
      </c>
      <c r="M164" s="2556">
        <f t="shared" si="255"/>
        <v>0</v>
      </c>
      <c r="N164" s="2556">
        <f t="shared" si="255"/>
        <v>0</v>
      </c>
      <c r="O164" s="2556">
        <f t="shared" si="255"/>
        <v>0</v>
      </c>
      <c r="P164" s="2556">
        <f t="shared" si="255"/>
        <v>0</v>
      </c>
      <c r="Q164" s="2556">
        <f t="shared" si="255"/>
        <v>0</v>
      </c>
      <c r="R164" s="2557">
        <f t="shared" si="255"/>
        <v>0</v>
      </c>
      <c r="T164" s="2549">
        <f t="shared" ref="T164:T170" si="270">T150</f>
        <v>2023</v>
      </c>
      <c r="U164" s="2556">
        <f t="shared" ref="U164:AA164" si="271">U137*U150</f>
        <v>0</v>
      </c>
      <c r="V164" s="2556">
        <f t="shared" si="268"/>
        <v>0</v>
      </c>
      <c r="W164" s="2556">
        <f t="shared" si="268"/>
        <v>0</v>
      </c>
      <c r="X164" s="2556">
        <f t="shared" si="271"/>
        <v>0</v>
      </c>
      <c r="Y164" s="2556">
        <f t="shared" si="271"/>
        <v>0</v>
      </c>
      <c r="Z164" s="2556">
        <f t="shared" si="271"/>
        <v>0</v>
      </c>
      <c r="AA164" s="2557">
        <f t="shared" si="271"/>
        <v>0</v>
      </c>
      <c r="AC164" s="2549">
        <f t="shared" si="257"/>
        <v>2023</v>
      </c>
      <c r="AD164" s="2558">
        <f t="shared" ca="1" si="263"/>
        <v>0</v>
      </c>
      <c r="AE164" s="2556">
        <f t="shared" ref="AE164:AJ164" ca="1" si="272">AE137*AE150</f>
        <v>0</v>
      </c>
      <c r="AF164" s="2556">
        <f t="shared" ca="1" si="272"/>
        <v>83454.451736143412</v>
      </c>
      <c r="AG164" s="2556">
        <f t="shared" ca="1" si="272"/>
        <v>0</v>
      </c>
      <c r="AH164" s="2556">
        <f t="shared" ca="1" si="272"/>
        <v>0</v>
      </c>
      <c r="AI164" s="2556">
        <f t="shared" ca="1" si="272"/>
        <v>0</v>
      </c>
      <c r="AJ164" s="2557">
        <f t="shared" ca="1" si="272"/>
        <v>0</v>
      </c>
      <c r="AL164" s="2549">
        <f t="shared" si="259"/>
        <v>2023</v>
      </c>
      <c r="AM164" s="2556">
        <f t="shared" si="266"/>
        <v>0</v>
      </c>
      <c r="AN164" s="2556">
        <f t="shared" si="266"/>
        <v>0</v>
      </c>
      <c r="AO164" s="2556">
        <f t="shared" si="266"/>
        <v>0</v>
      </c>
      <c r="AP164" s="2556">
        <f t="shared" si="266"/>
        <v>15049.106492672847</v>
      </c>
      <c r="AQ164" s="2556">
        <f t="shared" si="266"/>
        <v>0</v>
      </c>
      <c r="AR164" s="2556">
        <f t="shared" si="266"/>
        <v>0</v>
      </c>
      <c r="AS164" s="2557">
        <f t="shared" si="266"/>
        <v>0</v>
      </c>
    </row>
    <row r="165" spans="2:45">
      <c r="B165" s="2549">
        <f t="shared" si="261"/>
        <v>2024</v>
      </c>
      <c r="C165" s="2556">
        <f t="shared" si="254"/>
        <v>0</v>
      </c>
      <c r="D165" s="2556">
        <f t="shared" si="254"/>
        <v>0</v>
      </c>
      <c r="E165" s="2556">
        <f t="shared" si="254"/>
        <v>5635.5162588126859</v>
      </c>
      <c r="F165" s="2556">
        <f t="shared" si="254"/>
        <v>0</v>
      </c>
      <c r="G165" s="2556">
        <f t="shared" si="254"/>
        <v>0</v>
      </c>
      <c r="H165" s="2556">
        <f t="shared" si="254"/>
        <v>0</v>
      </c>
      <c r="I165" s="2557">
        <f t="shared" si="254"/>
        <v>0</v>
      </c>
      <c r="K165" s="2549">
        <f t="shared" si="262"/>
        <v>2024</v>
      </c>
      <c r="L165" s="2556">
        <f t="shared" si="255"/>
        <v>0</v>
      </c>
      <c r="M165" s="2556">
        <f t="shared" si="255"/>
        <v>0</v>
      </c>
      <c r="N165" s="2556">
        <f t="shared" si="255"/>
        <v>0</v>
      </c>
      <c r="O165" s="2556">
        <f t="shared" si="255"/>
        <v>0</v>
      </c>
      <c r="P165" s="2556">
        <f t="shared" si="255"/>
        <v>0</v>
      </c>
      <c r="Q165" s="2556">
        <f t="shared" si="255"/>
        <v>0</v>
      </c>
      <c r="R165" s="2557">
        <f t="shared" si="255"/>
        <v>0</v>
      </c>
      <c r="T165" s="2549">
        <f t="shared" si="270"/>
        <v>2024</v>
      </c>
      <c r="U165" s="2556">
        <f t="shared" ref="U165:U170" si="273">U138*U151</f>
        <v>0</v>
      </c>
      <c r="V165" s="2556">
        <f t="shared" si="268"/>
        <v>0</v>
      </c>
      <c r="W165" s="2556">
        <f t="shared" si="268"/>
        <v>0</v>
      </c>
      <c r="X165" s="2556">
        <f t="shared" ref="X165:AA170" si="274">X138*X151</f>
        <v>0</v>
      </c>
      <c r="Y165" s="2556">
        <f t="shared" si="274"/>
        <v>0</v>
      </c>
      <c r="Z165" s="2556">
        <f t="shared" si="274"/>
        <v>0</v>
      </c>
      <c r="AA165" s="2557">
        <f t="shared" si="274"/>
        <v>0</v>
      </c>
      <c r="AC165" s="2549">
        <f t="shared" si="257"/>
        <v>2024</v>
      </c>
      <c r="AD165" s="2558">
        <f t="shared" ca="1" si="263"/>
        <v>0</v>
      </c>
      <c r="AE165" s="2556">
        <f t="shared" ref="AE165:AJ165" ca="1" si="275">AE138*AE151</f>
        <v>0</v>
      </c>
      <c r="AF165" s="2556">
        <f t="shared" ca="1" si="275"/>
        <v>0</v>
      </c>
      <c r="AG165" s="2556">
        <f t="shared" ca="1" si="275"/>
        <v>123354.66117643152</v>
      </c>
      <c r="AH165" s="2556">
        <f t="shared" ca="1" si="275"/>
        <v>0</v>
      </c>
      <c r="AI165" s="2556">
        <f t="shared" ca="1" si="275"/>
        <v>0</v>
      </c>
      <c r="AJ165" s="2557">
        <f t="shared" ca="1" si="275"/>
        <v>0</v>
      </c>
      <c r="AL165" s="2549">
        <f t="shared" si="259"/>
        <v>2024</v>
      </c>
      <c r="AM165" s="2556">
        <f t="shared" si="266"/>
        <v>0</v>
      </c>
      <c r="AN165" s="2556">
        <f t="shared" si="266"/>
        <v>0</v>
      </c>
      <c r="AO165" s="2556">
        <f t="shared" si="266"/>
        <v>0</v>
      </c>
      <c r="AP165" s="2556">
        <f t="shared" si="266"/>
        <v>0</v>
      </c>
      <c r="AQ165" s="2556">
        <f t="shared" si="266"/>
        <v>20159.454265294968</v>
      </c>
      <c r="AR165" s="2556">
        <f t="shared" si="266"/>
        <v>0</v>
      </c>
      <c r="AS165" s="2557">
        <f>AS138*AS151</f>
        <v>0</v>
      </c>
    </row>
    <row r="166" spans="2:45">
      <c r="B166" s="2549">
        <f t="shared" si="261"/>
        <v>2025</v>
      </c>
      <c r="C166" s="2556">
        <f t="shared" si="254"/>
        <v>0</v>
      </c>
      <c r="D166" s="2556">
        <f t="shared" si="254"/>
        <v>0</v>
      </c>
      <c r="E166" s="2556">
        <f t="shared" si="254"/>
        <v>0</v>
      </c>
      <c r="F166" s="2556">
        <f t="shared" si="254"/>
        <v>6760.0913950453869</v>
      </c>
      <c r="G166" s="2556">
        <f t="shared" si="254"/>
        <v>0</v>
      </c>
      <c r="H166" s="2556">
        <f t="shared" si="254"/>
        <v>0</v>
      </c>
      <c r="I166" s="2557">
        <f t="shared" si="254"/>
        <v>0</v>
      </c>
      <c r="K166" s="2549">
        <f t="shared" si="262"/>
        <v>2025</v>
      </c>
      <c r="L166" s="2556">
        <f t="shared" si="255"/>
        <v>0</v>
      </c>
      <c r="M166" s="2556">
        <f t="shared" si="255"/>
        <v>0</v>
      </c>
      <c r="N166" s="2556">
        <f t="shared" si="255"/>
        <v>0</v>
      </c>
      <c r="O166" s="2556">
        <f t="shared" si="255"/>
        <v>0</v>
      </c>
      <c r="P166" s="2556">
        <f t="shared" si="255"/>
        <v>0</v>
      </c>
      <c r="Q166" s="2556">
        <f t="shared" si="255"/>
        <v>0</v>
      </c>
      <c r="R166" s="2557">
        <f t="shared" si="255"/>
        <v>0</v>
      </c>
      <c r="T166" s="2549">
        <f t="shared" si="270"/>
        <v>2025</v>
      </c>
      <c r="U166" s="2556">
        <f t="shared" si="273"/>
        <v>0</v>
      </c>
      <c r="V166" s="2556">
        <f t="shared" si="268"/>
        <v>0</v>
      </c>
      <c r="W166" s="2556">
        <f t="shared" si="268"/>
        <v>0</v>
      </c>
      <c r="X166" s="2556">
        <f t="shared" si="274"/>
        <v>0</v>
      </c>
      <c r="Y166" s="2556">
        <f t="shared" si="274"/>
        <v>0</v>
      </c>
      <c r="Z166" s="2556">
        <f t="shared" si="274"/>
        <v>0</v>
      </c>
      <c r="AA166" s="2557">
        <f t="shared" si="274"/>
        <v>0</v>
      </c>
      <c r="AC166" s="2549">
        <f t="shared" si="257"/>
        <v>2025</v>
      </c>
      <c r="AD166" s="2558">
        <f t="shared" ca="1" si="263"/>
        <v>0</v>
      </c>
      <c r="AE166" s="2556">
        <f t="shared" ref="AE166:AJ166" ca="1" si="276">AE139*AE152</f>
        <v>0</v>
      </c>
      <c r="AF166" s="2556">
        <f t="shared" ca="1" si="276"/>
        <v>0</v>
      </c>
      <c r="AG166" s="2556">
        <f t="shared" ca="1" si="276"/>
        <v>0</v>
      </c>
      <c r="AH166" s="2556">
        <f t="shared" ca="1" si="276"/>
        <v>146222.06830855759</v>
      </c>
      <c r="AI166" s="2556">
        <f t="shared" ca="1" si="276"/>
        <v>0</v>
      </c>
      <c r="AJ166" s="2557">
        <f t="shared" ca="1" si="276"/>
        <v>0</v>
      </c>
      <c r="AL166" s="2549">
        <f t="shared" si="259"/>
        <v>2025</v>
      </c>
      <c r="AM166" s="2556">
        <f t="shared" si="266"/>
        <v>0</v>
      </c>
      <c r="AN166" s="2556">
        <f t="shared" si="266"/>
        <v>0</v>
      </c>
      <c r="AO166" s="2556">
        <f t="shared" si="266"/>
        <v>0</v>
      </c>
      <c r="AP166" s="2556">
        <f t="shared" si="266"/>
        <v>0</v>
      </c>
      <c r="AQ166" s="2556">
        <f t="shared" si="266"/>
        <v>0</v>
      </c>
      <c r="AR166" s="2556">
        <f t="shared" si="266"/>
        <v>23852.983856368395</v>
      </c>
      <c r="AS166" s="2557">
        <f>AS139*AS152</f>
        <v>0</v>
      </c>
    </row>
    <row r="167" spans="2:45">
      <c r="B167" s="2549">
        <f t="shared" si="261"/>
        <v>2026</v>
      </c>
      <c r="C167" s="2556">
        <f t="shared" si="254"/>
        <v>0</v>
      </c>
      <c r="D167" s="2556">
        <f t="shared" si="254"/>
        <v>0</v>
      </c>
      <c r="E167" s="2556">
        <f t="shared" si="254"/>
        <v>0</v>
      </c>
      <c r="F167" s="2556">
        <f t="shared" si="254"/>
        <v>0</v>
      </c>
      <c r="G167" s="2556">
        <f t="shared" si="254"/>
        <v>6927.6146900216181</v>
      </c>
      <c r="H167" s="2556">
        <f t="shared" si="254"/>
        <v>0</v>
      </c>
      <c r="I167" s="2557">
        <f t="shared" si="254"/>
        <v>0</v>
      </c>
      <c r="K167" s="2549">
        <f t="shared" si="262"/>
        <v>2026</v>
      </c>
      <c r="L167" s="2556">
        <f t="shared" si="255"/>
        <v>0</v>
      </c>
      <c r="M167" s="2556">
        <f t="shared" si="255"/>
        <v>0</v>
      </c>
      <c r="N167" s="2556">
        <f t="shared" si="255"/>
        <v>0</v>
      </c>
      <c r="O167" s="2556">
        <f t="shared" si="255"/>
        <v>0</v>
      </c>
      <c r="P167" s="2556">
        <f t="shared" si="255"/>
        <v>0</v>
      </c>
      <c r="Q167" s="2556">
        <f t="shared" si="255"/>
        <v>0</v>
      </c>
      <c r="R167" s="2557">
        <f t="shared" si="255"/>
        <v>0</v>
      </c>
      <c r="T167" s="2549">
        <f t="shared" si="270"/>
        <v>2026</v>
      </c>
      <c r="U167" s="2556">
        <f t="shared" si="273"/>
        <v>0</v>
      </c>
      <c r="V167" s="2556">
        <f t="shared" si="268"/>
        <v>0</v>
      </c>
      <c r="W167" s="2556">
        <f t="shared" si="268"/>
        <v>0</v>
      </c>
      <c r="X167" s="2556">
        <f t="shared" si="274"/>
        <v>0</v>
      </c>
      <c r="Y167" s="2556">
        <f t="shared" si="274"/>
        <v>0</v>
      </c>
      <c r="Z167" s="2556">
        <f t="shared" si="274"/>
        <v>0</v>
      </c>
      <c r="AA167" s="2557">
        <f t="shared" si="274"/>
        <v>0</v>
      </c>
      <c r="AC167" s="2549">
        <f t="shared" si="257"/>
        <v>2026</v>
      </c>
      <c r="AD167" s="2558">
        <f t="shared" ca="1" si="263"/>
        <v>0</v>
      </c>
      <c r="AE167" s="2556">
        <f t="shared" ref="AE167:AJ168" ca="1" si="277">AE140*AE153</f>
        <v>0</v>
      </c>
      <c r="AF167" s="2556">
        <f t="shared" ca="1" si="277"/>
        <v>0</v>
      </c>
      <c r="AG167" s="2556">
        <f t="shared" ca="1" si="277"/>
        <v>0</v>
      </c>
      <c r="AH167" s="2556">
        <f t="shared" ca="1" si="277"/>
        <v>0</v>
      </c>
      <c r="AI167" s="2556">
        <f t="shared" ca="1" si="277"/>
        <v>149252.37817330522</v>
      </c>
      <c r="AJ167" s="2557">
        <f t="shared" ca="1" si="277"/>
        <v>0</v>
      </c>
      <c r="AL167" s="2549">
        <f t="shared" si="259"/>
        <v>2026</v>
      </c>
      <c r="AM167" s="2556">
        <f t="shared" si="266"/>
        <v>0</v>
      </c>
      <c r="AN167" s="2556">
        <f t="shared" si="266"/>
        <v>0</v>
      </c>
      <c r="AO167" s="2556">
        <f t="shared" si="266"/>
        <v>0</v>
      </c>
      <c r="AP167" s="2556">
        <f t="shared" si="266"/>
        <v>0</v>
      </c>
      <c r="AQ167" s="2556">
        <f t="shared" si="266"/>
        <v>0</v>
      </c>
      <c r="AR167" s="2556">
        <f t="shared" si="266"/>
        <v>0</v>
      </c>
      <c r="AS167" s="2557">
        <f>AS140*AS153</f>
        <v>24324.164665075696</v>
      </c>
    </row>
    <row r="168" spans="2:45">
      <c r="B168" s="2549">
        <f t="shared" si="261"/>
        <v>2027</v>
      </c>
      <c r="C168" s="2556">
        <f t="shared" si="254"/>
        <v>0</v>
      </c>
      <c r="D168" s="2556">
        <f t="shared" si="254"/>
        <v>0</v>
      </c>
      <c r="E168" s="2556">
        <f t="shared" si="254"/>
        <v>0</v>
      </c>
      <c r="F168" s="2556">
        <f t="shared" si="254"/>
        <v>0</v>
      </c>
      <c r="G168" s="2556">
        <f t="shared" si="254"/>
        <v>0</v>
      </c>
      <c r="H168" s="2556">
        <f>H141*H154</f>
        <v>7065.8893765000166</v>
      </c>
      <c r="I168" s="2557">
        <f t="shared" si="254"/>
        <v>0</v>
      </c>
      <c r="K168" s="2549">
        <f t="shared" si="262"/>
        <v>2027</v>
      </c>
      <c r="L168" s="2556">
        <f t="shared" si="255"/>
        <v>0</v>
      </c>
      <c r="M168" s="2556">
        <f t="shared" si="255"/>
        <v>0</v>
      </c>
      <c r="N168" s="2556">
        <f t="shared" si="255"/>
        <v>0</v>
      </c>
      <c r="O168" s="2556">
        <f t="shared" si="255"/>
        <v>0</v>
      </c>
      <c r="P168" s="2556">
        <f t="shared" si="255"/>
        <v>0</v>
      </c>
      <c r="Q168" s="2556">
        <f t="shared" si="255"/>
        <v>0</v>
      </c>
      <c r="R168" s="2557">
        <f t="shared" si="255"/>
        <v>0</v>
      </c>
      <c r="T168" s="2549">
        <f t="shared" si="270"/>
        <v>2027</v>
      </c>
      <c r="U168" s="2556">
        <f t="shared" si="273"/>
        <v>0</v>
      </c>
      <c r="V168" s="2556">
        <f t="shared" si="268"/>
        <v>0</v>
      </c>
      <c r="W168" s="2556">
        <f t="shared" si="268"/>
        <v>0</v>
      </c>
      <c r="X168" s="2556">
        <f t="shared" si="274"/>
        <v>0</v>
      </c>
      <c r="Y168" s="2556">
        <f t="shared" si="274"/>
        <v>0</v>
      </c>
      <c r="Z168" s="2556">
        <f t="shared" si="274"/>
        <v>0</v>
      </c>
      <c r="AA168" s="2557">
        <f>AA141*AA154</f>
        <v>0</v>
      </c>
      <c r="AC168" s="2549">
        <f t="shared" si="257"/>
        <v>2027</v>
      </c>
      <c r="AD168" s="2558">
        <f t="shared" ca="1" si="263"/>
        <v>0</v>
      </c>
      <c r="AE168" s="2556">
        <f t="shared" ca="1" si="277"/>
        <v>0</v>
      </c>
      <c r="AF168" s="2556">
        <f t="shared" ca="1" si="277"/>
        <v>0</v>
      </c>
      <c r="AG168" s="2556">
        <f t="shared" ca="1" si="277"/>
        <v>0</v>
      </c>
      <c r="AH168" s="2556">
        <f t="shared" ca="1" si="277"/>
        <v>0</v>
      </c>
      <c r="AI168" s="2556">
        <f t="shared" ca="1" si="277"/>
        <v>0</v>
      </c>
      <c r="AJ168" s="2557">
        <f t="shared" ca="1" si="277"/>
        <v>152240.49395629214</v>
      </c>
      <c r="AL168" s="2549">
        <f t="shared" si="259"/>
        <v>2027</v>
      </c>
      <c r="AM168" s="2556">
        <f t="shared" si="266"/>
        <v>0</v>
      </c>
      <c r="AN168" s="2556">
        <f t="shared" si="266"/>
        <v>0</v>
      </c>
      <c r="AO168" s="2556">
        <f t="shared" si="266"/>
        <v>0</v>
      </c>
      <c r="AP168" s="2556">
        <f t="shared" si="266"/>
        <v>0</v>
      </c>
      <c r="AQ168" s="2556">
        <f t="shared" si="266"/>
        <v>0</v>
      </c>
      <c r="AR168" s="2556">
        <f t="shared" si="266"/>
        <v>0</v>
      </c>
      <c r="AS168" s="2557">
        <f t="shared" si="266"/>
        <v>0</v>
      </c>
    </row>
    <row r="169" spans="2:45">
      <c r="B169" s="2549">
        <f t="shared" si="261"/>
        <v>2028</v>
      </c>
      <c r="C169" s="2556">
        <f t="shared" si="254"/>
        <v>0</v>
      </c>
      <c r="D169" s="2556">
        <f t="shared" si="254"/>
        <v>0</v>
      </c>
      <c r="E169" s="2556">
        <f t="shared" si="254"/>
        <v>0</v>
      </c>
      <c r="F169" s="2556">
        <f t="shared" si="254"/>
        <v>0</v>
      </c>
      <c r="G169" s="2556">
        <f t="shared" si="254"/>
        <v>0</v>
      </c>
      <c r="H169" s="2556">
        <f t="shared" si="254"/>
        <v>0</v>
      </c>
      <c r="I169" s="2557">
        <f>I142*I155</f>
        <v>7207.5555097847655</v>
      </c>
      <c r="K169" s="2549">
        <f t="shared" si="262"/>
        <v>2028</v>
      </c>
      <c r="L169" s="2556">
        <f t="shared" si="255"/>
        <v>0</v>
      </c>
      <c r="M169" s="2556">
        <f t="shared" si="255"/>
        <v>0</v>
      </c>
      <c r="N169" s="2556">
        <f t="shared" si="255"/>
        <v>0</v>
      </c>
      <c r="O169" s="2556">
        <f t="shared" si="255"/>
        <v>0</v>
      </c>
      <c r="P169" s="2556">
        <f t="shared" si="255"/>
        <v>0</v>
      </c>
      <c r="Q169" s="2556">
        <f t="shared" si="255"/>
        <v>0</v>
      </c>
      <c r="R169" s="2557">
        <f>R142*R155</f>
        <v>0</v>
      </c>
      <c r="T169" s="2549">
        <f t="shared" si="270"/>
        <v>2028</v>
      </c>
      <c r="U169" s="2556">
        <f t="shared" si="273"/>
        <v>0</v>
      </c>
      <c r="V169" s="2556">
        <f t="shared" si="268"/>
        <v>0</v>
      </c>
      <c r="W169" s="2556">
        <f t="shared" si="268"/>
        <v>0</v>
      </c>
      <c r="X169" s="2556">
        <f t="shared" si="274"/>
        <v>0</v>
      </c>
      <c r="Y169" s="2556">
        <f t="shared" si="274"/>
        <v>0</v>
      </c>
      <c r="Z169" s="2556">
        <f t="shared" si="274"/>
        <v>0</v>
      </c>
      <c r="AA169" s="2557">
        <f t="shared" si="274"/>
        <v>0</v>
      </c>
      <c r="AC169" s="2549">
        <f t="shared" si="257"/>
        <v>2028</v>
      </c>
      <c r="AD169" s="2558">
        <f t="shared" ca="1" si="263"/>
        <v>0</v>
      </c>
      <c r="AE169" s="2556">
        <f t="shared" ref="AE169:AJ169" ca="1" si="278">AE142*AE155</f>
        <v>0</v>
      </c>
      <c r="AF169" s="2556">
        <f t="shared" ca="1" si="278"/>
        <v>0</v>
      </c>
      <c r="AG169" s="2556">
        <f t="shared" ca="1" si="278"/>
        <v>0</v>
      </c>
      <c r="AH169" s="2556">
        <f t="shared" ca="1" si="278"/>
        <v>0</v>
      </c>
      <c r="AI169" s="2556">
        <f t="shared" ca="1" si="278"/>
        <v>0</v>
      </c>
      <c r="AJ169" s="2557">
        <f t="shared" ca="1" si="278"/>
        <v>0</v>
      </c>
      <c r="AL169" s="2549">
        <f t="shared" si="259"/>
        <v>2028</v>
      </c>
      <c r="AM169" s="2556">
        <f t="shared" si="266"/>
        <v>0</v>
      </c>
      <c r="AN169" s="2556">
        <f t="shared" si="266"/>
        <v>0</v>
      </c>
      <c r="AO169" s="2556">
        <f t="shared" si="266"/>
        <v>0</v>
      </c>
      <c r="AP169" s="2556">
        <f t="shared" si="266"/>
        <v>0</v>
      </c>
      <c r="AQ169" s="2556">
        <f t="shared" si="266"/>
        <v>0</v>
      </c>
      <c r="AR169" s="2556">
        <f t="shared" si="266"/>
        <v>0</v>
      </c>
      <c r="AS169" s="2557">
        <f t="shared" si="266"/>
        <v>0</v>
      </c>
    </row>
    <row r="170" spans="2:45">
      <c r="B170" s="2549">
        <f t="shared" si="261"/>
        <v>2029</v>
      </c>
      <c r="C170" s="2561">
        <f t="shared" si="254"/>
        <v>0</v>
      </c>
      <c r="D170" s="2561">
        <f t="shared" si="254"/>
        <v>0</v>
      </c>
      <c r="E170" s="2561">
        <f t="shared" si="254"/>
        <v>0</v>
      </c>
      <c r="F170" s="2561">
        <f t="shared" si="254"/>
        <v>0</v>
      </c>
      <c r="G170" s="2561">
        <f t="shared" si="254"/>
        <v>0</v>
      </c>
      <c r="H170" s="2561">
        <f t="shared" si="254"/>
        <v>0</v>
      </c>
      <c r="I170" s="2562">
        <f t="shared" si="254"/>
        <v>0</v>
      </c>
      <c r="K170" s="2549">
        <f t="shared" si="262"/>
        <v>2029</v>
      </c>
      <c r="L170" s="2561">
        <f t="shared" si="255"/>
        <v>0</v>
      </c>
      <c r="M170" s="2561">
        <f t="shared" si="255"/>
        <v>0</v>
      </c>
      <c r="N170" s="2561">
        <f t="shared" si="255"/>
        <v>0</v>
      </c>
      <c r="O170" s="2561">
        <f t="shared" si="255"/>
        <v>0</v>
      </c>
      <c r="P170" s="2561">
        <f t="shared" si="255"/>
        <v>0</v>
      </c>
      <c r="Q170" s="2561">
        <f t="shared" si="255"/>
        <v>0</v>
      </c>
      <c r="R170" s="2562">
        <f t="shared" si="255"/>
        <v>0</v>
      </c>
      <c r="T170" s="2549">
        <f t="shared" si="270"/>
        <v>2029</v>
      </c>
      <c r="U170" s="2561">
        <f t="shared" si="273"/>
        <v>0</v>
      </c>
      <c r="V170" s="2561">
        <f t="shared" si="268"/>
        <v>0</v>
      </c>
      <c r="W170" s="2561">
        <f t="shared" si="268"/>
        <v>0</v>
      </c>
      <c r="X170" s="2561">
        <f t="shared" si="274"/>
        <v>0</v>
      </c>
      <c r="Y170" s="2561">
        <f t="shared" si="274"/>
        <v>0</v>
      </c>
      <c r="Z170" s="2561">
        <f t="shared" si="274"/>
        <v>0</v>
      </c>
      <c r="AA170" s="2562">
        <f t="shared" si="274"/>
        <v>0</v>
      </c>
      <c r="AC170" s="2549">
        <f t="shared" si="257"/>
        <v>2029</v>
      </c>
      <c r="AD170" s="2593">
        <f t="shared" ca="1" si="263"/>
        <v>0</v>
      </c>
      <c r="AE170" s="2561">
        <f t="shared" ref="AE170:AJ170" ca="1" si="279">AE143*AE156</f>
        <v>0</v>
      </c>
      <c r="AF170" s="2561">
        <f t="shared" ca="1" si="279"/>
        <v>0</v>
      </c>
      <c r="AG170" s="2561">
        <f t="shared" ca="1" si="279"/>
        <v>0</v>
      </c>
      <c r="AH170" s="2561">
        <f t="shared" ca="1" si="279"/>
        <v>0</v>
      </c>
      <c r="AI170" s="2561">
        <f t="shared" ca="1" si="279"/>
        <v>0</v>
      </c>
      <c r="AJ170" s="2562">
        <f t="shared" ca="1" si="279"/>
        <v>0</v>
      </c>
      <c r="AL170" s="2549">
        <f t="shared" si="259"/>
        <v>2029</v>
      </c>
      <c r="AM170" s="2561">
        <f t="shared" si="266"/>
        <v>0</v>
      </c>
      <c r="AN170" s="2561">
        <f t="shared" si="266"/>
        <v>0</v>
      </c>
      <c r="AO170" s="2561">
        <f t="shared" si="266"/>
        <v>0</v>
      </c>
      <c r="AP170" s="2561">
        <f t="shared" si="266"/>
        <v>0</v>
      </c>
      <c r="AQ170" s="2561">
        <f t="shared" si="266"/>
        <v>0</v>
      </c>
      <c r="AR170" s="2561">
        <f t="shared" si="266"/>
        <v>0</v>
      </c>
      <c r="AS170" s="2562">
        <f t="shared" si="266"/>
        <v>0</v>
      </c>
    </row>
    <row r="171" spans="2:45">
      <c r="B171" s="2586" t="s">
        <v>791</v>
      </c>
      <c r="C171" s="2594">
        <f t="shared" ref="C171:I171" si="280">SUM(C159:C170)</f>
        <v>0</v>
      </c>
      <c r="D171" s="2594">
        <f t="shared" si="280"/>
        <v>3361.8941290710823</v>
      </c>
      <c r="E171" s="2594">
        <f t="shared" si="280"/>
        <v>5635.5162588126859</v>
      </c>
      <c r="F171" s="2594">
        <f t="shared" si="280"/>
        <v>6760.0913950453869</v>
      </c>
      <c r="G171" s="2594">
        <f t="shared" si="280"/>
        <v>6927.6146900216181</v>
      </c>
      <c r="H171" s="2594">
        <f t="shared" si="280"/>
        <v>7065.8893765000166</v>
      </c>
      <c r="I171" s="2595">
        <f t="shared" si="280"/>
        <v>7207.5555097847655</v>
      </c>
      <c r="K171" s="2586" t="s">
        <v>797</v>
      </c>
      <c r="L171" s="2594">
        <f>SUM(L159:L170)</f>
        <v>7533.9650834292233</v>
      </c>
      <c r="M171" s="2594">
        <f t="shared" ref="M171:R171" si="281">SUM(M159:M170)</f>
        <v>0</v>
      </c>
      <c r="N171" s="2594">
        <f t="shared" si="281"/>
        <v>0</v>
      </c>
      <c r="O171" s="2594">
        <f t="shared" si="281"/>
        <v>0</v>
      </c>
      <c r="P171" s="2594">
        <f t="shared" si="281"/>
        <v>0</v>
      </c>
      <c r="Q171" s="2594">
        <f t="shared" si="281"/>
        <v>0</v>
      </c>
      <c r="R171" s="2595">
        <f t="shared" si="281"/>
        <v>0</v>
      </c>
      <c r="T171" s="2586" t="s">
        <v>797</v>
      </c>
      <c r="U171" s="2594">
        <f t="shared" ref="U171:AA171" si="282">SUM(U159:U170)</f>
        <v>0</v>
      </c>
      <c r="V171" s="2594">
        <f t="shared" si="282"/>
        <v>105919.05806659698</v>
      </c>
      <c r="W171" s="2594">
        <f t="shared" si="282"/>
        <v>0</v>
      </c>
      <c r="X171" s="2594">
        <f t="shared" si="282"/>
        <v>0</v>
      </c>
      <c r="Y171" s="2594">
        <f t="shared" si="282"/>
        <v>0</v>
      </c>
      <c r="Z171" s="2594">
        <f t="shared" si="282"/>
        <v>0</v>
      </c>
      <c r="AA171" s="2595">
        <f t="shared" si="282"/>
        <v>0</v>
      </c>
      <c r="AC171" s="2586" t="s">
        <v>797</v>
      </c>
      <c r="AD171" s="2594">
        <f t="shared" ref="AD171:AJ171" ca="1" si="283">SUM(AD159:AD170)</f>
        <v>0</v>
      </c>
      <c r="AE171" s="2594">
        <f t="shared" ca="1" si="283"/>
        <v>73432.258245905701</v>
      </c>
      <c r="AF171" s="2594">
        <f t="shared" ca="1" si="283"/>
        <v>83454.451736143412</v>
      </c>
      <c r="AG171" s="2594">
        <f t="shared" ca="1" si="283"/>
        <v>123354.66117643152</v>
      </c>
      <c r="AH171" s="2594">
        <f t="shared" ca="1" si="283"/>
        <v>146222.06830855759</v>
      </c>
      <c r="AI171" s="2594">
        <f t="shared" ca="1" si="283"/>
        <v>149252.37817330522</v>
      </c>
      <c r="AJ171" s="2595">
        <f t="shared" ca="1" si="283"/>
        <v>152240.49395629214</v>
      </c>
      <c r="AL171" s="2586" t="s">
        <v>797</v>
      </c>
      <c r="AM171" s="2594">
        <f t="shared" ref="AM171:AS171" si="284">SUM(AM159:AM170)</f>
        <v>0</v>
      </c>
      <c r="AN171" s="2594">
        <f t="shared" si="284"/>
        <v>0</v>
      </c>
      <c r="AO171" s="2594">
        <f t="shared" si="284"/>
        <v>0</v>
      </c>
      <c r="AP171" s="2594">
        <f t="shared" si="284"/>
        <v>15049.106492672847</v>
      </c>
      <c r="AQ171" s="2594">
        <f t="shared" si="284"/>
        <v>20159.454265294968</v>
      </c>
      <c r="AR171" s="2594">
        <f t="shared" si="284"/>
        <v>23852.983856368395</v>
      </c>
      <c r="AS171" s="2595">
        <f t="shared" si="284"/>
        <v>24324.164665075696</v>
      </c>
    </row>
    <row r="172" spans="2:45">
      <c r="L172" s="2585"/>
      <c r="T172" s="2541"/>
      <c r="U172" s="2596"/>
      <c r="V172" s="2541"/>
      <c r="W172" s="2541"/>
      <c r="X172" s="2541"/>
      <c r="Y172" s="2541"/>
      <c r="Z172" s="2541"/>
      <c r="AA172" s="2541"/>
      <c r="AC172" s="2541"/>
      <c r="AD172" s="2541"/>
      <c r="AE172" s="2541"/>
      <c r="AF172" s="2541"/>
      <c r="AG172" s="2541"/>
      <c r="AH172" s="2541"/>
      <c r="AI172" s="2541"/>
      <c r="AJ172" s="2541"/>
      <c r="AL172" s="2541"/>
      <c r="AM172" s="2541"/>
      <c r="AN172" s="2541"/>
      <c r="AO172" s="2541"/>
      <c r="AP172" s="2541"/>
      <c r="AQ172" s="2541"/>
      <c r="AR172" s="2541"/>
      <c r="AS172" s="2541"/>
    </row>
    <row r="173" spans="2:45">
      <c r="B173" s="2538" t="s">
        <v>839</v>
      </c>
      <c r="C173" s="2543">
        <f t="shared" ref="C173:I173" si="285">C131</f>
        <v>2023</v>
      </c>
      <c r="D173" s="2543">
        <f t="shared" si="285"/>
        <v>2024</v>
      </c>
      <c r="E173" s="2543">
        <f t="shared" si="285"/>
        <v>2025</v>
      </c>
      <c r="F173" s="2543">
        <f t="shared" si="285"/>
        <v>2026</v>
      </c>
      <c r="G173" s="2543">
        <f t="shared" si="285"/>
        <v>2027</v>
      </c>
      <c r="H173" s="2543">
        <f t="shared" si="285"/>
        <v>2028</v>
      </c>
      <c r="I173" s="2597">
        <f t="shared" si="285"/>
        <v>2029</v>
      </c>
      <c r="K173" s="2538" t="s">
        <v>839</v>
      </c>
      <c r="L173" s="2539">
        <f t="shared" ref="L173:R173" si="286">L131</f>
        <v>2023</v>
      </c>
      <c r="M173" s="2539">
        <f t="shared" si="286"/>
        <v>2024</v>
      </c>
      <c r="N173" s="2539">
        <f t="shared" si="286"/>
        <v>2025</v>
      </c>
      <c r="O173" s="2539">
        <f t="shared" si="286"/>
        <v>2026</v>
      </c>
      <c r="P173" s="2539">
        <f t="shared" si="286"/>
        <v>2027</v>
      </c>
      <c r="Q173" s="2539">
        <f t="shared" si="286"/>
        <v>2028</v>
      </c>
      <c r="R173" s="2597">
        <f t="shared" si="286"/>
        <v>2029</v>
      </c>
      <c r="T173" s="2538" t="s">
        <v>839</v>
      </c>
      <c r="U173" s="2539">
        <f t="shared" ref="U173:AA173" si="287">U131</f>
        <v>2023</v>
      </c>
      <c r="V173" s="2539">
        <f t="shared" si="287"/>
        <v>2024</v>
      </c>
      <c r="W173" s="2539">
        <f t="shared" si="287"/>
        <v>2025</v>
      </c>
      <c r="X173" s="2539">
        <f t="shared" si="287"/>
        <v>2026</v>
      </c>
      <c r="Y173" s="2539">
        <f t="shared" si="287"/>
        <v>2027</v>
      </c>
      <c r="Z173" s="2539">
        <f t="shared" si="287"/>
        <v>2028</v>
      </c>
      <c r="AA173" s="2597">
        <f t="shared" si="287"/>
        <v>2029</v>
      </c>
      <c r="AC173" s="2538" t="s">
        <v>839</v>
      </c>
      <c r="AD173" s="2539">
        <f t="shared" ref="AD173:AJ173" si="288">AD131</f>
        <v>2023</v>
      </c>
      <c r="AE173" s="2539">
        <f t="shared" si="288"/>
        <v>2024</v>
      </c>
      <c r="AF173" s="2539">
        <f t="shared" si="288"/>
        <v>2025</v>
      </c>
      <c r="AG173" s="2539">
        <f t="shared" si="288"/>
        <v>2026</v>
      </c>
      <c r="AH173" s="2539">
        <f t="shared" si="288"/>
        <v>2027</v>
      </c>
      <c r="AI173" s="2539">
        <f t="shared" si="288"/>
        <v>2028</v>
      </c>
      <c r="AJ173" s="2597">
        <f t="shared" si="288"/>
        <v>2029</v>
      </c>
      <c r="AL173" s="2538" t="s">
        <v>839</v>
      </c>
      <c r="AM173" s="2539">
        <f t="shared" ref="AM173:AS173" si="289">AM131</f>
        <v>2023</v>
      </c>
      <c r="AN173" s="2539">
        <f t="shared" si="289"/>
        <v>2024</v>
      </c>
      <c r="AO173" s="2539">
        <f t="shared" si="289"/>
        <v>2025</v>
      </c>
      <c r="AP173" s="2539">
        <f t="shared" si="289"/>
        <v>2026</v>
      </c>
      <c r="AQ173" s="2539">
        <f t="shared" si="289"/>
        <v>2027</v>
      </c>
      <c r="AR173" s="2539">
        <f t="shared" si="289"/>
        <v>2028</v>
      </c>
      <c r="AS173" s="2597">
        <f t="shared" si="289"/>
        <v>2029</v>
      </c>
    </row>
    <row r="174" spans="2:45">
      <c r="B174" s="2546"/>
      <c r="C174" s="2591"/>
      <c r="D174" s="2591"/>
      <c r="E174" s="2591"/>
      <c r="F174" s="2591"/>
      <c r="G174" s="2591"/>
      <c r="H174" s="2591"/>
      <c r="I174" s="2592"/>
      <c r="K174" s="2546"/>
      <c r="L174" s="2591"/>
      <c r="M174" s="2591"/>
      <c r="N174" s="2591"/>
      <c r="O174" s="2591"/>
      <c r="P174" s="2591"/>
      <c r="Q174" s="2591"/>
      <c r="R174" s="2592"/>
      <c r="T174" s="2546"/>
      <c r="U174" s="2598"/>
      <c r="V174" s="2591"/>
      <c r="W174" s="2591"/>
      <c r="X174" s="2591"/>
      <c r="Y174" s="2591"/>
      <c r="Z174" s="2591"/>
      <c r="AA174" s="2592"/>
      <c r="AC174" s="2546"/>
      <c r="AD174" s="2591"/>
      <c r="AE174" s="2591"/>
      <c r="AF174" s="2591"/>
      <c r="AG174" s="2591"/>
      <c r="AH174" s="2591"/>
      <c r="AI174" s="2591"/>
      <c r="AJ174" s="2592"/>
      <c r="AL174" s="2546"/>
      <c r="AM174" s="2591"/>
      <c r="AN174" s="2591"/>
      <c r="AO174" s="2591"/>
      <c r="AP174" s="2591"/>
      <c r="AQ174" s="2591"/>
      <c r="AR174" s="2591"/>
      <c r="AS174" s="2592"/>
    </row>
    <row r="175" spans="2:45">
      <c r="B175" s="2549">
        <v>2018</v>
      </c>
      <c r="C175" s="2583">
        <f ca="1">C145+C90</f>
        <v>8.7103770536430467</v>
      </c>
      <c r="D175" s="2583">
        <f t="shared" ref="D175:I176" ca="1" si="290">D145+D90</f>
        <v>8.7103770536430467</v>
      </c>
      <c r="E175" s="2583">
        <f t="shared" ca="1" si="290"/>
        <v>8.7103770536430467</v>
      </c>
      <c r="F175" s="2583">
        <f t="shared" ca="1" si="290"/>
        <v>8.7103770536430467</v>
      </c>
      <c r="G175" s="2583">
        <f t="shared" ca="1" si="290"/>
        <v>8.7103770536430467</v>
      </c>
      <c r="H175" s="2583">
        <f t="shared" ca="1" si="290"/>
        <v>8.7103770536430467</v>
      </c>
      <c r="I175" s="2580">
        <f t="shared" ca="1" si="290"/>
        <v>8.7103770536430467</v>
      </c>
      <c r="K175" s="2549">
        <v>2018</v>
      </c>
      <c r="L175" s="2583">
        <f ca="1">L145+L90</f>
        <v>6.8319268345058832</v>
      </c>
      <c r="M175" s="2583">
        <f t="shared" ref="M175:R175" ca="1" si="291">M145+M90</f>
        <v>6.8319268345058832</v>
      </c>
      <c r="N175" s="2583">
        <f t="shared" ca="1" si="291"/>
        <v>6.8319268345058832</v>
      </c>
      <c r="O175" s="2583">
        <f t="shared" ca="1" si="291"/>
        <v>6.8319268345058832</v>
      </c>
      <c r="P175" s="2583">
        <f t="shared" ca="1" si="291"/>
        <v>6.8319268345058832</v>
      </c>
      <c r="Q175" s="2583">
        <f t="shared" ca="1" si="291"/>
        <v>6.8319268345058832</v>
      </c>
      <c r="R175" s="2580">
        <f t="shared" ca="1" si="291"/>
        <v>6.8319268345058832</v>
      </c>
      <c r="T175" s="2549">
        <f>T159</f>
        <v>2018</v>
      </c>
      <c r="U175" s="2571">
        <f ca="1">'Inv. start'!B149</f>
        <v>9.8731252111203602</v>
      </c>
      <c r="V175" s="2571">
        <f ca="1">U175</f>
        <v>9.8731252111203602</v>
      </c>
      <c r="W175" s="2583">
        <f t="shared" ref="W175:AA177" ca="1" si="292">V175</f>
        <v>9.8731252111203602</v>
      </c>
      <c r="X175" s="2583">
        <f t="shared" ca="1" si="292"/>
        <v>9.8731252111203602</v>
      </c>
      <c r="Y175" s="2583">
        <f t="shared" ca="1" si="292"/>
        <v>9.8731252111203602</v>
      </c>
      <c r="Z175" s="2583">
        <f t="shared" ca="1" si="292"/>
        <v>9.8731252111203602</v>
      </c>
      <c r="AA175" s="2580">
        <f t="shared" ca="1" si="292"/>
        <v>9.8731252111203602</v>
      </c>
      <c r="AC175" s="2549">
        <f t="shared" ref="AC175:AC186" si="293">AC145</f>
        <v>2018</v>
      </c>
      <c r="AD175" s="2583">
        <f ca="1">'Inv. start'!B150</f>
        <v>9.8731252111203602</v>
      </c>
      <c r="AE175" s="2583">
        <f t="shared" ref="AE175:AJ176" ca="1" si="294">AD175</f>
        <v>9.8731252111203602</v>
      </c>
      <c r="AF175" s="2583">
        <f t="shared" ca="1" si="294"/>
        <v>9.8731252111203602</v>
      </c>
      <c r="AG175" s="2583">
        <f t="shared" ca="1" si="294"/>
        <v>9.8731252111203602</v>
      </c>
      <c r="AH175" s="2583">
        <f t="shared" ca="1" si="294"/>
        <v>9.8731252111203602</v>
      </c>
      <c r="AI175" s="2583">
        <f t="shared" ca="1" si="294"/>
        <v>9.8731252111203602</v>
      </c>
      <c r="AJ175" s="2580">
        <f t="shared" ca="1" si="294"/>
        <v>9.8731252111203602</v>
      </c>
      <c r="AL175" s="2549">
        <f>AL145</f>
        <v>2018</v>
      </c>
      <c r="AM175" s="2583">
        <f ca="1">'Inv. start'!B151</f>
        <v>10.427864079056244</v>
      </c>
      <c r="AN175" s="2583">
        <f ca="1">'Inv. start'!C151</f>
        <v>10.427864079056244</v>
      </c>
      <c r="AO175" s="2583">
        <f ca="1">'Inv. start'!D151</f>
        <v>10.427864079056244</v>
      </c>
      <c r="AP175" s="2583">
        <f ca="1">'Inv. start'!E151</f>
        <v>10.427864079056244</v>
      </c>
      <c r="AQ175" s="2583">
        <f t="shared" ref="AQ175:AS176" ca="1" si="295">AP175</f>
        <v>10.427864079056244</v>
      </c>
      <c r="AR175" s="2583">
        <f t="shared" ca="1" si="295"/>
        <v>10.427864079056244</v>
      </c>
      <c r="AS175" s="2580">
        <f t="shared" ca="1" si="295"/>
        <v>10.427864079056244</v>
      </c>
    </row>
    <row r="176" spans="2:45">
      <c r="B176" s="2549">
        <f t="shared" ref="B176:B186" si="296">B146</f>
        <v>2019</v>
      </c>
      <c r="C176" s="2583">
        <f ca="1">C146+C91</f>
        <v>8.7103770536430467</v>
      </c>
      <c r="D176" s="2583">
        <f t="shared" ca="1" si="290"/>
        <v>8.7103770536430467</v>
      </c>
      <c r="E176" s="2583">
        <f t="shared" ca="1" si="290"/>
        <v>8.7103770536430467</v>
      </c>
      <c r="F176" s="2583">
        <f t="shared" ca="1" si="290"/>
        <v>8.7103770536430467</v>
      </c>
      <c r="G176" s="2583">
        <f t="shared" ca="1" si="290"/>
        <v>8.7103770536430467</v>
      </c>
      <c r="H176" s="2583">
        <f t="shared" ca="1" si="290"/>
        <v>8.7103770536430467</v>
      </c>
      <c r="I176" s="2580">
        <f t="shared" ca="1" si="290"/>
        <v>8.7103770536430467</v>
      </c>
      <c r="K176" s="2549">
        <f t="shared" ref="K176:K186" si="297">K146</f>
        <v>2019</v>
      </c>
      <c r="L176" s="2583">
        <f t="shared" ref="L176:R186" ca="1" si="298">L146+L91</f>
        <v>6.8319268345058832</v>
      </c>
      <c r="M176" s="2583">
        <f t="shared" ca="1" si="298"/>
        <v>6.8319268345058832</v>
      </c>
      <c r="N176" s="2583">
        <f t="shared" ca="1" si="298"/>
        <v>6.8319268345058832</v>
      </c>
      <c r="O176" s="2583">
        <f t="shared" ca="1" si="298"/>
        <v>6.8319268345058832</v>
      </c>
      <c r="P176" s="2583">
        <f t="shared" ca="1" si="298"/>
        <v>6.8319268345058832</v>
      </c>
      <c r="Q176" s="2583">
        <f t="shared" ca="1" si="298"/>
        <v>6.8319268345058832</v>
      </c>
      <c r="R176" s="2580">
        <f t="shared" ca="1" si="298"/>
        <v>6.8319268345058832</v>
      </c>
      <c r="T176" s="2549">
        <f>T146</f>
        <v>2019</v>
      </c>
      <c r="U176" s="2599">
        <f ca="1">U146+U91+U63</f>
        <v>10.405873785854075</v>
      </c>
      <c r="V176" s="2583">
        <f ca="1">V146+V91+V63</f>
        <v>10.405873785854075</v>
      </c>
      <c r="W176" s="2583">
        <f t="shared" ref="U176:W178" ca="1" si="299">W146+W91+W63</f>
        <v>10.405873785854075</v>
      </c>
      <c r="X176" s="2583">
        <f ca="1">W176</f>
        <v>10.405873785854075</v>
      </c>
      <c r="Y176" s="2583">
        <f t="shared" ca="1" si="292"/>
        <v>10.405873785854075</v>
      </c>
      <c r="Z176" s="2583">
        <f t="shared" ca="1" si="292"/>
        <v>10.405873785854075</v>
      </c>
      <c r="AA176" s="2580">
        <f t="shared" ca="1" si="292"/>
        <v>10.405873785854075</v>
      </c>
      <c r="AC176" s="2549">
        <f t="shared" si="293"/>
        <v>2019</v>
      </c>
      <c r="AD176" s="2583">
        <f ca="1">AD175</f>
        <v>9.8731252111203602</v>
      </c>
      <c r="AE176" s="2583">
        <f t="shared" ca="1" si="294"/>
        <v>9.8731252111203602</v>
      </c>
      <c r="AF176" s="2583">
        <f t="shared" ca="1" si="294"/>
        <v>9.8731252111203602</v>
      </c>
      <c r="AG176" s="2583">
        <f t="shared" ca="1" si="294"/>
        <v>9.8731252111203602</v>
      </c>
      <c r="AH176" s="2583">
        <f t="shared" ca="1" si="294"/>
        <v>9.8731252111203602</v>
      </c>
      <c r="AI176" s="2583">
        <f t="shared" ca="1" si="294"/>
        <v>9.8731252111203602</v>
      </c>
      <c r="AJ176" s="2580">
        <f t="shared" ca="1" si="294"/>
        <v>9.8731252111203602</v>
      </c>
      <c r="AL176" s="2549">
        <v>2019</v>
      </c>
      <c r="AM176" s="2583">
        <f ca="1">'Inv. start'!D151</f>
        <v>10.427864079056244</v>
      </c>
      <c r="AN176" s="2583">
        <f ca="1">AM176</f>
        <v>10.427864079056244</v>
      </c>
      <c r="AO176" s="2583">
        <f ca="1">AN176</f>
        <v>10.427864079056244</v>
      </c>
      <c r="AP176" s="2583">
        <f ca="1">AO176</f>
        <v>10.427864079056244</v>
      </c>
      <c r="AQ176" s="2583">
        <f t="shared" ca="1" si="295"/>
        <v>10.427864079056244</v>
      </c>
      <c r="AR176" s="2583">
        <f t="shared" ca="1" si="295"/>
        <v>10.427864079056244</v>
      </c>
      <c r="AS176" s="2580">
        <f t="shared" ca="1" si="295"/>
        <v>10.427864079056244</v>
      </c>
    </row>
    <row r="177" spans="2:45">
      <c r="B177" s="2549">
        <f t="shared" si="296"/>
        <v>2020</v>
      </c>
      <c r="C177" s="2583">
        <f t="shared" ref="C177:C186" ca="1" si="300">C147+C92</f>
        <v>8.7103770536430467</v>
      </c>
      <c r="D177" s="2583">
        <f t="shared" ref="D177:I179" ca="1" si="301">D147+D91</f>
        <v>8.7103770536430467</v>
      </c>
      <c r="E177" s="2583">
        <f t="shared" ca="1" si="301"/>
        <v>8.7103770536430467</v>
      </c>
      <c r="F177" s="2583">
        <f t="shared" ca="1" si="301"/>
        <v>8.7103770536430467</v>
      </c>
      <c r="G177" s="2583">
        <f t="shared" ca="1" si="301"/>
        <v>8.7103770536430467</v>
      </c>
      <c r="H177" s="2583">
        <f t="shared" ca="1" si="301"/>
        <v>8.7103770536430467</v>
      </c>
      <c r="I177" s="2580">
        <f t="shared" ca="1" si="301"/>
        <v>8.7103770536430467</v>
      </c>
      <c r="K177" s="2549">
        <f t="shared" si="297"/>
        <v>2020</v>
      </c>
      <c r="L177" s="2583">
        <f t="shared" ca="1" si="298"/>
        <v>6.8319268345058832</v>
      </c>
      <c r="M177" s="2583">
        <f t="shared" ca="1" si="298"/>
        <v>6.8319268345058832</v>
      </c>
      <c r="N177" s="2583">
        <f t="shared" ca="1" si="298"/>
        <v>6.8319268345058832</v>
      </c>
      <c r="O177" s="2583">
        <f t="shared" ca="1" si="298"/>
        <v>6.8319268345058832</v>
      </c>
      <c r="P177" s="2583">
        <f t="shared" ca="1" si="298"/>
        <v>6.8319268345058832</v>
      </c>
      <c r="Q177" s="2583">
        <f t="shared" ca="1" si="298"/>
        <v>6.8319268345058832</v>
      </c>
      <c r="R177" s="2580">
        <f t="shared" ref="R177:R186" ca="1" si="302">R147+R92</f>
        <v>6.8319268345058832</v>
      </c>
      <c r="T177" s="2549">
        <f>T147</f>
        <v>2020</v>
      </c>
      <c r="U177" s="2583">
        <f t="shared" ca="1" si="299"/>
        <v>10.405873785854075</v>
      </c>
      <c r="V177" s="2583">
        <f t="shared" ca="1" si="299"/>
        <v>10.405873785854075</v>
      </c>
      <c r="W177" s="2583">
        <f t="shared" ca="1" si="299"/>
        <v>10.405873785854075</v>
      </c>
      <c r="X177" s="2583">
        <f ca="1">W177</f>
        <v>10.405873785854075</v>
      </c>
      <c r="Y177" s="2583">
        <f t="shared" ca="1" si="292"/>
        <v>10.405873785854075</v>
      </c>
      <c r="Z177" s="2583">
        <f t="shared" ca="1" si="292"/>
        <v>10.405873785854075</v>
      </c>
      <c r="AA177" s="2580">
        <f t="shared" ca="1" si="292"/>
        <v>10.405873785854075</v>
      </c>
      <c r="AC177" s="2549">
        <f t="shared" si="293"/>
        <v>2020</v>
      </c>
      <c r="AD177" s="2583">
        <f ca="1">AD147+AD92+AD64</f>
        <v>10.576717016238836</v>
      </c>
      <c r="AE177" s="2583">
        <f ca="1">AE147+AE92+AE64</f>
        <v>10.576717016238836</v>
      </c>
      <c r="AF177" s="2583">
        <f t="shared" ref="AD177:AJ186" ca="1" si="303">AF147+AF92+AF64</f>
        <v>10.576717016238836</v>
      </c>
      <c r="AG177" s="2583">
        <f t="shared" ca="1" si="303"/>
        <v>10.576717016238836</v>
      </c>
      <c r="AH177" s="2583">
        <f t="shared" ca="1" si="303"/>
        <v>10.576717016238836</v>
      </c>
      <c r="AI177" s="2583">
        <f t="shared" ca="1" si="303"/>
        <v>10.576717016238836</v>
      </c>
      <c r="AJ177" s="2580">
        <f t="shared" ca="1" si="303"/>
        <v>10.576717016238836</v>
      </c>
      <c r="AL177" s="2549">
        <f t="shared" ref="AL177:AL186" si="304">AL147</f>
        <v>2020</v>
      </c>
      <c r="AM177" s="2583">
        <f t="shared" ref="AM177:AS186" ca="1" si="305">AM147+AM92+AM64</f>
        <v>6.8319268345058823</v>
      </c>
      <c r="AN177" s="2583">
        <f t="shared" ca="1" si="305"/>
        <v>6.8319268345058823</v>
      </c>
      <c r="AO177" s="2583">
        <f t="shared" ca="1" si="305"/>
        <v>6.8319268345058823</v>
      </c>
      <c r="AP177" s="2583">
        <f t="shared" ca="1" si="305"/>
        <v>6.8319268345058823</v>
      </c>
      <c r="AQ177" s="2583">
        <f t="shared" ca="1" si="305"/>
        <v>6.8319268345058823</v>
      </c>
      <c r="AR177" s="2583">
        <f t="shared" ca="1" si="305"/>
        <v>6.8319268345058823</v>
      </c>
      <c r="AS177" s="2580">
        <f t="shared" ca="1" si="305"/>
        <v>6.8319268345058823</v>
      </c>
    </row>
    <row r="178" spans="2:45">
      <c r="B178" s="2549">
        <f t="shared" si="296"/>
        <v>2021</v>
      </c>
      <c r="C178" s="2583">
        <f ca="1">'Inv. start'!E147</f>
        <v>8.7103770536430467</v>
      </c>
      <c r="D178" s="2583">
        <f t="shared" ref="D178:I178" ca="1" si="306">C178</f>
        <v>8.7103770536430467</v>
      </c>
      <c r="E178" s="2583">
        <f t="shared" ca="1" si="306"/>
        <v>8.7103770536430467</v>
      </c>
      <c r="F178" s="2583">
        <f t="shared" ca="1" si="306"/>
        <v>8.7103770536430467</v>
      </c>
      <c r="G178" s="2583">
        <f t="shared" ca="1" si="306"/>
        <v>8.7103770536430467</v>
      </c>
      <c r="H178" s="2583">
        <f t="shared" ca="1" si="306"/>
        <v>8.7103770536430467</v>
      </c>
      <c r="I178" s="2580">
        <f t="shared" ca="1" si="306"/>
        <v>8.7103770536430467</v>
      </c>
      <c r="K178" s="2549">
        <f t="shared" si="297"/>
        <v>2021</v>
      </c>
      <c r="L178" s="2583">
        <f ca="1">L148+L93</f>
        <v>8.739259767019611</v>
      </c>
      <c r="M178" s="2583">
        <f t="shared" ca="1" si="298"/>
        <v>6.8319268345058832</v>
      </c>
      <c r="N178" s="2583">
        <f t="shared" ca="1" si="298"/>
        <v>6.8319268345058832</v>
      </c>
      <c r="O178" s="2583">
        <f t="shared" ca="1" si="298"/>
        <v>6.8319268345058832</v>
      </c>
      <c r="P178" s="2583">
        <f t="shared" ca="1" si="298"/>
        <v>6.8319268345058832</v>
      </c>
      <c r="Q178" s="2583">
        <f t="shared" ref="Q178:Q186" ca="1" si="307">Q148+Q93</f>
        <v>6.8319268345058832</v>
      </c>
      <c r="R178" s="2580">
        <f t="shared" ca="1" si="302"/>
        <v>6.8319268345058832</v>
      </c>
      <c r="T178" s="2549">
        <f>T148</f>
        <v>2021</v>
      </c>
      <c r="U178" s="2583">
        <f t="shared" ca="1" si="299"/>
        <v>6.8319268345058823</v>
      </c>
      <c r="V178" s="2583">
        <f ca="1">V148+V93+V65</f>
        <v>6.8319268345058823</v>
      </c>
      <c r="W178" s="2583">
        <f t="shared" ca="1" si="299"/>
        <v>6.8319268345058823</v>
      </c>
      <c r="X178" s="2583">
        <f ca="1">X148+X93+X65</f>
        <v>6.8319268345058823</v>
      </c>
      <c r="Y178" s="2583">
        <f ca="1">Y148+Y93+Y65</f>
        <v>6.8319268345058823</v>
      </c>
      <c r="Z178" s="2583">
        <f ca="1">Z148+Z93+Z65</f>
        <v>6.8319268345058823</v>
      </c>
      <c r="AA178" s="2580">
        <f ca="1">AA148+AA93+AA65</f>
        <v>6.8319268345058823</v>
      </c>
      <c r="AC178" s="2549">
        <f t="shared" si="293"/>
        <v>2021</v>
      </c>
      <c r="AD178" s="2583">
        <f ca="1">AD148+AD93+AD65</f>
        <v>10.576717016238836</v>
      </c>
      <c r="AE178" s="2583">
        <f ca="1">AE148+AE93+AE65</f>
        <v>10.576717016238836</v>
      </c>
      <c r="AF178" s="2583">
        <f t="shared" ca="1" si="303"/>
        <v>10.576717016238836</v>
      </c>
      <c r="AG178" s="2583">
        <f t="shared" ca="1" si="303"/>
        <v>10.576717016238836</v>
      </c>
      <c r="AH178" s="2583">
        <f ca="1">AH148+AH93+AH65</f>
        <v>10.576717016238836</v>
      </c>
      <c r="AI178" s="2583">
        <f t="shared" ca="1" si="303"/>
        <v>10.576717016238836</v>
      </c>
      <c r="AJ178" s="2580">
        <f t="shared" ca="1" si="303"/>
        <v>10.576717016238836</v>
      </c>
      <c r="AL178" s="2549">
        <f t="shared" si="304"/>
        <v>2021</v>
      </c>
      <c r="AM178" s="2583">
        <f t="shared" ca="1" si="305"/>
        <v>9.2939986349554928</v>
      </c>
      <c r="AN178" s="2583">
        <f t="shared" ca="1" si="305"/>
        <v>9.2939986349554928</v>
      </c>
      <c r="AO178" s="2583">
        <f t="shared" ca="1" si="305"/>
        <v>9.2939986349554928</v>
      </c>
      <c r="AP178" s="2583">
        <f t="shared" ca="1" si="305"/>
        <v>9.2939986349554928</v>
      </c>
      <c r="AQ178" s="2583">
        <f t="shared" ca="1" si="305"/>
        <v>9.2939986349554928</v>
      </c>
      <c r="AR178" s="2583">
        <f t="shared" ca="1" si="305"/>
        <v>9.2939986349554928</v>
      </c>
      <c r="AS178" s="2580">
        <f t="shared" ca="1" si="305"/>
        <v>9.2939986349554928</v>
      </c>
    </row>
    <row r="179" spans="2:45">
      <c r="B179" s="2549">
        <f t="shared" si="296"/>
        <v>2022</v>
      </c>
      <c r="C179" s="2583">
        <f ca="1">C149+C94</f>
        <v>8.7103770536430467</v>
      </c>
      <c r="D179" s="2583">
        <f t="shared" ca="1" si="301"/>
        <v>8.7103770536430467</v>
      </c>
      <c r="E179" s="2583">
        <f t="shared" ca="1" si="301"/>
        <v>8.7103770536430467</v>
      </c>
      <c r="F179" s="2583">
        <f t="shared" ca="1" si="301"/>
        <v>8.7103770536430467</v>
      </c>
      <c r="G179" s="2583">
        <f t="shared" ca="1" si="301"/>
        <v>8.7103770536430467</v>
      </c>
      <c r="H179" s="2583">
        <f t="shared" ca="1" si="301"/>
        <v>8.7103770536430467</v>
      </c>
      <c r="I179" s="2580">
        <f t="shared" ca="1" si="301"/>
        <v>8.7103770536430467</v>
      </c>
      <c r="K179" s="2549">
        <f t="shared" si="297"/>
        <v>2022</v>
      </c>
      <c r="L179" s="2583">
        <f t="shared" ca="1" si="298"/>
        <v>6.8319268345058832</v>
      </c>
      <c r="M179" s="2583">
        <f t="shared" ca="1" si="298"/>
        <v>6.8319268345058832</v>
      </c>
      <c r="N179" s="2583">
        <f t="shared" ca="1" si="298"/>
        <v>6.8319268345058832</v>
      </c>
      <c r="O179" s="2583">
        <f t="shared" ca="1" si="298"/>
        <v>6.8319268345058832</v>
      </c>
      <c r="P179" s="2583">
        <f t="shared" ca="1" si="298"/>
        <v>6.8319268345058832</v>
      </c>
      <c r="Q179" s="2583">
        <f t="shared" ca="1" si="307"/>
        <v>6.8319268345058832</v>
      </c>
      <c r="R179" s="2580">
        <f t="shared" ca="1" si="302"/>
        <v>6.8319268345058832</v>
      </c>
      <c r="T179" s="2549">
        <v>2022</v>
      </c>
      <c r="U179" s="2583">
        <f t="shared" ref="U179:AA179" ca="1" si="308">U149+U94+U66</f>
        <v>6.8319268345058823</v>
      </c>
      <c r="V179" s="2583">
        <f t="shared" ca="1" si="308"/>
        <v>6.8319268345058823</v>
      </c>
      <c r="W179" s="2583">
        <f t="shared" ca="1" si="308"/>
        <v>6.8319268345058823</v>
      </c>
      <c r="X179" s="2583">
        <f t="shared" ca="1" si="308"/>
        <v>6.8319268345058823</v>
      </c>
      <c r="Y179" s="2583">
        <f t="shared" ca="1" si="308"/>
        <v>6.8319268345058823</v>
      </c>
      <c r="Z179" s="2583">
        <f t="shared" ca="1" si="308"/>
        <v>6.8319268345058823</v>
      </c>
      <c r="AA179" s="2580">
        <f t="shared" ca="1" si="308"/>
        <v>6.8319268345058823</v>
      </c>
      <c r="AC179" s="2549">
        <f t="shared" si="293"/>
        <v>2022</v>
      </c>
      <c r="AD179" s="2583">
        <f t="shared" ca="1" si="303"/>
        <v>6.8319268345058823</v>
      </c>
      <c r="AE179" s="2583">
        <f t="shared" ca="1" si="303"/>
        <v>6.8319268345058823</v>
      </c>
      <c r="AF179" s="2583">
        <f t="shared" ca="1" si="303"/>
        <v>6.8319268345058823</v>
      </c>
      <c r="AG179" s="2583">
        <f t="shared" ca="1" si="303"/>
        <v>6.8319268345058823</v>
      </c>
      <c r="AH179" s="2583">
        <f t="shared" ref="AH179:AH186" ca="1" si="309">AH149+AH94+AH66</f>
        <v>6.8319268345058823</v>
      </c>
      <c r="AI179" s="2583">
        <f t="shared" ref="AI179:AJ186" ca="1" si="310">AI149+AI94+AI66</f>
        <v>6.8319268345058823</v>
      </c>
      <c r="AJ179" s="2580">
        <f t="shared" ca="1" si="310"/>
        <v>6.8319268345058823</v>
      </c>
      <c r="AL179" s="2549">
        <f t="shared" si="304"/>
        <v>2022</v>
      </c>
      <c r="AM179" s="2583">
        <f t="shared" ca="1" si="305"/>
        <v>9.2939986349554928</v>
      </c>
      <c r="AN179" s="2583">
        <f t="shared" ca="1" si="305"/>
        <v>9.2939986349554928</v>
      </c>
      <c r="AO179" s="2583">
        <f t="shared" ca="1" si="305"/>
        <v>9.2939986349554928</v>
      </c>
      <c r="AP179" s="2583">
        <f t="shared" ca="1" si="305"/>
        <v>9.2939986349554928</v>
      </c>
      <c r="AQ179" s="2583">
        <f t="shared" ca="1" si="305"/>
        <v>9.2939986349554928</v>
      </c>
      <c r="AR179" s="2583">
        <f t="shared" ca="1" si="305"/>
        <v>9.2939986349554928</v>
      </c>
      <c r="AS179" s="2580">
        <f t="shared" ca="1" si="305"/>
        <v>9.2939986349554928</v>
      </c>
    </row>
    <row r="180" spans="2:45">
      <c r="B180" s="2549">
        <f t="shared" si="296"/>
        <v>2023</v>
      </c>
      <c r="C180" s="2583">
        <f t="shared" ca="1" si="300"/>
        <v>8.8100934300169644</v>
      </c>
      <c r="D180" s="2583">
        <f ca="1">D150+D95</f>
        <v>8.8100934300169644</v>
      </c>
      <c r="E180" s="2583">
        <f t="shared" ref="D180:I186" ca="1" si="311">E150+E95</f>
        <v>8.8100934300169644</v>
      </c>
      <c r="F180" s="2583">
        <f t="shared" ca="1" si="311"/>
        <v>8.8100934300169644</v>
      </c>
      <c r="G180" s="2583">
        <f t="shared" ca="1" si="311"/>
        <v>8.8100934300169644</v>
      </c>
      <c r="H180" s="2583">
        <f t="shared" ca="1" si="311"/>
        <v>8.8100934300169644</v>
      </c>
      <c r="I180" s="2580">
        <f t="shared" ca="1" si="311"/>
        <v>8.8100934300169644</v>
      </c>
      <c r="K180" s="2549">
        <f t="shared" si="297"/>
        <v>2023</v>
      </c>
      <c r="L180" s="2583">
        <f t="shared" ca="1" si="298"/>
        <v>6.8319268345058832</v>
      </c>
      <c r="M180" s="2583">
        <f ca="1">M150+M95</f>
        <v>6.8319268345058832</v>
      </c>
      <c r="N180" s="2583">
        <f t="shared" ca="1" si="298"/>
        <v>6.8319268345058832</v>
      </c>
      <c r="O180" s="2583">
        <f t="shared" ca="1" si="298"/>
        <v>6.8319268345058832</v>
      </c>
      <c r="P180" s="2583">
        <f t="shared" ca="1" si="298"/>
        <v>6.8319268345058832</v>
      </c>
      <c r="Q180" s="2583">
        <f t="shared" ca="1" si="307"/>
        <v>6.8319268345058832</v>
      </c>
      <c r="R180" s="2580">
        <f t="shared" ca="1" si="302"/>
        <v>6.8319268345058832</v>
      </c>
      <c r="T180" s="2549">
        <f t="shared" ref="T180:T186" si="312">T150</f>
        <v>2023</v>
      </c>
      <c r="U180" s="2583">
        <f t="shared" ref="U180:AA180" ca="1" si="313">U150+U95+U67</f>
        <v>6.8319268345058823</v>
      </c>
      <c r="V180" s="2583">
        <f t="shared" ca="1" si="313"/>
        <v>6.8319268345058823</v>
      </c>
      <c r="W180" s="2583">
        <f ca="1">W150+W95+W67</f>
        <v>6.8319268345058823</v>
      </c>
      <c r="X180" s="2583">
        <f t="shared" ca="1" si="313"/>
        <v>6.8319268345058823</v>
      </c>
      <c r="Y180" s="2583">
        <f t="shared" ca="1" si="313"/>
        <v>6.8319268345058823</v>
      </c>
      <c r="Z180" s="2583">
        <f t="shared" ca="1" si="313"/>
        <v>6.8319268345058823</v>
      </c>
      <c r="AA180" s="2580">
        <f t="shared" ca="1" si="313"/>
        <v>6.8319268345058823</v>
      </c>
      <c r="AC180" s="2549">
        <f t="shared" si="293"/>
        <v>2023</v>
      </c>
      <c r="AD180" s="2583">
        <f t="shared" ca="1" si="303"/>
        <v>10.688334035692579</v>
      </c>
      <c r="AE180" s="2583">
        <f t="shared" ca="1" si="303"/>
        <v>10.688334035692579</v>
      </c>
      <c r="AF180" s="2583">
        <f t="shared" ca="1" si="303"/>
        <v>10.688334035692579</v>
      </c>
      <c r="AG180" s="2583">
        <f t="shared" ca="1" si="303"/>
        <v>10.688334035692579</v>
      </c>
      <c r="AH180" s="2583">
        <f t="shared" ca="1" si="309"/>
        <v>10.688334035692579</v>
      </c>
      <c r="AI180" s="2583">
        <f t="shared" ca="1" si="310"/>
        <v>10.688334035692579</v>
      </c>
      <c r="AJ180" s="2580">
        <f t="shared" ca="1" si="310"/>
        <v>10.688334035692579</v>
      </c>
      <c r="AL180" s="2549">
        <f t="shared" si="304"/>
        <v>2023</v>
      </c>
      <c r="AM180" s="2583">
        <f t="shared" ca="1" si="305"/>
        <v>11.544104127242187</v>
      </c>
      <c r="AN180" s="2583">
        <f t="shared" ca="1" si="305"/>
        <v>11.544104127242187</v>
      </c>
      <c r="AO180" s="2583">
        <f t="shared" ca="1" si="305"/>
        <v>11.544104127242187</v>
      </c>
      <c r="AP180" s="2583">
        <f t="shared" ca="1" si="305"/>
        <v>11.544104127242187</v>
      </c>
      <c r="AQ180" s="2583">
        <f t="shared" ca="1" si="305"/>
        <v>11.544104127242187</v>
      </c>
      <c r="AR180" s="2583">
        <f t="shared" ca="1" si="305"/>
        <v>11.544104127242187</v>
      </c>
      <c r="AS180" s="2580">
        <f t="shared" ca="1" si="305"/>
        <v>11.544104127242187</v>
      </c>
    </row>
    <row r="181" spans="2:45">
      <c r="B181" s="2549">
        <f t="shared" si="296"/>
        <v>2024</v>
      </c>
      <c r="C181" s="2583">
        <f t="shared" ca="1" si="300"/>
        <v>7.7594010833985561</v>
      </c>
      <c r="D181" s="2583">
        <f t="shared" ca="1" si="311"/>
        <v>7.7594010833985561</v>
      </c>
      <c r="E181" s="2583">
        <f t="shared" ca="1" si="311"/>
        <v>7.7594010833985561</v>
      </c>
      <c r="F181" s="2583">
        <f t="shared" ca="1" si="311"/>
        <v>7.7594010833985561</v>
      </c>
      <c r="G181" s="2583">
        <f t="shared" ca="1" si="311"/>
        <v>7.7594010833985561</v>
      </c>
      <c r="H181" s="2583">
        <f t="shared" ca="1" si="311"/>
        <v>7.7594010833985561</v>
      </c>
      <c r="I181" s="2580">
        <f t="shared" ca="1" si="311"/>
        <v>7.7594010833985561</v>
      </c>
      <c r="K181" s="2549">
        <f t="shared" si="297"/>
        <v>2024</v>
      </c>
      <c r="L181" s="2583">
        <f t="shared" ca="1" si="298"/>
        <v>5.7497670426344714</v>
      </c>
      <c r="M181" s="2583">
        <f t="shared" ca="1" si="298"/>
        <v>5.7497670426344714</v>
      </c>
      <c r="N181" s="2583">
        <f t="shared" ca="1" si="298"/>
        <v>5.7497670426344714</v>
      </c>
      <c r="O181" s="2583">
        <f t="shared" ca="1" si="298"/>
        <v>5.7497670426344714</v>
      </c>
      <c r="P181" s="2583">
        <f t="shared" ca="1" si="298"/>
        <v>5.7497670426344714</v>
      </c>
      <c r="Q181" s="2583">
        <f t="shared" ca="1" si="307"/>
        <v>5.7497670426344714</v>
      </c>
      <c r="R181" s="2580">
        <f t="shared" ca="1" si="302"/>
        <v>5.7497670426344714</v>
      </c>
      <c r="T181" s="2549">
        <f t="shared" si="312"/>
        <v>2024</v>
      </c>
      <c r="U181" s="2583">
        <f t="shared" ref="U181:AA181" ca="1" si="314">U151+U96+U68</f>
        <v>5.7497670426344705</v>
      </c>
      <c r="V181" s="2583">
        <f t="shared" ca="1" si="314"/>
        <v>5.7497670426344705</v>
      </c>
      <c r="W181" s="2583">
        <f t="shared" ca="1" si="314"/>
        <v>5.7497670426344705</v>
      </c>
      <c r="X181" s="2583">
        <f t="shared" ca="1" si="314"/>
        <v>5.7497670426344705</v>
      </c>
      <c r="Y181" s="2583">
        <f t="shared" ca="1" si="314"/>
        <v>5.7497670426344705</v>
      </c>
      <c r="Z181" s="2583">
        <f t="shared" ca="1" si="314"/>
        <v>5.7497670426344705</v>
      </c>
      <c r="AA181" s="2580">
        <f t="shared" ca="1" si="314"/>
        <v>5.7497670426344705</v>
      </c>
      <c r="AC181" s="2549">
        <f t="shared" si="293"/>
        <v>2024</v>
      </c>
      <c r="AD181" s="2583">
        <f t="shared" ca="1" si="303"/>
        <v>10.348815620760602</v>
      </c>
      <c r="AE181" s="2583">
        <f t="shared" ca="1" si="303"/>
        <v>10.348815620760602</v>
      </c>
      <c r="AF181" s="2583">
        <f t="shared" ca="1" si="303"/>
        <v>10.348815620760602</v>
      </c>
      <c r="AG181" s="2583">
        <f t="shared" ca="1" si="303"/>
        <v>10.348815620760602</v>
      </c>
      <c r="AH181" s="2583">
        <f t="shared" ca="1" si="309"/>
        <v>10.348815620760602</v>
      </c>
      <c r="AI181" s="2583">
        <f t="shared" ca="1" si="310"/>
        <v>10.348815620760602</v>
      </c>
      <c r="AJ181" s="2580">
        <f t="shared" ca="1" si="310"/>
        <v>10.348815620760602</v>
      </c>
      <c r="AL181" s="2549">
        <f t="shared" si="304"/>
        <v>2024</v>
      </c>
      <c r="AM181" s="2583">
        <f t="shared" ca="1" si="305"/>
        <v>11.21373911844071</v>
      </c>
      <c r="AN181" s="2583">
        <f t="shared" ca="1" si="305"/>
        <v>11.21373911844071</v>
      </c>
      <c r="AO181" s="2583">
        <f t="shared" ca="1" si="305"/>
        <v>11.21373911844071</v>
      </c>
      <c r="AP181" s="2583">
        <f t="shared" ca="1" si="305"/>
        <v>11.21373911844071</v>
      </c>
      <c r="AQ181" s="2583">
        <f t="shared" ca="1" si="305"/>
        <v>11.21373911844071</v>
      </c>
      <c r="AR181" s="2583">
        <f t="shared" ca="1" si="305"/>
        <v>11.21373911844071</v>
      </c>
      <c r="AS181" s="2580">
        <f t="shared" ca="1" si="305"/>
        <v>11.21373911844071</v>
      </c>
    </row>
    <row r="182" spans="2:45">
      <c r="B182" s="2549">
        <f t="shared" si="296"/>
        <v>2025</v>
      </c>
      <c r="C182" s="2583">
        <f t="shared" ca="1" si="300"/>
        <v>7.5483168187950405</v>
      </c>
      <c r="D182" s="2583">
        <f t="shared" ca="1" si="311"/>
        <v>7.5483168187950405</v>
      </c>
      <c r="E182" s="2583">
        <f t="shared" ca="1" si="311"/>
        <v>7.5483168187950405</v>
      </c>
      <c r="F182" s="2583">
        <f t="shared" ca="1" si="311"/>
        <v>7.5483168187950405</v>
      </c>
      <c r="G182" s="2583">
        <f t="shared" ca="1" si="311"/>
        <v>7.5483168187950405</v>
      </c>
      <c r="H182" s="2583">
        <f t="shared" ca="1" si="311"/>
        <v>7.5483168187950405</v>
      </c>
      <c r="I182" s="2580">
        <f t="shared" ca="1" si="311"/>
        <v>7.5483168187950405</v>
      </c>
      <c r="K182" s="2549">
        <f t="shared" si="297"/>
        <v>2025</v>
      </c>
      <c r="L182" s="2583">
        <f t="shared" ca="1" si="298"/>
        <v>5.4970070342265718</v>
      </c>
      <c r="M182" s="2583">
        <f t="shared" ca="1" si="298"/>
        <v>5.4970070342265718</v>
      </c>
      <c r="N182" s="2583">
        <f t="shared" ca="1" si="298"/>
        <v>5.4970070342265718</v>
      </c>
      <c r="O182" s="2583">
        <f t="shared" ca="1" si="298"/>
        <v>5.4970070342265718</v>
      </c>
      <c r="P182" s="2583">
        <f t="shared" ca="1" si="298"/>
        <v>5.4970070342265718</v>
      </c>
      <c r="Q182" s="2583">
        <f t="shared" ca="1" si="307"/>
        <v>5.4970070342265718</v>
      </c>
      <c r="R182" s="2580">
        <f t="shared" ca="1" si="302"/>
        <v>5.4970070342265718</v>
      </c>
      <c r="T182" s="2549">
        <f t="shared" si="312"/>
        <v>2025</v>
      </c>
      <c r="U182" s="2583">
        <f t="shared" ref="U182:AA182" ca="1" si="315">U152+U97+U69</f>
        <v>5.4970070342265709</v>
      </c>
      <c r="V182" s="2583">
        <f t="shared" ca="1" si="315"/>
        <v>5.4970070342265709</v>
      </c>
      <c r="W182" s="2583">
        <f t="shared" ca="1" si="315"/>
        <v>5.4970070342265709</v>
      </c>
      <c r="X182" s="2583">
        <f t="shared" ca="1" si="315"/>
        <v>5.4970070342265709</v>
      </c>
      <c r="Y182" s="2583">
        <f t="shared" ca="1" si="315"/>
        <v>5.4970070342265709</v>
      </c>
      <c r="Z182" s="2583">
        <f t="shared" ca="1" si="315"/>
        <v>5.4970070342265709</v>
      </c>
      <c r="AA182" s="2580">
        <f t="shared" ca="1" si="315"/>
        <v>5.4970070342265709</v>
      </c>
      <c r="AC182" s="2549">
        <f t="shared" si="293"/>
        <v>2025</v>
      </c>
      <c r="AD182" s="2583">
        <f t="shared" ca="1" si="303"/>
        <v>9.8186818468315131</v>
      </c>
      <c r="AE182" s="2583">
        <f t="shared" ca="1" si="303"/>
        <v>9.8186818468315131</v>
      </c>
      <c r="AF182" s="2583">
        <f t="shared" ca="1" si="303"/>
        <v>9.8186818468315131</v>
      </c>
      <c r="AG182" s="2583">
        <f t="shared" ca="1" si="303"/>
        <v>9.8186818468315131</v>
      </c>
      <c r="AH182" s="2583">
        <f t="shared" ca="1" si="309"/>
        <v>9.8186818468315131</v>
      </c>
      <c r="AI182" s="2583">
        <f t="shared" ca="1" si="310"/>
        <v>9.8186818468315131</v>
      </c>
      <c r="AJ182" s="2580">
        <f t="shared" ca="1" si="310"/>
        <v>9.8186818468315131</v>
      </c>
      <c r="AL182" s="2549">
        <f t="shared" si="304"/>
        <v>2025</v>
      </c>
      <c r="AM182" s="2583">
        <f t="shared" ca="1" si="305"/>
        <v>10.70211900536361</v>
      </c>
      <c r="AN182" s="2583">
        <f t="shared" ca="1" si="305"/>
        <v>10.70211900536361</v>
      </c>
      <c r="AO182" s="2583">
        <f t="shared" ca="1" si="305"/>
        <v>10.70211900536361</v>
      </c>
      <c r="AP182" s="2583">
        <f t="shared" ca="1" si="305"/>
        <v>10.70211900536361</v>
      </c>
      <c r="AQ182" s="2583">
        <f t="shared" ca="1" si="305"/>
        <v>10.70211900536361</v>
      </c>
      <c r="AR182" s="2583">
        <f t="shared" ca="1" si="305"/>
        <v>10.70211900536361</v>
      </c>
      <c r="AS182" s="2580">
        <f ca="1">AS152+AS97+AS69</f>
        <v>10.70211900536361</v>
      </c>
    </row>
    <row r="183" spans="2:45">
      <c r="B183" s="2549">
        <f t="shared" si="296"/>
        <v>2026</v>
      </c>
      <c r="C183" s="2583">
        <f t="shared" ca="1" si="300"/>
        <v>7.8586317894929438</v>
      </c>
      <c r="D183" s="2583">
        <f t="shared" ca="1" si="311"/>
        <v>7.8586317894929438</v>
      </c>
      <c r="E183" s="2583">
        <f t="shared" ca="1" si="311"/>
        <v>7.8586317894929438</v>
      </c>
      <c r="F183" s="2583">
        <f t="shared" ca="1" si="311"/>
        <v>7.8586317894929438</v>
      </c>
      <c r="G183" s="2583">
        <f t="shared" ca="1" si="311"/>
        <v>7.8586317894929438</v>
      </c>
      <c r="H183" s="2583">
        <f t="shared" ca="1" si="311"/>
        <v>7.8586317894929438</v>
      </c>
      <c r="I183" s="2580">
        <f t="shared" ca="1" si="311"/>
        <v>7.8586317894929438</v>
      </c>
      <c r="K183" s="2549">
        <f t="shared" si="297"/>
        <v>2026</v>
      </c>
      <c r="L183" s="2583">
        <f t="shared" ca="1" si="298"/>
        <v>5.7669606874332766</v>
      </c>
      <c r="M183" s="2583">
        <f t="shared" ca="1" si="298"/>
        <v>5.7669606874332766</v>
      </c>
      <c r="N183" s="2583">
        <f t="shared" ca="1" si="298"/>
        <v>5.7669606874332766</v>
      </c>
      <c r="O183" s="2583">
        <f t="shared" ca="1" si="298"/>
        <v>5.7669606874332766</v>
      </c>
      <c r="P183" s="2583">
        <f t="shared" ca="1" si="298"/>
        <v>5.7669606874332766</v>
      </c>
      <c r="Q183" s="2583">
        <f t="shared" ca="1" si="307"/>
        <v>5.7669606874332766</v>
      </c>
      <c r="R183" s="2580">
        <f t="shared" ca="1" si="302"/>
        <v>5.7669606874332766</v>
      </c>
      <c r="T183" s="2549">
        <f t="shared" si="312"/>
        <v>2026</v>
      </c>
      <c r="U183" s="2583">
        <f t="shared" ref="U183:AA183" ca="1" si="316">U153+U98+U70</f>
        <v>5.7669606874332766</v>
      </c>
      <c r="V183" s="2583">
        <f t="shared" ca="1" si="316"/>
        <v>5.7669606874332766</v>
      </c>
      <c r="W183" s="2583">
        <f t="shared" ca="1" si="316"/>
        <v>5.7669606874332766</v>
      </c>
      <c r="X183" s="2583">
        <f t="shared" ca="1" si="316"/>
        <v>5.7669606874332766</v>
      </c>
      <c r="Y183" s="2583">
        <f t="shared" ca="1" si="316"/>
        <v>5.7669606874332766</v>
      </c>
      <c r="Z183" s="2583">
        <f t="shared" ca="1" si="316"/>
        <v>5.7669606874332766</v>
      </c>
      <c r="AA183" s="2580">
        <f t="shared" ca="1" si="316"/>
        <v>5.7669606874332766</v>
      </c>
      <c r="AC183" s="2549">
        <f t="shared" si="293"/>
        <v>2026</v>
      </c>
      <c r="AD183" s="2583">
        <f t="shared" ca="1" si="303"/>
        <v>9.8863750741602612</v>
      </c>
      <c r="AE183" s="2583">
        <f t="shared" ca="1" si="303"/>
        <v>9.8863750741602612</v>
      </c>
      <c r="AF183" s="2583">
        <f t="shared" ca="1" si="303"/>
        <v>9.8863750741602612</v>
      </c>
      <c r="AG183" s="2583">
        <f t="shared" ca="1" si="303"/>
        <v>9.8863750741602612</v>
      </c>
      <c r="AH183" s="2583">
        <f t="shared" ca="1" si="309"/>
        <v>9.8863750741602612</v>
      </c>
      <c r="AI183" s="2583">
        <f t="shared" ca="1" si="310"/>
        <v>9.8863750741602612</v>
      </c>
      <c r="AJ183" s="2580">
        <f ca="1">AJ153+AJ98+AJ70</f>
        <v>9.8863750741602612</v>
      </c>
      <c r="AL183" s="2549">
        <f t="shared" si="304"/>
        <v>2026</v>
      </c>
      <c r="AM183" s="2583">
        <f t="shared" ca="1" si="305"/>
        <v>10.787252651605087</v>
      </c>
      <c r="AN183" s="2583">
        <f t="shared" ca="1" si="305"/>
        <v>10.787252651605087</v>
      </c>
      <c r="AO183" s="2583">
        <f t="shared" ca="1" si="305"/>
        <v>10.787252651605087</v>
      </c>
      <c r="AP183" s="2583">
        <f t="shared" ca="1" si="305"/>
        <v>10.787252651605087</v>
      </c>
      <c r="AQ183" s="2583">
        <f t="shared" ca="1" si="305"/>
        <v>10.787252651605087</v>
      </c>
      <c r="AR183" s="2583">
        <f t="shared" ca="1" si="305"/>
        <v>10.787252651605087</v>
      </c>
      <c r="AS183" s="2580">
        <f t="shared" ca="1" si="305"/>
        <v>10.787252651605087</v>
      </c>
    </row>
    <row r="184" spans="2:45">
      <c r="B184" s="2549">
        <f t="shared" si="296"/>
        <v>2027</v>
      </c>
      <c r="C184" s="2583">
        <f t="shared" ca="1" si="300"/>
        <v>8.0288291931595346</v>
      </c>
      <c r="D184" s="2583">
        <f t="shared" ca="1" si="311"/>
        <v>8.0288291931595346</v>
      </c>
      <c r="E184" s="2583">
        <f t="shared" ca="1" si="311"/>
        <v>8.0288291931595346</v>
      </c>
      <c r="F184" s="2583">
        <f t="shared" ca="1" si="311"/>
        <v>8.0288291931595346</v>
      </c>
      <c r="G184" s="2583">
        <f t="shared" ca="1" si="311"/>
        <v>8.0288291931595346</v>
      </c>
      <c r="H184" s="2583">
        <f ca="1">H154+H99</f>
        <v>8.0288291931595346</v>
      </c>
      <c r="I184" s="2580">
        <f ca="1">I154+I99</f>
        <v>8.0288291931595346</v>
      </c>
      <c r="K184" s="2549">
        <f t="shared" si="297"/>
        <v>2027</v>
      </c>
      <c r="L184" s="2583">
        <f t="shared" ca="1" si="298"/>
        <v>5.8954084876945547</v>
      </c>
      <c r="M184" s="2583">
        <f t="shared" ca="1" si="298"/>
        <v>5.8954084876945547</v>
      </c>
      <c r="N184" s="2583">
        <f t="shared" ca="1" si="298"/>
        <v>5.8954084876945547</v>
      </c>
      <c r="O184" s="2583">
        <f t="shared" ca="1" si="298"/>
        <v>5.8954084876945547</v>
      </c>
      <c r="P184" s="2583">
        <f t="shared" ca="1" si="298"/>
        <v>5.8954084876945547</v>
      </c>
      <c r="Q184" s="2583">
        <f t="shared" ca="1" si="307"/>
        <v>5.8954084876945547</v>
      </c>
      <c r="R184" s="2580">
        <f t="shared" ca="1" si="302"/>
        <v>5.8954084876945547</v>
      </c>
      <c r="T184" s="2549">
        <f t="shared" si="312"/>
        <v>2027</v>
      </c>
      <c r="U184" s="2583">
        <f t="shared" ref="U184:Z184" ca="1" si="317">U154+U99+U71</f>
        <v>5.8954084876945547</v>
      </c>
      <c r="V184" s="2583">
        <f t="shared" ca="1" si="317"/>
        <v>5.8954084876945547</v>
      </c>
      <c r="W184" s="2583">
        <f t="shared" ca="1" si="317"/>
        <v>5.8954084876945547</v>
      </c>
      <c r="X184" s="2583">
        <f t="shared" ca="1" si="317"/>
        <v>5.8954084876945547</v>
      </c>
      <c r="Y184" s="2583">
        <f t="shared" ca="1" si="317"/>
        <v>5.8954084876945547</v>
      </c>
      <c r="Z184" s="2583">
        <f t="shared" ca="1" si="317"/>
        <v>5.8954084876945547</v>
      </c>
      <c r="AA184" s="2580">
        <f ca="1">AA154+AA99+AA71</f>
        <v>5.8954084876945547</v>
      </c>
      <c r="AC184" s="2549">
        <f t="shared" si="293"/>
        <v>2027</v>
      </c>
      <c r="AD184" s="2583">
        <f t="shared" ca="1" si="303"/>
        <v>10.915293434931467</v>
      </c>
      <c r="AE184" s="2583">
        <f t="shared" ca="1" si="303"/>
        <v>10.915293434931467</v>
      </c>
      <c r="AF184" s="2583">
        <f t="shared" ca="1" si="303"/>
        <v>10.915293434931467</v>
      </c>
      <c r="AG184" s="2583">
        <f t="shared" ca="1" si="303"/>
        <v>10.915293434931467</v>
      </c>
      <c r="AH184" s="2583">
        <f t="shared" ca="1" si="309"/>
        <v>10.915293434931467</v>
      </c>
      <c r="AI184" s="2583">
        <f t="shared" ca="1" si="310"/>
        <v>10.915293434931467</v>
      </c>
      <c r="AJ184" s="2580">
        <f t="shared" ca="1" si="310"/>
        <v>10.915351549552287</v>
      </c>
      <c r="AL184" s="2549">
        <f t="shared" si="304"/>
        <v>2027</v>
      </c>
      <c r="AM184" s="2583">
        <f t="shared" ca="1" si="305"/>
        <v>11.834188563925192</v>
      </c>
      <c r="AN184" s="2583">
        <f t="shared" ca="1" si="305"/>
        <v>11.834188563925192</v>
      </c>
      <c r="AO184" s="2583">
        <f t="shared" ca="1" si="305"/>
        <v>11.834188563925192</v>
      </c>
      <c r="AP184" s="2583">
        <f t="shared" ca="1" si="305"/>
        <v>11.834188563925192</v>
      </c>
      <c r="AQ184" s="2583">
        <f t="shared" ca="1" si="305"/>
        <v>11.834188563925192</v>
      </c>
      <c r="AR184" s="2583">
        <f t="shared" ca="1" si="305"/>
        <v>11.834188563925192</v>
      </c>
      <c r="AS184" s="2580">
        <f t="shared" ca="1" si="305"/>
        <v>11.834188563925192</v>
      </c>
    </row>
    <row r="185" spans="2:45">
      <c r="B185" s="2549">
        <f t="shared" si="296"/>
        <v>2028</v>
      </c>
      <c r="C185" s="2583">
        <f t="shared" ca="1" si="300"/>
        <v>8.2649217671380288</v>
      </c>
      <c r="D185" s="2583">
        <f t="shared" ca="1" si="311"/>
        <v>8.2649217671380288</v>
      </c>
      <c r="E185" s="2583">
        <f t="shared" ca="1" si="311"/>
        <v>8.2649217671380288</v>
      </c>
      <c r="F185" s="2583">
        <f t="shared" ca="1" si="311"/>
        <v>8.2649217671380288</v>
      </c>
      <c r="G185" s="2583">
        <f t="shared" ca="1" si="311"/>
        <v>8.2649217671380288</v>
      </c>
      <c r="H185" s="2583">
        <f ca="1">H155+H100</f>
        <v>8.2649217671380288</v>
      </c>
      <c r="I185" s="2580">
        <f ca="1">I155+I100</f>
        <v>8.2649217671380288</v>
      </c>
      <c r="K185" s="2549">
        <f t="shared" si="297"/>
        <v>2028</v>
      </c>
      <c r="L185" s="2583">
        <f t="shared" ca="1" si="298"/>
        <v>6.0887274707054306</v>
      </c>
      <c r="M185" s="2583">
        <f t="shared" ca="1" si="298"/>
        <v>6.0887274707054306</v>
      </c>
      <c r="N185" s="2583">
        <f t="shared" ca="1" si="298"/>
        <v>6.0887274707054306</v>
      </c>
      <c r="O185" s="2583">
        <f t="shared" ca="1" si="298"/>
        <v>6.0887274707054306</v>
      </c>
      <c r="P185" s="2583">
        <f t="shared" ca="1" si="298"/>
        <v>6.0887274707054306</v>
      </c>
      <c r="Q185" s="2583">
        <f t="shared" ca="1" si="307"/>
        <v>6.0887274707054306</v>
      </c>
      <c r="R185" s="2580">
        <f t="shared" ca="1" si="302"/>
        <v>6.0887274707054306</v>
      </c>
      <c r="T185" s="2549">
        <f t="shared" si="312"/>
        <v>2028</v>
      </c>
      <c r="U185" s="2583">
        <f t="shared" ref="U185:AA185" ca="1" si="318">U155+U100+U72</f>
        <v>6.0887274707054306</v>
      </c>
      <c r="V185" s="2583">
        <f t="shared" ca="1" si="318"/>
        <v>6.0887274707054306</v>
      </c>
      <c r="W185" s="2583">
        <f t="shared" ca="1" si="318"/>
        <v>6.0887274707054306</v>
      </c>
      <c r="X185" s="2583">
        <f t="shared" ca="1" si="318"/>
        <v>6.0887274707054306</v>
      </c>
      <c r="Y185" s="2583">
        <f t="shared" ca="1" si="318"/>
        <v>6.0887274707054306</v>
      </c>
      <c r="Z185" s="2583">
        <f t="shared" ca="1" si="318"/>
        <v>6.0887274707054306</v>
      </c>
      <c r="AA185" s="2580">
        <f t="shared" ca="1" si="318"/>
        <v>6.0887274707054306</v>
      </c>
      <c r="AC185" s="2549">
        <f t="shared" si="293"/>
        <v>2028</v>
      </c>
      <c r="AD185" s="2583">
        <f t="shared" ca="1" si="303"/>
        <v>10.695046561345857</v>
      </c>
      <c r="AE185" s="2583">
        <f t="shared" ca="1" si="303"/>
        <v>10.695046561345857</v>
      </c>
      <c r="AF185" s="2583">
        <f t="shared" ca="1" si="303"/>
        <v>10.695046561345857</v>
      </c>
      <c r="AG185" s="2583">
        <f t="shared" ca="1" si="303"/>
        <v>10.695046561345857</v>
      </c>
      <c r="AH185" s="2583">
        <f t="shared" ca="1" si="309"/>
        <v>10.695046561345857</v>
      </c>
      <c r="AI185" s="2583">
        <f t="shared" ca="1" si="310"/>
        <v>10.695046561345857</v>
      </c>
      <c r="AJ185" s="2580">
        <f t="shared" ca="1" si="310"/>
        <v>10.695105838259092</v>
      </c>
      <c r="AL185" s="2549">
        <f t="shared" si="304"/>
        <v>2028</v>
      </c>
      <c r="AM185" s="2583">
        <f t="shared" ca="1" si="305"/>
        <v>11.632319592919455</v>
      </c>
      <c r="AN185" s="2583">
        <f t="shared" ca="1" si="305"/>
        <v>11.632319592919455</v>
      </c>
      <c r="AO185" s="2583">
        <f t="shared" ca="1" si="305"/>
        <v>11.632319592919455</v>
      </c>
      <c r="AP185" s="2583">
        <f t="shared" ca="1" si="305"/>
        <v>11.632319592919455</v>
      </c>
      <c r="AQ185" s="2583">
        <f t="shared" ca="1" si="305"/>
        <v>11.632319592919455</v>
      </c>
      <c r="AR185" s="2583">
        <f t="shared" ca="1" si="305"/>
        <v>11.632319592919455</v>
      </c>
      <c r="AS185" s="2580">
        <f t="shared" ca="1" si="305"/>
        <v>11.632319592919455</v>
      </c>
    </row>
    <row r="186" spans="2:45">
      <c r="B186" s="2560">
        <f t="shared" si="296"/>
        <v>2029</v>
      </c>
      <c r="C186" s="2600">
        <f t="shared" ca="1" si="300"/>
        <v>8.4587675035010079</v>
      </c>
      <c r="D186" s="2600">
        <f t="shared" ca="1" si="311"/>
        <v>8.4587675035010079</v>
      </c>
      <c r="E186" s="2600">
        <f t="shared" ca="1" si="311"/>
        <v>8.4587675035010079</v>
      </c>
      <c r="F186" s="2600">
        <f t="shared" ca="1" si="311"/>
        <v>8.4587675035010079</v>
      </c>
      <c r="G186" s="2600">
        <f t="shared" ca="1" si="311"/>
        <v>8.4587675035010079</v>
      </c>
      <c r="H186" s="2600">
        <f ca="1">H156+H101</f>
        <v>8.4587675035010079</v>
      </c>
      <c r="I186" s="2601">
        <f t="shared" ca="1" si="311"/>
        <v>8.4587675035010079</v>
      </c>
      <c r="K186" s="2560">
        <f t="shared" si="297"/>
        <v>2029</v>
      </c>
      <c r="L186" s="2600">
        <f t="shared" ca="1" si="298"/>
        <v>6.239049321139758</v>
      </c>
      <c r="M186" s="2600">
        <f t="shared" ca="1" si="298"/>
        <v>6.239049321139758</v>
      </c>
      <c r="N186" s="2600">
        <f t="shared" ca="1" si="298"/>
        <v>6.239049321139758</v>
      </c>
      <c r="O186" s="2600">
        <f t="shared" ca="1" si="298"/>
        <v>6.239049321139758</v>
      </c>
      <c r="P186" s="2600">
        <f t="shared" ca="1" si="298"/>
        <v>6.239049321139758</v>
      </c>
      <c r="Q186" s="2600">
        <f t="shared" ca="1" si="307"/>
        <v>6.239049321139758</v>
      </c>
      <c r="R186" s="2601">
        <f t="shared" ca="1" si="302"/>
        <v>6.239049321139758</v>
      </c>
      <c r="T186" s="2560">
        <f t="shared" si="312"/>
        <v>2029</v>
      </c>
      <c r="U186" s="2600">
        <f t="shared" ref="U186:AA186" ca="1" si="319">U156+U101+U73</f>
        <v>6.2390493211397571</v>
      </c>
      <c r="V186" s="2600">
        <f t="shared" ca="1" si="319"/>
        <v>6.2390493211397571</v>
      </c>
      <c r="W186" s="2600">
        <f t="shared" ca="1" si="319"/>
        <v>6.2390493211397571</v>
      </c>
      <c r="X186" s="2600">
        <f t="shared" ca="1" si="319"/>
        <v>6.2390493211397571</v>
      </c>
      <c r="Y186" s="2600">
        <f t="shared" ca="1" si="319"/>
        <v>6.2390493211397571</v>
      </c>
      <c r="Z186" s="2600">
        <f t="shared" ca="1" si="319"/>
        <v>6.2390493211397571</v>
      </c>
      <c r="AA186" s="2601">
        <f t="shared" ca="1" si="319"/>
        <v>6.2390493211397571</v>
      </c>
      <c r="AC186" s="2560">
        <f t="shared" si="293"/>
        <v>2029</v>
      </c>
      <c r="AD186" s="2583">
        <f t="shared" ca="1" si="303"/>
        <v>10.937494793592993</v>
      </c>
      <c r="AE186" s="2583">
        <f t="shared" ca="1" si="303"/>
        <v>10.937494793592993</v>
      </c>
      <c r="AF186" s="2583">
        <f t="shared" ca="1" si="303"/>
        <v>10.937494793592993</v>
      </c>
      <c r="AG186" s="2583">
        <f t="shared" ca="1" si="303"/>
        <v>10.937494793592993</v>
      </c>
      <c r="AH186" s="2583">
        <f t="shared" ca="1" si="309"/>
        <v>10.937494793592993</v>
      </c>
      <c r="AI186" s="2600">
        <f t="shared" ca="1" si="310"/>
        <v>10.937494793592993</v>
      </c>
      <c r="AJ186" s="2601">
        <f ca="1">AJ156+AJ101+AJ73</f>
        <v>10.937555256044494</v>
      </c>
      <c r="AL186" s="2560">
        <f t="shared" si="304"/>
        <v>2029</v>
      </c>
      <c r="AM186" s="2600">
        <f t="shared" ca="1" si="305"/>
        <v>10.195064361123766</v>
      </c>
      <c r="AN186" s="2600">
        <f t="shared" ca="1" si="305"/>
        <v>10.195064361123766</v>
      </c>
      <c r="AO186" s="2600">
        <f t="shared" ca="1" si="305"/>
        <v>10.195064361123766</v>
      </c>
      <c r="AP186" s="2600">
        <f t="shared" ca="1" si="305"/>
        <v>10.195064361123766</v>
      </c>
      <c r="AQ186" s="2600">
        <f t="shared" ca="1" si="305"/>
        <v>10.195064361123766</v>
      </c>
      <c r="AR186" s="2600">
        <f t="shared" ca="1" si="305"/>
        <v>10.195064361123766</v>
      </c>
      <c r="AS186" s="2601">
        <f t="shared" ca="1" si="305"/>
        <v>10.195064361123766</v>
      </c>
    </row>
    <row r="187" spans="2:45">
      <c r="D187" s="2482"/>
      <c r="T187" s="2541"/>
      <c r="U187" s="2541"/>
      <c r="V187" s="2596"/>
      <c r="W187" s="2541"/>
      <c r="X187" s="2541"/>
      <c r="Y187" s="2541"/>
      <c r="Z187" s="2541"/>
      <c r="AA187" s="2541"/>
      <c r="AC187" s="2541"/>
      <c r="AD187" s="2541"/>
      <c r="AE187" s="2541"/>
      <c r="AF187" s="2541"/>
      <c r="AG187" s="2541"/>
      <c r="AH187" s="2541"/>
      <c r="AI187" s="2541"/>
      <c r="AJ187" s="2541"/>
      <c r="AL187" s="2541"/>
      <c r="AM187" s="2541"/>
      <c r="AN187" s="2541"/>
      <c r="AO187" s="2541"/>
      <c r="AP187" s="2541"/>
      <c r="AQ187" s="2541"/>
      <c r="AR187" s="2541"/>
      <c r="AS187" s="2541"/>
    </row>
    <row r="188" spans="2:45">
      <c r="B188" s="2602" t="s">
        <v>840</v>
      </c>
      <c r="C188" s="2539">
        <f t="shared" ref="C188:I188" si="320">C173</f>
        <v>2023</v>
      </c>
      <c r="D188" s="2539">
        <f t="shared" si="320"/>
        <v>2024</v>
      </c>
      <c r="E188" s="2539">
        <f t="shared" si="320"/>
        <v>2025</v>
      </c>
      <c r="F188" s="2539">
        <f t="shared" si="320"/>
        <v>2026</v>
      </c>
      <c r="G188" s="2539">
        <f t="shared" si="320"/>
        <v>2027</v>
      </c>
      <c r="H188" s="2539">
        <f t="shared" si="320"/>
        <v>2028</v>
      </c>
      <c r="I188" s="2597">
        <f t="shared" si="320"/>
        <v>2029</v>
      </c>
      <c r="K188" s="2602" t="s">
        <v>840</v>
      </c>
      <c r="L188" s="2539">
        <f t="shared" ref="L188:R188" si="321">L173</f>
        <v>2023</v>
      </c>
      <c r="M188" s="2539">
        <f t="shared" si="321"/>
        <v>2024</v>
      </c>
      <c r="N188" s="2539">
        <f t="shared" si="321"/>
        <v>2025</v>
      </c>
      <c r="O188" s="2539">
        <f t="shared" si="321"/>
        <v>2026</v>
      </c>
      <c r="P188" s="2539">
        <f t="shared" si="321"/>
        <v>2027</v>
      </c>
      <c r="Q188" s="2539">
        <f t="shared" si="321"/>
        <v>2028</v>
      </c>
      <c r="R188" s="2597">
        <f t="shared" si="321"/>
        <v>2029</v>
      </c>
      <c r="T188" s="2602" t="s">
        <v>840</v>
      </c>
      <c r="U188" s="2539">
        <f t="shared" ref="U188:AA188" si="322">U173</f>
        <v>2023</v>
      </c>
      <c r="V188" s="2539">
        <f t="shared" si="322"/>
        <v>2024</v>
      </c>
      <c r="W188" s="2539">
        <f t="shared" si="322"/>
        <v>2025</v>
      </c>
      <c r="X188" s="2539">
        <f t="shared" si="322"/>
        <v>2026</v>
      </c>
      <c r="Y188" s="2539">
        <f t="shared" si="322"/>
        <v>2027</v>
      </c>
      <c r="Z188" s="2539">
        <f t="shared" si="322"/>
        <v>2028</v>
      </c>
      <c r="AA188" s="2597">
        <f t="shared" si="322"/>
        <v>2029</v>
      </c>
      <c r="AC188" s="2602" t="s">
        <v>840</v>
      </c>
      <c r="AD188" s="2543">
        <f t="shared" ref="AD188:AJ188" si="323">AD173</f>
        <v>2023</v>
      </c>
      <c r="AE188" s="2543">
        <f t="shared" si="323"/>
        <v>2024</v>
      </c>
      <c r="AF188" s="2543">
        <f t="shared" si="323"/>
        <v>2025</v>
      </c>
      <c r="AG188" s="2543">
        <f t="shared" si="323"/>
        <v>2026</v>
      </c>
      <c r="AH188" s="2543">
        <f t="shared" si="323"/>
        <v>2027</v>
      </c>
      <c r="AI188" s="2543">
        <f t="shared" si="323"/>
        <v>2028</v>
      </c>
      <c r="AJ188" s="2597">
        <f t="shared" si="323"/>
        <v>2029</v>
      </c>
      <c r="AL188" s="2602" t="s">
        <v>840</v>
      </c>
      <c r="AM188" s="2543">
        <f t="shared" ref="AM188:AS188" si="324">AM173</f>
        <v>2023</v>
      </c>
      <c r="AN188" s="2543">
        <f t="shared" si="324"/>
        <v>2024</v>
      </c>
      <c r="AO188" s="2543">
        <f t="shared" si="324"/>
        <v>2025</v>
      </c>
      <c r="AP188" s="2543">
        <f t="shared" si="324"/>
        <v>2026</v>
      </c>
      <c r="AQ188" s="2543">
        <f t="shared" si="324"/>
        <v>2027</v>
      </c>
      <c r="AR188" s="2543">
        <f t="shared" si="324"/>
        <v>2028</v>
      </c>
      <c r="AS188" s="2597">
        <f t="shared" si="324"/>
        <v>2029</v>
      </c>
    </row>
    <row r="189" spans="2:45">
      <c r="B189" s="2570" t="s">
        <v>600</v>
      </c>
      <c r="C189" s="2556"/>
      <c r="D189" s="2556"/>
      <c r="E189" s="2556"/>
      <c r="F189" s="2556"/>
      <c r="G189" s="2556"/>
      <c r="H189" s="2556"/>
      <c r="I189" s="2557"/>
      <c r="K189" s="2570" t="s">
        <v>600</v>
      </c>
      <c r="L189" s="2556"/>
      <c r="M189" s="2556"/>
      <c r="N189" s="2556"/>
      <c r="O189" s="2556"/>
      <c r="P189" s="2556"/>
      <c r="Q189" s="2556"/>
      <c r="R189" s="2557"/>
      <c r="T189" s="2570" t="s">
        <v>600</v>
      </c>
      <c r="U189" s="2556"/>
      <c r="V189" s="2558"/>
      <c r="W189" s="2556"/>
      <c r="X189" s="2556"/>
      <c r="Y189" s="2556"/>
      <c r="Z189" s="2556"/>
      <c r="AA189" s="2557"/>
      <c r="AC189" s="2570" t="s">
        <v>910</v>
      </c>
      <c r="AD189" s="2556"/>
      <c r="AE189" s="2556"/>
      <c r="AF189" s="2556"/>
      <c r="AG189" s="2556"/>
      <c r="AH189" s="2556"/>
      <c r="AI189" s="2556"/>
      <c r="AJ189" s="2557"/>
      <c r="AL189" s="2570" t="s">
        <v>600</v>
      </c>
      <c r="AM189" s="2556"/>
      <c r="AN189" s="2556"/>
      <c r="AO189" s="2556"/>
      <c r="AP189" s="2556"/>
      <c r="AQ189" s="2556"/>
      <c r="AR189" s="2556"/>
      <c r="AS189" s="2557"/>
    </row>
    <row r="190" spans="2:45">
      <c r="B190" s="2570">
        <f>K190</f>
        <v>2018</v>
      </c>
      <c r="C190" s="2556">
        <f ca="1">C132*C175</f>
        <v>0</v>
      </c>
      <c r="D190" s="2556">
        <f t="shared" ref="D190:I190" ca="1" si="325">D132*D175</f>
        <v>0</v>
      </c>
      <c r="E190" s="2556">
        <f t="shared" ca="1" si="325"/>
        <v>0</v>
      </c>
      <c r="F190" s="2556">
        <f t="shared" ca="1" si="325"/>
        <v>0</v>
      </c>
      <c r="G190" s="2556">
        <f t="shared" ca="1" si="325"/>
        <v>0</v>
      </c>
      <c r="H190" s="2556">
        <f t="shared" ca="1" si="325"/>
        <v>0</v>
      </c>
      <c r="I190" s="2557">
        <f t="shared" ca="1" si="325"/>
        <v>0</v>
      </c>
      <c r="K190" s="2570">
        <f>T190</f>
        <v>2018</v>
      </c>
      <c r="L190" s="2556">
        <f ca="1">L132*L175</f>
        <v>0</v>
      </c>
      <c r="M190" s="2556">
        <f t="shared" ref="M190:R190" ca="1" si="326">M132*M175</f>
        <v>0</v>
      </c>
      <c r="N190" s="2556">
        <f t="shared" ca="1" si="326"/>
        <v>0</v>
      </c>
      <c r="O190" s="2556">
        <f t="shared" ca="1" si="326"/>
        <v>0</v>
      </c>
      <c r="P190" s="2556">
        <f t="shared" ca="1" si="326"/>
        <v>0</v>
      </c>
      <c r="Q190" s="2556">
        <f t="shared" ca="1" si="326"/>
        <v>0</v>
      </c>
      <c r="R190" s="2557">
        <f t="shared" ca="1" si="326"/>
        <v>0</v>
      </c>
      <c r="T190" s="2549">
        <f>T175</f>
        <v>2018</v>
      </c>
      <c r="U190" s="2558">
        <f ca="1">'Inv. start'!B141*U175</f>
        <v>159811.3412297997</v>
      </c>
      <c r="V190" s="2558">
        <f t="shared" ref="V190:AA201" ca="1" si="327">V132*V175</f>
        <v>0</v>
      </c>
      <c r="W190" s="2558">
        <f t="shared" ca="1" si="327"/>
        <v>0</v>
      </c>
      <c r="X190" s="2556">
        <f t="shared" ca="1" si="327"/>
        <v>0</v>
      </c>
      <c r="Y190" s="2556">
        <f t="shared" ca="1" si="327"/>
        <v>0</v>
      </c>
      <c r="Z190" s="2556">
        <f t="shared" ca="1" si="327"/>
        <v>0</v>
      </c>
      <c r="AA190" s="2557">
        <f t="shared" ca="1" si="327"/>
        <v>0</v>
      </c>
      <c r="AC190" s="2549">
        <f>AC175</f>
        <v>2018</v>
      </c>
      <c r="AD190" s="2556">
        <f ca="1">AD132*AD175</f>
        <v>53670.308647650279</v>
      </c>
      <c r="AE190" s="2556">
        <f t="shared" ref="AD190:AJ201" ca="1" si="328">AE132*AE175</f>
        <v>0</v>
      </c>
      <c r="AF190" s="2556">
        <f t="shared" ca="1" si="328"/>
        <v>0</v>
      </c>
      <c r="AG190" s="2556">
        <f t="shared" ca="1" si="328"/>
        <v>0</v>
      </c>
      <c r="AH190" s="2556">
        <f t="shared" ca="1" si="328"/>
        <v>0</v>
      </c>
      <c r="AI190" s="2556">
        <f t="shared" ca="1" si="328"/>
        <v>0</v>
      </c>
      <c r="AJ190" s="2557">
        <f t="shared" ca="1" si="328"/>
        <v>0</v>
      </c>
      <c r="AL190" s="2570">
        <f>AC190</f>
        <v>2018</v>
      </c>
      <c r="AM190" s="2556">
        <f ca="1">AM132*AM175</f>
        <v>9369.4358750320353</v>
      </c>
      <c r="AN190" s="2556">
        <f t="shared" ref="AN190:AS190" ca="1" si="329">AN132*AN175</f>
        <v>0</v>
      </c>
      <c r="AO190" s="2556">
        <f t="shared" ca="1" si="329"/>
        <v>0</v>
      </c>
      <c r="AP190" s="2556">
        <f t="shared" ca="1" si="329"/>
        <v>0</v>
      </c>
      <c r="AQ190" s="2556">
        <f t="shared" ca="1" si="329"/>
        <v>0</v>
      </c>
      <c r="AR190" s="2556">
        <f t="shared" ca="1" si="329"/>
        <v>0</v>
      </c>
      <c r="AS190" s="2557">
        <f t="shared" ca="1" si="329"/>
        <v>0</v>
      </c>
    </row>
    <row r="191" spans="2:45">
      <c r="B191" s="2570">
        <v>2019</v>
      </c>
      <c r="C191" s="2556">
        <f t="shared" ref="C191:I191" ca="1" si="330">C133*C176</f>
        <v>0</v>
      </c>
      <c r="D191" s="2556">
        <f t="shared" ca="1" si="330"/>
        <v>0</v>
      </c>
      <c r="E191" s="2556">
        <f t="shared" ca="1" si="330"/>
        <v>0</v>
      </c>
      <c r="F191" s="2556">
        <f t="shared" ca="1" si="330"/>
        <v>0</v>
      </c>
      <c r="G191" s="2556">
        <f t="shared" ca="1" si="330"/>
        <v>0</v>
      </c>
      <c r="H191" s="2556">
        <f t="shared" ca="1" si="330"/>
        <v>0</v>
      </c>
      <c r="I191" s="2557">
        <f t="shared" ca="1" si="330"/>
        <v>0</v>
      </c>
      <c r="K191" s="2570">
        <f>T191</f>
        <v>2019</v>
      </c>
      <c r="L191" s="2556">
        <f t="shared" ref="L191:R201" ca="1" si="331">L133*L176</f>
        <v>0</v>
      </c>
      <c r="M191" s="2556">
        <f t="shared" ca="1" si="331"/>
        <v>0</v>
      </c>
      <c r="N191" s="2556">
        <f t="shared" ca="1" si="331"/>
        <v>0</v>
      </c>
      <c r="O191" s="2556">
        <f t="shared" ca="1" si="331"/>
        <v>0</v>
      </c>
      <c r="P191" s="2556">
        <f t="shared" ca="1" si="331"/>
        <v>0</v>
      </c>
      <c r="Q191" s="2556">
        <f t="shared" ca="1" si="331"/>
        <v>0</v>
      </c>
      <c r="R191" s="2557">
        <f t="shared" ca="1" si="331"/>
        <v>0</v>
      </c>
      <c r="T191" s="2549">
        <f>T176</f>
        <v>2019</v>
      </c>
      <c r="U191" s="2558">
        <f ca="1">U133*U176</f>
        <v>0</v>
      </c>
      <c r="V191" s="2558">
        <f ca="1">V133*V176</f>
        <v>235776.28823988163</v>
      </c>
      <c r="W191" s="2558">
        <f t="shared" ca="1" si="327"/>
        <v>0</v>
      </c>
      <c r="X191" s="2556">
        <f t="shared" ca="1" si="327"/>
        <v>0</v>
      </c>
      <c r="Y191" s="2556">
        <f t="shared" ca="1" si="327"/>
        <v>0</v>
      </c>
      <c r="Z191" s="2556">
        <f t="shared" ca="1" si="327"/>
        <v>0</v>
      </c>
      <c r="AA191" s="2557">
        <f t="shared" ca="1" si="327"/>
        <v>0</v>
      </c>
      <c r="AC191" s="2549">
        <f>AC176</f>
        <v>2019</v>
      </c>
      <c r="AD191" s="2556">
        <f t="shared" ca="1" si="328"/>
        <v>108717.91826225184</v>
      </c>
      <c r="AE191" s="2556">
        <f t="shared" ca="1" si="328"/>
        <v>0</v>
      </c>
      <c r="AF191" s="2556">
        <f t="shared" ca="1" si="328"/>
        <v>0</v>
      </c>
      <c r="AG191" s="2556">
        <f t="shared" ca="1" si="328"/>
        <v>0</v>
      </c>
      <c r="AH191" s="2556">
        <f t="shared" ca="1" si="328"/>
        <v>0</v>
      </c>
      <c r="AI191" s="2556">
        <f t="shared" ca="1" si="328"/>
        <v>0</v>
      </c>
      <c r="AJ191" s="2557">
        <f t="shared" ca="1" si="328"/>
        <v>0</v>
      </c>
      <c r="AL191" s="2570">
        <v>2019</v>
      </c>
      <c r="AM191" s="2556">
        <f ca="1">AM133*AM176</f>
        <v>19135.130585068207</v>
      </c>
      <c r="AN191" s="2556">
        <f t="shared" ref="AN191:AS191" ca="1" si="332">AN133*AN176</f>
        <v>0</v>
      </c>
      <c r="AO191" s="2556">
        <f t="shared" ca="1" si="332"/>
        <v>0</v>
      </c>
      <c r="AP191" s="2556">
        <f t="shared" ca="1" si="332"/>
        <v>0</v>
      </c>
      <c r="AQ191" s="2556">
        <f t="shared" ca="1" si="332"/>
        <v>0</v>
      </c>
      <c r="AR191" s="2556">
        <f t="shared" ca="1" si="332"/>
        <v>0</v>
      </c>
      <c r="AS191" s="2557">
        <f t="shared" ca="1" si="332"/>
        <v>0</v>
      </c>
    </row>
    <row r="192" spans="2:45">
      <c r="B192" s="2549">
        <f t="shared" ref="B192:B201" si="333">B177</f>
        <v>2020</v>
      </c>
      <c r="C192" s="2556">
        <f t="shared" ref="C192:I192" ca="1" si="334">C134*C177</f>
        <v>0</v>
      </c>
      <c r="D192" s="2556">
        <f t="shared" ca="1" si="334"/>
        <v>0</v>
      </c>
      <c r="E192" s="2556">
        <f t="shared" ca="1" si="334"/>
        <v>0</v>
      </c>
      <c r="F192" s="2556">
        <f t="shared" ca="1" si="334"/>
        <v>0</v>
      </c>
      <c r="G192" s="2556">
        <f t="shared" ca="1" si="334"/>
        <v>0</v>
      </c>
      <c r="H192" s="2556">
        <f t="shared" ca="1" si="334"/>
        <v>0</v>
      </c>
      <c r="I192" s="2557">
        <f t="shared" ca="1" si="334"/>
        <v>0</v>
      </c>
      <c r="K192" s="2549">
        <f t="shared" ref="K192:K201" si="335">K177</f>
        <v>2020</v>
      </c>
      <c r="L192" s="2556">
        <f t="shared" ca="1" si="331"/>
        <v>0</v>
      </c>
      <c r="M192" s="2556">
        <f t="shared" ca="1" si="331"/>
        <v>0</v>
      </c>
      <c r="N192" s="2556">
        <f t="shared" ca="1" si="331"/>
        <v>0</v>
      </c>
      <c r="O192" s="2556">
        <f t="shared" ca="1" si="331"/>
        <v>0</v>
      </c>
      <c r="P192" s="2556">
        <f t="shared" ca="1" si="331"/>
        <v>0</v>
      </c>
      <c r="Q192" s="2556">
        <f t="shared" ca="1" si="331"/>
        <v>0</v>
      </c>
      <c r="R192" s="2557">
        <f t="shared" ca="1" si="331"/>
        <v>0</v>
      </c>
      <c r="T192" s="2549">
        <f>T177</f>
        <v>2020</v>
      </c>
      <c r="U192" s="2558">
        <f ca="1">U134*U177</f>
        <v>0</v>
      </c>
      <c r="V192" s="2558">
        <f t="shared" ca="1" si="327"/>
        <v>215921.88105647205</v>
      </c>
      <c r="W192" s="2558">
        <f t="shared" ca="1" si="327"/>
        <v>0</v>
      </c>
      <c r="X192" s="2556">
        <f t="shared" ca="1" si="327"/>
        <v>0</v>
      </c>
      <c r="Y192" s="2556">
        <f t="shared" ca="1" si="327"/>
        <v>0</v>
      </c>
      <c r="Z192" s="2556">
        <f t="shared" ca="1" si="327"/>
        <v>0</v>
      </c>
      <c r="AA192" s="2557">
        <f t="shared" ca="1" si="327"/>
        <v>0</v>
      </c>
      <c r="AC192" s="2549">
        <f>AC177</f>
        <v>2020</v>
      </c>
      <c r="AD192" s="2556">
        <f ca="1">AD134*AD177</f>
        <v>0</v>
      </c>
      <c r="AE192" s="2556">
        <f ca="1">AE134*AE177</f>
        <v>97570.214474803259</v>
      </c>
      <c r="AF192" s="2556">
        <f t="shared" ca="1" si="328"/>
        <v>0</v>
      </c>
      <c r="AG192" s="2556">
        <f t="shared" ca="1" si="328"/>
        <v>0</v>
      </c>
      <c r="AH192" s="2556">
        <f t="shared" ca="1" si="328"/>
        <v>0</v>
      </c>
      <c r="AI192" s="2556">
        <f t="shared" ca="1" si="328"/>
        <v>0</v>
      </c>
      <c r="AJ192" s="2557">
        <f t="shared" ca="1" si="328"/>
        <v>0</v>
      </c>
      <c r="AL192" s="2549">
        <f t="shared" ref="AL192:AL201" si="336">AL177</f>
        <v>2020</v>
      </c>
      <c r="AM192" s="2556">
        <f t="shared" ref="AM192:AM201" ca="1" si="337">AM134*AM177</f>
        <v>0</v>
      </c>
      <c r="AN192" s="2556">
        <f t="shared" ref="AN192:AS192" ca="1" si="338">AN134*AN177</f>
        <v>0</v>
      </c>
      <c r="AO192" s="2556">
        <f t="shared" ca="1" si="338"/>
        <v>0</v>
      </c>
      <c r="AP192" s="2556">
        <f t="shared" ca="1" si="338"/>
        <v>0</v>
      </c>
      <c r="AQ192" s="2556">
        <f t="shared" ca="1" si="338"/>
        <v>0</v>
      </c>
      <c r="AR192" s="2556">
        <f t="shared" ca="1" si="338"/>
        <v>0</v>
      </c>
      <c r="AS192" s="2557">
        <f t="shared" ca="1" si="338"/>
        <v>0</v>
      </c>
    </row>
    <row r="193" spans="2:45">
      <c r="B193" s="2549">
        <f t="shared" si="333"/>
        <v>2021</v>
      </c>
      <c r="C193" s="2556">
        <f ca="1">C135*C178</f>
        <v>15299.777294724012</v>
      </c>
      <c r="D193" s="2556">
        <f t="shared" ref="D193:I193" ca="1" si="339">D135*D178</f>
        <v>0</v>
      </c>
      <c r="E193" s="2556">
        <f t="shared" ca="1" si="339"/>
        <v>0</v>
      </c>
      <c r="F193" s="2556">
        <f t="shared" ca="1" si="339"/>
        <v>0</v>
      </c>
      <c r="G193" s="2556">
        <f t="shared" ca="1" si="339"/>
        <v>0</v>
      </c>
      <c r="H193" s="2556">
        <f t="shared" ca="1" si="339"/>
        <v>0</v>
      </c>
      <c r="I193" s="2557">
        <f t="shared" ca="1" si="339"/>
        <v>0</v>
      </c>
      <c r="K193" s="2549">
        <f t="shared" si="335"/>
        <v>2021</v>
      </c>
      <c r="L193" s="2556">
        <f ca="1">L135*L178</f>
        <v>34520.076079727463</v>
      </c>
      <c r="M193" s="2556">
        <f t="shared" ca="1" si="331"/>
        <v>0</v>
      </c>
      <c r="N193" s="2556">
        <f t="shared" ca="1" si="331"/>
        <v>0</v>
      </c>
      <c r="O193" s="2556">
        <f t="shared" ca="1" si="331"/>
        <v>0</v>
      </c>
      <c r="P193" s="2556">
        <f t="shared" ca="1" si="331"/>
        <v>0</v>
      </c>
      <c r="Q193" s="2556">
        <f t="shared" ca="1" si="331"/>
        <v>0</v>
      </c>
      <c r="R193" s="2557">
        <f t="shared" ca="1" si="331"/>
        <v>0</v>
      </c>
      <c r="T193" s="2549">
        <f>T178</f>
        <v>2021</v>
      </c>
      <c r="U193" s="2558">
        <f t="shared" ref="U193:U201" ca="1" si="340">U135*U178</f>
        <v>0</v>
      </c>
      <c r="V193" s="2558">
        <f ca="1">V135*V178</f>
        <v>0</v>
      </c>
      <c r="W193" s="2558">
        <f t="shared" ca="1" si="327"/>
        <v>0</v>
      </c>
      <c r="X193" s="2556">
        <f t="shared" ca="1" si="327"/>
        <v>0</v>
      </c>
      <c r="Y193" s="2556">
        <f t="shared" ca="1" si="327"/>
        <v>0</v>
      </c>
      <c r="Z193" s="2556">
        <f t="shared" ca="1" si="327"/>
        <v>0</v>
      </c>
      <c r="AA193" s="2557">
        <f t="shared" ca="1" si="327"/>
        <v>0</v>
      </c>
      <c r="AC193" s="2549">
        <f>AC178</f>
        <v>2021</v>
      </c>
      <c r="AD193" s="2556">
        <f t="shared" ca="1" si="328"/>
        <v>0</v>
      </c>
      <c r="AE193" s="2556">
        <f ca="1">AE135*AE178</f>
        <v>199899.95160691402</v>
      </c>
      <c r="AF193" s="2556">
        <f t="shared" ca="1" si="328"/>
        <v>0</v>
      </c>
      <c r="AG193" s="2556">
        <f t="shared" ca="1" si="328"/>
        <v>0</v>
      </c>
      <c r="AH193" s="2556">
        <f t="shared" ca="1" si="328"/>
        <v>0</v>
      </c>
      <c r="AI193" s="2556">
        <f t="shared" ca="1" si="328"/>
        <v>0</v>
      </c>
      <c r="AJ193" s="2557">
        <f t="shared" ca="1" si="328"/>
        <v>0</v>
      </c>
      <c r="AL193" s="2549">
        <f t="shared" si="336"/>
        <v>2021</v>
      </c>
      <c r="AM193" s="2556">
        <f t="shared" ca="1" si="337"/>
        <v>0</v>
      </c>
      <c r="AN193" s="2556">
        <f t="shared" ref="AN193:AS193" ca="1" si="341">AN135*AN178</f>
        <v>0</v>
      </c>
      <c r="AO193" s="2556">
        <f t="shared" ca="1" si="341"/>
        <v>0</v>
      </c>
      <c r="AP193" s="2556">
        <f t="shared" ca="1" si="341"/>
        <v>0</v>
      </c>
      <c r="AQ193" s="2556">
        <f t="shared" ca="1" si="341"/>
        <v>0</v>
      </c>
      <c r="AR193" s="2556">
        <f t="shared" ca="1" si="341"/>
        <v>0</v>
      </c>
      <c r="AS193" s="2557">
        <f t="shared" ca="1" si="341"/>
        <v>0</v>
      </c>
    </row>
    <row r="194" spans="2:45">
      <c r="B194" s="2549">
        <f t="shared" si="333"/>
        <v>2022</v>
      </c>
      <c r="C194" s="2556">
        <f t="shared" ref="C194:I194" ca="1" si="342">C136*C179</f>
        <v>0</v>
      </c>
      <c r="D194" s="2556">
        <f t="shared" ca="1" si="342"/>
        <v>0</v>
      </c>
      <c r="E194" s="2556">
        <f t="shared" ca="1" si="342"/>
        <v>0</v>
      </c>
      <c r="F194" s="2556">
        <f t="shared" ca="1" si="342"/>
        <v>0</v>
      </c>
      <c r="G194" s="2556">
        <f t="shared" ca="1" si="342"/>
        <v>0</v>
      </c>
      <c r="H194" s="2556">
        <f t="shared" ca="1" si="342"/>
        <v>0</v>
      </c>
      <c r="I194" s="2557">
        <f t="shared" ca="1" si="342"/>
        <v>0</v>
      </c>
      <c r="K194" s="2549">
        <f t="shared" si="335"/>
        <v>2022</v>
      </c>
      <c r="L194" s="2556">
        <f t="shared" ca="1" si="331"/>
        <v>0</v>
      </c>
      <c r="M194" s="2556">
        <f t="shared" ca="1" si="331"/>
        <v>0</v>
      </c>
      <c r="N194" s="2556">
        <f t="shared" ca="1" si="331"/>
        <v>0</v>
      </c>
      <c r="O194" s="2556">
        <f t="shared" ca="1" si="331"/>
        <v>0</v>
      </c>
      <c r="P194" s="2556">
        <f t="shared" ca="1" si="331"/>
        <v>0</v>
      </c>
      <c r="Q194" s="2556">
        <f t="shared" ca="1" si="331"/>
        <v>0</v>
      </c>
      <c r="R194" s="2557">
        <f t="shared" ca="1" si="331"/>
        <v>0</v>
      </c>
      <c r="T194" s="2549">
        <v>2022</v>
      </c>
      <c r="U194" s="2558">
        <f t="shared" ca="1" si="340"/>
        <v>0</v>
      </c>
      <c r="V194" s="2558">
        <f t="shared" ca="1" si="327"/>
        <v>0</v>
      </c>
      <c r="W194" s="2558">
        <f t="shared" ca="1" si="327"/>
        <v>0</v>
      </c>
      <c r="X194" s="2556">
        <f t="shared" ca="1" si="327"/>
        <v>0</v>
      </c>
      <c r="Y194" s="2556">
        <f t="shared" ca="1" si="327"/>
        <v>0</v>
      </c>
      <c r="Z194" s="2556">
        <f t="shared" ca="1" si="327"/>
        <v>0</v>
      </c>
      <c r="AA194" s="2557">
        <f t="shared" ca="1" si="327"/>
        <v>0</v>
      </c>
      <c r="AC194" s="2549">
        <f>AC179</f>
        <v>2022</v>
      </c>
      <c r="AD194" s="2556">
        <f t="shared" ca="1" si="328"/>
        <v>0</v>
      </c>
      <c r="AE194" s="2556">
        <f t="shared" ca="1" si="328"/>
        <v>0</v>
      </c>
      <c r="AF194" s="2556">
        <f t="shared" ca="1" si="328"/>
        <v>0</v>
      </c>
      <c r="AG194" s="2556">
        <f t="shared" ca="1" si="328"/>
        <v>0</v>
      </c>
      <c r="AH194" s="2556">
        <f t="shared" ca="1" si="328"/>
        <v>0</v>
      </c>
      <c r="AI194" s="2556">
        <f t="shared" ca="1" si="328"/>
        <v>0</v>
      </c>
      <c r="AJ194" s="2557">
        <f t="shared" ca="1" si="328"/>
        <v>0</v>
      </c>
      <c r="AL194" s="2549">
        <f t="shared" si="336"/>
        <v>2022</v>
      </c>
      <c r="AM194" s="2556">
        <f t="shared" ca="1" si="337"/>
        <v>0</v>
      </c>
      <c r="AN194" s="2556">
        <f t="shared" ref="AN194:AS194" ca="1" si="343">AN136*AN179</f>
        <v>0</v>
      </c>
      <c r="AO194" s="2556">
        <f t="shared" ca="1" si="343"/>
        <v>0</v>
      </c>
      <c r="AP194" s="2556">
        <f t="shared" ca="1" si="343"/>
        <v>0</v>
      </c>
      <c r="AQ194" s="2556">
        <f t="shared" ca="1" si="343"/>
        <v>0</v>
      </c>
      <c r="AR194" s="2556">
        <f t="shared" ca="1" si="343"/>
        <v>0</v>
      </c>
      <c r="AS194" s="2557">
        <f t="shared" ca="1" si="343"/>
        <v>0</v>
      </c>
    </row>
    <row r="195" spans="2:45">
      <c r="B195" s="2549">
        <f t="shared" si="333"/>
        <v>2023</v>
      </c>
      <c r="C195" s="2556">
        <f t="shared" ref="C195:I195" ca="1" si="344">C137*C180</f>
        <v>0</v>
      </c>
      <c r="D195" s="2556">
        <f ca="1">D137*D180</f>
        <v>14972.753784313831</v>
      </c>
      <c r="E195" s="2556">
        <f t="shared" ca="1" si="344"/>
        <v>0</v>
      </c>
      <c r="F195" s="2556">
        <f t="shared" ca="1" si="344"/>
        <v>0</v>
      </c>
      <c r="G195" s="2556">
        <f t="shared" ca="1" si="344"/>
        <v>0</v>
      </c>
      <c r="H195" s="2556">
        <f t="shared" ca="1" si="344"/>
        <v>0</v>
      </c>
      <c r="I195" s="2557">
        <f t="shared" ca="1" si="344"/>
        <v>0</v>
      </c>
      <c r="K195" s="2549">
        <f t="shared" si="335"/>
        <v>2023</v>
      </c>
      <c r="L195" s="2556">
        <f t="shared" ca="1" si="331"/>
        <v>0</v>
      </c>
      <c r="M195" s="2556">
        <f ca="1">M137*M180</f>
        <v>0</v>
      </c>
      <c r="N195" s="2556">
        <f t="shared" ca="1" si="331"/>
        <v>0</v>
      </c>
      <c r="O195" s="2556">
        <f t="shared" ca="1" si="331"/>
        <v>0</v>
      </c>
      <c r="P195" s="2556">
        <f t="shared" ca="1" si="331"/>
        <v>0</v>
      </c>
      <c r="Q195" s="2556">
        <f t="shared" ca="1" si="331"/>
        <v>0</v>
      </c>
      <c r="R195" s="2557">
        <f t="shared" ca="1" si="331"/>
        <v>0</v>
      </c>
      <c r="T195" s="2549">
        <f t="shared" ref="T195:T201" si="345">T180</f>
        <v>2023</v>
      </c>
      <c r="U195" s="2558">
        <f t="shared" ca="1" si="340"/>
        <v>0</v>
      </c>
      <c r="V195" s="2558">
        <f t="shared" ca="1" si="327"/>
        <v>0</v>
      </c>
      <c r="W195" s="2558">
        <f t="shared" ca="1" si="327"/>
        <v>0</v>
      </c>
      <c r="X195" s="2556">
        <f t="shared" ca="1" si="327"/>
        <v>0</v>
      </c>
      <c r="Y195" s="2556">
        <f t="shared" ca="1" si="327"/>
        <v>0</v>
      </c>
      <c r="Z195" s="2556">
        <f t="shared" ca="1" si="327"/>
        <v>0</v>
      </c>
      <c r="AA195" s="2557">
        <f t="shared" ca="1" si="327"/>
        <v>0</v>
      </c>
      <c r="AC195" s="2549">
        <v>2023</v>
      </c>
      <c r="AD195" s="2556">
        <f t="shared" ca="1" si="328"/>
        <v>0</v>
      </c>
      <c r="AE195" s="2556">
        <f t="shared" ca="1" si="328"/>
        <v>0</v>
      </c>
      <c r="AF195" s="2556">
        <f t="shared" ca="1" si="328"/>
        <v>334769.31033192726</v>
      </c>
      <c r="AG195" s="2556">
        <f t="shared" ca="1" si="328"/>
        <v>0</v>
      </c>
      <c r="AH195" s="2556">
        <f t="shared" ca="1" si="328"/>
        <v>0</v>
      </c>
      <c r="AI195" s="2556">
        <f t="shared" ca="1" si="328"/>
        <v>0</v>
      </c>
      <c r="AJ195" s="2557">
        <f t="shared" ca="1" si="328"/>
        <v>0</v>
      </c>
      <c r="AL195" s="2549">
        <f t="shared" si="336"/>
        <v>2023</v>
      </c>
      <c r="AM195" s="2556">
        <f t="shared" ca="1" si="337"/>
        <v>0</v>
      </c>
      <c r="AN195" s="2556">
        <f t="shared" ref="AN195:AS195" ca="1" si="346">AN137*AN180</f>
        <v>0</v>
      </c>
      <c r="AO195" s="2556">
        <f t="shared" ca="1" si="346"/>
        <v>0</v>
      </c>
      <c r="AP195" s="2556">
        <f t="shared" ca="1" si="346"/>
        <v>49351.045143960349</v>
      </c>
      <c r="AQ195" s="2556">
        <f ca="1">AQ137*AQ180</f>
        <v>0</v>
      </c>
      <c r="AR195" s="2556">
        <f t="shared" ca="1" si="346"/>
        <v>0</v>
      </c>
      <c r="AS195" s="2557">
        <f t="shared" ca="1" si="346"/>
        <v>0</v>
      </c>
    </row>
    <row r="196" spans="2:45">
      <c r="B196" s="2549">
        <f t="shared" si="333"/>
        <v>2024</v>
      </c>
      <c r="C196" s="2556">
        <f t="shared" ref="C196:I196" ca="1" si="347">C138*C181</f>
        <v>0</v>
      </c>
      <c r="D196" s="2556">
        <f t="shared" ca="1" si="347"/>
        <v>0</v>
      </c>
      <c r="E196" s="2556">
        <f t="shared" ca="1" si="347"/>
        <v>21759.3004881204</v>
      </c>
      <c r="F196" s="2556">
        <f t="shared" ca="1" si="347"/>
        <v>0</v>
      </c>
      <c r="G196" s="2556">
        <f t="shared" ca="1" si="347"/>
        <v>0</v>
      </c>
      <c r="H196" s="2556">
        <f t="shared" ca="1" si="347"/>
        <v>0</v>
      </c>
      <c r="I196" s="2557">
        <f t="shared" ca="1" si="347"/>
        <v>0</v>
      </c>
      <c r="K196" s="2549">
        <f t="shared" si="335"/>
        <v>2024</v>
      </c>
      <c r="L196" s="2556">
        <f t="shared" ca="1" si="331"/>
        <v>0</v>
      </c>
      <c r="M196" s="2556">
        <f t="shared" ca="1" si="331"/>
        <v>0</v>
      </c>
      <c r="N196" s="2556">
        <f t="shared" ca="1" si="331"/>
        <v>0</v>
      </c>
      <c r="O196" s="2556">
        <f t="shared" ca="1" si="331"/>
        <v>0</v>
      </c>
      <c r="P196" s="2556">
        <f t="shared" ca="1" si="331"/>
        <v>0</v>
      </c>
      <c r="Q196" s="2556">
        <f t="shared" ca="1" si="331"/>
        <v>0</v>
      </c>
      <c r="R196" s="2557">
        <f t="shared" ca="1" si="331"/>
        <v>0</v>
      </c>
      <c r="T196" s="2549">
        <f t="shared" si="345"/>
        <v>2024</v>
      </c>
      <c r="U196" s="2558">
        <f t="shared" ca="1" si="340"/>
        <v>0</v>
      </c>
      <c r="V196" s="2558">
        <f t="shared" ca="1" si="327"/>
        <v>0</v>
      </c>
      <c r="W196" s="2558">
        <f t="shared" ca="1" si="327"/>
        <v>0</v>
      </c>
      <c r="X196" s="2556">
        <f ca="1">X138*X181</f>
        <v>0</v>
      </c>
      <c r="Y196" s="2556">
        <f t="shared" ca="1" si="327"/>
        <v>0</v>
      </c>
      <c r="Z196" s="2556">
        <f t="shared" ca="1" si="327"/>
        <v>0</v>
      </c>
      <c r="AA196" s="2557">
        <f t="shared" ca="1" si="327"/>
        <v>0</v>
      </c>
      <c r="AC196" s="2549">
        <f t="shared" ref="AC196:AC201" si="348">AC181</f>
        <v>2024</v>
      </c>
      <c r="AD196" s="2556">
        <f t="shared" ca="1" si="328"/>
        <v>0</v>
      </c>
      <c r="AE196" s="2556">
        <f t="shared" ca="1" si="328"/>
        <v>0</v>
      </c>
      <c r="AF196" s="2556">
        <f t="shared" ca="1" si="328"/>
        <v>0</v>
      </c>
      <c r="AG196" s="2556">
        <f t="shared" ca="1" si="328"/>
        <v>469505.06708266702</v>
      </c>
      <c r="AH196" s="2556">
        <f t="shared" ca="1" si="328"/>
        <v>0</v>
      </c>
      <c r="AI196" s="2556">
        <f t="shared" ca="1" si="328"/>
        <v>0</v>
      </c>
      <c r="AJ196" s="2557">
        <f t="shared" ca="1" si="328"/>
        <v>0</v>
      </c>
      <c r="AL196" s="2549">
        <f t="shared" si="336"/>
        <v>2024</v>
      </c>
      <c r="AM196" s="2556">
        <f t="shared" ca="1" si="337"/>
        <v>0</v>
      </c>
      <c r="AN196" s="2556">
        <f t="shared" ref="AN196:AS196" ca="1" si="349">AN138*AN181</f>
        <v>0</v>
      </c>
      <c r="AO196" s="2556">
        <f t="shared" ca="1" si="349"/>
        <v>0</v>
      </c>
      <c r="AP196" s="2556">
        <f t="shared" ca="1" si="349"/>
        <v>0</v>
      </c>
      <c r="AQ196" s="2556">
        <f t="shared" ca="1" si="349"/>
        <v>63077.282541228997</v>
      </c>
      <c r="AR196" s="2556">
        <f t="shared" ca="1" si="349"/>
        <v>0</v>
      </c>
      <c r="AS196" s="2557">
        <f t="shared" ca="1" si="349"/>
        <v>0</v>
      </c>
    </row>
    <row r="197" spans="2:45">
      <c r="B197" s="2549">
        <f t="shared" si="333"/>
        <v>2025</v>
      </c>
      <c r="C197" s="2556">
        <f t="shared" ref="C197:I197" ca="1" si="350">C139*C182</f>
        <v>0</v>
      </c>
      <c r="D197" s="2556">
        <f t="shared" ca="1" si="350"/>
        <v>0</v>
      </c>
      <c r="E197" s="2556">
        <f t="shared" ca="1" si="350"/>
        <v>0</v>
      </c>
      <c r="F197" s="2556">
        <f t="shared" ca="1" si="350"/>
        <v>24875.478076339055</v>
      </c>
      <c r="G197" s="2556">
        <f t="shared" ca="1" si="350"/>
        <v>0</v>
      </c>
      <c r="H197" s="2556">
        <f t="shared" ca="1" si="350"/>
        <v>0</v>
      </c>
      <c r="I197" s="2557">
        <f t="shared" ca="1" si="350"/>
        <v>0</v>
      </c>
      <c r="K197" s="2549">
        <f t="shared" si="335"/>
        <v>2025</v>
      </c>
      <c r="L197" s="2556">
        <f t="shared" ca="1" si="331"/>
        <v>0</v>
      </c>
      <c r="M197" s="2556">
        <f t="shared" ca="1" si="331"/>
        <v>0</v>
      </c>
      <c r="N197" s="2556">
        <f t="shared" ca="1" si="331"/>
        <v>0</v>
      </c>
      <c r="O197" s="2556">
        <f t="shared" ca="1" si="331"/>
        <v>0</v>
      </c>
      <c r="P197" s="2556">
        <f t="shared" ca="1" si="331"/>
        <v>0</v>
      </c>
      <c r="Q197" s="2556">
        <f t="shared" ca="1" si="331"/>
        <v>0</v>
      </c>
      <c r="R197" s="2557">
        <f t="shared" ca="1" si="331"/>
        <v>0</v>
      </c>
      <c r="T197" s="2549">
        <f t="shared" si="345"/>
        <v>2025</v>
      </c>
      <c r="U197" s="2558">
        <f t="shared" ca="1" si="340"/>
        <v>0</v>
      </c>
      <c r="V197" s="2558">
        <f t="shared" ca="1" si="327"/>
        <v>0</v>
      </c>
      <c r="W197" s="2558">
        <f t="shared" ca="1" si="327"/>
        <v>0</v>
      </c>
      <c r="X197" s="2556">
        <f t="shared" ca="1" si="327"/>
        <v>0</v>
      </c>
      <c r="Y197" s="2556">
        <f t="shared" ca="1" si="327"/>
        <v>0</v>
      </c>
      <c r="Z197" s="2556">
        <f t="shared" ca="1" si="327"/>
        <v>0</v>
      </c>
      <c r="AA197" s="2557">
        <f t="shared" ca="1" si="327"/>
        <v>0</v>
      </c>
      <c r="AC197" s="2549">
        <f t="shared" si="348"/>
        <v>2025</v>
      </c>
      <c r="AD197" s="2556">
        <f t="shared" ca="1" si="328"/>
        <v>0</v>
      </c>
      <c r="AE197" s="2556">
        <f t="shared" ca="1" si="328"/>
        <v>0</v>
      </c>
      <c r="AF197" s="2556">
        <f t="shared" ca="1" si="328"/>
        <v>0</v>
      </c>
      <c r="AG197" s="2556">
        <f t="shared" ca="1" si="328"/>
        <v>0</v>
      </c>
      <c r="AH197" s="2556">
        <f t="shared" ca="1" si="328"/>
        <v>517896.19269297499</v>
      </c>
      <c r="AI197" s="2556">
        <f t="shared" ca="1" si="328"/>
        <v>0</v>
      </c>
      <c r="AJ197" s="2557">
        <f t="shared" ca="1" si="328"/>
        <v>0</v>
      </c>
      <c r="AL197" s="2549">
        <f t="shared" si="336"/>
        <v>2025</v>
      </c>
      <c r="AM197" s="2556">
        <f t="shared" ca="1" si="337"/>
        <v>0</v>
      </c>
      <c r="AN197" s="2556">
        <f t="shared" ref="AN197:AS197" ca="1" si="351">AN139*AN182</f>
        <v>0</v>
      </c>
      <c r="AO197" s="2556">
        <f t="shared" ca="1" si="351"/>
        <v>0</v>
      </c>
      <c r="AP197" s="2556">
        <f t="shared" ca="1" si="351"/>
        <v>0</v>
      </c>
      <c r="AQ197" s="2556">
        <f t="shared" ca="1" si="351"/>
        <v>0</v>
      </c>
      <c r="AR197" s="2556">
        <f t="shared" ca="1" si="351"/>
        <v>69831.326509997554</v>
      </c>
      <c r="AS197" s="2557">
        <f t="shared" ca="1" si="351"/>
        <v>0</v>
      </c>
    </row>
    <row r="198" spans="2:45">
      <c r="B198" s="2549">
        <f t="shared" si="333"/>
        <v>2026</v>
      </c>
      <c r="C198" s="2556">
        <f t="shared" ref="C198:I198" ca="1" si="352">C140*C183</f>
        <v>0</v>
      </c>
      <c r="D198" s="2556">
        <f t="shared" ca="1" si="352"/>
        <v>0</v>
      </c>
      <c r="E198" s="2556">
        <f t="shared" ca="1" si="352"/>
        <v>0</v>
      </c>
      <c r="F198" s="2556">
        <f t="shared" ca="1" si="352"/>
        <v>0</v>
      </c>
      <c r="G198" s="2556">
        <f t="shared" ca="1" si="352"/>
        <v>26027.788486800629</v>
      </c>
      <c r="H198" s="2556">
        <f t="shared" ca="1" si="352"/>
        <v>0</v>
      </c>
      <c r="I198" s="2557">
        <f t="shared" ca="1" si="352"/>
        <v>0</v>
      </c>
      <c r="K198" s="2549">
        <f t="shared" si="335"/>
        <v>2026</v>
      </c>
      <c r="L198" s="2556">
        <f t="shared" ca="1" si="331"/>
        <v>0</v>
      </c>
      <c r="M198" s="2556">
        <f t="shared" ca="1" si="331"/>
        <v>0</v>
      </c>
      <c r="N198" s="2556">
        <f t="shared" ca="1" si="331"/>
        <v>0</v>
      </c>
      <c r="O198" s="2556">
        <f t="shared" ca="1" si="331"/>
        <v>0</v>
      </c>
      <c r="P198" s="2556">
        <f t="shared" ca="1" si="331"/>
        <v>0</v>
      </c>
      <c r="Q198" s="2556">
        <f t="shared" ca="1" si="331"/>
        <v>0</v>
      </c>
      <c r="R198" s="2557">
        <f t="shared" ca="1" si="331"/>
        <v>0</v>
      </c>
      <c r="T198" s="2549">
        <f t="shared" si="345"/>
        <v>2026</v>
      </c>
      <c r="U198" s="2558">
        <f t="shared" ca="1" si="340"/>
        <v>0</v>
      </c>
      <c r="V198" s="2558">
        <f t="shared" ca="1" si="327"/>
        <v>0</v>
      </c>
      <c r="W198" s="2558">
        <f t="shared" ca="1" si="327"/>
        <v>0</v>
      </c>
      <c r="X198" s="2556">
        <f t="shared" ca="1" si="327"/>
        <v>0</v>
      </c>
      <c r="Y198" s="2556">
        <f t="shared" ca="1" si="327"/>
        <v>0</v>
      </c>
      <c r="Z198" s="2556">
        <f t="shared" ca="1" si="327"/>
        <v>0</v>
      </c>
      <c r="AA198" s="2557">
        <f t="shared" ca="1" si="327"/>
        <v>0</v>
      </c>
      <c r="AC198" s="2549">
        <f t="shared" si="348"/>
        <v>2026</v>
      </c>
      <c r="AD198" s="2556">
        <f t="shared" ca="1" si="328"/>
        <v>0</v>
      </c>
      <c r="AE198" s="2556">
        <f t="shared" ca="1" si="328"/>
        <v>0</v>
      </c>
      <c r="AF198" s="2556">
        <f t="shared" ca="1" si="328"/>
        <v>0</v>
      </c>
      <c r="AG198" s="2556">
        <f t="shared" ca="1" si="328"/>
        <v>0</v>
      </c>
      <c r="AH198" s="2556">
        <f t="shared" ca="1" si="328"/>
        <v>0</v>
      </c>
      <c r="AI198" s="2556">
        <f t="shared" ca="1" si="328"/>
        <v>521961.05841536517</v>
      </c>
      <c r="AJ198" s="2557">
        <f ca="1">AJ140*AJ183</f>
        <v>0</v>
      </c>
      <c r="AL198" s="2549">
        <f t="shared" si="336"/>
        <v>2026</v>
      </c>
      <c r="AM198" s="2556">
        <f t="shared" ca="1" si="337"/>
        <v>0</v>
      </c>
      <c r="AN198" s="2556">
        <f t="shared" ref="AN198:AS198" ca="1" si="353">AN140*AN183</f>
        <v>0</v>
      </c>
      <c r="AO198" s="2556">
        <f t="shared" ca="1" si="353"/>
        <v>0</v>
      </c>
      <c r="AP198" s="2556">
        <f t="shared" ca="1" si="353"/>
        <v>0</v>
      </c>
      <c r="AQ198" s="2556">
        <f t="shared" ca="1" si="353"/>
        <v>0</v>
      </c>
      <c r="AR198" s="2556">
        <f t="shared" ca="1" si="353"/>
        <v>0</v>
      </c>
      <c r="AS198" s="2557">
        <f t="shared" ca="1" si="353"/>
        <v>70386.823551723195</v>
      </c>
    </row>
    <row r="199" spans="2:45">
      <c r="B199" s="2549">
        <f t="shared" si="333"/>
        <v>2027</v>
      </c>
      <c r="C199" s="2556">
        <f t="shared" ref="C199:I199" ca="1" si="354">C141*C184</f>
        <v>0</v>
      </c>
      <c r="D199" s="2556">
        <f t="shared" ca="1" si="354"/>
        <v>0</v>
      </c>
      <c r="E199" s="2556">
        <f t="shared" ca="1" si="354"/>
        <v>0</v>
      </c>
      <c r="F199" s="2556">
        <f t="shared" ca="1" si="354"/>
        <v>0</v>
      </c>
      <c r="G199" s="2556">
        <f t="shared" ca="1" si="354"/>
        <v>0</v>
      </c>
      <c r="H199" s="2556">
        <f ca="1">H141*H184</f>
        <v>26591.48228774438</v>
      </c>
      <c r="I199" s="2557">
        <f t="shared" ca="1" si="354"/>
        <v>0</v>
      </c>
      <c r="K199" s="2549">
        <f t="shared" si="335"/>
        <v>2027</v>
      </c>
      <c r="L199" s="2556">
        <f t="shared" ca="1" si="331"/>
        <v>0</v>
      </c>
      <c r="M199" s="2556">
        <f t="shared" ca="1" si="331"/>
        <v>0</v>
      </c>
      <c r="N199" s="2556">
        <f t="shared" ca="1" si="331"/>
        <v>0</v>
      </c>
      <c r="O199" s="2556">
        <f t="shared" ca="1" si="331"/>
        <v>0</v>
      </c>
      <c r="P199" s="2556">
        <f t="shared" ca="1" si="331"/>
        <v>0</v>
      </c>
      <c r="Q199" s="2556">
        <f t="shared" ca="1" si="331"/>
        <v>0</v>
      </c>
      <c r="R199" s="2557">
        <f t="shared" ca="1" si="331"/>
        <v>0</v>
      </c>
      <c r="T199" s="2549">
        <f t="shared" si="345"/>
        <v>2027</v>
      </c>
      <c r="U199" s="2558">
        <f t="shared" ca="1" si="340"/>
        <v>0</v>
      </c>
      <c r="V199" s="2558">
        <f t="shared" ca="1" si="327"/>
        <v>0</v>
      </c>
      <c r="W199" s="2558">
        <f t="shared" ca="1" si="327"/>
        <v>0</v>
      </c>
      <c r="X199" s="2556">
        <f t="shared" ca="1" si="327"/>
        <v>0</v>
      </c>
      <c r="Y199" s="2556">
        <f t="shared" ca="1" si="327"/>
        <v>0</v>
      </c>
      <c r="Z199" s="2556">
        <f t="shared" ca="1" si="327"/>
        <v>0</v>
      </c>
      <c r="AA199" s="2557">
        <f t="shared" ca="1" si="327"/>
        <v>0</v>
      </c>
      <c r="AC199" s="2549">
        <f t="shared" si="348"/>
        <v>2027</v>
      </c>
      <c r="AD199" s="2556">
        <f t="shared" ca="1" si="328"/>
        <v>0</v>
      </c>
      <c r="AE199" s="2556">
        <f t="shared" ca="1" si="328"/>
        <v>0</v>
      </c>
      <c r="AF199" s="2556">
        <f t="shared" ca="1" si="328"/>
        <v>0</v>
      </c>
      <c r="AG199" s="2556">
        <f t="shared" ca="1" si="328"/>
        <v>0</v>
      </c>
      <c r="AH199" s="2556">
        <f t="shared" ca="1" si="328"/>
        <v>0</v>
      </c>
      <c r="AI199" s="2556">
        <f t="shared" ca="1" si="328"/>
        <v>0</v>
      </c>
      <c r="AJ199" s="2557">
        <f t="shared" ca="1" si="328"/>
        <v>576286.90041016252</v>
      </c>
      <c r="AL199" s="2549">
        <f t="shared" si="336"/>
        <v>2027</v>
      </c>
      <c r="AM199" s="2556">
        <f t="shared" ca="1" si="337"/>
        <v>0</v>
      </c>
      <c r="AN199" s="2556">
        <f t="shared" ref="AN199:AS199" ca="1" si="355">AN141*AN184</f>
        <v>0</v>
      </c>
      <c r="AO199" s="2556">
        <f t="shared" ca="1" si="355"/>
        <v>0</v>
      </c>
      <c r="AP199" s="2556">
        <f t="shared" ca="1" si="355"/>
        <v>0</v>
      </c>
      <c r="AQ199" s="2556">
        <f t="shared" ca="1" si="355"/>
        <v>0</v>
      </c>
      <c r="AR199" s="2556">
        <f t="shared" ca="1" si="355"/>
        <v>0</v>
      </c>
      <c r="AS199" s="2557">
        <f t="shared" ca="1" si="355"/>
        <v>0</v>
      </c>
    </row>
    <row r="200" spans="2:45">
      <c r="B200" s="2549">
        <f t="shared" si="333"/>
        <v>2028</v>
      </c>
      <c r="C200" s="2556">
        <f t="shared" ref="C200:H200" ca="1" si="356">C142*C185</f>
        <v>0</v>
      </c>
      <c r="D200" s="2556">
        <f t="shared" ca="1" si="356"/>
        <v>0</v>
      </c>
      <c r="E200" s="2556">
        <f t="shared" ca="1" si="356"/>
        <v>0</v>
      </c>
      <c r="F200" s="2556">
        <f t="shared" ca="1" si="356"/>
        <v>0</v>
      </c>
      <c r="G200" s="2556">
        <f t="shared" ca="1" si="356"/>
        <v>0</v>
      </c>
      <c r="H200" s="2556">
        <f t="shared" ca="1" si="356"/>
        <v>0</v>
      </c>
      <c r="I200" s="2557">
        <f ca="1">I142*I185</f>
        <v>27373.420892761151</v>
      </c>
      <c r="K200" s="2549">
        <f t="shared" si="335"/>
        <v>2028</v>
      </c>
      <c r="L200" s="2556">
        <f t="shared" ca="1" si="331"/>
        <v>0</v>
      </c>
      <c r="M200" s="2556">
        <f t="shared" ca="1" si="331"/>
        <v>0</v>
      </c>
      <c r="N200" s="2556">
        <f t="shared" ca="1" si="331"/>
        <v>0</v>
      </c>
      <c r="O200" s="2556">
        <f t="shared" ca="1" si="331"/>
        <v>0</v>
      </c>
      <c r="P200" s="2556">
        <f t="shared" ca="1" si="331"/>
        <v>0</v>
      </c>
      <c r="Q200" s="2556">
        <f t="shared" ca="1" si="331"/>
        <v>0</v>
      </c>
      <c r="R200" s="2557">
        <f t="shared" ca="1" si="331"/>
        <v>0</v>
      </c>
      <c r="T200" s="2549">
        <f t="shared" si="345"/>
        <v>2028</v>
      </c>
      <c r="U200" s="2558">
        <f t="shared" ca="1" si="340"/>
        <v>0</v>
      </c>
      <c r="V200" s="2558">
        <f t="shared" ca="1" si="327"/>
        <v>0</v>
      </c>
      <c r="W200" s="2558">
        <f t="shared" ca="1" si="327"/>
        <v>0</v>
      </c>
      <c r="X200" s="2556">
        <f t="shared" ca="1" si="327"/>
        <v>0</v>
      </c>
      <c r="Y200" s="2556">
        <f t="shared" ca="1" si="327"/>
        <v>0</v>
      </c>
      <c r="Z200" s="2556">
        <f t="shared" ca="1" si="327"/>
        <v>0</v>
      </c>
      <c r="AA200" s="2557">
        <f t="shared" ca="1" si="327"/>
        <v>0</v>
      </c>
      <c r="AC200" s="2549">
        <f t="shared" si="348"/>
        <v>2028</v>
      </c>
      <c r="AD200" s="2556">
        <f t="shared" ca="1" si="328"/>
        <v>0</v>
      </c>
      <c r="AE200" s="2556">
        <f t="shared" ca="1" si="328"/>
        <v>0</v>
      </c>
      <c r="AF200" s="2556">
        <f t="shared" ca="1" si="328"/>
        <v>0</v>
      </c>
      <c r="AG200" s="2556">
        <f t="shared" ca="1" si="328"/>
        <v>0</v>
      </c>
      <c r="AH200" s="2556">
        <f t="shared" ca="1" si="328"/>
        <v>0</v>
      </c>
      <c r="AI200" s="2556">
        <f t="shared" ca="1" si="328"/>
        <v>0</v>
      </c>
      <c r="AJ200" s="2557">
        <f t="shared" ca="1" si="328"/>
        <v>0</v>
      </c>
      <c r="AL200" s="2549">
        <f t="shared" si="336"/>
        <v>2028</v>
      </c>
      <c r="AM200" s="2556">
        <f t="shared" ca="1" si="337"/>
        <v>0</v>
      </c>
      <c r="AN200" s="2556">
        <f t="shared" ref="AN200:AS200" ca="1" si="357">AN142*AN185</f>
        <v>0</v>
      </c>
      <c r="AO200" s="2556">
        <f t="shared" ca="1" si="357"/>
        <v>0</v>
      </c>
      <c r="AP200" s="2556">
        <f t="shared" ca="1" si="357"/>
        <v>0</v>
      </c>
      <c r="AQ200" s="2556">
        <f t="shared" ca="1" si="357"/>
        <v>0</v>
      </c>
      <c r="AR200" s="2556">
        <f t="shared" ca="1" si="357"/>
        <v>0</v>
      </c>
      <c r="AS200" s="2557">
        <f t="shared" ca="1" si="357"/>
        <v>0</v>
      </c>
    </row>
    <row r="201" spans="2:45">
      <c r="B201" s="2549">
        <f t="shared" si="333"/>
        <v>2029</v>
      </c>
      <c r="C201" s="2556">
        <f t="shared" ref="C201:I201" ca="1" si="358">C143*C186</f>
        <v>0</v>
      </c>
      <c r="D201" s="2556">
        <f t="shared" ca="1" si="358"/>
        <v>0</v>
      </c>
      <c r="E201" s="2556">
        <f t="shared" ca="1" si="358"/>
        <v>0</v>
      </c>
      <c r="F201" s="2556">
        <f t="shared" ca="1" si="358"/>
        <v>0</v>
      </c>
      <c r="G201" s="2556">
        <f t="shared" ca="1" si="358"/>
        <v>0</v>
      </c>
      <c r="H201" s="2556">
        <f t="shared" ca="1" si="358"/>
        <v>0</v>
      </c>
      <c r="I201" s="2557">
        <f t="shared" ca="1" si="358"/>
        <v>0</v>
      </c>
      <c r="K201" s="2549">
        <f t="shared" si="335"/>
        <v>2029</v>
      </c>
      <c r="L201" s="2556">
        <f t="shared" ca="1" si="331"/>
        <v>0</v>
      </c>
      <c r="M201" s="2556">
        <f t="shared" ca="1" si="331"/>
        <v>0</v>
      </c>
      <c r="N201" s="2556">
        <f t="shared" ca="1" si="331"/>
        <v>0</v>
      </c>
      <c r="O201" s="2556">
        <f t="shared" ca="1" si="331"/>
        <v>0</v>
      </c>
      <c r="P201" s="2556">
        <f t="shared" ca="1" si="331"/>
        <v>0</v>
      </c>
      <c r="Q201" s="2556">
        <f t="shared" ca="1" si="331"/>
        <v>0</v>
      </c>
      <c r="R201" s="2557">
        <f t="shared" ca="1" si="331"/>
        <v>0</v>
      </c>
      <c r="T201" s="2549">
        <f t="shared" si="345"/>
        <v>2029</v>
      </c>
      <c r="U201" s="2593">
        <f t="shared" ca="1" si="340"/>
        <v>0</v>
      </c>
      <c r="V201" s="2593">
        <f t="shared" ca="1" si="327"/>
        <v>0</v>
      </c>
      <c r="W201" s="2593">
        <f t="shared" ca="1" si="327"/>
        <v>0</v>
      </c>
      <c r="X201" s="2561">
        <f t="shared" ca="1" si="327"/>
        <v>0</v>
      </c>
      <c r="Y201" s="2561">
        <f t="shared" ca="1" si="327"/>
        <v>0</v>
      </c>
      <c r="Z201" s="2561">
        <f t="shared" ca="1" si="327"/>
        <v>0</v>
      </c>
      <c r="AA201" s="2562">
        <f t="shared" ca="1" si="327"/>
        <v>0</v>
      </c>
      <c r="AC201" s="2549">
        <f t="shared" si="348"/>
        <v>2029</v>
      </c>
      <c r="AD201" s="2561">
        <f t="shared" ca="1" si="328"/>
        <v>0</v>
      </c>
      <c r="AE201" s="2561">
        <f t="shared" ca="1" si="328"/>
        <v>0</v>
      </c>
      <c r="AF201" s="2561">
        <f t="shared" ca="1" si="328"/>
        <v>0</v>
      </c>
      <c r="AG201" s="2561">
        <f t="shared" ca="1" si="328"/>
        <v>0</v>
      </c>
      <c r="AH201" s="2561">
        <f t="shared" ca="1" si="328"/>
        <v>0</v>
      </c>
      <c r="AI201" s="2561">
        <f t="shared" ca="1" si="328"/>
        <v>0</v>
      </c>
      <c r="AJ201" s="2562">
        <f t="shared" ca="1" si="328"/>
        <v>0</v>
      </c>
      <c r="AL201" s="2549">
        <f t="shared" si="336"/>
        <v>2029</v>
      </c>
      <c r="AM201" s="2561">
        <f t="shared" ca="1" si="337"/>
        <v>0</v>
      </c>
      <c r="AN201" s="2561">
        <f t="shared" ref="AN201:AS201" ca="1" si="359">AN143*AN186</f>
        <v>0</v>
      </c>
      <c r="AO201" s="2561">
        <f t="shared" ca="1" si="359"/>
        <v>0</v>
      </c>
      <c r="AP201" s="2561">
        <f t="shared" ca="1" si="359"/>
        <v>0</v>
      </c>
      <c r="AQ201" s="2561">
        <f t="shared" ca="1" si="359"/>
        <v>0</v>
      </c>
      <c r="AR201" s="2561">
        <f t="shared" ca="1" si="359"/>
        <v>0</v>
      </c>
      <c r="AS201" s="2562">
        <f t="shared" ca="1" si="359"/>
        <v>0</v>
      </c>
    </row>
    <row r="202" spans="2:45">
      <c r="B202" s="2603" t="s">
        <v>839</v>
      </c>
      <c r="C202" s="2563">
        <f t="shared" ref="C202:I202" ca="1" si="360">SUM(C189:C201)</f>
        <v>15299.777294724012</v>
      </c>
      <c r="D202" s="2563">
        <f t="shared" ca="1" si="360"/>
        <v>14972.753784313831</v>
      </c>
      <c r="E202" s="2563">
        <f t="shared" ca="1" si="360"/>
        <v>21759.3004881204</v>
      </c>
      <c r="F202" s="2563">
        <f t="shared" ca="1" si="360"/>
        <v>24875.478076339055</v>
      </c>
      <c r="G202" s="2563">
        <f t="shared" ca="1" si="360"/>
        <v>26027.788486800629</v>
      </c>
      <c r="H202" s="2563">
        <f t="shared" ca="1" si="360"/>
        <v>26591.48228774438</v>
      </c>
      <c r="I202" s="2564">
        <f t="shared" ca="1" si="360"/>
        <v>27373.420892761151</v>
      </c>
      <c r="K202" s="2603" t="s">
        <v>839</v>
      </c>
      <c r="L202" s="2563">
        <f t="shared" ref="L202:R202" ca="1" si="361">SUM(L189:L201)</f>
        <v>34520.076079727463</v>
      </c>
      <c r="M202" s="2563">
        <f t="shared" ca="1" si="361"/>
        <v>0</v>
      </c>
      <c r="N202" s="2594">
        <f t="shared" ca="1" si="361"/>
        <v>0</v>
      </c>
      <c r="O202" s="2594">
        <f t="shared" ca="1" si="361"/>
        <v>0</v>
      </c>
      <c r="P202" s="2594">
        <f t="shared" ca="1" si="361"/>
        <v>0</v>
      </c>
      <c r="Q202" s="2594">
        <f t="shared" ca="1" si="361"/>
        <v>0</v>
      </c>
      <c r="R202" s="2595">
        <f t="shared" ca="1" si="361"/>
        <v>0</v>
      </c>
      <c r="T202" s="2603" t="s">
        <v>839</v>
      </c>
      <c r="U202" s="2563">
        <f t="shared" ref="U202:AA202" ca="1" si="362">SUM(U189:U201)</f>
        <v>159811.3412297997</v>
      </c>
      <c r="V202" s="2563">
        <f t="shared" ca="1" si="362"/>
        <v>451698.16929635371</v>
      </c>
      <c r="W202" s="2563">
        <f t="shared" ca="1" si="362"/>
        <v>0</v>
      </c>
      <c r="X202" s="2594">
        <f t="shared" ca="1" si="362"/>
        <v>0</v>
      </c>
      <c r="Y202" s="2594">
        <f t="shared" ca="1" si="362"/>
        <v>0</v>
      </c>
      <c r="Z202" s="2594">
        <f t="shared" ca="1" si="362"/>
        <v>0</v>
      </c>
      <c r="AA202" s="2595">
        <f t="shared" ca="1" si="362"/>
        <v>0</v>
      </c>
      <c r="AC202" s="2603" t="s">
        <v>839</v>
      </c>
      <c r="AD202" s="2563">
        <f t="shared" ref="AD202:AJ202" ca="1" si="363">SUM(AD189:AD201)</f>
        <v>162388.22690990212</v>
      </c>
      <c r="AE202" s="2594">
        <f t="shared" ca="1" si="363"/>
        <v>297470.1660817173</v>
      </c>
      <c r="AF202" s="2594">
        <f t="shared" ca="1" si="363"/>
        <v>334769.31033192726</v>
      </c>
      <c r="AG202" s="2594">
        <f t="shared" ca="1" si="363"/>
        <v>469505.06708266702</v>
      </c>
      <c r="AH202" s="2594">
        <f t="shared" ca="1" si="363"/>
        <v>517896.19269297499</v>
      </c>
      <c r="AI202" s="2594">
        <f t="shared" ca="1" si="363"/>
        <v>521961.05841536517</v>
      </c>
      <c r="AJ202" s="2595">
        <f t="shared" ca="1" si="363"/>
        <v>576286.90041016252</v>
      </c>
      <c r="AL202" s="2603" t="s">
        <v>839</v>
      </c>
      <c r="AM202" s="2563">
        <f t="shared" ref="AM202:AS202" ca="1" si="364">SUM(AM189:AM201)</f>
        <v>28504.566460100243</v>
      </c>
      <c r="AN202" s="2594">
        <f t="shared" ca="1" si="364"/>
        <v>0</v>
      </c>
      <c r="AO202" s="2594">
        <f t="shared" ca="1" si="364"/>
        <v>0</v>
      </c>
      <c r="AP202" s="2594">
        <f t="shared" ca="1" si="364"/>
        <v>49351.045143960349</v>
      </c>
      <c r="AQ202" s="2594">
        <f t="shared" ca="1" si="364"/>
        <v>63077.282541228997</v>
      </c>
      <c r="AR202" s="2594">
        <f t="shared" ca="1" si="364"/>
        <v>69831.326509997554</v>
      </c>
      <c r="AS202" s="2595">
        <f t="shared" ca="1" si="364"/>
        <v>70386.823551723195</v>
      </c>
    </row>
    <row r="203" spans="2:45">
      <c r="T203" s="2541"/>
      <c r="U203" s="2541"/>
      <c r="V203" s="2541"/>
      <c r="W203" s="2541"/>
      <c r="X203" s="2541"/>
      <c r="Y203" s="2541"/>
      <c r="Z203" s="2541"/>
      <c r="AA203" s="2541"/>
      <c r="AC203" s="2541"/>
      <c r="AD203" s="2541"/>
      <c r="AE203" s="2541"/>
      <c r="AF203" s="2541"/>
      <c r="AG203" s="2541"/>
      <c r="AH203" s="2541"/>
      <c r="AI203" s="2541"/>
      <c r="AJ203" s="2541"/>
      <c r="AL203" s="2541"/>
      <c r="AM203" s="2539"/>
      <c r="AN203" s="2539"/>
      <c r="AO203" s="2539"/>
      <c r="AP203" s="2539"/>
      <c r="AQ203" s="2539"/>
      <c r="AR203" s="2539"/>
      <c r="AS203" s="2539"/>
    </row>
    <row r="204" spans="2:45">
      <c r="B204" s="2538" t="s">
        <v>792</v>
      </c>
      <c r="C204" s="2589">
        <f t="shared" ref="C204:I204" si="365">C131</f>
        <v>2023</v>
      </c>
      <c r="D204" s="2589">
        <f t="shared" si="365"/>
        <v>2024</v>
      </c>
      <c r="E204" s="2589">
        <f t="shared" si="365"/>
        <v>2025</v>
      </c>
      <c r="F204" s="2589">
        <f t="shared" si="365"/>
        <v>2026</v>
      </c>
      <c r="G204" s="2589">
        <f t="shared" si="365"/>
        <v>2027</v>
      </c>
      <c r="H204" s="2589">
        <f t="shared" si="365"/>
        <v>2028</v>
      </c>
      <c r="I204" s="2590">
        <f t="shared" si="365"/>
        <v>2029</v>
      </c>
      <c r="K204" s="2538" t="s">
        <v>792</v>
      </c>
      <c r="L204" s="2589">
        <f t="shared" ref="L204:R204" si="366">L131</f>
        <v>2023</v>
      </c>
      <c r="M204" s="2589">
        <f t="shared" si="366"/>
        <v>2024</v>
      </c>
      <c r="N204" s="2589">
        <f t="shared" si="366"/>
        <v>2025</v>
      </c>
      <c r="O204" s="2589">
        <f t="shared" si="366"/>
        <v>2026</v>
      </c>
      <c r="P204" s="2589">
        <f t="shared" si="366"/>
        <v>2027</v>
      </c>
      <c r="Q204" s="2589">
        <f t="shared" si="366"/>
        <v>2028</v>
      </c>
      <c r="R204" s="2590">
        <f t="shared" si="366"/>
        <v>2029</v>
      </c>
      <c r="T204" s="2538" t="s">
        <v>792</v>
      </c>
      <c r="U204" s="2589">
        <f t="shared" ref="U204:AA204" si="367">U131</f>
        <v>2023</v>
      </c>
      <c r="V204" s="2589">
        <f t="shared" si="367"/>
        <v>2024</v>
      </c>
      <c r="W204" s="2589">
        <f t="shared" si="367"/>
        <v>2025</v>
      </c>
      <c r="X204" s="2589">
        <f t="shared" si="367"/>
        <v>2026</v>
      </c>
      <c r="Y204" s="2589">
        <f t="shared" si="367"/>
        <v>2027</v>
      </c>
      <c r="Z204" s="2589">
        <f t="shared" si="367"/>
        <v>2028</v>
      </c>
      <c r="AA204" s="2590">
        <f t="shared" si="367"/>
        <v>2029</v>
      </c>
      <c r="AC204" s="2538" t="s">
        <v>792</v>
      </c>
      <c r="AD204" s="2589">
        <f t="shared" ref="AD204:AJ204" si="368">AD131</f>
        <v>2023</v>
      </c>
      <c r="AE204" s="2589">
        <f t="shared" si="368"/>
        <v>2024</v>
      </c>
      <c r="AF204" s="2589">
        <f t="shared" si="368"/>
        <v>2025</v>
      </c>
      <c r="AG204" s="2589">
        <f t="shared" si="368"/>
        <v>2026</v>
      </c>
      <c r="AH204" s="2589">
        <f t="shared" si="368"/>
        <v>2027</v>
      </c>
      <c r="AI204" s="2589">
        <f t="shared" si="368"/>
        <v>2028</v>
      </c>
      <c r="AJ204" s="2590">
        <f t="shared" si="368"/>
        <v>2029</v>
      </c>
      <c r="AL204" s="2538" t="s">
        <v>792</v>
      </c>
      <c r="AM204" s="2589">
        <f t="shared" ref="AM204:AS204" si="369">AM131</f>
        <v>2023</v>
      </c>
      <c r="AN204" s="2589">
        <f t="shared" si="369"/>
        <v>2024</v>
      </c>
      <c r="AO204" s="2589">
        <f t="shared" si="369"/>
        <v>2025</v>
      </c>
      <c r="AP204" s="2589">
        <f t="shared" si="369"/>
        <v>2026</v>
      </c>
      <c r="AQ204" s="2589">
        <f t="shared" si="369"/>
        <v>2027</v>
      </c>
      <c r="AR204" s="2589">
        <f t="shared" si="369"/>
        <v>2028</v>
      </c>
      <c r="AS204" s="2590">
        <f t="shared" si="369"/>
        <v>2029</v>
      </c>
    </row>
    <row r="205" spans="2:45">
      <c r="B205" s="2546"/>
      <c r="C205" s="2591"/>
      <c r="D205" s="2591"/>
      <c r="E205" s="2591"/>
      <c r="F205" s="2591"/>
      <c r="G205" s="2591"/>
      <c r="H205" s="2591"/>
      <c r="I205" s="2592"/>
      <c r="K205" s="2546"/>
      <c r="L205" s="2591"/>
      <c r="M205" s="2591"/>
      <c r="N205" s="2591"/>
      <c r="O205" s="2591"/>
      <c r="P205" s="2591"/>
      <c r="Q205" s="2591"/>
      <c r="R205" s="2592"/>
      <c r="T205" s="2546"/>
      <c r="U205" s="2591"/>
      <c r="V205" s="2591"/>
      <c r="W205" s="2591"/>
      <c r="X205" s="2591"/>
      <c r="Y205" s="2591"/>
      <c r="Z205" s="2591"/>
      <c r="AA205" s="2592"/>
      <c r="AC205" s="2546"/>
      <c r="AJ205" s="2547"/>
      <c r="AL205" s="2546"/>
      <c r="AM205" s="2566"/>
      <c r="AN205" s="2566"/>
      <c r="AO205" s="2566"/>
      <c r="AP205" s="2566"/>
      <c r="AQ205" s="2566"/>
      <c r="AR205" s="2566"/>
      <c r="AS205" s="2547"/>
    </row>
    <row r="206" spans="2:45">
      <c r="B206" s="2549">
        <v>2018</v>
      </c>
      <c r="C206" s="2604">
        <f>(Sale!T18+Sale!U18+Sale!V18+Sale!W18)*D3</f>
        <v>0</v>
      </c>
      <c r="D206" s="2604">
        <f>Sale!X18*$D$3</f>
        <v>0</v>
      </c>
      <c r="E206" s="2591"/>
      <c r="F206" s="2591"/>
      <c r="G206" s="2591"/>
      <c r="H206" s="2591"/>
      <c r="I206" s="2592"/>
      <c r="K206" s="2549">
        <v>2018</v>
      </c>
      <c r="L206" s="2565"/>
      <c r="M206" s="2565"/>
      <c r="N206" s="2556">
        <f>Sale!AH18*$D$3</f>
        <v>0</v>
      </c>
      <c r="O206" s="2556">
        <f>Sale!AI18*$D$3</f>
        <v>0</v>
      </c>
      <c r="P206" s="2556">
        <f>Sale!AJ18*$D$3</f>
        <v>0</v>
      </c>
      <c r="Q206" s="2556">
        <f>Sale!AK18*$D$3</f>
        <v>0</v>
      </c>
      <c r="R206" s="2557">
        <f>Sale!AL18*$D$3</f>
        <v>0</v>
      </c>
      <c r="T206" s="2549">
        <f>T132</f>
        <v>2018</v>
      </c>
      <c r="U206" s="2558">
        <f>Sale!I55*$V$3</f>
        <v>0</v>
      </c>
      <c r="V206" s="2558">
        <f>Sale!J55*$V$3</f>
        <v>5663.25</v>
      </c>
      <c r="W206" s="2558">
        <f>Sale!K55*$V$3</f>
        <v>10522.999999999993</v>
      </c>
      <c r="X206" s="2558">
        <f>Sale!L55*$V$3</f>
        <v>0</v>
      </c>
      <c r="Y206" s="2558">
        <f>Sale!M55*$V$3</f>
        <v>0</v>
      </c>
      <c r="Z206" s="2558">
        <f>Sale!N55*$V$3</f>
        <v>0</v>
      </c>
      <c r="AA206" s="2559">
        <f>Sale!O55*$V$3</f>
        <v>0</v>
      </c>
      <c r="AC206" s="2549">
        <f>AC132</f>
        <v>2018</v>
      </c>
      <c r="AD206" s="2565"/>
      <c r="AE206" s="2565">
        <f>Sale!I145*$AE$3</f>
        <v>5436</v>
      </c>
      <c r="AF206" s="2565">
        <f>Sale!K145*$AE$3</f>
        <v>0</v>
      </c>
      <c r="AG206" s="2558">
        <f>Sale!L145*$AE$3</f>
        <v>0</v>
      </c>
      <c r="AH206" s="2558">
        <f>Sale!M145*$AE$3</f>
        <v>0</v>
      </c>
      <c r="AI206" s="2558">
        <f>Sale!N145*$AE$3</f>
        <v>0</v>
      </c>
      <c r="AJ206" s="2559">
        <f>Sale!O145*$AE$3</f>
        <v>0</v>
      </c>
      <c r="AL206" s="2549">
        <f>AL132</f>
        <v>2018</v>
      </c>
      <c r="AM206" s="2565"/>
      <c r="AN206" s="2565">
        <f>Sale!I195*'Inv. wine'!$AN$3</f>
        <v>898.5</v>
      </c>
      <c r="AO206" s="2565">
        <f>Sale!K195*'Inv. wine'!$AN$3</f>
        <v>0</v>
      </c>
      <c r="AP206" s="2558">
        <f>Sale!L195*'Inv. wine'!$AN$3</f>
        <v>0</v>
      </c>
      <c r="AQ206" s="2558">
        <f>Sale!M195*'Inv. wine'!$AN$3</f>
        <v>0</v>
      </c>
      <c r="AR206" s="2558">
        <f>Sale!N195*'Inv. wine'!$AN$3</f>
        <v>0</v>
      </c>
      <c r="AS206" s="2559">
        <f>Sale!O195*'Inv. wine'!$AN$3</f>
        <v>0</v>
      </c>
    </row>
    <row r="207" spans="2:45">
      <c r="B207" s="2549">
        <f t="shared" ref="B207:B216" si="370">B133</f>
        <v>2019</v>
      </c>
      <c r="C207" s="2604">
        <f>(Sale!T19+Sale!U19+Sale!V19+Sale!W19)*D3</f>
        <v>0</v>
      </c>
      <c r="D207" s="2604">
        <f>Sale!X19*$D$3</f>
        <v>0</v>
      </c>
      <c r="E207" s="2605">
        <f>Sale!Y19*$D$3</f>
        <v>0</v>
      </c>
      <c r="F207" s="2605">
        <f>Sale!Z19*$D$3</f>
        <v>0</v>
      </c>
      <c r="G207" s="2605">
        <f>Sale!AA19*$D$3</f>
        <v>0</v>
      </c>
      <c r="H207" s="2605">
        <f>Sale!AB19*$D$3</f>
        <v>0</v>
      </c>
      <c r="I207" s="2606">
        <f>Sale!AC19*$D$3</f>
        <v>0</v>
      </c>
      <c r="K207" s="2549">
        <f t="shared" ref="K207:K216" si="371">K133</f>
        <v>2019</v>
      </c>
      <c r="L207" s="2565"/>
      <c r="M207" s="2565"/>
      <c r="N207" s="2556">
        <f>Sale!AH19*$D$3</f>
        <v>0</v>
      </c>
      <c r="O207" s="2556">
        <f>Sale!AI19*$D$3</f>
        <v>0</v>
      </c>
      <c r="P207" s="2556">
        <f>Sale!AJ19*$D$3</f>
        <v>0</v>
      </c>
      <c r="Q207" s="2556">
        <f>Sale!AK19*$D$3</f>
        <v>0</v>
      </c>
      <c r="R207" s="2557">
        <f>Sale!AL19*$D$3</f>
        <v>0</v>
      </c>
      <c r="T207" s="2549">
        <f>T133</f>
        <v>2019</v>
      </c>
      <c r="U207" s="2558">
        <f>Sale!I56*$V$3</f>
        <v>0</v>
      </c>
      <c r="V207" s="2558">
        <f>Sale!J56*$V$3</f>
        <v>0</v>
      </c>
      <c r="W207" s="2558">
        <f>Sale!K56*$V$3</f>
        <v>0</v>
      </c>
      <c r="X207" s="2558">
        <f>Sale!L56*$V$3</f>
        <v>0</v>
      </c>
      <c r="Y207" s="2558">
        <f>Sale!M56*$V$3</f>
        <v>0</v>
      </c>
      <c r="Z207" s="2558">
        <f>Sale!N56*$V$3</f>
        <v>0</v>
      </c>
      <c r="AA207" s="2559">
        <f>Sale!O56*$V$3</f>
        <v>0</v>
      </c>
      <c r="AC207" s="2549">
        <f>AC133</f>
        <v>2019</v>
      </c>
      <c r="AD207" s="2565"/>
      <c r="AE207" s="2565">
        <f>Sale!I146*$AE$3</f>
        <v>11011.5</v>
      </c>
      <c r="AF207" s="2565">
        <f>Sale!K146*$AE$3</f>
        <v>0</v>
      </c>
      <c r="AG207" s="2558">
        <f>Sale!L146*$AE$3</f>
        <v>0</v>
      </c>
      <c r="AH207" s="2558">
        <f>Sale!M146*$AE$3</f>
        <v>0</v>
      </c>
      <c r="AI207" s="2558">
        <f>Sale!N146*$AE$3</f>
        <v>0</v>
      </c>
      <c r="AJ207" s="2559">
        <f>Sale!O146*$AE$3</f>
        <v>0</v>
      </c>
      <c r="AL207" s="2549">
        <v>2019</v>
      </c>
      <c r="AM207" s="2565"/>
      <c r="AN207" s="2565">
        <f>Sale!I196*'Inv. wine'!$AN$3</f>
        <v>1835</v>
      </c>
      <c r="AO207" s="2565">
        <f>Sale!K196*'Inv. wine'!$AN$3</f>
        <v>0</v>
      </c>
      <c r="AP207" s="2558">
        <f>Sale!L196*'Inv. wine'!$AN$3</f>
        <v>0</v>
      </c>
      <c r="AQ207" s="2558">
        <f>Sale!M196*'Inv. wine'!$AN$3</f>
        <v>0</v>
      </c>
      <c r="AR207" s="2558">
        <f>Sale!N196*'Inv. wine'!$AN$3</f>
        <v>0</v>
      </c>
      <c r="AS207" s="2559">
        <f>Sale!O196*'Inv. wine'!$AN$3</f>
        <v>0</v>
      </c>
    </row>
    <row r="208" spans="2:45">
      <c r="B208" s="2549">
        <f t="shared" si="370"/>
        <v>2020</v>
      </c>
      <c r="C208" s="2604">
        <f>(Sale!T20+Sale!U20+Sale!V20+Sale!W20)*D3</f>
        <v>0</v>
      </c>
      <c r="D208" s="2565">
        <f>Sale!X20*$D$3</f>
        <v>0</v>
      </c>
      <c r="E208" s="2556">
        <f>Sale!Y20*$D$3</f>
        <v>0</v>
      </c>
      <c r="F208" s="2556">
        <f>Sale!Z20*$D$3</f>
        <v>0</v>
      </c>
      <c r="G208" s="2556">
        <f>Sale!AA20*$D$3</f>
        <v>0</v>
      </c>
      <c r="H208" s="2556">
        <f>Sale!AB20*$D$3</f>
        <v>0</v>
      </c>
      <c r="I208" s="2557">
        <f>Sale!AC20*$D$3</f>
        <v>0</v>
      </c>
      <c r="K208" s="2549">
        <f t="shared" si="371"/>
        <v>2020</v>
      </c>
      <c r="L208" s="2565"/>
      <c r="M208" s="2565"/>
      <c r="N208" s="2556">
        <f>Sale!AH20*$D$3</f>
        <v>0</v>
      </c>
      <c r="O208" s="2556">
        <f>Sale!AI20*$D$3</f>
        <v>0</v>
      </c>
      <c r="P208" s="2556">
        <f>Sale!AJ20*$D$3</f>
        <v>0</v>
      </c>
      <c r="Q208" s="2556">
        <f>Sale!AK20*$D$3</f>
        <v>0</v>
      </c>
      <c r="R208" s="2557">
        <f>Sale!AL20*$D$3</f>
        <v>0</v>
      </c>
      <c r="T208" s="2549">
        <f>T134</f>
        <v>2020</v>
      </c>
      <c r="U208" s="2558">
        <f>Sale!I57*$V$3</f>
        <v>0</v>
      </c>
      <c r="V208" s="2558">
        <f>Sale!J57*$V$3</f>
        <v>0</v>
      </c>
      <c r="W208" s="2558">
        <f>Sale!K57*$V$3</f>
        <v>0</v>
      </c>
      <c r="X208" s="2558">
        <f>Sale!L57*$V$3</f>
        <v>0</v>
      </c>
      <c r="Y208" s="2558">
        <f>Sale!M57*$V$3</f>
        <v>0</v>
      </c>
      <c r="Z208" s="2558">
        <f>Sale!N57*$V$3</f>
        <v>0</v>
      </c>
      <c r="AA208" s="2559">
        <f>Sale!O57*$V$3</f>
        <v>0</v>
      </c>
      <c r="AC208" s="2549">
        <f>AC134</f>
        <v>2020</v>
      </c>
      <c r="AD208" s="2558">
        <f>Sale!I147*$AE$3</f>
        <v>0</v>
      </c>
      <c r="AE208" s="2558">
        <f>Sale!J147*$AE$3</f>
        <v>9225</v>
      </c>
      <c r="AF208" s="2558">
        <f>Sale!K147*$AE$3</f>
        <v>0</v>
      </c>
      <c r="AG208" s="2558">
        <f>Sale!L147*$AE$3</f>
        <v>0</v>
      </c>
      <c r="AH208" s="2558">
        <f>Sale!M147*$AE$3</f>
        <v>0</v>
      </c>
      <c r="AI208" s="2558">
        <f>Sale!N147*$AE$3</f>
        <v>0</v>
      </c>
      <c r="AJ208" s="2559">
        <f>Sale!O147*$AE$3</f>
        <v>0</v>
      </c>
      <c r="AL208" s="2549">
        <f t="shared" ref="AL208:AL217" si="372">AL134</f>
        <v>2020</v>
      </c>
      <c r="AM208" s="2558">
        <f>Sale!I197*'Inv. wine'!$AN$3</f>
        <v>0</v>
      </c>
      <c r="AN208" s="2558">
        <f>Sale!J197*'Inv. wine'!$AN$3</f>
        <v>0</v>
      </c>
      <c r="AO208" s="2558">
        <f>Sale!K197*'Inv. wine'!$AN$3</f>
        <v>0</v>
      </c>
      <c r="AP208" s="2558">
        <f>Sale!L197*'Inv. wine'!$AN$3</f>
        <v>0</v>
      </c>
      <c r="AQ208" s="2558">
        <f>Sale!M197*'Inv. wine'!$AN$3</f>
        <v>0</v>
      </c>
      <c r="AR208" s="2558">
        <f>Sale!N197*'Inv. wine'!$AN$3</f>
        <v>0</v>
      </c>
      <c r="AS208" s="2559">
        <f>Sale!O197*'Inv. wine'!$AN$3</f>
        <v>0</v>
      </c>
    </row>
    <row r="209" spans="2:45">
      <c r="B209" s="2549">
        <f t="shared" si="370"/>
        <v>2021</v>
      </c>
      <c r="C209" s="2604">
        <f>(Sale!T22+Sale!U22+Sale!V22+Sale!W22+Sale!X22)*D3</f>
        <v>1756.5</v>
      </c>
      <c r="D209" s="2565">
        <f>Sale!X21*$D$3</f>
        <v>0</v>
      </c>
      <c r="E209" s="2556">
        <f>Sale!Y21*$D$3</f>
        <v>0</v>
      </c>
      <c r="F209" s="2556">
        <f>Sale!Z21*$D$3</f>
        <v>0</v>
      </c>
      <c r="G209" s="2556">
        <f>Sale!AA21*$D$3</f>
        <v>0</v>
      </c>
      <c r="H209" s="2556">
        <f>Sale!AB21*$D$3</f>
        <v>0</v>
      </c>
      <c r="I209" s="2557">
        <f>Sale!AC21*$D$3</f>
        <v>0</v>
      </c>
      <c r="K209" s="2549">
        <f t="shared" si="371"/>
        <v>2021</v>
      </c>
      <c r="L209" s="2565">
        <f>'Prod info'!P269</f>
        <v>3950</v>
      </c>
      <c r="M209" s="2565"/>
      <c r="N209" s="2556">
        <f>Sale!AH21*$D$3</f>
        <v>0</v>
      </c>
      <c r="O209" s="2556">
        <f>Sale!AI21*$D$3</f>
        <v>0</v>
      </c>
      <c r="P209" s="2556">
        <f>Sale!AJ21*$D$3</f>
        <v>0</v>
      </c>
      <c r="Q209" s="2556">
        <f>Sale!AK21*$D$3</f>
        <v>0</v>
      </c>
      <c r="R209" s="2557">
        <f>Sale!AL21*$D$3</f>
        <v>0</v>
      </c>
      <c r="T209" s="2549">
        <f>T135</f>
        <v>2021</v>
      </c>
      <c r="U209" s="2558">
        <f>Sale!I58*$V$3</f>
        <v>0</v>
      </c>
      <c r="V209" s="2558">
        <f>Sale!J58*$V$3</f>
        <v>0</v>
      </c>
      <c r="W209" s="2558">
        <f>Sale!K58*$V$3</f>
        <v>0</v>
      </c>
      <c r="X209" s="2558">
        <f>Sale!L58*$V$3</f>
        <v>0</v>
      </c>
      <c r="Y209" s="2558">
        <f>Sale!M58*$V$3</f>
        <v>0</v>
      </c>
      <c r="Z209" s="2558">
        <f>Sale!N58*$V$3</f>
        <v>0</v>
      </c>
      <c r="AA209" s="2559">
        <f>Sale!O58*$V$3</f>
        <v>0</v>
      </c>
      <c r="AC209" s="2549">
        <f>AC135</f>
        <v>2021</v>
      </c>
      <c r="AD209" s="2558">
        <f>Sale!I148*$AE$3</f>
        <v>0</v>
      </c>
      <c r="AE209" s="2558">
        <f>Sale!J148*$AE$3</f>
        <v>18900</v>
      </c>
      <c r="AF209" s="2558">
        <f>Sale!K148*$AE$3</f>
        <v>0</v>
      </c>
      <c r="AG209" s="2558">
        <f>Sale!L148*$AE$3</f>
        <v>0</v>
      </c>
      <c r="AH209" s="2558">
        <f>Sale!M148*$AE$3</f>
        <v>0</v>
      </c>
      <c r="AI209" s="2558">
        <f>Sale!N148*$AE$3</f>
        <v>0</v>
      </c>
      <c r="AJ209" s="2559">
        <f>Sale!O148*$AE$3</f>
        <v>0</v>
      </c>
      <c r="AL209" s="2549">
        <f t="shared" si="372"/>
        <v>2021</v>
      </c>
      <c r="AM209" s="2558">
        <f>Sale!I198*'Inv. wine'!$AN$3</f>
        <v>0</v>
      </c>
      <c r="AN209" s="2558">
        <f>Sale!J198*'Inv. wine'!$AN$3</f>
        <v>0</v>
      </c>
      <c r="AO209" s="2558">
        <f>Sale!K198*'Inv. wine'!$AN$3</f>
        <v>0</v>
      </c>
      <c r="AP209" s="2558">
        <f>Sale!L198*'Inv. wine'!$AN$3</f>
        <v>0</v>
      </c>
      <c r="AQ209" s="2558">
        <f>Sale!M198*'Inv. wine'!$AN$3</f>
        <v>0</v>
      </c>
      <c r="AR209" s="2558">
        <f>Sale!N198*'Inv. wine'!$AN$3</f>
        <v>0</v>
      </c>
      <c r="AS209" s="2559">
        <f>Sale!O198*'Inv. wine'!$AN$3</f>
        <v>0</v>
      </c>
    </row>
    <row r="210" spans="2:45">
      <c r="B210" s="2549">
        <f t="shared" si="370"/>
        <v>2022</v>
      </c>
      <c r="C210" s="2565">
        <f>C136</f>
        <v>0</v>
      </c>
      <c r="D210" s="2565">
        <f>D136</f>
        <v>0</v>
      </c>
      <c r="E210" s="2556">
        <f>Sale!Y22*$D$3</f>
        <v>0</v>
      </c>
      <c r="F210" s="2556">
        <f>Sale!Z22*$D$3</f>
        <v>0</v>
      </c>
      <c r="G210" s="2556">
        <f>Sale!AA22*$D$3</f>
        <v>0</v>
      </c>
      <c r="H210" s="2556">
        <f>Sale!AB22*$D$3</f>
        <v>0</v>
      </c>
      <c r="I210" s="2557">
        <f>Sale!AC22*$D$3</f>
        <v>0</v>
      </c>
      <c r="K210" s="2549">
        <f t="shared" si="371"/>
        <v>2022</v>
      </c>
      <c r="L210" s="2565"/>
      <c r="M210" s="2565"/>
      <c r="N210" s="2556">
        <f>Sale!AH22*$D$3</f>
        <v>0</v>
      </c>
      <c r="O210" s="2556">
        <f>Sale!AI22*$D$3</f>
        <v>0</v>
      </c>
      <c r="P210" s="2556">
        <f>Sale!AJ22*$D$3</f>
        <v>0</v>
      </c>
      <c r="Q210" s="2556">
        <f>Sale!AK22*$D$3</f>
        <v>0</v>
      </c>
      <c r="R210" s="2557">
        <f>Sale!AL22*$D$3</f>
        <v>0</v>
      </c>
      <c r="T210" s="2549">
        <v>2022</v>
      </c>
      <c r="U210" s="2558">
        <f>Sale!I59*$V$3</f>
        <v>0</v>
      </c>
      <c r="V210" s="2558">
        <f>Sale!J59*$V$3</f>
        <v>0</v>
      </c>
      <c r="W210" s="2558">
        <f>Sale!K59*$V$3</f>
        <v>0</v>
      </c>
      <c r="X210" s="2558">
        <f>Sale!L59*$V$3</f>
        <v>0</v>
      </c>
      <c r="Y210" s="2558">
        <f>Sale!M59*$V$3</f>
        <v>0</v>
      </c>
      <c r="Z210" s="2558">
        <f>Sale!N59*$V$3</f>
        <v>0</v>
      </c>
      <c r="AA210" s="2559">
        <f>Sale!O59*$V$3</f>
        <v>0</v>
      </c>
      <c r="AC210" s="2549">
        <f>AC136</f>
        <v>2022</v>
      </c>
      <c r="AD210" s="2558">
        <f>Sale!I149*$AE$3</f>
        <v>0</v>
      </c>
      <c r="AE210" s="2558">
        <f ca="1">Sale!J149*$AE$3</f>
        <v>0</v>
      </c>
      <c r="AF210" s="2558">
        <f>Sale!K149*$AE$3</f>
        <v>0</v>
      </c>
      <c r="AG210" s="2558">
        <f>Sale!L149*$AE$3</f>
        <v>0</v>
      </c>
      <c r="AH210" s="2558">
        <f>Sale!M149*$AE$3</f>
        <v>0</v>
      </c>
      <c r="AI210" s="2558">
        <f>Sale!N149*$AE$3</f>
        <v>0</v>
      </c>
      <c r="AJ210" s="2559">
        <f>Sale!O149*$AE$3</f>
        <v>0</v>
      </c>
      <c r="AL210" s="2549">
        <f t="shared" si="372"/>
        <v>2022</v>
      </c>
      <c r="AM210" s="2558">
        <f>Sale!I199*'Inv. wine'!$AN$3</f>
        <v>0</v>
      </c>
      <c r="AN210" s="2558">
        <f>Sale!J199*'Inv. wine'!$AN$3</f>
        <v>0</v>
      </c>
      <c r="AO210" s="2558">
        <f>Sale!K199*'Inv. wine'!$AN$3</f>
        <v>0</v>
      </c>
      <c r="AP210" s="2558">
        <f>Sale!L199*'Inv. wine'!$AN$3</f>
        <v>0</v>
      </c>
      <c r="AQ210" s="2558">
        <f>Sale!M199*'Inv. wine'!$AN$3</f>
        <v>0</v>
      </c>
      <c r="AR210" s="2558">
        <f>Sale!N199*'Inv. wine'!$AN$3</f>
        <v>0</v>
      </c>
      <c r="AS210" s="2559">
        <f>Sale!O199*'Inv. wine'!$AN$3</f>
        <v>0</v>
      </c>
    </row>
    <row r="211" spans="2:45">
      <c r="B211" s="2549">
        <f t="shared" si="370"/>
        <v>2023</v>
      </c>
      <c r="C211" s="2556">
        <f>Sale!X23*$D$3</f>
        <v>0</v>
      </c>
      <c r="D211" s="2556">
        <f>Sale!Y23*$D$3</f>
        <v>1699.5</v>
      </c>
      <c r="E211" s="2556">
        <f>Sale!Z23*$D$3</f>
        <v>0</v>
      </c>
      <c r="F211" s="2556">
        <f>Sale!AA23*$D$3</f>
        <v>0</v>
      </c>
      <c r="G211" s="2556">
        <f>Sale!AB23*$D$3</f>
        <v>0</v>
      </c>
      <c r="H211" s="2556">
        <f>Sale!AC23*$D$3</f>
        <v>0</v>
      </c>
      <c r="I211" s="2557">
        <f>Sale!AD23*$D$3</f>
        <v>0</v>
      </c>
      <c r="K211" s="2549">
        <f t="shared" si="371"/>
        <v>2023</v>
      </c>
      <c r="L211" s="2556">
        <f>Sale!X74*$M$3</f>
        <v>0</v>
      </c>
      <c r="M211" s="2556">
        <f>Sale!Y75*$M$3</f>
        <v>0</v>
      </c>
      <c r="N211" s="2556">
        <f>Sale!Z75*$M$3</f>
        <v>0</v>
      </c>
      <c r="O211" s="2556">
        <f>Sale!AA75*$M$3</f>
        <v>0</v>
      </c>
      <c r="P211" s="2556">
        <f>Sale!AB75*$M$3</f>
        <v>0</v>
      </c>
      <c r="Q211" s="2556">
        <f>Sale!AC75*$M$3</f>
        <v>0</v>
      </c>
      <c r="R211" s="2557">
        <f>Sale!AD75*$M$3</f>
        <v>0</v>
      </c>
      <c r="T211" s="2549">
        <f t="shared" ref="T211:T217" si="373">T137</f>
        <v>2023</v>
      </c>
      <c r="U211" s="2558">
        <f>Sale!I60*$V$3</f>
        <v>0</v>
      </c>
      <c r="V211" s="2558">
        <f>Sale!J60*$V$3</f>
        <v>0</v>
      </c>
      <c r="W211" s="2558">
        <f>Sale!K60*$V$3</f>
        <v>0</v>
      </c>
      <c r="X211" s="2558">
        <f>Sale!L60*$V$3</f>
        <v>0</v>
      </c>
      <c r="Y211" s="2558">
        <f>Sale!M60*$V$3</f>
        <v>0</v>
      </c>
      <c r="Z211" s="2558">
        <f>Sale!N60*$V$3</f>
        <v>0</v>
      </c>
      <c r="AA211" s="2559">
        <f>Sale!O60*$V$3</f>
        <v>0</v>
      </c>
      <c r="AC211" s="2549">
        <v>2023</v>
      </c>
      <c r="AD211" s="2558">
        <f>Sale!I150*$AE$3</f>
        <v>0</v>
      </c>
      <c r="AE211" s="2558">
        <f>Sale!J150*$AE$3</f>
        <v>0</v>
      </c>
      <c r="AF211" s="2558">
        <f ca="1">Sale!K150*$AE$3</f>
        <v>31321</v>
      </c>
      <c r="AG211" s="2558">
        <f>Sale!L150*$AE$3</f>
        <v>0</v>
      </c>
      <c r="AH211" s="2558">
        <f>Sale!M150*$AE$3</f>
        <v>0</v>
      </c>
      <c r="AI211" s="2558">
        <f>Sale!N150*$AE$3</f>
        <v>0</v>
      </c>
      <c r="AJ211" s="2559">
        <f>Sale!O150*$AE$3</f>
        <v>0</v>
      </c>
      <c r="AL211" s="2549">
        <f t="shared" si="372"/>
        <v>2023</v>
      </c>
      <c r="AM211" s="2558">
        <f>Sale!I200*'Inv. wine'!$AN$3</f>
        <v>0</v>
      </c>
      <c r="AN211" s="2558">
        <f>Sale!J200*'Inv. wine'!$AN$3</f>
        <v>0</v>
      </c>
      <c r="AO211" s="2558">
        <f>Sale!K200*'Inv. wine'!$AN$3</f>
        <v>0</v>
      </c>
      <c r="AP211" s="2558">
        <f>Sale!L200*'Inv. wine'!$AN$3</f>
        <v>4275</v>
      </c>
      <c r="AQ211" s="2558">
        <f>Sale!M200*'Inv. wine'!$AN$3</f>
        <v>0</v>
      </c>
      <c r="AR211" s="2558">
        <f>Sale!N200*'Inv. wine'!$AN$3</f>
        <v>0</v>
      </c>
      <c r="AS211" s="2559">
        <f>Sale!O200*'Inv. wine'!$AN$3</f>
        <v>0</v>
      </c>
    </row>
    <row r="212" spans="2:45">
      <c r="B212" s="2549">
        <f t="shared" si="370"/>
        <v>2024</v>
      </c>
      <c r="C212" s="2556">
        <f>Sale!X24*$D$3</f>
        <v>0</v>
      </c>
      <c r="D212" s="2556">
        <f>Sale!Y24*$D$3</f>
        <v>0</v>
      </c>
      <c r="E212" s="2556">
        <f>Sale!Z24*$D$3</f>
        <v>2804.25</v>
      </c>
      <c r="F212" s="2556">
        <f>Sale!AA24*$D$3</f>
        <v>0</v>
      </c>
      <c r="G212" s="2556">
        <f>Sale!AB24*$D$3</f>
        <v>0</v>
      </c>
      <c r="H212" s="2556">
        <f>Sale!AC24*$D$3</f>
        <v>0</v>
      </c>
      <c r="I212" s="2557">
        <f>Sale!AD24*$D$3</f>
        <v>0</v>
      </c>
      <c r="K212" s="2549">
        <f t="shared" si="371"/>
        <v>2024</v>
      </c>
      <c r="L212" s="2556">
        <f>Sale!X75*$M$3</f>
        <v>0</v>
      </c>
      <c r="M212" s="2556">
        <f>Sale!Y76*$M$3</f>
        <v>0</v>
      </c>
      <c r="N212" s="2556">
        <f>Sale!Z76*$M$3</f>
        <v>0</v>
      </c>
      <c r="O212" s="2556">
        <f>Sale!AA76*$M$3</f>
        <v>0</v>
      </c>
      <c r="P212" s="2556">
        <f>Sale!AB76*$M$3</f>
        <v>0</v>
      </c>
      <c r="Q212" s="2556">
        <f>Sale!AC76*$M$3</f>
        <v>0</v>
      </c>
      <c r="R212" s="2557">
        <f>Sale!AD76*$M$3</f>
        <v>0</v>
      </c>
      <c r="T212" s="2549">
        <f t="shared" si="373"/>
        <v>2024</v>
      </c>
      <c r="U212" s="2558">
        <f>Sale!I61*$V$3</f>
        <v>0</v>
      </c>
      <c r="V212" s="2558">
        <f>Sale!J61*$V$3</f>
        <v>0</v>
      </c>
      <c r="W212" s="2558">
        <f>Sale!K61*$V$3</f>
        <v>0</v>
      </c>
      <c r="X212" s="2558">
        <f>Sale!L61*$V$3</f>
        <v>0</v>
      </c>
      <c r="Y212" s="2558">
        <f>Sale!M61*$V$3</f>
        <v>0</v>
      </c>
      <c r="Z212" s="2558">
        <f>Sale!N61*$V$3</f>
        <v>0</v>
      </c>
      <c r="AA212" s="2559">
        <f>Sale!O61*$V$3</f>
        <v>0</v>
      </c>
      <c r="AC212" s="2549">
        <f t="shared" ref="AC212:AC217" si="374">AC138</f>
        <v>2024</v>
      </c>
      <c r="AD212" s="2558">
        <f>Sale!I151*$AE$3</f>
        <v>0</v>
      </c>
      <c r="AE212" s="2558">
        <f>Sale!J151*$AE$3</f>
        <v>0</v>
      </c>
      <c r="AF212" s="2558">
        <f ca="1">Sale!K151*$AE$3</f>
        <v>0</v>
      </c>
      <c r="AG212" s="2558">
        <f ca="1">Sale!L151*$AE$3</f>
        <v>45368</v>
      </c>
      <c r="AH212" s="2558">
        <f>Sale!M151*$AE$3</f>
        <v>0</v>
      </c>
      <c r="AI212" s="2558">
        <f>Sale!N151*$AE$3</f>
        <v>0</v>
      </c>
      <c r="AJ212" s="2559">
        <f>Sale!O151*$AE$3</f>
        <v>0</v>
      </c>
      <c r="AL212" s="2549">
        <f t="shared" si="372"/>
        <v>2024</v>
      </c>
      <c r="AM212" s="2558">
        <f>Sale!I201*'Inv. wine'!$AN$3</f>
        <v>0</v>
      </c>
      <c r="AN212" s="2558">
        <f>Sale!J201*'Inv. wine'!$AN$3</f>
        <v>0</v>
      </c>
      <c r="AO212" s="2558">
        <f>Sale!K201*'Inv. wine'!$AN$3</f>
        <v>0</v>
      </c>
      <c r="AP212" s="2558">
        <f>Sale!L201*'Inv. wine'!$AN$3</f>
        <v>0</v>
      </c>
      <c r="AQ212" s="2558">
        <f>Sale!M201*'Inv. wine'!$AN$3</f>
        <v>5625</v>
      </c>
      <c r="AR212" s="2558">
        <f>Sale!N201*'Inv. wine'!$AN$3</f>
        <v>0</v>
      </c>
      <c r="AS212" s="2559">
        <f>Sale!O201*'Inv. wine'!$AN$3</f>
        <v>0</v>
      </c>
    </row>
    <row r="213" spans="2:45">
      <c r="B213" s="2549">
        <f t="shared" si="370"/>
        <v>2025</v>
      </c>
      <c r="C213" s="2556">
        <f>Sale!X25*$D$3</f>
        <v>0</v>
      </c>
      <c r="D213" s="2556">
        <f>Sale!Y25*$D$3</f>
        <v>0</v>
      </c>
      <c r="E213" s="2556">
        <f>Sale!Z25*$D$3</f>
        <v>0</v>
      </c>
      <c r="F213" s="2556">
        <f>Sale!AA25*$D$3</f>
        <v>3295.5</v>
      </c>
      <c r="G213" s="2556">
        <f>Sale!AB25*$D$3</f>
        <v>0</v>
      </c>
      <c r="H213" s="2556">
        <f>Sale!AC25*$D$3</f>
        <v>0</v>
      </c>
      <c r="I213" s="2557">
        <f>Sale!AD25*$D$3</f>
        <v>0</v>
      </c>
      <c r="K213" s="2549">
        <f t="shared" si="371"/>
        <v>2025</v>
      </c>
      <c r="L213" s="2556">
        <f>Sale!X76*$M$3</f>
        <v>0</v>
      </c>
      <c r="M213" s="2556">
        <f>Sale!Y77*$M$3</f>
        <v>0</v>
      </c>
      <c r="N213" s="2556">
        <f>Sale!Z77*$M$3</f>
        <v>0</v>
      </c>
      <c r="O213" s="2556">
        <f>Sale!AA77*$M$3</f>
        <v>0</v>
      </c>
      <c r="P213" s="2556">
        <f>Sale!AB77*$M$3</f>
        <v>0</v>
      </c>
      <c r="Q213" s="2556">
        <f>Sale!AC77*$M$3</f>
        <v>0</v>
      </c>
      <c r="R213" s="2557">
        <f>Sale!AD77*$M$3</f>
        <v>0</v>
      </c>
      <c r="T213" s="2549">
        <f t="shared" si="373"/>
        <v>2025</v>
      </c>
      <c r="U213" s="2558">
        <f>Sale!I62*$V$3</f>
        <v>0</v>
      </c>
      <c r="V213" s="2558">
        <f>Sale!J62*$V$3</f>
        <v>0</v>
      </c>
      <c r="W213" s="2558">
        <f>Sale!K62*$V$3</f>
        <v>0</v>
      </c>
      <c r="X213" s="2558">
        <f>Sale!L62*$V$3</f>
        <v>0</v>
      </c>
      <c r="Y213" s="2558">
        <f>Sale!M62*$V$3</f>
        <v>0</v>
      </c>
      <c r="Z213" s="2558">
        <f>Sale!N62*$V$3</f>
        <v>0</v>
      </c>
      <c r="AA213" s="2559">
        <f>Sale!O62*$V$3</f>
        <v>0</v>
      </c>
      <c r="AC213" s="2549">
        <f t="shared" si="374"/>
        <v>2025</v>
      </c>
      <c r="AD213" s="2558">
        <f>Sale!I152*$AE$3</f>
        <v>0</v>
      </c>
      <c r="AE213" s="2558">
        <f>Sale!J152*$AE$3</f>
        <v>0</v>
      </c>
      <c r="AF213" s="2558">
        <f>Sale!K152*$AE$3</f>
        <v>0</v>
      </c>
      <c r="AG213" s="2558">
        <f ca="1">Sale!L152*$AE$3</f>
        <v>0</v>
      </c>
      <c r="AH213" s="2558">
        <f ca="1">Sale!M152*$AE$3</f>
        <v>52746</v>
      </c>
      <c r="AI213" s="2558">
        <f>Sale!N152*$AE$3</f>
        <v>0</v>
      </c>
      <c r="AJ213" s="2559">
        <f>Sale!O152*$AE$3</f>
        <v>0</v>
      </c>
      <c r="AL213" s="2549">
        <f t="shared" si="372"/>
        <v>2025</v>
      </c>
      <c r="AM213" s="2558">
        <f>Sale!I202*'Inv. wine'!$AN$3</f>
        <v>0</v>
      </c>
      <c r="AN213" s="2558">
        <f>Sale!J202*'Inv. wine'!$AN$3</f>
        <v>0</v>
      </c>
      <c r="AO213" s="2558">
        <f>Sale!K202*'Inv. wine'!$AN$3</f>
        <v>0</v>
      </c>
      <c r="AP213" s="2558">
        <f>Sale!L202*'Inv. wine'!$AN$3</f>
        <v>0</v>
      </c>
      <c r="AQ213" s="2558">
        <f>Sale!M202*'Inv. wine'!$AN$3</f>
        <v>0</v>
      </c>
      <c r="AR213" s="2558">
        <f>Sale!N202*'Inv. wine'!$AN$3</f>
        <v>6525</v>
      </c>
      <c r="AS213" s="2559">
        <f>Sale!O202*'Inv. wine'!$AN$3</f>
        <v>0</v>
      </c>
    </row>
    <row r="214" spans="2:45">
      <c r="B214" s="2549">
        <f t="shared" si="370"/>
        <v>2026</v>
      </c>
      <c r="C214" s="2556">
        <f>Sale!X26*$D$3</f>
        <v>0</v>
      </c>
      <c r="D214" s="2556">
        <f>Sale!Y26*$D$3</f>
        <v>0</v>
      </c>
      <c r="E214" s="2556">
        <f>Sale!Z26*$D$3</f>
        <v>0</v>
      </c>
      <c r="F214" s="2556">
        <f>Sale!AA26*$D$3</f>
        <v>0</v>
      </c>
      <c r="G214" s="2556">
        <f>Sale!AB26*$D$3</f>
        <v>3312</v>
      </c>
      <c r="H214" s="2556">
        <f>Sale!AC26*$D$3</f>
        <v>0</v>
      </c>
      <c r="I214" s="2557">
        <f>Sale!AD26*$D$3</f>
        <v>0</v>
      </c>
      <c r="K214" s="2549">
        <f t="shared" si="371"/>
        <v>2026</v>
      </c>
      <c r="L214" s="2556">
        <f>Sale!X77*$M$3</f>
        <v>0</v>
      </c>
      <c r="M214" s="2556">
        <f>Sale!Y78*$M$3</f>
        <v>0</v>
      </c>
      <c r="N214" s="2556">
        <f>Sale!Z78*$M$3</f>
        <v>0</v>
      </c>
      <c r="O214" s="2556">
        <f>Sale!AA78*$M$3</f>
        <v>0</v>
      </c>
      <c r="P214" s="2556">
        <f>Sale!AB78*$M$3</f>
        <v>0</v>
      </c>
      <c r="Q214" s="2556">
        <f>Sale!AC78*$M$3</f>
        <v>0</v>
      </c>
      <c r="R214" s="2557">
        <f>Sale!AD78*$M$3</f>
        <v>0</v>
      </c>
      <c r="T214" s="2549">
        <f t="shared" si="373"/>
        <v>2026</v>
      </c>
      <c r="U214" s="2558">
        <f>Sale!I63*$V$3</f>
        <v>0</v>
      </c>
      <c r="V214" s="2558">
        <f>Sale!J63*$V$3</f>
        <v>0</v>
      </c>
      <c r="W214" s="2558">
        <f>Sale!K63*$V$3</f>
        <v>0</v>
      </c>
      <c r="X214" s="2558">
        <f>Sale!L63*$V$3</f>
        <v>0</v>
      </c>
      <c r="Y214" s="2558">
        <f>Sale!M63*$V$3</f>
        <v>0</v>
      </c>
      <c r="Z214" s="2558">
        <f>Sale!N63*$V$3</f>
        <v>0</v>
      </c>
      <c r="AA214" s="2559">
        <f>Sale!O63*$V$3</f>
        <v>0</v>
      </c>
      <c r="AC214" s="2549">
        <f t="shared" si="374"/>
        <v>2026</v>
      </c>
      <c r="AD214" s="2558">
        <f>Sale!I153*$AE$3</f>
        <v>0</v>
      </c>
      <c r="AE214" s="2558">
        <f>Sale!J153*$AE$3</f>
        <v>0</v>
      </c>
      <c r="AF214" s="2558">
        <f>Sale!K153*$AE$3</f>
        <v>0</v>
      </c>
      <c r="AG214" s="2558">
        <f>Sale!L153*$AE$3</f>
        <v>0</v>
      </c>
      <c r="AH214" s="2558">
        <f ca="1">Sale!M153*$AE$3</f>
        <v>0</v>
      </c>
      <c r="AI214" s="2558">
        <f ca="1">Sale!N153*$AE$3</f>
        <v>52796</v>
      </c>
      <c r="AJ214" s="2559">
        <f>Sale!O153*$AE$3</f>
        <v>0</v>
      </c>
      <c r="AL214" s="2549">
        <f t="shared" si="372"/>
        <v>2026</v>
      </c>
      <c r="AM214" s="2558">
        <f>Sale!I203*'Inv. wine'!$AN$3</f>
        <v>0</v>
      </c>
      <c r="AN214" s="2558">
        <f>Sale!J203*'Inv. wine'!$AN$3</f>
        <v>0</v>
      </c>
      <c r="AO214" s="2558">
        <f>Sale!K203*'Inv. wine'!$AN$3</f>
        <v>0</v>
      </c>
      <c r="AP214" s="2558">
        <f>Sale!L203*'Inv. wine'!$AN$3</f>
        <v>0</v>
      </c>
      <c r="AQ214" s="2558">
        <f>Sale!M203*'Inv. wine'!$AN$3</f>
        <v>0</v>
      </c>
      <c r="AR214" s="2558">
        <f>Sale!N203*'Inv. wine'!$AN$3</f>
        <v>0</v>
      </c>
      <c r="AS214" s="2559">
        <f>Sale!O203*'Inv. wine'!$AN$3</f>
        <v>6525</v>
      </c>
    </row>
    <row r="215" spans="2:45">
      <c r="B215" s="2549">
        <f t="shared" si="370"/>
        <v>2027</v>
      </c>
      <c r="C215" s="2556">
        <f>Sale!X27*$D$3</f>
        <v>0</v>
      </c>
      <c r="D215" s="2556">
        <f>Sale!Y27*$D$3</f>
        <v>0</v>
      </c>
      <c r="E215" s="2556">
        <f>Sale!Z27*$D$3</f>
        <v>0</v>
      </c>
      <c r="F215" s="2556">
        <f>Sale!AA27*$D$3</f>
        <v>0</v>
      </c>
      <c r="G215" s="2556">
        <f>Sale!AB27*$D$3</f>
        <v>0</v>
      </c>
      <c r="H215" s="2556">
        <f>Sale!AC27*$D$3</f>
        <v>3312</v>
      </c>
      <c r="I215" s="2557">
        <f>Sale!AD27*$D$3</f>
        <v>0</v>
      </c>
      <c r="K215" s="2549">
        <f t="shared" si="371"/>
        <v>2027</v>
      </c>
      <c r="L215" s="2556">
        <f>Sale!X78*$M$3</f>
        <v>0</v>
      </c>
      <c r="M215" s="2556">
        <f>Sale!Y79*$M$3</f>
        <v>0</v>
      </c>
      <c r="N215" s="2556">
        <f>Sale!Z79*$M$3</f>
        <v>0</v>
      </c>
      <c r="O215" s="2556">
        <f>Sale!AA79*$M$3</f>
        <v>0</v>
      </c>
      <c r="P215" s="2556">
        <f>Sale!AB79*$M$3</f>
        <v>0</v>
      </c>
      <c r="Q215" s="2556">
        <f>Sale!AC79*$M$3</f>
        <v>0</v>
      </c>
      <c r="R215" s="2557">
        <f>Sale!AD79*$M$3</f>
        <v>0</v>
      </c>
      <c r="T215" s="2549">
        <f t="shared" si="373"/>
        <v>2027</v>
      </c>
      <c r="U215" s="2558">
        <f>Sale!I64*$V$3</f>
        <v>0</v>
      </c>
      <c r="V215" s="2558">
        <f>Sale!J64*$V$3</f>
        <v>0</v>
      </c>
      <c r="W215" s="2558">
        <f>Sale!K64*$V$3</f>
        <v>0</v>
      </c>
      <c r="X215" s="2558">
        <f>Sale!L64*$V$3</f>
        <v>0</v>
      </c>
      <c r="Y215" s="2558">
        <f>Sale!M64*$V$3</f>
        <v>0</v>
      </c>
      <c r="Z215" s="2558">
        <f>Sale!N64*$V$3</f>
        <v>0</v>
      </c>
      <c r="AA215" s="2559">
        <f>Sale!O64*$V$3</f>
        <v>0</v>
      </c>
      <c r="AC215" s="2549">
        <f t="shared" si="374"/>
        <v>2027</v>
      </c>
      <c r="AD215" s="2558">
        <f>Sale!I154*$AE$3</f>
        <v>0</v>
      </c>
      <c r="AE215" s="2558">
        <f>Sale!J154*$AE$3</f>
        <v>0</v>
      </c>
      <c r="AF215" s="2558">
        <f>Sale!K154*$AE$3</f>
        <v>0</v>
      </c>
      <c r="AG215" s="2558">
        <f>Sale!L154*$AE$3</f>
        <v>0</v>
      </c>
      <c r="AH215" s="2558">
        <f>Sale!M154*$AE$3</f>
        <v>0</v>
      </c>
      <c r="AI215" s="2558">
        <f ca="1">Sale!N154*$AE$3</f>
        <v>0</v>
      </c>
      <c r="AJ215" s="2559">
        <f ca="1">Sale!O154*$AE$3</f>
        <v>52796</v>
      </c>
      <c r="AL215" s="2549">
        <f t="shared" si="372"/>
        <v>2027</v>
      </c>
      <c r="AM215" s="2558">
        <f>Sale!I204*'Inv. wine'!$AN$3</f>
        <v>0</v>
      </c>
      <c r="AN215" s="2558">
        <f>Sale!J204*'Inv. wine'!$AN$3</f>
        <v>0</v>
      </c>
      <c r="AO215" s="2558">
        <f>Sale!K204*'Inv. wine'!$AN$3</f>
        <v>0</v>
      </c>
      <c r="AP215" s="2558">
        <f>Sale!L204*'Inv. wine'!$AN$3</f>
        <v>0</v>
      </c>
      <c r="AQ215" s="2558">
        <f>Sale!M204*'Inv. wine'!$AN$3</f>
        <v>0</v>
      </c>
      <c r="AR215" s="2558">
        <f>Sale!N204*'Inv. wine'!$AN$3</f>
        <v>0</v>
      </c>
      <c r="AS215" s="2559">
        <f>Sale!O204*'Inv. wine'!$AN$3</f>
        <v>0</v>
      </c>
    </row>
    <row r="216" spans="2:45">
      <c r="B216" s="2549">
        <f t="shared" si="370"/>
        <v>2028</v>
      </c>
      <c r="C216" s="2556">
        <f>Sale!X28*$D$3</f>
        <v>0</v>
      </c>
      <c r="D216" s="2556">
        <f>Sale!Y28*$D$3</f>
        <v>0</v>
      </c>
      <c r="E216" s="2556">
        <f>Sale!Z28*$D$3</f>
        <v>0</v>
      </c>
      <c r="F216" s="2556">
        <f>Sale!AA28*$D$3</f>
        <v>0</v>
      </c>
      <c r="G216" s="2556">
        <f>Sale!AB28*$D$3</f>
        <v>0</v>
      </c>
      <c r="H216" s="2556">
        <f>Sale!AC28*$D$3</f>
        <v>0</v>
      </c>
      <c r="I216" s="2557">
        <f>Sale!AD28*$D$3</f>
        <v>3312</v>
      </c>
      <c r="K216" s="2549">
        <f t="shared" si="371"/>
        <v>2028</v>
      </c>
      <c r="L216" s="2556">
        <f>Sale!X79*$M$3</f>
        <v>0</v>
      </c>
      <c r="M216" s="2556">
        <f>Sale!Y80*$M$3</f>
        <v>0</v>
      </c>
      <c r="N216" s="2556">
        <f>Sale!Z80*$M$3</f>
        <v>0</v>
      </c>
      <c r="O216" s="2556">
        <f>Sale!AA80*$M$3</f>
        <v>0</v>
      </c>
      <c r="P216" s="2556">
        <f>Sale!AB80*$M$3</f>
        <v>0</v>
      </c>
      <c r="Q216" s="2556">
        <f>Sale!AC80*$M$3</f>
        <v>0</v>
      </c>
      <c r="R216" s="2557">
        <f>Sale!AD80*$M$3</f>
        <v>0</v>
      </c>
      <c r="T216" s="2549">
        <f t="shared" si="373"/>
        <v>2028</v>
      </c>
      <c r="U216" s="2558">
        <f>Sale!I65*$V$3</f>
        <v>0</v>
      </c>
      <c r="V216" s="2558">
        <f>Sale!J65*$V$3</f>
        <v>0</v>
      </c>
      <c r="W216" s="2558">
        <f>Sale!K65*$V$3</f>
        <v>0</v>
      </c>
      <c r="X216" s="2558">
        <f>Sale!L65*$V$3</f>
        <v>0</v>
      </c>
      <c r="Y216" s="2558">
        <f>Sale!M65*$V$3</f>
        <v>0</v>
      </c>
      <c r="Z216" s="2558">
        <f>Sale!N65*$V$3</f>
        <v>0</v>
      </c>
      <c r="AA216" s="2559">
        <f>Sale!O65*$V$3</f>
        <v>0</v>
      </c>
      <c r="AC216" s="2549">
        <f t="shared" si="374"/>
        <v>2028</v>
      </c>
      <c r="AD216" s="2558">
        <f>Sale!I155*$AE$3</f>
        <v>0</v>
      </c>
      <c r="AE216" s="2558">
        <f>Sale!J155*$AE$3</f>
        <v>0</v>
      </c>
      <c r="AF216" s="2558">
        <f>Sale!K155*$AE$3</f>
        <v>0</v>
      </c>
      <c r="AG216" s="2558">
        <f>Sale!L155*$AE$3</f>
        <v>0</v>
      </c>
      <c r="AH216" s="2558">
        <f>Sale!M155*$AE$3</f>
        <v>0</v>
      </c>
      <c r="AI216" s="2558">
        <f>Sale!N155*$AE$3</f>
        <v>0</v>
      </c>
      <c r="AJ216" s="2559">
        <f ca="1">Sale!O155*$AE$3</f>
        <v>0</v>
      </c>
      <c r="AL216" s="2549">
        <f t="shared" si="372"/>
        <v>2028</v>
      </c>
      <c r="AM216" s="2558">
        <f>Sale!I205*'Inv. wine'!$AN$3</f>
        <v>0</v>
      </c>
      <c r="AN216" s="2558">
        <f>Sale!J205*'Inv. wine'!$AN$3</f>
        <v>0</v>
      </c>
      <c r="AO216" s="2558">
        <f>Sale!K205*'Inv. wine'!$AN$3</f>
        <v>0</v>
      </c>
      <c r="AP216" s="2558">
        <f>Sale!L205*'Inv. wine'!$AN$3</f>
        <v>0</v>
      </c>
      <c r="AQ216" s="2558">
        <f>Sale!M205*'Inv. wine'!$AN$3</f>
        <v>0</v>
      </c>
      <c r="AR216" s="2558">
        <f>Sale!N205*'Inv. wine'!$AN$3</f>
        <v>0</v>
      </c>
      <c r="AS216" s="2559">
        <f>Sale!O205*'Inv. wine'!$AN$3</f>
        <v>0</v>
      </c>
    </row>
    <row r="217" spans="2:45">
      <c r="B217" s="2549"/>
      <c r="C217" s="2556"/>
      <c r="D217" s="2556"/>
      <c r="E217" s="2556"/>
      <c r="F217" s="2556"/>
      <c r="G217" s="2556"/>
      <c r="H217" s="2556"/>
      <c r="I217" s="2557"/>
      <c r="K217" s="2549"/>
      <c r="L217" s="2556"/>
      <c r="M217" s="2556"/>
      <c r="N217" s="2556"/>
      <c r="O217" s="2556"/>
      <c r="P217" s="2556"/>
      <c r="Q217" s="2556"/>
      <c r="R217" s="2557"/>
      <c r="T217" s="2549">
        <f t="shared" si="373"/>
        <v>2029</v>
      </c>
      <c r="U217" s="2558"/>
      <c r="V217" s="2558"/>
      <c r="W217" s="2558"/>
      <c r="X217" s="2558"/>
      <c r="Y217" s="2558"/>
      <c r="Z217" s="2558"/>
      <c r="AA217" s="2559"/>
      <c r="AC217" s="2549">
        <f t="shared" si="374"/>
        <v>2029</v>
      </c>
      <c r="AD217" s="2558"/>
      <c r="AE217" s="2558"/>
      <c r="AF217" s="2558"/>
      <c r="AG217" s="2558"/>
      <c r="AH217" s="2558"/>
      <c r="AI217" s="2558"/>
      <c r="AJ217" s="2559"/>
      <c r="AL217" s="2549">
        <f t="shared" si="372"/>
        <v>2029</v>
      </c>
      <c r="AM217" s="2558"/>
      <c r="AN217" s="2558"/>
      <c r="AO217" s="2558"/>
      <c r="AP217" s="2558"/>
      <c r="AQ217" s="2558"/>
      <c r="AR217" s="2558"/>
      <c r="AS217" s="2559"/>
    </row>
    <row r="218" spans="2:45">
      <c r="B218" s="2549"/>
      <c r="C218" s="2566"/>
      <c r="D218" s="2566"/>
      <c r="E218" s="2566"/>
      <c r="F218" s="2566"/>
      <c r="G218" s="2566"/>
      <c r="H218" s="2566"/>
      <c r="I218" s="2547"/>
      <c r="K218" s="2549"/>
      <c r="L218" s="2566"/>
      <c r="M218" s="2566"/>
      <c r="N218" s="2566"/>
      <c r="O218" s="2566"/>
      <c r="P218" s="2566"/>
      <c r="Q218" s="2566"/>
      <c r="R218" s="2547"/>
      <c r="T218" s="2549"/>
      <c r="U218" s="2566"/>
      <c r="V218" s="2566"/>
      <c r="W218" s="2566"/>
      <c r="X218" s="2566"/>
      <c r="Y218" s="2566"/>
      <c r="Z218" s="2566"/>
      <c r="AA218" s="2547"/>
      <c r="AC218" s="2549"/>
      <c r="AJ218" s="2547"/>
      <c r="AL218" s="2549"/>
      <c r="AM218" s="2566"/>
      <c r="AN218" s="2566"/>
      <c r="AO218" s="2566"/>
      <c r="AP218" s="2566"/>
      <c r="AQ218" s="2566"/>
      <c r="AR218" s="2566"/>
      <c r="AS218" s="2547"/>
    </row>
    <row r="219" spans="2:45">
      <c r="B219" s="2546" t="s">
        <v>793</v>
      </c>
      <c r="C219" s="2566"/>
      <c r="D219" s="2566"/>
      <c r="E219" s="2566"/>
      <c r="F219" s="2566"/>
      <c r="G219" s="2566"/>
      <c r="H219" s="2566"/>
      <c r="I219" s="2547"/>
      <c r="K219" s="2546" t="s">
        <v>793</v>
      </c>
      <c r="L219" s="2566"/>
      <c r="M219" s="2566"/>
      <c r="N219" s="2566"/>
      <c r="O219" s="2566"/>
      <c r="P219" s="2566"/>
      <c r="Q219" s="2566"/>
      <c r="R219" s="2547"/>
      <c r="T219" s="2546" t="s">
        <v>793</v>
      </c>
      <c r="U219" s="2566"/>
      <c r="V219" s="2566"/>
      <c r="W219" s="2566"/>
      <c r="X219" s="2566"/>
      <c r="Y219" s="2566"/>
      <c r="Z219" s="2566"/>
      <c r="AA219" s="2547"/>
      <c r="AC219" s="2546" t="s">
        <v>793</v>
      </c>
      <c r="AD219" s="2482"/>
      <c r="AE219" s="2482"/>
      <c r="AF219" s="2482"/>
      <c r="AG219" s="2482"/>
      <c r="AJ219" s="2547"/>
      <c r="AL219" s="2546" t="s">
        <v>793</v>
      </c>
      <c r="AM219" s="2566"/>
      <c r="AN219" s="2566"/>
      <c r="AO219" s="2566"/>
      <c r="AP219" s="2566"/>
      <c r="AQ219" s="2566"/>
      <c r="AR219" s="2566"/>
      <c r="AS219" s="2547"/>
    </row>
    <row r="220" spans="2:45">
      <c r="B220" s="2549">
        <v>2018</v>
      </c>
      <c r="C220" s="2583">
        <f ca="1">C175</f>
        <v>8.7103770536430467</v>
      </c>
      <c r="D220" s="2583">
        <f t="shared" ref="D220:I220" ca="1" si="375">D175</f>
        <v>8.7103770536430467</v>
      </c>
      <c r="E220" s="2583">
        <f t="shared" ca="1" si="375"/>
        <v>8.7103770536430467</v>
      </c>
      <c r="F220" s="2583">
        <f t="shared" ca="1" si="375"/>
        <v>8.7103770536430467</v>
      </c>
      <c r="G220" s="2583">
        <f t="shared" ca="1" si="375"/>
        <v>8.7103770536430467</v>
      </c>
      <c r="H220" s="2583">
        <f t="shared" ca="1" si="375"/>
        <v>8.7103770536430467</v>
      </c>
      <c r="I220" s="2580">
        <f t="shared" ca="1" si="375"/>
        <v>8.7103770536430467</v>
      </c>
      <c r="K220" s="2549">
        <v>2018</v>
      </c>
      <c r="L220" s="2583">
        <f t="shared" ref="L220:L230" ca="1" si="376">L175</f>
        <v>6.8319268345058832</v>
      </c>
      <c r="M220" s="2583">
        <f t="shared" ref="M220:R220" ca="1" si="377">M175</f>
        <v>6.8319268345058832</v>
      </c>
      <c r="N220" s="2583">
        <f t="shared" ca="1" si="377"/>
        <v>6.8319268345058832</v>
      </c>
      <c r="O220" s="2583">
        <f t="shared" ca="1" si="377"/>
        <v>6.8319268345058832</v>
      </c>
      <c r="P220" s="2583">
        <f t="shared" ca="1" si="377"/>
        <v>6.8319268345058832</v>
      </c>
      <c r="Q220" s="2583">
        <f t="shared" ca="1" si="377"/>
        <v>6.8319268345058832</v>
      </c>
      <c r="R220" s="2580">
        <f t="shared" ca="1" si="377"/>
        <v>6.8319268345058832</v>
      </c>
      <c r="T220" s="2549">
        <f>T206</f>
        <v>2018</v>
      </c>
      <c r="U220" s="2583">
        <f ca="1">U175</f>
        <v>9.8731252111203602</v>
      </c>
      <c r="V220" s="2583">
        <f t="shared" ref="U220:AA223" ca="1" si="378">V175</f>
        <v>9.8731252111203602</v>
      </c>
      <c r="W220" s="2583">
        <f t="shared" ca="1" si="378"/>
        <v>9.8731252111203602</v>
      </c>
      <c r="X220" s="2583">
        <f t="shared" ca="1" si="378"/>
        <v>9.8731252111203602</v>
      </c>
      <c r="Y220" s="2583">
        <f t="shared" ca="1" si="378"/>
        <v>9.8731252111203602</v>
      </c>
      <c r="Z220" s="2583">
        <f t="shared" ca="1" si="378"/>
        <v>9.8731252111203602</v>
      </c>
      <c r="AA220" s="2580">
        <f t="shared" ca="1" si="378"/>
        <v>9.8731252111203602</v>
      </c>
      <c r="AC220" s="2549">
        <f>AC206</f>
        <v>2018</v>
      </c>
      <c r="AD220" s="2482">
        <f t="shared" ref="AD220:AJ224" ca="1" si="379">AD175</f>
        <v>9.8731252111203602</v>
      </c>
      <c r="AE220" s="2482">
        <f t="shared" ca="1" si="379"/>
        <v>9.8731252111203602</v>
      </c>
      <c r="AF220" s="2482">
        <f t="shared" ca="1" si="379"/>
        <v>9.8731252111203602</v>
      </c>
      <c r="AG220" s="2482">
        <f t="shared" ca="1" si="379"/>
        <v>9.8731252111203602</v>
      </c>
      <c r="AH220" s="2482">
        <f t="shared" ca="1" si="379"/>
        <v>9.8731252111203602</v>
      </c>
      <c r="AI220" s="2482">
        <f t="shared" ca="1" si="379"/>
        <v>9.8731252111203602</v>
      </c>
      <c r="AJ220" s="2580">
        <f t="shared" ca="1" si="379"/>
        <v>9.8731252111203602</v>
      </c>
      <c r="AL220" s="2549">
        <f>AL206</f>
        <v>2018</v>
      </c>
      <c r="AM220" s="2583">
        <f t="shared" ref="AM220:AS231" ca="1" si="380">AM175</f>
        <v>10.427864079056244</v>
      </c>
      <c r="AN220" s="2583">
        <f t="shared" ca="1" si="380"/>
        <v>10.427864079056244</v>
      </c>
      <c r="AO220" s="2583">
        <f t="shared" ca="1" si="380"/>
        <v>10.427864079056244</v>
      </c>
      <c r="AP220" s="2583">
        <f t="shared" ca="1" si="380"/>
        <v>10.427864079056244</v>
      </c>
      <c r="AQ220" s="2583">
        <f t="shared" ca="1" si="380"/>
        <v>10.427864079056244</v>
      </c>
      <c r="AR220" s="2583">
        <f t="shared" ca="1" si="380"/>
        <v>10.427864079056244</v>
      </c>
      <c r="AS220" s="2580">
        <f t="shared" ca="1" si="380"/>
        <v>10.427864079056244</v>
      </c>
    </row>
    <row r="221" spans="2:45">
      <c r="B221" s="2549">
        <f t="shared" ref="B221:B230" si="381">B207</f>
        <v>2019</v>
      </c>
      <c r="C221" s="2583">
        <f t="shared" ref="C221:C230" ca="1" si="382">C176</f>
        <v>8.7103770536430467</v>
      </c>
      <c r="D221" s="2583">
        <f t="shared" ref="D221:I230" ca="1" si="383">D176</f>
        <v>8.7103770536430467</v>
      </c>
      <c r="E221" s="2583">
        <f t="shared" ca="1" si="383"/>
        <v>8.7103770536430467</v>
      </c>
      <c r="F221" s="2583">
        <f t="shared" ca="1" si="383"/>
        <v>8.7103770536430467</v>
      </c>
      <c r="G221" s="2583">
        <f t="shared" ca="1" si="383"/>
        <v>8.7103770536430467</v>
      </c>
      <c r="H221" s="2583">
        <f t="shared" ca="1" si="383"/>
        <v>8.7103770536430467</v>
      </c>
      <c r="I221" s="2580">
        <f t="shared" ca="1" si="383"/>
        <v>8.7103770536430467</v>
      </c>
      <c r="K221" s="2549">
        <f t="shared" ref="K221:K230" si="384">K207</f>
        <v>2019</v>
      </c>
      <c r="L221" s="2583">
        <f t="shared" ca="1" si="376"/>
        <v>6.8319268345058832</v>
      </c>
      <c r="M221" s="2583">
        <f t="shared" ref="M221:R230" ca="1" si="385">M176</f>
        <v>6.8319268345058832</v>
      </c>
      <c r="N221" s="2583">
        <f t="shared" ca="1" si="385"/>
        <v>6.8319268345058832</v>
      </c>
      <c r="O221" s="2583">
        <f t="shared" ca="1" si="385"/>
        <v>6.8319268345058832</v>
      </c>
      <c r="P221" s="2583">
        <f t="shared" ca="1" si="385"/>
        <v>6.8319268345058832</v>
      </c>
      <c r="Q221" s="2583">
        <f t="shared" ca="1" si="385"/>
        <v>6.8319268345058832</v>
      </c>
      <c r="R221" s="2580">
        <f t="shared" ca="1" si="385"/>
        <v>6.8319268345058832</v>
      </c>
      <c r="T221" s="2549">
        <f>T207</f>
        <v>2019</v>
      </c>
      <c r="U221" s="2583">
        <f t="shared" ca="1" si="378"/>
        <v>10.405873785854075</v>
      </c>
      <c r="V221" s="2583">
        <f t="shared" ca="1" si="378"/>
        <v>10.405873785854075</v>
      </c>
      <c r="W221" s="2583">
        <f t="shared" ca="1" si="378"/>
        <v>10.405873785854075</v>
      </c>
      <c r="X221" s="2583">
        <f t="shared" ca="1" si="378"/>
        <v>10.405873785854075</v>
      </c>
      <c r="Y221" s="2583">
        <f t="shared" ca="1" si="378"/>
        <v>10.405873785854075</v>
      </c>
      <c r="Z221" s="2583">
        <f t="shared" ca="1" si="378"/>
        <v>10.405873785854075</v>
      </c>
      <c r="AA221" s="2580">
        <f t="shared" ca="1" si="378"/>
        <v>10.405873785854075</v>
      </c>
      <c r="AC221" s="2549">
        <f>AC207</f>
        <v>2019</v>
      </c>
      <c r="AD221" s="2482">
        <f t="shared" ca="1" si="379"/>
        <v>9.8731252111203602</v>
      </c>
      <c r="AE221" s="2482">
        <f t="shared" ca="1" si="379"/>
        <v>9.8731252111203602</v>
      </c>
      <c r="AF221" s="2482">
        <f t="shared" ca="1" si="379"/>
        <v>9.8731252111203602</v>
      </c>
      <c r="AG221" s="2482">
        <f t="shared" ca="1" si="379"/>
        <v>9.8731252111203602</v>
      </c>
      <c r="AH221" s="2482">
        <f t="shared" ca="1" si="379"/>
        <v>9.8731252111203602</v>
      </c>
      <c r="AI221" s="2482">
        <f t="shared" ca="1" si="379"/>
        <v>9.8731252111203602</v>
      </c>
      <c r="AJ221" s="2580">
        <f t="shared" ca="1" si="379"/>
        <v>9.8731252111203602</v>
      </c>
      <c r="AL221" s="2549">
        <v>2019</v>
      </c>
      <c r="AM221" s="2583">
        <f t="shared" ca="1" si="380"/>
        <v>10.427864079056244</v>
      </c>
      <c r="AN221" s="2583">
        <f t="shared" ca="1" si="380"/>
        <v>10.427864079056244</v>
      </c>
      <c r="AO221" s="2583">
        <f t="shared" ca="1" si="380"/>
        <v>10.427864079056244</v>
      </c>
      <c r="AP221" s="2583">
        <f t="shared" ca="1" si="380"/>
        <v>10.427864079056244</v>
      </c>
      <c r="AQ221" s="2583">
        <f t="shared" ca="1" si="380"/>
        <v>10.427864079056244</v>
      </c>
      <c r="AR221" s="2583">
        <f t="shared" ca="1" si="380"/>
        <v>10.427864079056244</v>
      </c>
      <c r="AS221" s="2580">
        <f t="shared" ca="1" si="380"/>
        <v>10.427864079056244</v>
      </c>
    </row>
    <row r="222" spans="2:45">
      <c r="B222" s="2549">
        <f t="shared" si="381"/>
        <v>2020</v>
      </c>
      <c r="C222" s="2583">
        <f t="shared" ca="1" si="382"/>
        <v>8.7103770536430467</v>
      </c>
      <c r="D222" s="2583">
        <f t="shared" ca="1" si="383"/>
        <v>8.7103770536430467</v>
      </c>
      <c r="E222" s="2583">
        <f t="shared" ca="1" si="383"/>
        <v>8.7103770536430467</v>
      </c>
      <c r="F222" s="2583">
        <f t="shared" ca="1" si="383"/>
        <v>8.7103770536430467</v>
      </c>
      <c r="G222" s="2583">
        <f t="shared" ca="1" si="383"/>
        <v>8.7103770536430467</v>
      </c>
      <c r="H222" s="2583">
        <f t="shared" ca="1" si="383"/>
        <v>8.7103770536430467</v>
      </c>
      <c r="I222" s="2580">
        <f t="shared" ca="1" si="383"/>
        <v>8.7103770536430467</v>
      </c>
      <c r="K222" s="2549">
        <f t="shared" si="384"/>
        <v>2020</v>
      </c>
      <c r="L222" s="2583">
        <f t="shared" ca="1" si="376"/>
        <v>6.8319268345058832</v>
      </c>
      <c r="M222" s="2583">
        <f t="shared" ca="1" si="385"/>
        <v>6.8319268345058832</v>
      </c>
      <c r="N222" s="2583">
        <f t="shared" ca="1" si="385"/>
        <v>6.8319268345058832</v>
      </c>
      <c r="O222" s="2583">
        <f t="shared" ca="1" si="385"/>
        <v>6.8319268345058832</v>
      </c>
      <c r="P222" s="2583">
        <f t="shared" ca="1" si="385"/>
        <v>6.8319268345058832</v>
      </c>
      <c r="Q222" s="2583">
        <f t="shared" ca="1" si="385"/>
        <v>6.8319268345058832</v>
      </c>
      <c r="R222" s="2580">
        <f t="shared" ca="1" si="385"/>
        <v>6.8319268345058832</v>
      </c>
      <c r="T222" s="2549">
        <f>T208</f>
        <v>2020</v>
      </c>
      <c r="U222" s="2583">
        <f t="shared" ca="1" si="378"/>
        <v>10.405873785854075</v>
      </c>
      <c r="V222" s="2583">
        <f t="shared" ca="1" si="378"/>
        <v>10.405873785854075</v>
      </c>
      <c r="W222" s="2583">
        <f t="shared" ca="1" si="378"/>
        <v>10.405873785854075</v>
      </c>
      <c r="X222" s="2583">
        <f t="shared" ca="1" si="378"/>
        <v>10.405873785854075</v>
      </c>
      <c r="Y222" s="2583">
        <f t="shared" ca="1" si="378"/>
        <v>10.405873785854075</v>
      </c>
      <c r="Z222" s="2583">
        <f t="shared" ca="1" si="378"/>
        <v>10.405873785854075</v>
      </c>
      <c r="AA222" s="2580">
        <f t="shared" ca="1" si="378"/>
        <v>10.405873785854075</v>
      </c>
      <c r="AC222" s="2549">
        <f>AC208</f>
        <v>2020</v>
      </c>
      <c r="AD222" s="2482">
        <f ca="1">AD177</f>
        <v>10.576717016238836</v>
      </c>
      <c r="AE222" s="2482">
        <f t="shared" ca="1" si="379"/>
        <v>10.576717016238836</v>
      </c>
      <c r="AF222" s="2482">
        <f t="shared" ca="1" si="379"/>
        <v>10.576717016238836</v>
      </c>
      <c r="AG222" s="2482">
        <f t="shared" ca="1" si="379"/>
        <v>10.576717016238836</v>
      </c>
      <c r="AH222" s="2482">
        <f t="shared" ca="1" si="379"/>
        <v>10.576717016238836</v>
      </c>
      <c r="AI222" s="2482">
        <f t="shared" ca="1" si="379"/>
        <v>10.576717016238836</v>
      </c>
      <c r="AJ222" s="2580">
        <f t="shared" ca="1" si="379"/>
        <v>10.576717016238836</v>
      </c>
      <c r="AL222" s="2549">
        <f t="shared" ref="AL222:AL230" si="386">AL208</f>
        <v>2020</v>
      </c>
      <c r="AM222" s="2583">
        <f t="shared" ca="1" si="380"/>
        <v>6.8319268345058823</v>
      </c>
      <c r="AN222" s="2583">
        <f t="shared" ca="1" si="380"/>
        <v>6.8319268345058823</v>
      </c>
      <c r="AO222" s="2583">
        <f t="shared" ca="1" si="380"/>
        <v>6.8319268345058823</v>
      </c>
      <c r="AP222" s="2583">
        <f t="shared" ca="1" si="380"/>
        <v>6.8319268345058823</v>
      </c>
      <c r="AQ222" s="2583">
        <f t="shared" ca="1" si="380"/>
        <v>6.8319268345058823</v>
      </c>
      <c r="AR222" s="2583">
        <f t="shared" ca="1" si="380"/>
        <v>6.8319268345058823</v>
      </c>
      <c r="AS222" s="2580">
        <f t="shared" ca="1" si="380"/>
        <v>6.8319268345058823</v>
      </c>
    </row>
    <row r="223" spans="2:45">
      <c r="B223" s="2549">
        <f t="shared" si="381"/>
        <v>2021</v>
      </c>
      <c r="C223" s="2583">
        <f t="shared" ca="1" si="382"/>
        <v>8.7103770536430467</v>
      </c>
      <c r="D223" s="2583">
        <f t="shared" ca="1" si="383"/>
        <v>8.7103770536430467</v>
      </c>
      <c r="E223" s="2583">
        <f t="shared" ca="1" si="383"/>
        <v>8.7103770536430467</v>
      </c>
      <c r="F223" s="2583">
        <f t="shared" ca="1" si="383"/>
        <v>8.7103770536430467</v>
      </c>
      <c r="G223" s="2583">
        <f t="shared" ca="1" si="383"/>
        <v>8.7103770536430467</v>
      </c>
      <c r="H223" s="2583">
        <f t="shared" ca="1" si="383"/>
        <v>8.7103770536430467</v>
      </c>
      <c r="I223" s="2580">
        <f t="shared" ca="1" si="383"/>
        <v>8.7103770536430467</v>
      </c>
      <c r="K223" s="2549">
        <f t="shared" si="384"/>
        <v>2021</v>
      </c>
      <c r="L223" s="2583">
        <f t="shared" ca="1" si="376"/>
        <v>8.739259767019611</v>
      </c>
      <c r="M223" s="2583">
        <f ca="1">M178</f>
        <v>6.8319268345058832</v>
      </c>
      <c r="N223" s="2583">
        <f t="shared" ca="1" si="385"/>
        <v>6.8319268345058832</v>
      </c>
      <c r="O223" s="2583">
        <f t="shared" ca="1" si="385"/>
        <v>6.8319268345058832</v>
      </c>
      <c r="P223" s="2583">
        <f t="shared" ca="1" si="385"/>
        <v>6.8319268345058832</v>
      </c>
      <c r="Q223" s="2583">
        <f t="shared" ca="1" si="385"/>
        <v>6.8319268345058832</v>
      </c>
      <c r="R223" s="2580">
        <f t="shared" ca="1" si="385"/>
        <v>6.8319268345058832</v>
      </c>
      <c r="T223" s="2549">
        <f>T209</f>
        <v>2021</v>
      </c>
      <c r="U223" s="2583">
        <f t="shared" ca="1" si="378"/>
        <v>6.8319268345058823</v>
      </c>
      <c r="V223" s="2583">
        <f ca="1">V178</f>
        <v>6.8319268345058823</v>
      </c>
      <c r="W223" s="2583">
        <f t="shared" ca="1" si="378"/>
        <v>6.8319268345058823</v>
      </c>
      <c r="X223" s="2583">
        <f t="shared" ca="1" si="378"/>
        <v>6.8319268345058823</v>
      </c>
      <c r="Y223" s="2583">
        <f t="shared" ca="1" si="378"/>
        <v>6.8319268345058823</v>
      </c>
      <c r="Z223" s="2583">
        <f t="shared" ca="1" si="378"/>
        <v>6.8319268345058823</v>
      </c>
      <c r="AA223" s="2580">
        <f t="shared" ca="1" si="378"/>
        <v>6.8319268345058823</v>
      </c>
      <c r="AC223" s="2549">
        <f>AC209</f>
        <v>2021</v>
      </c>
      <c r="AD223" s="2482">
        <f t="shared" ca="1" si="379"/>
        <v>10.576717016238836</v>
      </c>
      <c r="AE223" s="2482">
        <f t="shared" ca="1" si="379"/>
        <v>10.576717016238836</v>
      </c>
      <c r="AF223" s="2482">
        <f t="shared" ca="1" si="379"/>
        <v>10.576717016238836</v>
      </c>
      <c r="AG223" s="2482">
        <f t="shared" ca="1" si="379"/>
        <v>10.576717016238836</v>
      </c>
      <c r="AH223" s="2482">
        <f t="shared" ca="1" si="379"/>
        <v>10.576717016238836</v>
      </c>
      <c r="AI223" s="2482">
        <f t="shared" ca="1" si="379"/>
        <v>10.576717016238836</v>
      </c>
      <c r="AJ223" s="2580">
        <f t="shared" ca="1" si="379"/>
        <v>10.576717016238836</v>
      </c>
      <c r="AL223" s="2549">
        <f t="shared" si="386"/>
        <v>2021</v>
      </c>
      <c r="AM223" s="2583">
        <f t="shared" ca="1" si="380"/>
        <v>9.2939986349554928</v>
      </c>
      <c r="AN223" s="2583">
        <f t="shared" ca="1" si="380"/>
        <v>9.2939986349554928</v>
      </c>
      <c r="AO223" s="2583">
        <f t="shared" ca="1" si="380"/>
        <v>9.2939986349554928</v>
      </c>
      <c r="AP223" s="2583">
        <f t="shared" ca="1" si="380"/>
        <v>9.2939986349554928</v>
      </c>
      <c r="AQ223" s="2583">
        <f t="shared" ca="1" si="380"/>
        <v>9.2939986349554928</v>
      </c>
      <c r="AR223" s="2583">
        <f t="shared" ca="1" si="380"/>
        <v>9.2939986349554928</v>
      </c>
      <c r="AS223" s="2580">
        <f t="shared" ca="1" si="380"/>
        <v>9.2939986349554928</v>
      </c>
    </row>
    <row r="224" spans="2:45">
      <c r="B224" s="2549">
        <f t="shared" si="381"/>
        <v>2022</v>
      </c>
      <c r="C224" s="2583">
        <f t="shared" ca="1" si="382"/>
        <v>8.7103770536430467</v>
      </c>
      <c r="D224" s="2583">
        <f t="shared" ca="1" si="383"/>
        <v>8.7103770536430467</v>
      </c>
      <c r="E224" s="2583">
        <f t="shared" ca="1" si="383"/>
        <v>8.7103770536430467</v>
      </c>
      <c r="F224" s="2583">
        <f t="shared" ca="1" si="383"/>
        <v>8.7103770536430467</v>
      </c>
      <c r="G224" s="2583">
        <f t="shared" ca="1" si="383"/>
        <v>8.7103770536430467</v>
      </c>
      <c r="H224" s="2583">
        <f t="shared" ca="1" si="383"/>
        <v>8.7103770536430467</v>
      </c>
      <c r="I224" s="2580">
        <f t="shared" ca="1" si="383"/>
        <v>8.7103770536430467</v>
      </c>
      <c r="K224" s="2549">
        <f t="shared" si="384"/>
        <v>2022</v>
      </c>
      <c r="L224" s="2583">
        <f t="shared" ca="1" si="376"/>
        <v>6.8319268345058832</v>
      </c>
      <c r="M224" s="2583">
        <f t="shared" ca="1" si="385"/>
        <v>6.8319268345058832</v>
      </c>
      <c r="N224" s="2583">
        <f t="shared" ca="1" si="385"/>
        <v>6.8319268345058832</v>
      </c>
      <c r="O224" s="2583">
        <f t="shared" ca="1" si="385"/>
        <v>6.8319268345058832</v>
      </c>
      <c r="P224" s="2583">
        <f t="shared" ca="1" si="385"/>
        <v>6.8319268345058832</v>
      </c>
      <c r="Q224" s="2583">
        <f t="shared" ca="1" si="385"/>
        <v>6.8319268345058832</v>
      </c>
      <c r="R224" s="2580">
        <f t="shared" ca="1" si="385"/>
        <v>6.8319268345058832</v>
      </c>
      <c r="T224" s="2549">
        <v>2022</v>
      </c>
      <c r="U224" s="2583">
        <f t="shared" ref="U224:AA224" ca="1" si="387">U179</f>
        <v>6.8319268345058823</v>
      </c>
      <c r="V224" s="2583">
        <f t="shared" ca="1" si="387"/>
        <v>6.8319268345058823</v>
      </c>
      <c r="W224" s="2583">
        <f t="shared" ca="1" si="387"/>
        <v>6.8319268345058823</v>
      </c>
      <c r="X224" s="2583">
        <f t="shared" ca="1" si="387"/>
        <v>6.8319268345058823</v>
      </c>
      <c r="Y224" s="2583">
        <f t="shared" ca="1" si="387"/>
        <v>6.8319268345058823</v>
      </c>
      <c r="Z224" s="2583">
        <f t="shared" ca="1" si="387"/>
        <v>6.8319268345058823</v>
      </c>
      <c r="AA224" s="2580">
        <f t="shared" ca="1" si="387"/>
        <v>6.8319268345058823</v>
      </c>
      <c r="AC224" s="2549">
        <f>AC210</f>
        <v>2022</v>
      </c>
      <c r="AD224" s="2482">
        <f t="shared" ca="1" si="379"/>
        <v>6.8319268345058823</v>
      </c>
      <c r="AE224" s="2482">
        <f t="shared" ca="1" si="379"/>
        <v>6.8319268345058823</v>
      </c>
      <c r="AF224" s="2482">
        <f t="shared" ca="1" si="379"/>
        <v>6.8319268345058823</v>
      </c>
      <c r="AG224" s="2482">
        <f t="shared" ca="1" si="379"/>
        <v>6.8319268345058823</v>
      </c>
      <c r="AH224" s="2482">
        <f t="shared" ca="1" si="379"/>
        <v>6.8319268345058823</v>
      </c>
      <c r="AI224" s="2482">
        <f t="shared" ca="1" si="379"/>
        <v>6.8319268345058823</v>
      </c>
      <c r="AJ224" s="2580">
        <f t="shared" ca="1" si="379"/>
        <v>6.8319268345058823</v>
      </c>
      <c r="AL224" s="2549">
        <f t="shared" si="386"/>
        <v>2022</v>
      </c>
      <c r="AM224" s="2583">
        <f t="shared" ca="1" si="380"/>
        <v>9.2939986349554928</v>
      </c>
      <c r="AN224" s="2583">
        <f t="shared" ca="1" si="380"/>
        <v>9.2939986349554928</v>
      </c>
      <c r="AO224" s="2583">
        <f t="shared" ca="1" si="380"/>
        <v>9.2939986349554928</v>
      </c>
      <c r="AP224" s="2583">
        <f t="shared" ca="1" si="380"/>
        <v>9.2939986349554928</v>
      </c>
      <c r="AQ224" s="2583">
        <f t="shared" ca="1" si="380"/>
        <v>9.2939986349554928</v>
      </c>
      <c r="AR224" s="2583">
        <f t="shared" ca="1" si="380"/>
        <v>9.2939986349554928</v>
      </c>
      <c r="AS224" s="2580">
        <f t="shared" ca="1" si="380"/>
        <v>9.2939986349554928</v>
      </c>
    </row>
    <row r="225" spans="2:45">
      <c r="B225" s="2549">
        <f t="shared" si="381"/>
        <v>2023</v>
      </c>
      <c r="C225" s="2583">
        <f t="shared" ca="1" si="382"/>
        <v>8.8100934300169644</v>
      </c>
      <c r="D225" s="2583">
        <f t="shared" ca="1" si="383"/>
        <v>8.8100934300169644</v>
      </c>
      <c r="E225" s="2583">
        <f t="shared" ca="1" si="383"/>
        <v>8.8100934300169644</v>
      </c>
      <c r="F225" s="2583">
        <f t="shared" ca="1" si="383"/>
        <v>8.8100934300169644</v>
      </c>
      <c r="G225" s="2583">
        <f t="shared" ca="1" si="383"/>
        <v>8.8100934300169644</v>
      </c>
      <c r="H225" s="2583">
        <f t="shared" ca="1" si="383"/>
        <v>8.8100934300169644</v>
      </c>
      <c r="I225" s="2580">
        <f t="shared" ca="1" si="383"/>
        <v>8.8100934300169644</v>
      </c>
      <c r="K225" s="2549">
        <f t="shared" si="384"/>
        <v>2023</v>
      </c>
      <c r="L225" s="2583">
        <f t="shared" ca="1" si="376"/>
        <v>6.8319268345058832</v>
      </c>
      <c r="M225" s="2583">
        <f t="shared" ca="1" si="385"/>
        <v>6.8319268345058832</v>
      </c>
      <c r="N225" s="2583">
        <f t="shared" ca="1" si="385"/>
        <v>6.8319268345058832</v>
      </c>
      <c r="O225" s="2583">
        <f t="shared" ca="1" si="385"/>
        <v>6.8319268345058832</v>
      </c>
      <c r="P225" s="2583">
        <f t="shared" ca="1" si="385"/>
        <v>6.8319268345058832</v>
      </c>
      <c r="Q225" s="2583">
        <f t="shared" ca="1" si="385"/>
        <v>6.8319268345058832</v>
      </c>
      <c r="R225" s="2580">
        <f t="shared" ca="1" si="385"/>
        <v>6.8319268345058832</v>
      </c>
      <c r="T225" s="2549">
        <f t="shared" ref="T225:T231" si="388">T211</f>
        <v>2023</v>
      </c>
      <c r="U225" s="2583">
        <f t="shared" ref="U225:AA225" ca="1" si="389">U180</f>
        <v>6.8319268345058823</v>
      </c>
      <c r="V225" s="2583">
        <f t="shared" ca="1" si="389"/>
        <v>6.8319268345058823</v>
      </c>
      <c r="W225" s="2583">
        <f t="shared" ca="1" si="389"/>
        <v>6.8319268345058823</v>
      </c>
      <c r="X225" s="2583">
        <f t="shared" ca="1" si="389"/>
        <v>6.8319268345058823</v>
      </c>
      <c r="Y225" s="2583">
        <f t="shared" ca="1" si="389"/>
        <v>6.8319268345058823</v>
      </c>
      <c r="Z225" s="2583">
        <f t="shared" ca="1" si="389"/>
        <v>6.8319268345058823</v>
      </c>
      <c r="AA225" s="2580">
        <f t="shared" ca="1" si="389"/>
        <v>6.8319268345058823</v>
      </c>
      <c r="AC225" s="2549">
        <v>2023</v>
      </c>
      <c r="AD225" s="2482">
        <f t="shared" ref="AD225:AJ225" ca="1" si="390">AD180</f>
        <v>10.688334035692579</v>
      </c>
      <c r="AE225" s="2482">
        <f t="shared" ca="1" si="390"/>
        <v>10.688334035692579</v>
      </c>
      <c r="AF225" s="2482">
        <f t="shared" ca="1" si="390"/>
        <v>10.688334035692579</v>
      </c>
      <c r="AG225" s="2482">
        <f t="shared" ca="1" si="390"/>
        <v>10.688334035692579</v>
      </c>
      <c r="AH225" s="2482">
        <f t="shared" ca="1" si="390"/>
        <v>10.688334035692579</v>
      </c>
      <c r="AI225" s="2482">
        <f t="shared" ca="1" si="390"/>
        <v>10.688334035692579</v>
      </c>
      <c r="AJ225" s="2580">
        <f t="shared" ca="1" si="390"/>
        <v>10.688334035692579</v>
      </c>
      <c r="AL225" s="2549">
        <f t="shared" si="386"/>
        <v>2023</v>
      </c>
      <c r="AM225" s="2583">
        <f t="shared" ca="1" si="380"/>
        <v>11.544104127242187</v>
      </c>
      <c r="AN225" s="2583">
        <f t="shared" ca="1" si="380"/>
        <v>11.544104127242187</v>
      </c>
      <c r="AO225" s="2583">
        <f t="shared" ca="1" si="380"/>
        <v>11.544104127242187</v>
      </c>
      <c r="AP225" s="2583">
        <f t="shared" ca="1" si="380"/>
        <v>11.544104127242187</v>
      </c>
      <c r="AQ225" s="2583">
        <f t="shared" ca="1" si="380"/>
        <v>11.544104127242187</v>
      </c>
      <c r="AR225" s="2583">
        <f t="shared" ca="1" si="380"/>
        <v>11.544104127242187</v>
      </c>
      <c r="AS225" s="2580">
        <f t="shared" ca="1" si="380"/>
        <v>11.544104127242187</v>
      </c>
    </row>
    <row r="226" spans="2:45">
      <c r="B226" s="2549">
        <f t="shared" si="381"/>
        <v>2024</v>
      </c>
      <c r="C226" s="2583">
        <f t="shared" ca="1" si="382"/>
        <v>7.7594010833985561</v>
      </c>
      <c r="D226" s="2583">
        <f t="shared" ca="1" si="383"/>
        <v>7.7594010833985561</v>
      </c>
      <c r="E226" s="2583">
        <f t="shared" ca="1" si="383"/>
        <v>7.7594010833985561</v>
      </c>
      <c r="F226" s="2583">
        <f t="shared" ca="1" si="383"/>
        <v>7.7594010833985561</v>
      </c>
      <c r="G226" s="2583">
        <f t="shared" ca="1" si="383"/>
        <v>7.7594010833985561</v>
      </c>
      <c r="H226" s="2583">
        <f t="shared" ca="1" si="383"/>
        <v>7.7594010833985561</v>
      </c>
      <c r="I226" s="2580">
        <f t="shared" ca="1" si="383"/>
        <v>7.7594010833985561</v>
      </c>
      <c r="K226" s="2549">
        <f t="shared" si="384"/>
        <v>2024</v>
      </c>
      <c r="L226" s="2583">
        <f t="shared" ca="1" si="376"/>
        <v>5.7497670426344714</v>
      </c>
      <c r="M226" s="2583">
        <f t="shared" ca="1" si="385"/>
        <v>5.7497670426344714</v>
      </c>
      <c r="N226" s="2583">
        <f t="shared" ca="1" si="385"/>
        <v>5.7497670426344714</v>
      </c>
      <c r="O226" s="2583">
        <f t="shared" ca="1" si="385"/>
        <v>5.7497670426344714</v>
      </c>
      <c r="P226" s="2583">
        <f t="shared" ca="1" si="385"/>
        <v>5.7497670426344714</v>
      </c>
      <c r="Q226" s="2583">
        <f t="shared" ca="1" si="385"/>
        <v>5.7497670426344714</v>
      </c>
      <c r="R226" s="2580">
        <f t="shared" ca="1" si="385"/>
        <v>5.7497670426344714</v>
      </c>
      <c r="T226" s="2549">
        <f t="shared" si="388"/>
        <v>2024</v>
      </c>
      <c r="U226" s="2583">
        <f t="shared" ref="U226:AA226" ca="1" si="391">U181</f>
        <v>5.7497670426344705</v>
      </c>
      <c r="V226" s="2583">
        <f t="shared" ca="1" si="391"/>
        <v>5.7497670426344705</v>
      </c>
      <c r="W226" s="2583">
        <f t="shared" ca="1" si="391"/>
        <v>5.7497670426344705</v>
      </c>
      <c r="X226" s="2583">
        <f t="shared" ca="1" si="391"/>
        <v>5.7497670426344705</v>
      </c>
      <c r="Y226" s="2583">
        <f t="shared" ca="1" si="391"/>
        <v>5.7497670426344705</v>
      </c>
      <c r="Z226" s="2583">
        <f t="shared" ca="1" si="391"/>
        <v>5.7497670426344705</v>
      </c>
      <c r="AA226" s="2580">
        <f t="shared" ca="1" si="391"/>
        <v>5.7497670426344705</v>
      </c>
      <c r="AC226" s="2549">
        <f>AC212</f>
        <v>2024</v>
      </c>
      <c r="AD226" s="2482">
        <f t="shared" ref="AD226:AJ226" ca="1" si="392">AD181</f>
        <v>10.348815620760602</v>
      </c>
      <c r="AE226" s="2482">
        <f t="shared" ca="1" si="392"/>
        <v>10.348815620760602</v>
      </c>
      <c r="AF226" s="2482">
        <f t="shared" ca="1" si="392"/>
        <v>10.348815620760602</v>
      </c>
      <c r="AG226" s="2482">
        <f t="shared" ca="1" si="392"/>
        <v>10.348815620760602</v>
      </c>
      <c r="AH226" s="2482">
        <f t="shared" ca="1" si="392"/>
        <v>10.348815620760602</v>
      </c>
      <c r="AI226" s="2482">
        <f t="shared" ca="1" si="392"/>
        <v>10.348815620760602</v>
      </c>
      <c r="AJ226" s="2580">
        <f t="shared" ca="1" si="392"/>
        <v>10.348815620760602</v>
      </c>
      <c r="AL226" s="2549">
        <f t="shared" si="386"/>
        <v>2024</v>
      </c>
      <c r="AM226" s="2583">
        <f t="shared" ca="1" si="380"/>
        <v>11.21373911844071</v>
      </c>
      <c r="AN226" s="2583">
        <f t="shared" ca="1" si="380"/>
        <v>11.21373911844071</v>
      </c>
      <c r="AO226" s="2583">
        <f t="shared" ca="1" si="380"/>
        <v>11.21373911844071</v>
      </c>
      <c r="AP226" s="2583">
        <f t="shared" ca="1" si="380"/>
        <v>11.21373911844071</v>
      </c>
      <c r="AQ226" s="2583">
        <f t="shared" ca="1" si="380"/>
        <v>11.21373911844071</v>
      </c>
      <c r="AR226" s="2583">
        <f t="shared" ca="1" si="380"/>
        <v>11.21373911844071</v>
      </c>
      <c r="AS226" s="2580">
        <f t="shared" ca="1" si="380"/>
        <v>11.21373911844071</v>
      </c>
    </row>
    <row r="227" spans="2:45">
      <c r="B227" s="2549">
        <f t="shared" si="381"/>
        <v>2025</v>
      </c>
      <c r="C227" s="2583">
        <f t="shared" ca="1" si="382"/>
        <v>7.5483168187950405</v>
      </c>
      <c r="D227" s="2583">
        <f t="shared" ca="1" si="383"/>
        <v>7.5483168187950405</v>
      </c>
      <c r="E227" s="2583">
        <f t="shared" ca="1" si="383"/>
        <v>7.5483168187950405</v>
      </c>
      <c r="F227" s="2583">
        <f t="shared" ca="1" si="383"/>
        <v>7.5483168187950405</v>
      </c>
      <c r="G227" s="2583">
        <f t="shared" ca="1" si="383"/>
        <v>7.5483168187950405</v>
      </c>
      <c r="H227" s="2583">
        <f t="shared" ca="1" si="383"/>
        <v>7.5483168187950405</v>
      </c>
      <c r="I227" s="2580">
        <f t="shared" ca="1" si="383"/>
        <v>7.5483168187950405</v>
      </c>
      <c r="K227" s="2549">
        <f t="shared" si="384"/>
        <v>2025</v>
      </c>
      <c r="L227" s="2583">
        <f t="shared" ca="1" si="376"/>
        <v>5.4970070342265718</v>
      </c>
      <c r="M227" s="2583">
        <f t="shared" ca="1" si="385"/>
        <v>5.4970070342265718</v>
      </c>
      <c r="N227" s="2583">
        <f t="shared" ca="1" si="385"/>
        <v>5.4970070342265718</v>
      </c>
      <c r="O227" s="2583">
        <f t="shared" ca="1" si="385"/>
        <v>5.4970070342265718</v>
      </c>
      <c r="P227" s="2583">
        <f t="shared" ca="1" si="385"/>
        <v>5.4970070342265718</v>
      </c>
      <c r="Q227" s="2583">
        <f t="shared" ca="1" si="385"/>
        <v>5.4970070342265718</v>
      </c>
      <c r="R227" s="2580">
        <f t="shared" ca="1" si="385"/>
        <v>5.4970070342265718</v>
      </c>
      <c r="T227" s="2549">
        <f t="shared" si="388"/>
        <v>2025</v>
      </c>
      <c r="U227" s="2583">
        <f t="shared" ref="U227:AA227" ca="1" si="393">U182</f>
        <v>5.4970070342265709</v>
      </c>
      <c r="V227" s="2583">
        <f t="shared" ca="1" si="393"/>
        <v>5.4970070342265709</v>
      </c>
      <c r="W227" s="2583">
        <f t="shared" ca="1" si="393"/>
        <v>5.4970070342265709</v>
      </c>
      <c r="X227" s="2583">
        <f t="shared" ca="1" si="393"/>
        <v>5.4970070342265709</v>
      </c>
      <c r="Y227" s="2583">
        <f t="shared" ca="1" si="393"/>
        <v>5.4970070342265709</v>
      </c>
      <c r="Z227" s="2583">
        <f t="shared" ca="1" si="393"/>
        <v>5.4970070342265709</v>
      </c>
      <c r="AA227" s="2580">
        <f t="shared" ca="1" si="393"/>
        <v>5.4970070342265709</v>
      </c>
      <c r="AC227" s="2549">
        <f>AC213</f>
        <v>2025</v>
      </c>
      <c r="AD227" s="2482">
        <f t="shared" ref="AD227:AJ227" ca="1" si="394">AD182</f>
        <v>9.8186818468315131</v>
      </c>
      <c r="AE227" s="2482">
        <f t="shared" ca="1" si="394"/>
        <v>9.8186818468315131</v>
      </c>
      <c r="AF227" s="2482">
        <f t="shared" ca="1" si="394"/>
        <v>9.8186818468315131</v>
      </c>
      <c r="AG227" s="2482">
        <f t="shared" ca="1" si="394"/>
        <v>9.8186818468315131</v>
      </c>
      <c r="AH227" s="2482">
        <f t="shared" ca="1" si="394"/>
        <v>9.8186818468315131</v>
      </c>
      <c r="AI227" s="2482">
        <f t="shared" ca="1" si="394"/>
        <v>9.8186818468315131</v>
      </c>
      <c r="AJ227" s="2580">
        <f t="shared" ca="1" si="394"/>
        <v>9.8186818468315131</v>
      </c>
      <c r="AL227" s="2549">
        <f t="shared" si="386"/>
        <v>2025</v>
      </c>
      <c r="AM227" s="2583">
        <f t="shared" ca="1" si="380"/>
        <v>10.70211900536361</v>
      </c>
      <c r="AN227" s="2583">
        <f t="shared" ca="1" si="380"/>
        <v>10.70211900536361</v>
      </c>
      <c r="AO227" s="2583">
        <f t="shared" ca="1" si="380"/>
        <v>10.70211900536361</v>
      </c>
      <c r="AP227" s="2583">
        <f t="shared" ca="1" si="380"/>
        <v>10.70211900536361</v>
      </c>
      <c r="AQ227" s="2583">
        <f t="shared" ca="1" si="380"/>
        <v>10.70211900536361</v>
      </c>
      <c r="AR227" s="2583">
        <f t="shared" ca="1" si="380"/>
        <v>10.70211900536361</v>
      </c>
      <c r="AS227" s="2580">
        <f t="shared" ca="1" si="380"/>
        <v>10.70211900536361</v>
      </c>
    </row>
    <row r="228" spans="2:45">
      <c r="B228" s="2549">
        <f t="shared" si="381"/>
        <v>2026</v>
      </c>
      <c r="C228" s="2583">
        <f t="shared" ca="1" si="382"/>
        <v>7.8586317894929438</v>
      </c>
      <c r="D228" s="2583">
        <f t="shared" ca="1" si="383"/>
        <v>7.8586317894929438</v>
      </c>
      <c r="E228" s="2583">
        <f t="shared" ca="1" si="383"/>
        <v>7.8586317894929438</v>
      </c>
      <c r="F228" s="2583">
        <f t="shared" ca="1" si="383"/>
        <v>7.8586317894929438</v>
      </c>
      <c r="G228" s="2583">
        <f t="shared" ca="1" si="383"/>
        <v>7.8586317894929438</v>
      </c>
      <c r="H228" s="2583">
        <f t="shared" ca="1" si="383"/>
        <v>7.8586317894929438</v>
      </c>
      <c r="I228" s="2580">
        <f t="shared" ca="1" si="383"/>
        <v>7.8586317894929438</v>
      </c>
      <c r="K228" s="2549">
        <f t="shared" si="384"/>
        <v>2026</v>
      </c>
      <c r="L228" s="2583">
        <f t="shared" ca="1" si="376"/>
        <v>5.7669606874332766</v>
      </c>
      <c r="M228" s="2583">
        <f t="shared" ca="1" si="385"/>
        <v>5.7669606874332766</v>
      </c>
      <c r="N228" s="2583">
        <f t="shared" ca="1" si="385"/>
        <v>5.7669606874332766</v>
      </c>
      <c r="O228" s="2583">
        <f t="shared" ca="1" si="385"/>
        <v>5.7669606874332766</v>
      </c>
      <c r="P228" s="2583">
        <f t="shared" ca="1" si="385"/>
        <v>5.7669606874332766</v>
      </c>
      <c r="Q228" s="2583">
        <f ca="1">Q183</f>
        <v>5.7669606874332766</v>
      </c>
      <c r="R228" s="2580">
        <f t="shared" ca="1" si="385"/>
        <v>5.7669606874332766</v>
      </c>
      <c r="T228" s="2549">
        <f t="shared" si="388"/>
        <v>2026</v>
      </c>
      <c r="U228" s="2583">
        <f t="shared" ref="U228:AA228" ca="1" si="395">U183</f>
        <v>5.7669606874332766</v>
      </c>
      <c r="V228" s="2583">
        <f t="shared" ca="1" si="395"/>
        <v>5.7669606874332766</v>
      </c>
      <c r="W228" s="2583">
        <f t="shared" ca="1" si="395"/>
        <v>5.7669606874332766</v>
      </c>
      <c r="X228" s="2583">
        <f t="shared" ca="1" si="395"/>
        <v>5.7669606874332766</v>
      </c>
      <c r="Y228" s="2583">
        <f t="shared" ca="1" si="395"/>
        <v>5.7669606874332766</v>
      </c>
      <c r="Z228" s="2583">
        <f t="shared" ca="1" si="395"/>
        <v>5.7669606874332766</v>
      </c>
      <c r="AA228" s="2580">
        <f t="shared" ca="1" si="395"/>
        <v>5.7669606874332766</v>
      </c>
      <c r="AC228" s="2549">
        <f>AC214</f>
        <v>2026</v>
      </c>
      <c r="AD228" s="2482">
        <f t="shared" ref="AD228:AJ231" ca="1" si="396">AD183</f>
        <v>9.8863750741602612</v>
      </c>
      <c r="AE228" s="2482">
        <f t="shared" ca="1" si="396"/>
        <v>9.8863750741602612</v>
      </c>
      <c r="AF228" s="2482">
        <f t="shared" ca="1" si="396"/>
        <v>9.8863750741602612</v>
      </c>
      <c r="AG228" s="2482">
        <f t="shared" ca="1" si="396"/>
        <v>9.8863750741602612</v>
      </c>
      <c r="AH228" s="2482">
        <f t="shared" ca="1" si="396"/>
        <v>9.8863750741602612</v>
      </c>
      <c r="AI228" s="2482">
        <f t="shared" ca="1" si="396"/>
        <v>9.8863750741602612</v>
      </c>
      <c r="AJ228" s="2580">
        <f t="shared" ca="1" si="396"/>
        <v>9.8863750741602612</v>
      </c>
      <c r="AL228" s="2549">
        <f t="shared" si="386"/>
        <v>2026</v>
      </c>
      <c r="AM228" s="2583">
        <f t="shared" ca="1" si="380"/>
        <v>10.787252651605087</v>
      </c>
      <c r="AN228" s="2583">
        <f t="shared" ca="1" si="380"/>
        <v>10.787252651605087</v>
      </c>
      <c r="AO228" s="2583">
        <f t="shared" ca="1" si="380"/>
        <v>10.787252651605087</v>
      </c>
      <c r="AP228" s="2583">
        <f t="shared" ca="1" si="380"/>
        <v>10.787252651605087</v>
      </c>
      <c r="AQ228" s="2583">
        <f t="shared" ca="1" si="380"/>
        <v>10.787252651605087</v>
      </c>
      <c r="AR228" s="2583">
        <f t="shared" ca="1" si="380"/>
        <v>10.787252651605087</v>
      </c>
      <c r="AS228" s="2580">
        <f t="shared" ca="1" si="380"/>
        <v>10.787252651605087</v>
      </c>
    </row>
    <row r="229" spans="2:45">
      <c r="B229" s="2549">
        <f t="shared" si="381"/>
        <v>2027</v>
      </c>
      <c r="C229" s="2583">
        <f t="shared" ca="1" si="382"/>
        <v>8.0288291931595346</v>
      </c>
      <c r="D229" s="2583">
        <f t="shared" ca="1" si="383"/>
        <v>8.0288291931595346</v>
      </c>
      <c r="E229" s="2583">
        <f t="shared" ca="1" si="383"/>
        <v>8.0288291931595346</v>
      </c>
      <c r="F229" s="2583">
        <f t="shared" ca="1" si="383"/>
        <v>8.0288291931595346</v>
      </c>
      <c r="G229" s="2583">
        <f t="shared" ca="1" si="383"/>
        <v>8.0288291931595346</v>
      </c>
      <c r="H229" s="2583">
        <f t="shared" ca="1" si="383"/>
        <v>8.0288291931595346</v>
      </c>
      <c r="I229" s="2580">
        <f t="shared" ca="1" si="383"/>
        <v>8.0288291931595346</v>
      </c>
      <c r="K229" s="2549">
        <f t="shared" si="384"/>
        <v>2027</v>
      </c>
      <c r="L229" s="2583">
        <f t="shared" ca="1" si="376"/>
        <v>5.8954084876945547</v>
      </c>
      <c r="M229" s="2583">
        <f t="shared" ca="1" si="385"/>
        <v>5.8954084876945547</v>
      </c>
      <c r="N229" s="2583">
        <f t="shared" ca="1" si="385"/>
        <v>5.8954084876945547</v>
      </c>
      <c r="O229" s="2583">
        <f t="shared" ca="1" si="385"/>
        <v>5.8954084876945547</v>
      </c>
      <c r="P229" s="2583">
        <f t="shared" ca="1" si="385"/>
        <v>5.8954084876945547</v>
      </c>
      <c r="Q229" s="2583">
        <f t="shared" ca="1" si="385"/>
        <v>5.8954084876945547</v>
      </c>
      <c r="R229" s="2580">
        <f ca="1">R184</f>
        <v>5.8954084876945547</v>
      </c>
      <c r="T229" s="2549">
        <f t="shared" si="388"/>
        <v>2027</v>
      </c>
      <c r="U229" s="2583">
        <f t="shared" ref="U229:Z229" ca="1" si="397">U184</f>
        <v>5.8954084876945547</v>
      </c>
      <c r="V229" s="2583">
        <f t="shared" ca="1" si="397"/>
        <v>5.8954084876945547</v>
      </c>
      <c r="W229" s="2583">
        <f t="shared" ca="1" si="397"/>
        <v>5.8954084876945547</v>
      </c>
      <c r="X229" s="2583">
        <f t="shared" ca="1" si="397"/>
        <v>5.8954084876945547</v>
      </c>
      <c r="Y229" s="2583">
        <f t="shared" ca="1" si="397"/>
        <v>5.8954084876945547</v>
      </c>
      <c r="Z229" s="2583">
        <f t="shared" ca="1" si="397"/>
        <v>5.8954084876945547</v>
      </c>
      <c r="AA229" s="2580">
        <f ca="1">AA184</f>
        <v>5.8954084876945547</v>
      </c>
      <c r="AC229" s="2549">
        <f>AC215</f>
        <v>2027</v>
      </c>
      <c r="AD229" s="2482">
        <f t="shared" ca="1" si="396"/>
        <v>10.915293434931467</v>
      </c>
      <c r="AE229" s="2482">
        <f t="shared" ca="1" si="396"/>
        <v>10.915293434931467</v>
      </c>
      <c r="AF229" s="2482">
        <f t="shared" ca="1" si="396"/>
        <v>10.915293434931467</v>
      </c>
      <c r="AG229" s="2482">
        <f t="shared" ca="1" si="396"/>
        <v>10.915293434931467</v>
      </c>
      <c r="AH229" s="2482">
        <f t="shared" ca="1" si="396"/>
        <v>10.915293434931467</v>
      </c>
      <c r="AI229" s="2482">
        <f t="shared" ca="1" si="396"/>
        <v>10.915293434931467</v>
      </c>
      <c r="AJ229" s="2580">
        <f t="shared" ca="1" si="396"/>
        <v>10.915351549552287</v>
      </c>
      <c r="AL229" s="2549">
        <f t="shared" si="386"/>
        <v>2027</v>
      </c>
      <c r="AM229" s="2583">
        <f t="shared" ca="1" si="380"/>
        <v>11.834188563925192</v>
      </c>
      <c r="AN229" s="2583">
        <f t="shared" ca="1" si="380"/>
        <v>11.834188563925192</v>
      </c>
      <c r="AO229" s="2583">
        <f t="shared" ca="1" si="380"/>
        <v>11.834188563925192</v>
      </c>
      <c r="AP229" s="2583">
        <f t="shared" ca="1" si="380"/>
        <v>11.834188563925192</v>
      </c>
      <c r="AQ229" s="2583">
        <f t="shared" ca="1" si="380"/>
        <v>11.834188563925192</v>
      </c>
      <c r="AR229" s="2583">
        <f t="shared" ca="1" si="380"/>
        <v>11.834188563925192</v>
      </c>
      <c r="AS229" s="2580">
        <f t="shared" ca="1" si="380"/>
        <v>11.834188563925192</v>
      </c>
    </row>
    <row r="230" spans="2:45">
      <c r="B230" s="2549">
        <f t="shared" si="381"/>
        <v>2028</v>
      </c>
      <c r="C230" s="2583">
        <f t="shared" ca="1" si="382"/>
        <v>8.2649217671380288</v>
      </c>
      <c r="D230" s="2583">
        <f t="shared" ca="1" si="383"/>
        <v>8.2649217671380288</v>
      </c>
      <c r="E230" s="2583">
        <f t="shared" ca="1" si="383"/>
        <v>8.2649217671380288</v>
      </c>
      <c r="F230" s="2583">
        <f t="shared" ca="1" si="383"/>
        <v>8.2649217671380288</v>
      </c>
      <c r="G230" s="2583">
        <f t="shared" ca="1" si="383"/>
        <v>8.2649217671380288</v>
      </c>
      <c r="H230" s="2583">
        <f t="shared" ca="1" si="383"/>
        <v>8.2649217671380288</v>
      </c>
      <c r="I230" s="2580">
        <f t="shared" ca="1" si="383"/>
        <v>8.2649217671380288</v>
      </c>
      <c r="K230" s="2549">
        <f t="shared" si="384"/>
        <v>2028</v>
      </c>
      <c r="L230" s="2583">
        <f t="shared" ca="1" si="376"/>
        <v>6.0887274707054306</v>
      </c>
      <c r="M230" s="2583">
        <f t="shared" ca="1" si="385"/>
        <v>6.0887274707054306</v>
      </c>
      <c r="N230" s="2583">
        <f t="shared" ca="1" si="385"/>
        <v>6.0887274707054306</v>
      </c>
      <c r="O230" s="2583">
        <f t="shared" ca="1" si="385"/>
        <v>6.0887274707054306</v>
      </c>
      <c r="P230" s="2583">
        <f t="shared" ca="1" si="385"/>
        <v>6.0887274707054306</v>
      </c>
      <c r="Q230" s="2583">
        <f t="shared" ca="1" si="385"/>
        <v>6.0887274707054306</v>
      </c>
      <c r="R230" s="2580">
        <f ca="1">R185</f>
        <v>6.0887274707054306</v>
      </c>
      <c r="T230" s="2549">
        <f t="shared" si="388"/>
        <v>2028</v>
      </c>
      <c r="U230" s="2583">
        <f t="shared" ref="U230:AA231" ca="1" si="398">U185</f>
        <v>6.0887274707054306</v>
      </c>
      <c r="V230" s="2583">
        <f t="shared" ca="1" si="398"/>
        <v>6.0887274707054306</v>
      </c>
      <c r="W230" s="2583">
        <f t="shared" ca="1" si="398"/>
        <v>6.0887274707054306</v>
      </c>
      <c r="X230" s="2583">
        <f t="shared" ca="1" si="398"/>
        <v>6.0887274707054306</v>
      </c>
      <c r="Y230" s="2583">
        <f t="shared" ca="1" si="398"/>
        <v>6.0887274707054306</v>
      </c>
      <c r="Z230" s="2583">
        <f t="shared" ca="1" si="398"/>
        <v>6.0887274707054306</v>
      </c>
      <c r="AA230" s="2580">
        <f t="shared" ca="1" si="398"/>
        <v>6.0887274707054306</v>
      </c>
      <c r="AC230" s="2549">
        <f>AC216</f>
        <v>2028</v>
      </c>
      <c r="AD230" s="2482">
        <f t="shared" ca="1" si="396"/>
        <v>10.695046561345857</v>
      </c>
      <c r="AE230" s="2482">
        <f t="shared" ca="1" si="396"/>
        <v>10.695046561345857</v>
      </c>
      <c r="AF230" s="2482">
        <f t="shared" ca="1" si="396"/>
        <v>10.695046561345857</v>
      </c>
      <c r="AG230" s="2482">
        <f t="shared" ca="1" si="396"/>
        <v>10.695046561345857</v>
      </c>
      <c r="AH230" s="2482">
        <f t="shared" ca="1" si="396"/>
        <v>10.695046561345857</v>
      </c>
      <c r="AI230" s="2482">
        <f t="shared" ca="1" si="396"/>
        <v>10.695046561345857</v>
      </c>
      <c r="AJ230" s="2580">
        <f t="shared" ca="1" si="396"/>
        <v>10.695105838259092</v>
      </c>
      <c r="AL230" s="2549">
        <f t="shared" si="386"/>
        <v>2028</v>
      </c>
      <c r="AM230" s="2583">
        <f t="shared" ca="1" si="380"/>
        <v>11.632319592919455</v>
      </c>
      <c r="AN230" s="2583">
        <f t="shared" ca="1" si="380"/>
        <v>11.632319592919455</v>
      </c>
      <c r="AO230" s="2583">
        <f t="shared" ca="1" si="380"/>
        <v>11.632319592919455</v>
      </c>
      <c r="AP230" s="2583">
        <f t="shared" ca="1" si="380"/>
        <v>11.632319592919455</v>
      </c>
      <c r="AQ230" s="2583">
        <f t="shared" ca="1" si="380"/>
        <v>11.632319592919455</v>
      </c>
      <c r="AR230" s="2583">
        <f t="shared" ca="1" si="380"/>
        <v>11.632319592919455</v>
      </c>
      <c r="AS230" s="2580">
        <f t="shared" ca="1" si="380"/>
        <v>11.632319592919455</v>
      </c>
    </row>
    <row r="231" spans="2:45">
      <c r="B231" s="2549"/>
      <c r="C231" s="2583"/>
      <c r="D231" s="2583"/>
      <c r="E231" s="2583"/>
      <c r="F231" s="2583"/>
      <c r="G231" s="2583"/>
      <c r="H231" s="2583"/>
      <c r="I231" s="2580"/>
      <c r="K231" s="2549"/>
      <c r="L231" s="2583"/>
      <c r="M231" s="2583"/>
      <c r="N231" s="2583"/>
      <c r="O231" s="2583"/>
      <c r="P231" s="2583"/>
      <c r="Q231" s="2583"/>
      <c r="R231" s="2580"/>
      <c r="T231" s="2549">
        <f t="shared" si="388"/>
        <v>2029</v>
      </c>
      <c r="U231" s="2583">
        <f t="shared" ca="1" si="398"/>
        <v>6.2390493211397571</v>
      </c>
      <c r="V231" s="2583">
        <f t="shared" ca="1" si="398"/>
        <v>6.2390493211397571</v>
      </c>
      <c r="W231" s="2583">
        <f t="shared" ca="1" si="398"/>
        <v>6.2390493211397571</v>
      </c>
      <c r="X231" s="2583">
        <f t="shared" ca="1" si="398"/>
        <v>6.2390493211397571</v>
      </c>
      <c r="Y231" s="2583">
        <f t="shared" ca="1" si="398"/>
        <v>6.2390493211397571</v>
      </c>
      <c r="Z231" s="2583">
        <f t="shared" ca="1" si="398"/>
        <v>6.2390493211397571</v>
      </c>
      <c r="AA231" s="2580">
        <f t="shared" ca="1" si="398"/>
        <v>6.2390493211397571</v>
      </c>
      <c r="AC231" s="2549">
        <v>2029</v>
      </c>
      <c r="AD231" s="2482">
        <f t="shared" ca="1" si="396"/>
        <v>10.937494793592993</v>
      </c>
      <c r="AE231" s="2482">
        <f t="shared" ca="1" si="396"/>
        <v>10.937494793592993</v>
      </c>
      <c r="AF231" s="2482">
        <f t="shared" ca="1" si="396"/>
        <v>10.937494793592993</v>
      </c>
      <c r="AG231" s="2482">
        <f t="shared" ca="1" si="396"/>
        <v>10.937494793592993</v>
      </c>
      <c r="AH231" s="2482">
        <f t="shared" ca="1" si="396"/>
        <v>10.937494793592993</v>
      </c>
      <c r="AI231" s="2482">
        <f t="shared" ca="1" si="396"/>
        <v>10.937494793592993</v>
      </c>
      <c r="AJ231" s="2580">
        <f t="shared" ca="1" si="396"/>
        <v>10.937555256044494</v>
      </c>
      <c r="AL231" s="2549">
        <v>2029</v>
      </c>
      <c r="AM231" s="2583">
        <f t="shared" ca="1" si="380"/>
        <v>10.195064361123766</v>
      </c>
      <c r="AN231" s="2583">
        <f t="shared" ca="1" si="380"/>
        <v>10.195064361123766</v>
      </c>
      <c r="AO231" s="2583">
        <f t="shared" ca="1" si="380"/>
        <v>10.195064361123766</v>
      </c>
      <c r="AP231" s="2583">
        <f t="shared" ca="1" si="380"/>
        <v>10.195064361123766</v>
      </c>
      <c r="AQ231" s="2583">
        <f t="shared" ca="1" si="380"/>
        <v>10.195064361123766</v>
      </c>
      <c r="AR231" s="2583">
        <f t="shared" ca="1" si="380"/>
        <v>10.195064361123766</v>
      </c>
      <c r="AS231" s="2580">
        <f t="shared" ca="1" si="380"/>
        <v>10.195064361123766</v>
      </c>
    </row>
    <row r="232" spans="2:45">
      <c r="B232" s="2549"/>
      <c r="C232" s="2566"/>
      <c r="D232" s="2566"/>
      <c r="E232" s="2566"/>
      <c r="F232" s="2566"/>
      <c r="G232" s="2566"/>
      <c r="H232" s="2566"/>
      <c r="I232" s="2547"/>
      <c r="K232" s="2549"/>
      <c r="L232" s="2566"/>
      <c r="M232" s="2566"/>
      <c r="N232" s="2566"/>
      <c r="O232" s="2566"/>
      <c r="P232" s="2566"/>
      <c r="Q232" s="2566"/>
      <c r="R232" s="2547"/>
      <c r="T232" s="2549"/>
      <c r="U232" s="2566"/>
      <c r="V232" s="2607"/>
      <c r="W232" s="2566"/>
      <c r="X232" s="2566"/>
      <c r="Y232" s="2566"/>
      <c r="Z232" s="2566"/>
      <c r="AA232" s="2547"/>
      <c r="AC232" s="2549"/>
      <c r="AJ232" s="2547"/>
      <c r="AL232" s="2549"/>
      <c r="AM232" s="2583"/>
      <c r="AN232" s="2583"/>
      <c r="AO232" s="2583"/>
      <c r="AP232" s="2583"/>
      <c r="AQ232" s="2583"/>
      <c r="AR232" s="2583"/>
      <c r="AS232" s="2580"/>
    </row>
    <row r="233" spans="2:45">
      <c r="B233" s="2546" t="s">
        <v>743</v>
      </c>
      <c r="C233" s="2566"/>
      <c r="D233" s="2566"/>
      <c r="E233" s="2566"/>
      <c r="F233" s="2566"/>
      <c r="G233" s="2566"/>
      <c r="H233" s="2566"/>
      <c r="I233" s="2547"/>
      <c r="K233" s="2546" t="s">
        <v>743</v>
      </c>
      <c r="L233" s="2566"/>
      <c r="M233" s="2566"/>
      <c r="N233" s="2566"/>
      <c r="O233" s="2566"/>
      <c r="P233" s="2566"/>
      <c r="Q233" s="2566"/>
      <c r="R233" s="2547"/>
      <c r="T233" s="2546" t="s">
        <v>743</v>
      </c>
      <c r="U233" s="2566"/>
      <c r="V233" s="2607"/>
      <c r="W233" s="2566"/>
      <c r="X233" s="2566"/>
      <c r="Y233" s="2566"/>
      <c r="Z233" s="2566"/>
      <c r="AA233" s="2547"/>
      <c r="AC233" s="2546" t="s">
        <v>743</v>
      </c>
      <c r="AJ233" s="2547"/>
      <c r="AL233" s="2546" t="s">
        <v>743</v>
      </c>
      <c r="AM233" s="2566"/>
      <c r="AN233" s="2566"/>
      <c r="AO233" s="2566"/>
      <c r="AP233" s="2566"/>
      <c r="AQ233" s="2566"/>
      <c r="AR233" s="2566"/>
      <c r="AS233" s="2547"/>
    </row>
    <row r="234" spans="2:45">
      <c r="B234" s="2549">
        <f t="shared" ref="B234:B244" si="399">B220</f>
        <v>2018</v>
      </c>
      <c r="C234" s="2554">
        <f ca="1">C220*C206</f>
        <v>0</v>
      </c>
      <c r="D234" s="2554">
        <f t="shared" ref="D234:I234" ca="1" si="400">D220*D206</f>
        <v>0</v>
      </c>
      <c r="E234" s="2554">
        <f t="shared" ca="1" si="400"/>
        <v>0</v>
      </c>
      <c r="F234" s="2554">
        <f t="shared" ca="1" si="400"/>
        <v>0</v>
      </c>
      <c r="G234" s="2554">
        <f t="shared" ca="1" si="400"/>
        <v>0</v>
      </c>
      <c r="H234" s="2554">
        <f t="shared" ca="1" si="400"/>
        <v>0</v>
      </c>
      <c r="I234" s="2555">
        <f t="shared" ca="1" si="400"/>
        <v>0</v>
      </c>
      <c r="K234" s="2549">
        <v>2018</v>
      </c>
      <c r="L234" s="2556">
        <f ca="1">L220*L206</f>
        <v>0</v>
      </c>
      <c r="M234" s="2556">
        <f t="shared" ref="M234:R235" ca="1" si="401">M220*M206</f>
        <v>0</v>
      </c>
      <c r="N234" s="2556">
        <f t="shared" ca="1" si="401"/>
        <v>0</v>
      </c>
      <c r="O234" s="2556">
        <f t="shared" ca="1" si="401"/>
        <v>0</v>
      </c>
      <c r="P234" s="2556">
        <f t="shared" ca="1" si="401"/>
        <v>0</v>
      </c>
      <c r="Q234" s="2556">
        <f t="shared" ca="1" si="401"/>
        <v>0</v>
      </c>
      <c r="R234" s="2557">
        <f t="shared" ca="1" si="401"/>
        <v>0</v>
      </c>
      <c r="T234" s="2549">
        <f>T220</f>
        <v>2018</v>
      </c>
      <c r="U234" s="2558">
        <f ca="1">U220*U206</f>
        <v>0</v>
      </c>
      <c r="V234" s="2558">
        <f t="shared" ref="V234:AA234" ca="1" si="402">V220*V206</f>
        <v>55913.976351877383</v>
      </c>
      <c r="W234" s="2558">
        <f ca="1">W220*W206</f>
        <v>103894.89659661948</v>
      </c>
      <c r="X234" s="2558">
        <f t="shared" ca="1" si="402"/>
        <v>0</v>
      </c>
      <c r="Y234" s="2558">
        <f t="shared" ca="1" si="402"/>
        <v>0</v>
      </c>
      <c r="Z234" s="2558">
        <f t="shared" ca="1" si="402"/>
        <v>0</v>
      </c>
      <c r="AA234" s="2559">
        <f t="shared" ca="1" si="402"/>
        <v>0</v>
      </c>
      <c r="AC234" s="2549">
        <f>AC220</f>
        <v>2018</v>
      </c>
      <c r="AD234" s="2556">
        <f ca="1">+AD206*AD220</f>
        <v>0</v>
      </c>
      <c r="AE234" s="2556">
        <f t="shared" ref="AE234:AJ245" ca="1" si="403">AE220*AE206</f>
        <v>53670.308647650279</v>
      </c>
      <c r="AF234" s="2556">
        <f t="shared" ca="1" si="403"/>
        <v>0</v>
      </c>
      <c r="AG234" s="2556">
        <f t="shared" ca="1" si="403"/>
        <v>0</v>
      </c>
      <c r="AH234" s="2556">
        <f t="shared" ca="1" si="403"/>
        <v>0</v>
      </c>
      <c r="AI234" s="2556">
        <f t="shared" ca="1" si="403"/>
        <v>0</v>
      </c>
      <c r="AJ234" s="2557">
        <f t="shared" ca="1" si="403"/>
        <v>0</v>
      </c>
      <c r="AL234" s="2549">
        <f>AL220</f>
        <v>2018</v>
      </c>
      <c r="AM234" s="2556">
        <f t="shared" ref="AM234:AS234" ca="1" si="404">AM220*AM206</f>
        <v>0</v>
      </c>
      <c r="AN234" s="2556">
        <f t="shared" ca="1" si="404"/>
        <v>9369.4358750320353</v>
      </c>
      <c r="AO234" s="2556">
        <f t="shared" ca="1" si="404"/>
        <v>0</v>
      </c>
      <c r="AP234" s="2556">
        <f t="shared" ca="1" si="404"/>
        <v>0</v>
      </c>
      <c r="AQ234" s="2556">
        <f t="shared" ca="1" si="404"/>
        <v>0</v>
      </c>
      <c r="AR234" s="2556">
        <f t="shared" ca="1" si="404"/>
        <v>0</v>
      </c>
      <c r="AS234" s="2557">
        <f t="shared" ca="1" si="404"/>
        <v>0</v>
      </c>
    </row>
    <row r="235" spans="2:45">
      <c r="B235" s="2549">
        <f t="shared" si="399"/>
        <v>2019</v>
      </c>
      <c r="C235" s="2554">
        <f ca="1">C221*C207</f>
        <v>0</v>
      </c>
      <c r="D235" s="2556">
        <f t="shared" ref="D235:I235" ca="1" si="405">D221*D207</f>
        <v>0</v>
      </c>
      <c r="E235" s="2556">
        <f t="shared" ca="1" si="405"/>
        <v>0</v>
      </c>
      <c r="F235" s="2556">
        <f t="shared" ca="1" si="405"/>
        <v>0</v>
      </c>
      <c r="G235" s="2556">
        <f t="shared" ca="1" si="405"/>
        <v>0</v>
      </c>
      <c r="H235" s="2556">
        <f t="shared" ca="1" si="405"/>
        <v>0</v>
      </c>
      <c r="I235" s="2557">
        <f t="shared" ca="1" si="405"/>
        <v>0</v>
      </c>
      <c r="K235" s="2549">
        <f t="shared" ref="K235:K244" si="406">K221</f>
        <v>2019</v>
      </c>
      <c r="L235" s="2556">
        <f ca="1">L221*L207</f>
        <v>0</v>
      </c>
      <c r="M235" s="2556">
        <f t="shared" ca="1" si="401"/>
        <v>0</v>
      </c>
      <c r="N235" s="2556">
        <f t="shared" ca="1" si="401"/>
        <v>0</v>
      </c>
      <c r="O235" s="2556">
        <f t="shared" ca="1" si="401"/>
        <v>0</v>
      </c>
      <c r="P235" s="2556">
        <f t="shared" ca="1" si="401"/>
        <v>0</v>
      </c>
      <c r="Q235" s="2556">
        <f t="shared" ca="1" si="401"/>
        <v>0</v>
      </c>
      <c r="R235" s="2557">
        <f t="shared" ca="1" si="401"/>
        <v>0</v>
      </c>
      <c r="T235" s="2549">
        <f>T221</f>
        <v>2019</v>
      </c>
      <c r="U235" s="2558">
        <f ca="1">U221*U207</f>
        <v>0</v>
      </c>
      <c r="V235" s="2558">
        <f t="shared" ref="U235:AA237" ca="1" si="407">V221*V207</f>
        <v>0</v>
      </c>
      <c r="W235" s="2558">
        <f t="shared" ca="1" si="407"/>
        <v>0</v>
      </c>
      <c r="X235" s="2558">
        <f t="shared" ca="1" si="407"/>
        <v>0</v>
      </c>
      <c r="Y235" s="2558">
        <f t="shared" ca="1" si="407"/>
        <v>0</v>
      </c>
      <c r="Z235" s="2558">
        <f t="shared" ca="1" si="407"/>
        <v>0</v>
      </c>
      <c r="AA235" s="2559">
        <f t="shared" ca="1" si="407"/>
        <v>0</v>
      </c>
      <c r="AC235" s="2549">
        <f>AC221</f>
        <v>2019</v>
      </c>
      <c r="AD235" s="2556">
        <f ca="1">AD221*AD207</f>
        <v>0</v>
      </c>
      <c r="AE235" s="2556">
        <f t="shared" ca="1" si="403"/>
        <v>108717.91826225184</v>
      </c>
      <c r="AF235" s="2556">
        <f t="shared" ca="1" si="403"/>
        <v>0</v>
      </c>
      <c r="AG235" s="2556">
        <f t="shared" ca="1" si="403"/>
        <v>0</v>
      </c>
      <c r="AH235" s="2556">
        <f t="shared" ca="1" si="403"/>
        <v>0</v>
      </c>
      <c r="AI235" s="2556">
        <f t="shared" ca="1" si="403"/>
        <v>0</v>
      </c>
      <c r="AJ235" s="2557">
        <f t="shared" ca="1" si="403"/>
        <v>0</v>
      </c>
      <c r="AL235" s="2549">
        <v>2019</v>
      </c>
      <c r="AM235" s="2556">
        <f ca="1">AM221*AM207</f>
        <v>0</v>
      </c>
      <c r="AN235" s="2556">
        <f t="shared" ref="AN235:AS235" ca="1" si="408">AN221*AN207</f>
        <v>19135.130585068207</v>
      </c>
      <c r="AO235" s="2556">
        <f t="shared" ca="1" si="408"/>
        <v>0</v>
      </c>
      <c r="AP235" s="2556">
        <f t="shared" ca="1" si="408"/>
        <v>0</v>
      </c>
      <c r="AQ235" s="2556">
        <f t="shared" ca="1" si="408"/>
        <v>0</v>
      </c>
      <c r="AR235" s="2556">
        <f t="shared" ca="1" si="408"/>
        <v>0</v>
      </c>
      <c r="AS235" s="2557">
        <f t="shared" ca="1" si="408"/>
        <v>0</v>
      </c>
    </row>
    <row r="236" spans="2:45">
      <c r="B236" s="2549">
        <f t="shared" si="399"/>
        <v>2020</v>
      </c>
      <c r="C236" s="2556">
        <f t="shared" ref="C236:I236" ca="1" si="409">C222*C208</f>
        <v>0</v>
      </c>
      <c r="D236" s="2556">
        <f t="shared" ca="1" si="409"/>
        <v>0</v>
      </c>
      <c r="E236" s="2556">
        <f t="shared" ca="1" si="409"/>
        <v>0</v>
      </c>
      <c r="F236" s="2556">
        <f t="shared" ca="1" si="409"/>
        <v>0</v>
      </c>
      <c r="G236" s="2556">
        <f t="shared" ca="1" si="409"/>
        <v>0</v>
      </c>
      <c r="H236" s="2556">
        <f t="shared" ca="1" si="409"/>
        <v>0</v>
      </c>
      <c r="I236" s="2557">
        <f t="shared" ca="1" si="409"/>
        <v>0</v>
      </c>
      <c r="K236" s="2549">
        <f t="shared" si="406"/>
        <v>2020</v>
      </c>
      <c r="L236" s="2556">
        <f t="shared" ref="L236:R236" ca="1" si="410">L222*L208</f>
        <v>0</v>
      </c>
      <c r="M236" s="2556">
        <f ca="1">M222*M208</f>
        <v>0</v>
      </c>
      <c r="N236" s="2556">
        <f t="shared" ca="1" si="410"/>
        <v>0</v>
      </c>
      <c r="O236" s="2556">
        <f t="shared" ca="1" si="410"/>
        <v>0</v>
      </c>
      <c r="P236" s="2556">
        <f t="shared" ca="1" si="410"/>
        <v>0</v>
      </c>
      <c r="Q236" s="2556">
        <f t="shared" ca="1" si="410"/>
        <v>0</v>
      </c>
      <c r="R236" s="2557">
        <f t="shared" ca="1" si="410"/>
        <v>0</v>
      </c>
      <c r="T236" s="2549">
        <f>T222</f>
        <v>2020</v>
      </c>
      <c r="U236" s="2558">
        <f t="shared" ca="1" si="407"/>
        <v>0</v>
      </c>
      <c r="V236" s="2558">
        <f t="shared" ca="1" si="407"/>
        <v>0</v>
      </c>
      <c r="W236" s="2558">
        <f t="shared" ca="1" si="407"/>
        <v>0</v>
      </c>
      <c r="X236" s="2558">
        <f t="shared" ca="1" si="407"/>
        <v>0</v>
      </c>
      <c r="Y236" s="2558">
        <f t="shared" ca="1" si="407"/>
        <v>0</v>
      </c>
      <c r="Z236" s="2558">
        <f t="shared" ca="1" si="407"/>
        <v>0</v>
      </c>
      <c r="AA236" s="2559">
        <f t="shared" ca="1" si="407"/>
        <v>0</v>
      </c>
      <c r="AC236" s="2549">
        <f>AC222</f>
        <v>2020</v>
      </c>
      <c r="AD236" s="2556">
        <f ca="1">AD222*AD208</f>
        <v>0</v>
      </c>
      <c r="AE236" s="2556">
        <f t="shared" ca="1" si="403"/>
        <v>97570.214474803259</v>
      </c>
      <c r="AF236" s="2556">
        <f t="shared" ca="1" si="403"/>
        <v>0</v>
      </c>
      <c r="AG236" s="2556">
        <f t="shared" ca="1" si="403"/>
        <v>0</v>
      </c>
      <c r="AH236" s="2556">
        <f t="shared" ca="1" si="403"/>
        <v>0</v>
      </c>
      <c r="AI236" s="2556">
        <f t="shared" ca="1" si="403"/>
        <v>0</v>
      </c>
      <c r="AJ236" s="2557">
        <f t="shared" ca="1" si="403"/>
        <v>0</v>
      </c>
      <c r="AL236" s="2549">
        <f t="shared" ref="AL236:AL245" si="411">AL222</f>
        <v>2020</v>
      </c>
      <c r="AM236" s="2556">
        <f t="shared" ref="AM236:AS236" ca="1" si="412">AM222*AM208</f>
        <v>0</v>
      </c>
      <c r="AN236" s="2556">
        <f t="shared" ca="1" si="412"/>
        <v>0</v>
      </c>
      <c r="AO236" s="2556">
        <f t="shared" ca="1" si="412"/>
        <v>0</v>
      </c>
      <c r="AP236" s="2556">
        <f t="shared" ca="1" si="412"/>
        <v>0</v>
      </c>
      <c r="AQ236" s="2556">
        <f t="shared" ca="1" si="412"/>
        <v>0</v>
      </c>
      <c r="AR236" s="2556">
        <f t="shared" ca="1" si="412"/>
        <v>0</v>
      </c>
      <c r="AS236" s="2557">
        <f t="shared" ca="1" si="412"/>
        <v>0</v>
      </c>
    </row>
    <row r="237" spans="2:45">
      <c r="B237" s="2549">
        <f t="shared" si="399"/>
        <v>2021</v>
      </c>
      <c r="C237" s="2556">
        <f t="shared" ref="C237:I237" ca="1" si="413">C223*C209</f>
        <v>15299.777294724012</v>
      </c>
      <c r="D237" s="2556">
        <f t="shared" ca="1" si="413"/>
        <v>0</v>
      </c>
      <c r="E237" s="2556">
        <f t="shared" ca="1" si="413"/>
        <v>0</v>
      </c>
      <c r="F237" s="2556">
        <f t="shared" ca="1" si="413"/>
        <v>0</v>
      </c>
      <c r="G237" s="2556">
        <f t="shared" ca="1" si="413"/>
        <v>0</v>
      </c>
      <c r="H237" s="2556">
        <f t="shared" ca="1" si="413"/>
        <v>0</v>
      </c>
      <c r="I237" s="2557">
        <f t="shared" ca="1" si="413"/>
        <v>0</v>
      </c>
      <c r="K237" s="2549">
        <f t="shared" si="406"/>
        <v>2021</v>
      </c>
      <c r="L237" s="2556">
        <f ca="1">L223*L209</f>
        <v>34520.076079727463</v>
      </c>
      <c r="M237" s="2556">
        <f t="shared" ref="M237:R237" ca="1" si="414">M223*M209</f>
        <v>0</v>
      </c>
      <c r="N237" s="2556">
        <f t="shared" ca="1" si="414"/>
        <v>0</v>
      </c>
      <c r="O237" s="2556">
        <f t="shared" ca="1" si="414"/>
        <v>0</v>
      </c>
      <c r="P237" s="2556">
        <f t="shared" ca="1" si="414"/>
        <v>0</v>
      </c>
      <c r="Q237" s="2556">
        <f t="shared" ca="1" si="414"/>
        <v>0</v>
      </c>
      <c r="R237" s="2557">
        <f t="shared" ca="1" si="414"/>
        <v>0</v>
      </c>
      <c r="T237" s="2549">
        <f>T223</f>
        <v>2021</v>
      </c>
      <c r="U237" s="2558">
        <f t="shared" ca="1" si="407"/>
        <v>0</v>
      </c>
      <c r="V237" s="2558">
        <f ca="1">V223*V209</f>
        <v>0</v>
      </c>
      <c r="W237" s="2558">
        <f t="shared" ca="1" si="407"/>
        <v>0</v>
      </c>
      <c r="X237" s="2558">
        <f t="shared" ca="1" si="407"/>
        <v>0</v>
      </c>
      <c r="Y237" s="2558">
        <f t="shared" ca="1" si="407"/>
        <v>0</v>
      </c>
      <c r="Z237" s="2558">
        <f t="shared" ca="1" si="407"/>
        <v>0</v>
      </c>
      <c r="AA237" s="2559">
        <f t="shared" ca="1" si="407"/>
        <v>0</v>
      </c>
      <c r="AC237" s="2549">
        <f>AC223</f>
        <v>2021</v>
      </c>
      <c r="AD237" s="2556">
        <f t="shared" ref="AD237:AD245" ca="1" si="415">AD223*AD209</f>
        <v>0</v>
      </c>
      <c r="AE237" s="2556">
        <f t="shared" ca="1" si="403"/>
        <v>199899.95160691402</v>
      </c>
      <c r="AF237" s="2556">
        <f t="shared" ca="1" si="403"/>
        <v>0</v>
      </c>
      <c r="AG237" s="2556">
        <f t="shared" ca="1" si="403"/>
        <v>0</v>
      </c>
      <c r="AH237" s="2556">
        <f t="shared" ca="1" si="403"/>
        <v>0</v>
      </c>
      <c r="AI237" s="2556">
        <f t="shared" ca="1" si="403"/>
        <v>0</v>
      </c>
      <c r="AJ237" s="2557">
        <f t="shared" ca="1" si="403"/>
        <v>0</v>
      </c>
      <c r="AL237" s="2549">
        <f t="shared" si="411"/>
        <v>2021</v>
      </c>
      <c r="AM237" s="2556">
        <f t="shared" ref="AM237:AS245" ca="1" si="416">AM223*AM209</f>
        <v>0</v>
      </c>
      <c r="AN237" s="2556">
        <f t="shared" ca="1" si="416"/>
        <v>0</v>
      </c>
      <c r="AO237" s="2556">
        <f t="shared" ca="1" si="416"/>
        <v>0</v>
      </c>
      <c r="AP237" s="2556">
        <f t="shared" ca="1" si="416"/>
        <v>0</v>
      </c>
      <c r="AQ237" s="2556">
        <f t="shared" ca="1" si="416"/>
        <v>0</v>
      </c>
      <c r="AR237" s="2556">
        <f t="shared" ca="1" si="416"/>
        <v>0</v>
      </c>
      <c r="AS237" s="2557">
        <f t="shared" ca="1" si="416"/>
        <v>0</v>
      </c>
    </row>
    <row r="238" spans="2:45">
      <c r="B238" s="2549">
        <f t="shared" si="399"/>
        <v>2022</v>
      </c>
      <c r="C238" s="2554">
        <f t="shared" ref="C238:I238" ca="1" si="417">C224*C210</f>
        <v>0</v>
      </c>
      <c r="D238" s="2556">
        <f t="shared" ca="1" si="417"/>
        <v>0</v>
      </c>
      <c r="E238" s="2556">
        <f t="shared" ca="1" si="417"/>
        <v>0</v>
      </c>
      <c r="F238" s="2556">
        <f t="shared" ca="1" si="417"/>
        <v>0</v>
      </c>
      <c r="G238" s="2556">
        <f t="shared" ca="1" si="417"/>
        <v>0</v>
      </c>
      <c r="H238" s="2556">
        <f t="shared" ca="1" si="417"/>
        <v>0</v>
      </c>
      <c r="I238" s="2557">
        <f t="shared" ca="1" si="417"/>
        <v>0</v>
      </c>
      <c r="K238" s="2549">
        <f t="shared" si="406"/>
        <v>2022</v>
      </c>
      <c r="L238" s="2556">
        <f ca="1">L224*L210</f>
        <v>0</v>
      </c>
      <c r="M238" s="2556">
        <f t="shared" ref="M238:R238" ca="1" si="418">M224*M210</f>
        <v>0</v>
      </c>
      <c r="N238" s="2556">
        <f t="shared" ca="1" si="418"/>
        <v>0</v>
      </c>
      <c r="O238" s="2556">
        <f t="shared" ca="1" si="418"/>
        <v>0</v>
      </c>
      <c r="P238" s="2556">
        <f t="shared" ca="1" si="418"/>
        <v>0</v>
      </c>
      <c r="Q238" s="2556">
        <f t="shared" ca="1" si="418"/>
        <v>0</v>
      </c>
      <c r="R238" s="2557">
        <f t="shared" ca="1" si="418"/>
        <v>0</v>
      </c>
      <c r="T238" s="2549">
        <v>2022</v>
      </c>
      <c r="U238" s="2558">
        <f t="shared" ref="U238:U245" ca="1" si="419">U224*U210</f>
        <v>0</v>
      </c>
      <c r="V238" s="2558">
        <f t="shared" ref="V238:V245" ca="1" si="420">V224*V210</f>
        <v>0</v>
      </c>
      <c r="W238" s="2558">
        <f t="shared" ref="W238:AA245" ca="1" si="421">W224*W210</f>
        <v>0</v>
      </c>
      <c r="X238" s="2558">
        <f t="shared" ca="1" si="421"/>
        <v>0</v>
      </c>
      <c r="Y238" s="2558">
        <f t="shared" ca="1" si="421"/>
        <v>0</v>
      </c>
      <c r="Z238" s="2558">
        <f t="shared" ca="1" si="421"/>
        <v>0</v>
      </c>
      <c r="AA238" s="2559">
        <f t="shared" ca="1" si="421"/>
        <v>0</v>
      </c>
      <c r="AC238" s="2549">
        <f>AC224</f>
        <v>2022</v>
      </c>
      <c r="AD238" s="2556">
        <f t="shared" ca="1" si="415"/>
        <v>0</v>
      </c>
      <c r="AE238" s="2556">
        <f t="shared" ca="1" si="403"/>
        <v>0</v>
      </c>
      <c r="AF238" s="2556">
        <f t="shared" ca="1" si="403"/>
        <v>0</v>
      </c>
      <c r="AG238" s="2556">
        <f t="shared" ca="1" si="403"/>
        <v>0</v>
      </c>
      <c r="AH238" s="2556">
        <f t="shared" ca="1" si="403"/>
        <v>0</v>
      </c>
      <c r="AI238" s="2556">
        <f t="shared" ca="1" si="403"/>
        <v>0</v>
      </c>
      <c r="AJ238" s="2557">
        <f t="shared" ca="1" si="403"/>
        <v>0</v>
      </c>
      <c r="AL238" s="2549">
        <f t="shared" si="411"/>
        <v>2022</v>
      </c>
      <c r="AM238" s="2556">
        <f t="shared" ca="1" si="416"/>
        <v>0</v>
      </c>
      <c r="AN238" s="2556">
        <f t="shared" ca="1" si="416"/>
        <v>0</v>
      </c>
      <c r="AO238" s="2556">
        <f t="shared" ca="1" si="416"/>
        <v>0</v>
      </c>
      <c r="AP238" s="2556">
        <f t="shared" ca="1" si="416"/>
        <v>0</v>
      </c>
      <c r="AQ238" s="2556">
        <f t="shared" ca="1" si="416"/>
        <v>0</v>
      </c>
      <c r="AR238" s="2556">
        <f t="shared" ca="1" si="416"/>
        <v>0</v>
      </c>
      <c r="AS238" s="2557">
        <f t="shared" ca="1" si="416"/>
        <v>0</v>
      </c>
    </row>
    <row r="239" spans="2:45">
      <c r="B239" s="2549">
        <f t="shared" si="399"/>
        <v>2023</v>
      </c>
      <c r="C239" s="2556">
        <f t="shared" ref="C239:I239" ca="1" si="422">C225*C211</f>
        <v>0</v>
      </c>
      <c r="D239" s="2556">
        <f ca="1">D225*D211</f>
        <v>14972.753784313831</v>
      </c>
      <c r="E239" s="2556">
        <f t="shared" ca="1" si="422"/>
        <v>0</v>
      </c>
      <c r="F239" s="2556">
        <f t="shared" ca="1" si="422"/>
        <v>0</v>
      </c>
      <c r="G239" s="2556">
        <f t="shared" ca="1" si="422"/>
        <v>0</v>
      </c>
      <c r="H239" s="2556">
        <f t="shared" ca="1" si="422"/>
        <v>0</v>
      </c>
      <c r="I239" s="2557">
        <f t="shared" ca="1" si="422"/>
        <v>0</v>
      </c>
      <c r="K239" s="2549">
        <f t="shared" si="406"/>
        <v>2023</v>
      </c>
      <c r="L239" s="2556">
        <f t="shared" ref="L239:R239" ca="1" si="423">L225*L211</f>
        <v>0</v>
      </c>
      <c r="M239" s="2556">
        <f ca="1">M225*M211</f>
        <v>0</v>
      </c>
      <c r="N239" s="2556">
        <f t="shared" ca="1" si="423"/>
        <v>0</v>
      </c>
      <c r="O239" s="2556">
        <f t="shared" ca="1" si="423"/>
        <v>0</v>
      </c>
      <c r="P239" s="2556">
        <f t="shared" ca="1" si="423"/>
        <v>0</v>
      </c>
      <c r="Q239" s="2556">
        <f t="shared" ca="1" si="423"/>
        <v>0</v>
      </c>
      <c r="R239" s="2557">
        <f t="shared" ca="1" si="423"/>
        <v>0</v>
      </c>
      <c r="T239" s="2549">
        <f t="shared" ref="T239:T245" si="424">T225</f>
        <v>2023</v>
      </c>
      <c r="U239" s="2558">
        <f t="shared" ca="1" si="419"/>
        <v>0</v>
      </c>
      <c r="V239" s="2558">
        <f t="shared" ca="1" si="420"/>
        <v>0</v>
      </c>
      <c r="W239" s="2558">
        <f t="shared" ca="1" si="421"/>
        <v>0</v>
      </c>
      <c r="X239" s="2558">
        <f t="shared" ca="1" si="421"/>
        <v>0</v>
      </c>
      <c r="Y239" s="2558">
        <f t="shared" ca="1" si="421"/>
        <v>0</v>
      </c>
      <c r="Z239" s="2558">
        <f t="shared" ca="1" si="421"/>
        <v>0</v>
      </c>
      <c r="AA239" s="2559">
        <f t="shared" ca="1" si="421"/>
        <v>0</v>
      </c>
      <c r="AC239" s="2549">
        <v>2023</v>
      </c>
      <c r="AD239" s="2556">
        <f t="shared" ca="1" si="415"/>
        <v>0</v>
      </c>
      <c r="AE239" s="2556">
        <f t="shared" ca="1" si="403"/>
        <v>0</v>
      </c>
      <c r="AF239" s="2556">
        <f t="shared" ca="1" si="403"/>
        <v>334769.31033192726</v>
      </c>
      <c r="AG239" s="2556">
        <f t="shared" ca="1" si="403"/>
        <v>0</v>
      </c>
      <c r="AH239" s="2556">
        <f t="shared" ca="1" si="403"/>
        <v>0</v>
      </c>
      <c r="AI239" s="2556">
        <f t="shared" ca="1" si="403"/>
        <v>0</v>
      </c>
      <c r="AJ239" s="2557">
        <f t="shared" ca="1" si="403"/>
        <v>0</v>
      </c>
      <c r="AL239" s="2549">
        <f t="shared" si="411"/>
        <v>2023</v>
      </c>
      <c r="AM239" s="2556">
        <f t="shared" ca="1" si="416"/>
        <v>0</v>
      </c>
      <c r="AN239" s="2556">
        <f t="shared" ca="1" si="416"/>
        <v>0</v>
      </c>
      <c r="AO239" s="2556">
        <f t="shared" ca="1" si="416"/>
        <v>0</v>
      </c>
      <c r="AP239" s="2556">
        <f t="shared" ca="1" si="416"/>
        <v>49351.045143960349</v>
      </c>
      <c r="AQ239" s="2556">
        <f ca="1">AQ225*AQ211</f>
        <v>0</v>
      </c>
      <c r="AR239" s="2556">
        <f t="shared" ca="1" si="416"/>
        <v>0</v>
      </c>
      <c r="AS239" s="2557">
        <f t="shared" ca="1" si="416"/>
        <v>0</v>
      </c>
    </row>
    <row r="240" spans="2:45">
      <c r="B240" s="2549">
        <f t="shared" si="399"/>
        <v>2024</v>
      </c>
      <c r="C240" s="2556">
        <f t="shared" ref="C240:I240" ca="1" si="425">C226*C212</f>
        <v>0</v>
      </c>
      <c r="D240" s="2556">
        <f t="shared" ca="1" si="425"/>
        <v>0</v>
      </c>
      <c r="E240" s="2556">
        <f ca="1">E226*E212</f>
        <v>21759.3004881204</v>
      </c>
      <c r="F240" s="2556">
        <f t="shared" ca="1" si="425"/>
        <v>0</v>
      </c>
      <c r="G240" s="2556">
        <f t="shared" ca="1" si="425"/>
        <v>0</v>
      </c>
      <c r="H240" s="2556">
        <f t="shared" ca="1" si="425"/>
        <v>0</v>
      </c>
      <c r="I240" s="2557">
        <f t="shared" ca="1" si="425"/>
        <v>0</v>
      </c>
      <c r="K240" s="2549">
        <f t="shared" si="406"/>
        <v>2024</v>
      </c>
      <c r="L240" s="2556">
        <f t="shared" ref="L240:R240" ca="1" si="426">L226*L212</f>
        <v>0</v>
      </c>
      <c r="M240" s="2556">
        <f t="shared" ca="1" si="426"/>
        <v>0</v>
      </c>
      <c r="N240" s="2556">
        <f ca="1">N226*N212</f>
        <v>0</v>
      </c>
      <c r="O240" s="2556">
        <f t="shared" ca="1" si="426"/>
        <v>0</v>
      </c>
      <c r="P240" s="2556">
        <f t="shared" ca="1" si="426"/>
        <v>0</v>
      </c>
      <c r="Q240" s="2556">
        <f t="shared" ca="1" si="426"/>
        <v>0</v>
      </c>
      <c r="R240" s="2557">
        <f t="shared" ca="1" si="426"/>
        <v>0</v>
      </c>
      <c r="T240" s="2549">
        <f t="shared" si="424"/>
        <v>2024</v>
      </c>
      <c r="U240" s="2558">
        <f t="shared" ca="1" si="419"/>
        <v>0</v>
      </c>
      <c r="V240" s="2558">
        <f t="shared" ca="1" si="420"/>
        <v>0</v>
      </c>
      <c r="W240" s="2558">
        <f t="shared" ca="1" si="421"/>
        <v>0</v>
      </c>
      <c r="X240" s="2558">
        <f t="shared" ca="1" si="421"/>
        <v>0</v>
      </c>
      <c r="Y240" s="2558">
        <f t="shared" ca="1" si="421"/>
        <v>0</v>
      </c>
      <c r="Z240" s="2558">
        <f t="shared" ca="1" si="421"/>
        <v>0</v>
      </c>
      <c r="AA240" s="2559">
        <f t="shared" ca="1" si="421"/>
        <v>0</v>
      </c>
      <c r="AC240" s="2549">
        <f t="shared" ref="AC240:AC245" si="427">AC226</f>
        <v>2024</v>
      </c>
      <c r="AD240" s="2556">
        <f t="shared" ca="1" si="415"/>
        <v>0</v>
      </c>
      <c r="AE240" s="2556">
        <f t="shared" ca="1" si="403"/>
        <v>0</v>
      </c>
      <c r="AF240" s="2556">
        <f t="shared" ca="1" si="403"/>
        <v>0</v>
      </c>
      <c r="AG240" s="2556">
        <f t="shared" ca="1" si="403"/>
        <v>469505.06708266702</v>
      </c>
      <c r="AH240" s="2556">
        <f t="shared" ca="1" si="403"/>
        <v>0</v>
      </c>
      <c r="AI240" s="2556">
        <f t="shared" ca="1" si="403"/>
        <v>0</v>
      </c>
      <c r="AJ240" s="2557">
        <f t="shared" ca="1" si="403"/>
        <v>0</v>
      </c>
      <c r="AL240" s="2549">
        <f t="shared" si="411"/>
        <v>2024</v>
      </c>
      <c r="AM240" s="2556">
        <f t="shared" ca="1" si="416"/>
        <v>0</v>
      </c>
      <c r="AN240" s="2556">
        <f t="shared" ca="1" si="416"/>
        <v>0</v>
      </c>
      <c r="AO240" s="2556">
        <f t="shared" ca="1" si="416"/>
        <v>0</v>
      </c>
      <c r="AP240" s="2556">
        <f t="shared" ca="1" si="416"/>
        <v>0</v>
      </c>
      <c r="AQ240" s="2556">
        <f t="shared" ca="1" si="416"/>
        <v>63077.282541228997</v>
      </c>
      <c r="AR240" s="2556">
        <f t="shared" ca="1" si="416"/>
        <v>0</v>
      </c>
      <c r="AS240" s="2557">
        <f t="shared" ca="1" si="416"/>
        <v>0</v>
      </c>
    </row>
    <row r="241" spans="2:45">
      <c r="B241" s="2549">
        <f t="shared" si="399"/>
        <v>2025</v>
      </c>
      <c r="C241" s="2556">
        <f t="shared" ref="C241:I241" ca="1" si="428">C227*C213</f>
        <v>0</v>
      </c>
      <c r="D241" s="2556">
        <f t="shared" ca="1" si="428"/>
        <v>0</v>
      </c>
      <c r="E241" s="2556">
        <f t="shared" ca="1" si="428"/>
        <v>0</v>
      </c>
      <c r="F241" s="2556">
        <f t="shared" ca="1" si="428"/>
        <v>24875.478076339055</v>
      </c>
      <c r="G241" s="2556">
        <f t="shared" ca="1" si="428"/>
        <v>0</v>
      </c>
      <c r="H241" s="2556">
        <f t="shared" ca="1" si="428"/>
        <v>0</v>
      </c>
      <c r="I241" s="2557">
        <f t="shared" ca="1" si="428"/>
        <v>0</v>
      </c>
      <c r="K241" s="2549">
        <f t="shared" si="406"/>
        <v>2025</v>
      </c>
      <c r="L241" s="2556">
        <f t="shared" ref="L241:R241" ca="1" si="429">L227*L213</f>
        <v>0</v>
      </c>
      <c r="M241" s="2556">
        <f t="shared" ca="1" si="429"/>
        <v>0</v>
      </c>
      <c r="N241" s="2556">
        <f t="shared" ca="1" si="429"/>
        <v>0</v>
      </c>
      <c r="O241" s="2556">
        <f t="shared" ca="1" si="429"/>
        <v>0</v>
      </c>
      <c r="P241" s="2556">
        <f t="shared" ca="1" si="429"/>
        <v>0</v>
      </c>
      <c r="Q241" s="2556">
        <f t="shared" ca="1" si="429"/>
        <v>0</v>
      </c>
      <c r="R241" s="2557">
        <f t="shared" ca="1" si="429"/>
        <v>0</v>
      </c>
      <c r="T241" s="2549">
        <f t="shared" si="424"/>
        <v>2025</v>
      </c>
      <c r="U241" s="2558">
        <f t="shared" ca="1" si="419"/>
        <v>0</v>
      </c>
      <c r="V241" s="2558">
        <f t="shared" ca="1" si="420"/>
        <v>0</v>
      </c>
      <c r="W241" s="2558">
        <f t="shared" ca="1" si="421"/>
        <v>0</v>
      </c>
      <c r="X241" s="2558">
        <f t="shared" ca="1" si="421"/>
        <v>0</v>
      </c>
      <c r="Y241" s="2558">
        <f t="shared" ca="1" si="421"/>
        <v>0</v>
      </c>
      <c r="Z241" s="2558">
        <f t="shared" ca="1" si="421"/>
        <v>0</v>
      </c>
      <c r="AA241" s="2559">
        <f t="shared" ca="1" si="421"/>
        <v>0</v>
      </c>
      <c r="AC241" s="2549">
        <f t="shared" si="427"/>
        <v>2025</v>
      </c>
      <c r="AD241" s="2556">
        <f t="shared" ca="1" si="415"/>
        <v>0</v>
      </c>
      <c r="AE241" s="2556">
        <f t="shared" ca="1" si="403"/>
        <v>0</v>
      </c>
      <c r="AF241" s="2556">
        <f t="shared" ca="1" si="403"/>
        <v>0</v>
      </c>
      <c r="AG241" s="2556">
        <f t="shared" ca="1" si="403"/>
        <v>0</v>
      </c>
      <c r="AH241" s="2556">
        <f t="shared" ca="1" si="403"/>
        <v>517896.19269297499</v>
      </c>
      <c r="AI241" s="2556">
        <f t="shared" ca="1" si="403"/>
        <v>0</v>
      </c>
      <c r="AJ241" s="2557">
        <f t="shared" ca="1" si="403"/>
        <v>0</v>
      </c>
      <c r="AL241" s="2549">
        <f t="shared" si="411"/>
        <v>2025</v>
      </c>
      <c r="AM241" s="2556">
        <f t="shared" ca="1" si="416"/>
        <v>0</v>
      </c>
      <c r="AN241" s="2556">
        <f t="shared" ca="1" si="416"/>
        <v>0</v>
      </c>
      <c r="AO241" s="2556">
        <f t="shared" ca="1" si="416"/>
        <v>0</v>
      </c>
      <c r="AP241" s="2556">
        <f t="shared" ca="1" si="416"/>
        <v>0</v>
      </c>
      <c r="AQ241" s="2556">
        <f t="shared" ca="1" si="416"/>
        <v>0</v>
      </c>
      <c r="AR241" s="2556">
        <f t="shared" ca="1" si="416"/>
        <v>69831.326509997554</v>
      </c>
      <c r="AS241" s="2557">
        <f t="shared" ca="1" si="416"/>
        <v>0</v>
      </c>
    </row>
    <row r="242" spans="2:45">
      <c r="B242" s="2549">
        <f t="shared" si="399"/>
        <v>2026</v>
      </c>
      <c r="C242" s="2556">
        <f t="shared" ref="C242:I242" ca="1" si="430">C228*C214</f>
        <v>0</v>
      </c>
      <c r="D242" s="2556">
        <f t="shared" ca="1" si="430"/>
        <v>0</v>
      </c>
      <c r="E242" s="2556">
        <f t="shared" ca="1" si="430"/>
        <v>0</v>
      </c>
      <c r="F242" s="2556">
        <f t="shared" ca="1" si="430"/>
        <v>0</v>
      </c>
      <c r="G242" s="2556">
        <f t="shared" ca="1" si="430"/>
        <v>26027.788486800629</v>
      </c>
      <c r="H242" s="2556">
        <f t="shared" ca="1" si="430"/>
        <v>0</v>
      </c>
      <c r="I242" s="2557">
        <f t="shared" ca="1" si="430"/>
        <v>0</v>
      </c>
      <c r="K242" s="2549">
        <f t="shared" si="406"/>
        <v>2026</v>
      </c>
      <c r="L242" s="2556">
        <f t="shared" ref="L242:R242" ca="1" si="431">L228*L214</f>
        <v>0</v>
      </c>
      <c r="M242" s="2556">
        <f t="shared" ca="1" si="431"/>
        <v>0</v>
      </c>
      <c r="N242" s="2556">
        <f t="shared" ca="1" si="431"/>
        <v>0</v>
      </c>
      <c r="O242" s="2556">
        <f t="shared" ca="1" si="431"/>
        <v>0</v>
      </c>
      <c r="P242" s="2556">
        <f t="shared" ca="1" si="431"/>
        <v>0</v>
      </c>
      <c r="Q242" s="2556">
        <f t="shared" ca="1" si="431"/>
        <v>0</v>
      </c>
      <c r="R242" s="2557">
        <f t="shared" ca="1" si="431"/>
        <v>0</v>
      </c>
      <c r="T242" s="2549">
        <f t="shared" si="424"/>
        <v>2026</v>
      </c>
      <c r="U242" s="2558">
        <f t="shared" ca="1" si="419"/>
        <v>0</v>
      </c>
      <c r="V242" s="2558">
        <f t="shared" ca="1" si="420"/>
        <v>0</v>
      </c>
      <c r="W242" s="2558">
        <f t="shared" ca="1" si="421"/>
        <v>0</v>
      </c>
      <c r="X242" s="2558">
        <f t="shared" ca="1" si="421"/>
        <v>0</v>
      </c>
      <c r="Y242" s="2558">
        <f t="shared" ca="1" si="421"/>
        <v>0</v>
      </c>
      <c r="Z242" s="2558">
        <f t="shared" ca="1" si="421"/>
        <v>0</v>
      </c>
      <c r="AA242" s="2559">
        <f t="shared" ca="1" si="421"/>
        <v>0</v>
      </c>
      <c r="AC242" s="2549">
        <f t="shared" si="427"/>
        <v>2026</v>
      </c>
      <c r="AD242" s="2556">
        <f t="shared" ca="1" si="415"/>
        <v>0</v>
      </c>
      <c r="AE242" s="2556">
        <f t="shared" ca="1" si="403"/>
        <v>0</v>
      </c>
      <c r="AF242" s="2556">
        <f t="shared" ca="1" si="403"/>
        <v>0</v>
      </c>
      <c r="AG242" s="2556">
        <f t="shared" ca="1" si="403"/>
        <v>0</v>
      </c>
      <c r="AH242" s="2556">
        <f t="shared" ca="1" si="403"/>
        <v>0</v>
      </c>
      <c r="AI242" s="2556">
        <f t="shared" ca="1" si="403"/>
        <v>521961.05841536517</v>
      </c>
      <c r="AJ242" s="2557">
        <f t="shared" ca="1" si="403"/>
        <v>0</v>
      </c>
      <c r="AL242" s="2549">
        <f t="shared" si="411"/>
        <v>2026</v>
      </c>
      <c r="AM242" s="2556">
        <f t="shared" ca="1" si="416"/>
        <v>0</v>
      </c>
      <c r="AN242" s="2556">
        <f t="shared" ca="1" si="416"/>
        <v>0</v>
      </c>
      <c r="AO242" s="2556">
        <f t="shared" ca="1" si="416"/>
        <v>0</v>
      </c>
      <c r="AP242" s="2556">
        <f t="shared" ca="1" si="416"/>
        <v>0</v>
      </c>
      <c r="AQ242" s="2556">
        <f t="shared" ca="1" si="416"/>
        <v>0</v>
      </c>
      <c r="AR242" s="2556">
        <f t="shared" ca="1" si="416"/>
        <v>0</v>
      </c>
      <c r="AS242" s="2557">
        <f t="shared" ca="1" si="416"/>
        <v>70386.823551723195</v>
      </c>
    </row>
    <row r="243" spans="2:45">
      <c r="B243" s="2549">
        <f t="shared" si="399"/>
        <v>2027</v>
      </c>
      <c r="C243" s="2556">
        <f t="shared" ref="C243:I243" ca="1" si="432">C229*C215</f>
        <v>0</v>
      </c>
      <c r="D243" s="2556">
        <f t="shared" ca="1" si="432"/>
        <v>0</v>
      </c>
      <c r="E243" s="2556">
        <f t="shared" ca="1" si="432"/>
        <v>0</v>
      </c>
      <c r="F243" s="2556">
        <f t="shared" ca="1" si="432"/>
        <v>0</v>
      </c>
      <c r="G243" s="2556">
        <f t="shared" ca="1" si="432"/>
        <v>0</v>
      </c>
      <c r="H243" s="2556">
        <f t="shared" ca="1" si="432"/>
        <v>26591.48228774438</v>
      </c>
      <c r="I243" s="2557">
        <f t="shared" ca="1" si="432"/>
        <v>0</v>
      </c>
      <c r="K243" s="2549">
        <f t="shared" si="406"/>
        <v>2027</v>
      </c>
      <c r="L243" s="2556">
        <f t="shared" ref="L243:R243" ca="1" si="433">L229*L215</f>
        <v>0</v>
      </c>
      <c r="M243" s="2556">
        <f t="shared" ca="1" si="433"/>
        <v>0</v>
      </c>
      <c r="N243" s="2556">
        <f t="shared" ca="1" si="433"/>
        <v>0</v>
      </c>
      <c r="O243" s="2556">
        <f t="shared" ca="1" si="433"/>
        <v>0</v>
      </c>
      <c r="P243" s="2556">
        <f t="shared" ca="1" si="433"/>
        <v>0</v>
      </c>
      <c r="Q243" s="2556">
        <f ca="1">Q229*Q215</f>
        <v>0</v>
      </c>
      <c r="R243" s="2557">
        <f t="shared" ca="1" si="433"/>
        <v>0</v>
      </c>
      <c r="T243" s="2549">
        <f t="shared" si="424"/>
        <v>2027</v>
      </c>
      <c r="U243" s="2558">
        <f t="shared" ca="1" si="419"/>
        <v>0</v>
      </c>
      <c r="V243" s="2558">
        <f t="shared" ca="1" si="420"/>
        <v>0</v>
      </c>
      <c r="W243" s="2558">
        <f t="shared" ca="1" si="421"/>
        <v>0</v>
      </c>
      <c r="X243" s="2558">
        <f t="shared" ca="1" si="421"/>
        <v>0</v>
      </c>
      <c r="Y243" s="2558">
        <f t="shared" ca="1" si="421"/>
        <v>0</v>
      </c>
      <c r="Z243" s="2558">
        <f t="shared" ca="1" si="421"/>
        <v>0</v>
      </c>
      <c r="AA243" s="2559">
        <f ca="1">AA229*AA215</f>
        <v>0</v>
      </c>
      <c r="AC243" s="2549">
        <f t="shared" si="427"/>
        <v>2027</v>
      </c>
      <c r="AD243" s="2556">
        <f t="shared" ca="1" si="415"/>
        <v>0</v>
      </c>
      <c r="AE243" s="2556">
        <f t="shared" ca="1" si="403"/>
        <v>0</v>
      </c>
      <c r="AF243" s="2556">
        <f t="shared" ca="1" si="403"/>
        <v>0</v>
      </c>
      <c r="AG243" s="2556">
        <f t="shared" ca="1" si="403"/>
        <v>0</v>
      </c>
      <c r="AH243" s="2556">
        <f t="shared" ca="1" si="403"/>
        <v>0</v>
      </c>
      <c r="AI243" s="2556">
        <f t="shared" ca="1" si="403"/>
        <v>0</v>
      </c>
      <c r="AJ243" s="2557">
        <f ca="1">AJ229*AJ215</f>
        <v>576286.90041016252</v>
      </c>
      <c r="AL243" s="2549">
        <f t="shared" si="411"/>
        <v>2027</v>
      </c>
      <c r="AM243" s="2556">
        <f t="shared" ca="1" si="416"/>
        <v>0</v>
      </c>
      <c r="AN243" s="2556">
        <f t="shared" ca="1" si="416"/>
        <v>0</v>
      </c>
      <c r="AO243" s="2556">
        <f t="shared" ca="1" si="416"/>
        <v>0</v>
      </c>
      <c r="AP243" s="2556">
        <f t="shared" ca="1" si="416"/>
        <v>0</v>
      </c>
      <c r="AQ243" s="2556">
        <f t="shared" ca="1" si="416"/>
        <v>0</v>
      </c>
      <c r="AR243" s="2556">
        <f t="shared" ca="1" si="416"/>
        <v>0</v>
      </c>
      <c r="AS243" s="2557">
        <f t="shared" ca="1" si="416"/>
        <v>0</v>
      </c>
    </row>
    <row r="244" spans="2:45">
      <c r="B244" s="2549">
        <f t="shared" si="399"/>
        <v>2028</v>
      </c>
      <c r="C244" s="2556">
        <f t="shared" ref="C244:H244" ca="1" si="434">C230*C216</f>
        <v>0</v>
      </c>
      <c r="D244" s="2556">
        <f t="shared" ca="1" si="434"/>
        <v>0</v>
      </c>
      <c r="E244" s="2556">
        <f t="shared" ca="1" si="434"/>
        <v>0</v>
      </c>
      <c r="F244" s="2556">
        <f t="shared" ca="1" si="434"/>
        <v>0</v>
      </c>
      <c r="G244" s="2556">
        <f t="shared" ca="1" si="434"/>
        <v>0</v>
      </c>
      <c r="H244" s="2556">
        <f t="shared" ca="1" si="434"/>
        <v>0</v>
      </c>
      <c r="I244" s="2557">
        <f ca="1">I230*I216</f>
        <v>27373.420892761151</v>
      </c>
      <c r="K244" s="2549">
        <f t="shared" si="406"/>
        <v>2028</v>
      </c>
      <c r="L244" s="2556">
        <f t="shared" ref="L244:R244" ca="1" si="435">L230*L216</f>
        <v>0</v>
      </c>
      <c r="M244" s="2556">
        <f t="shared" ca="1" si="435"/>
        <v>0</v>
      </c>
      <c r="N244" s="2556">
        <f t="shared" ca="1" si="435"/>
        <v>0</v>
      </c>
      <c r="O244" s="2556">
        <f t="shared" ca="1" si="435"/>
        <v>0</v>
      </c>
      <c r="P244" s="2556">
        <f t="shared" ca="1" si="435"/>
        <v>0</v>
      </c>
      <c r="Q244" s="2556">
        <f t="shared" ca="1" si="435"/>
        <v>0</v>
      </c>
      <c r="R244" s="2557">
        <f t="shared" ca="1" si="435"/>
        <v>0</v>
      </c>
      <c r="T244" s="2549">
        <f t="shared" si="424"/>
        <v>2028</v>
      </c>
      <c r="U244" s="2558">
        <f t="shared" ca="1" si="419"/>
        <v>0</v>
      </c>
      <c r="V244" s="2558">
        <f t="shared" ca="1" si="420"/>
        <v>0</v>
      </c>
      <c r="W244" s="2558">
        <f t="shared" ca="1" si="421"/>
        <v>0</v>
      </c>
      <c r="X244" s="2558">
        <f t="shared" ca="1" si="421"/>
        <v>0</v>
      </c>
      <c r="Y244" s="2558">
        <f t="shared" ca="1" si="421"/>
        <v>0</v>
      </c>
      <c r="Z244" s="2558">
        <f t="shared" ca="1" si="421"/>
        <v>0</v>
      </c>
      <c r="AA244" s="2559">
        <f t="shared" ca="1" si="421"/>
        <v>0</v>
      </c>
      <c r="AC244" s="2549">
        <f t="shared" si="427"/>
        <v>2028</v>
      </c>
      <c r="AD244" s="2556">
        <f t="shared" ca="1" si="415"/>
        <v>0</v>
      </c>
      <c r="AE244" s="2556">
        <f t="shared" ca="1" si="403"/>
        <v>0</v>
      </c>
      <c r="AF244" s="2556">
        <f t="shared" ca="1" si="403"/>
        <v>0</v>
      </c>
      <c r="AG244" s="2556">
        <f t="shared" ca="1" si="403"/>
        <v>0</v>
      </c>
      <c r="AH244" s="2556">
        <f t="shared" ca="1" si="403"/>
        <v>0</v>
      </c>
      <c r="AI244" s="2556">
        <f t="shared" ca="1" si="403"/>
        <v>0</v>
      </c>
      <c r="AJ244" s="2557">
        <f t="shared" ca="1" si="403"/>
        <v>0</v>
      </c>
      <c r="AL244" s="2549">
        <f t="shared" si="411"/>
        <v>2028</v>
      </c>
      <c r="AM244" s="2556">
        <f t="shared" ca="1" si="416"/>
        <v>0</v>
      </c>
      <c r="AN244" s="2556">
        <f t="shared" ca="1" si="416"/>
        <v>0</v>
      </c>
      <c r="AO244" s="2556">
        <f t="shared" ca="1" si="416"/>
        <v>0</v>
      </c>
      <c r="AP244" s="2556">
        <f t="shared" ca="1" si="416"/>
        <v>0</v>
      </c>
      <c r="AQ244" s="2556">
        <f t="shared" ca="1" si="416"/>
        <v>0</v>
      </c>
      <c r="AR244" s="2556">
        <f t="shared" ca="1" si="416"/>
        <v>0</v>
      </c>
      <c r="AS244" s="2557">
        <f t="shared" ca="1" si="416"/>
        <v>0</v>
      </c>
    </row>
    <row r="245" spans="2:45">
      <c r="B245" s="2549"/>
      <c r="C245" s="2561"/>
      <c r="D245" s="2561"/>
      <c r="E245" s="2561"/>
      <c r="F245" s="2561"/>
      <c r="G245" s="2561"/>
      <c r="H245" s="2561"/>
      <c r="I245" s="2562"/>
      <c r="K245" s="2549"/>
      <c r="L245" s="2561"/>
      <c r="M245" s="2561"/>
      <c r="N245" s="2561"/>
      <c r="O245" s="2561"/>
      <c r="P245" s="2561"/>
      <c r="Q245" s="2561"/>
      <c r="R245" s="2562"/>
      <c r="T245" s="2549">
        <f t="shared" si="424"/>
        <v>2029</v>
      </c>
      <c r="U245" s="2558">
        <f t="shared" ca="1" si="419"/>
        <v>0</v>
      </c>
      <c r="V245" s="2558">
        <f t="shared" ca="1" si="420"/>
        <v>0</v>
      </c>
      <c r="W245" s="2558">
        <f t="shared" ca="1" si="421"/>
        <v>0</v>
      </c>
      <c r="X245" s="2558">
        <f t="shared" ca="1" si="421"/>
        <v>0</v>
      </c>
      <c r="Y245" s="2558">
        <f t="shared" ca="1" si="421"/>
        <v>0</v>
      </c>
      <c r="Z245" s="2558">
        <f t="shared" ca="1" si="421"/>
        <v>0</v>
      </c>
      <c r="AA245" s="2559">
        <f t="shared" ca="1" si="421"/>
        <v>0</v>
      </c>
      <c r="AC245" s="2549">
        <f t="shared" si="427"/>
        <v>2029</v>
      </c>
      <c r="AD245" s="2561">
        <f t="shared" ca="1" si="415"/>
        <v>0</v>
      </c>
      <c r="AE245" s="2561">
        <f t="shared" ca="1" si="403"/>
        <v>0</v>
      </c>
      <c r="AF245" s="2561">
        <f t="shared" ca="1" si="403"/>
        <v>0</v>
      </c>
      <c r="AG245" s="2561">
        <f t="shared" ca="1" si="403"/>
        <v>0</v>
      </c>
      <c r="AH245" s="2561">
        <f t="shared" ca="1" si="403"/>
        <v>0</v>
      </c>
      <c r="AI245" s="2561">
        <f t="shared" ca="1" si="403"/>
        <v>0</v>
      </c>
      <c r="AJ245" s="2562">
        <f t="shared" ca="1" si="403"/>
        <v>0</v>
      </c>
      <c r="AL245" s="2549">
        <f t="shared" si="411"/>
        <v>2029</v>
      </c>
      <c r="AM245" s="2561">
        <f t="shared" ca="1" si="416"/>
        <v>0</v>
      </c>
      <c r="AN245" s="2561">
        <f t="shared" ca="1" si="416"/>
        <v>0</v>
      </c>
      <c r="AO245" s="2561">
        <f t="shared" ca="1" si="416"/>
        <v>0</v>
      </c>
      <c r="AP245" s="2561">
        <f t="shared" ca="1" si="416"/>
        <v>0</v>
      </c>
      <c r="AQ245" s="2561">
        <f t="shared" ca="1" si="416"/>
        <v>0</v>
      </c>
      <c r="AR245" s="2561">
        <f t="shared" ca="1" si="416"/>
        <v>0</v>
      </c>
      <c r="AS245" s="2562">
        <f t="shared" ca="1" si="416"/>
        <v>0</v>
      </c>
    </row>
    <row r="246" spans="2:45">
      <c r="B246" s="2586" t="s">
        <v>743</v>
      </c>
      <c r="C246" s="2563">
        <f t="shared" ref="C246:I246" ca="1" si="436">SUM(C234:C245)</f>
        <v>15299.777294724012</v>
      </c>
      <c r="D246" s="2563">
        <f t="shared" ca="1" si="436"/>
        <v>14972.753784313831</v>
      </c>
      <c r="E246" s="2563">
        <f t="shared" ca="1" si="436"/>
        <v>21759.3004881204</v>
      </c>
      <c r="F246" s="2563">
        <f t="shared" ca="1" si="436"/>
        <v>24875.478076339055</v>
      </c>
      <c r="G246" s="2563">
        <f t="shared" ca="1" si="436"/>
        <v>26027.788486800629</v>
      </c>
      <c r="H246" s="2563">
        <f t="shared" ca="1" si="436"/>
        <v>26591.48228774438</v>
      </c>
      <c r="I246" s="2564">
        <f t="shared" ca="1" si="436"/>
        <v>27373.420892761151</v>
      </c>
      <c r="K246" s="2586" t="s">
        <v>743</v>
      </c>
      <c r="L246" s="2594">
        <f ca="1">SUM(L234:L245)</f>
        <v>34520.076079727463</v>
      </c>
      <c r="M246" s="2594">
        <f t="shared" ref="M246:R246" ca="1" si="437">SUM(M234:M245)</f>
        <v>0</v>
      </c>
      <c r="N246" s="2594">
        <f t="shared" ca="1" si="437"/>
        <v>0</v>
      </c>
      <c r="O246" s="2594">
        <f t="shared" ca="1" si="437"/>
        <v>0</v>
      </c>
      <c r="P246" s="2594">
        <f t="shared" ca="1" si="437"/>
        <v>0</v>
      </c>
      <c r="Q246" s="2594">
        <f t="shared" ca="1" si="437"/>
        <v>0</v>
      </c>
      <c r="R246" s="2595">
        <f t="shared" ca="1" si="437"/>
        <v>0</v>
      </c>
      <c r="T246" s="2586" t="s">
        <v>743</v>
      </c>
      <c r="U246" s="2594">
        <f t="shared" ref="U246:AA246" ca="1" si="438">SUM(U234:U245)</f>
        <v>0</v>
      </c>
      <c r="V246" s="2594">
        <f t="shared" ca="1" si="438"/>
        <v>55913.976351877383</v>
      </c>
      <c r="W246" s="2594">
        <f t="shared" ca="1" si="438"/>
        <v>103894.89659661948</v>
      </c>
      <c r="X246" s="2594">
        <f t="shared" ca="1" si="438"/>
        <v>0</v>
      </c>
      <c r="Y246" s="2594">
        <f t="shared" ca="1" si="438"/>
        <v>0</v>
      </c>
      <c r="Z246" s="2594">
        <f t="shared" ca="1" si="438"/>
        <v>0</v>
      </c>
      <c r="AA246" s="2595">
        <f t="shared" ca="1" si="438"/>
        <v>0</v>
      </c>
      <c r="AC246" s="2586" t="s">
        <v>743</v>
      </c>
      <c r="AD246" s="2594">
        <f t="shared" ref="AD246:AJ246" ca="1" si="439">SUM(AD234:AD245)</f>
        <v>0</v>
      </c>
      <c r="AE246" s="2594">
        <f t="shared" ca="1" si="439"/>
        <v>459858.39299161942</v>
      </c>
      <c r="AF246" s="2594">
        <f t="shared" ca="1" si="439"/>
        <v>334769.31033192726</v>
      </c>
      <c r="AG246" s="2594">
        <f t="shared" ca="1" si="439"/>
        <v>469505.06708266702</v>
      </c>
      <c r="AH246" s="2594">
        <f t="shared" ca="1" si="439"/>
        <v>517896.19269297499</v>
      </c>
      <c r="AI246" s="2594">
        <f t="shared" ca="1" si="439"/>
        <v>521961.05841536517</v>
      </c>
      <c r="AJ246" s="2595">
        <f t="shared" ca="1" si="439"/>
        <v>576286.90041016252</v>
      </c>
      <c r="AL246" s="2586" t="s">
        <v>743</v>
      </c>
      <c r="AM246" s="2594">
        <f t="shared" ref="AM246:AS246" ca="1" si="440">SUM(AM234:AM245)</f>
        <v>0</v>
      </c>
      <c r="AN246" s="2594">
        <f t="shared" ca="1" si="440"/>
        <v>28504.566460100243</v>
      </c>
      <c r="AO246" s="2594">
        <f t="shared" ca="1" si="440"/>
        <v>0</v>
      </c>
      <c r="AP246" s="2594">
        <f t="shared" ca="1" si="440"/>
        <v>49351.045143960349</v>
      </c>
      <c r="AQ246" s="2594">
        <f t="shared" ca="1" si="440"/>
        <v>63077.282541228997</v>
      </c>
      <c r="AR246" s="2594">
        <f t="shared" ca="1" si="440"/>
        <v>69831.326509997554</v>
      </c>
      <c r="AS246" s="2595">
        <f t="shared" ca="1" si="440"/>
        <v>70386.823551723195</v>
      </c>
    </row>
    <row r="248" spans="2:45">
      <c r="B248" s="2538" t="s">
        <v>807</v>
      </c>
      <c r="C248" s="2541"/>
      <c r="D248" s="2541"/>
      <c r="E248" s="2541"/>
      <c r="F248" s="2541"/>
      <c r="G248" s="2541"/>
      <c r="H248" s="2541"/>
      <c r="I248" s="2542"/>
      <c r="K248" s="2538" t="s">
        <v>807</v>
      </c>
      <c r="L248" s="2541"/>
      <c r="M248" s="2541"/>
      <c r="N248" s="2541"/>
      <c r="O248" s="2541"/>
      <c r="P248" s="2541"/>
      <c r="Q248" s="2541"/>
      <c r="R248" s="2542"/>
      <c r="T248" s="2538" t="s">
        <v>807</v>
      </c>
      <c r="U248" s="2541"/>
      <c r="V248" s="2541"/>
      <c r="W248" s="2541"/>
      <c r="X248" s="2541"/>
      <c r="Y248" s="2541"/>
      <c r="Z248" s="2541"/>
      <c r="AA248" s="2542"/>
      <c r="AC248" s="2538" t="s">
        <v>807</v>
      </c>
      <c r="AD248" s="2545"/>
      <c r="AE248" s="2545"/>
      <c r="AF248" s="2545"/>
      <c r="AG248" s="2545"/>
      <c r="AH248" s="2545"/>
      <c r="AI248" s="2545"/>
      <c r="AJ248" s="2542"/>
      <c r="AL248" s="2538" t="s">
        <v>807</v>
      </c>
      <c r="AM248" s="2541"/>
      <c r="AN248" s="2541"/>
      <c r="AO248" s="2541"/>
      <c r="AP248" s="2541"/>
      <c r="AQ248" s="2541"/>
      <c r="AR248" s="2541"/>
      <c r="AS248" s="2542"/>
    </row>
    <row r="249" spans="2:45">
      <c r="B249" s="2570" t="s">
        <v>798</v>
      </c>
      <c r="C249" s="2608">
        <f t="shared" ref="C249:I249" si="441">C204</f>
        <v>2023</v>
      </c>
      <c r="D249" s="2608">
        <f t="shared" si="441"/>
        <v>2024</v>
      </c>
      <c r="E249" s="2608">
        <f t="shared" si="441"/>
        <v>2025</v>
      </c>
      <c r="F249" s="2608">
        <f t="shared" si="441"/>
        <v>2026</v>
      </c>
      <c r="G249" s="2608">
        <f t="shared" si="441"/>
        <v>2027</v>
      </c>
      <c r="H249" s="2608">
        <f t="shared" si="441"/>
        <v>2028</v>
      </c>
      <c r="I249" s="2609">
        <f t="shared" si="441"/>
        <v>2029</v>
      </c>
      <c r="K249" s="2570" t="s">
        <v>798</v>
      </c>
      <c r="L249" s="2608">
        <f t="shared" ref="L249:R249" si="442">L204</f>
        <v>2023</v>
      </c>
      <c r="M249" s="2608">
        <f t="shared" si="442"/>
        <v>2024</v>
      </c>
      <c r="N249" s="2608">
        <f t="shared" si="442"/>
        <v>2025</v>
      </c>
      <c r="O249" s="2608">
        <f t="shared" si="442"/>
        <v>2026</v>
      </c>
      <c r="P249" s="2608">
        <f t="shared" si="442"/>
        <v>2027</v>
      </c>
      <c r="Q249" s="2608">
        <f t="shared" si="442"/>
        <v>2028</v>
      </c>
      <c r="R249" s="2609">
        <f t="shared" si="442"/>
        <v>2029</v>
      </c>
      <c r="T249" s="2570" t="s">
        <v>798</v>
      </c>
      <c r="U249" s="2608">
        <f t="shared" ref="U249:AA249" si="443">U204</f>
        <v>2023</v>
      </c>
      <c r="V249" s="2608">
        <f t="shared" si="443"/>
        <v>2024</v>
      </c>
      <c r="W249" s="2608">
        <f t="shared" si="443"/>
        <v>2025</v>
      </c>
      <c r="X249" s="2608">
        <f t="shared" si="443"/>
        <v>2026</v>
      </c>
      <c r="Y249" s="2608">
        <f t="shared" si="443"/>
        <v>2027</v>
      </c>
      <c r="Z249" s="2608">
        <f t="shared" si="443"/>
        <v>2028</v>
      </c>
      <c r="AA249" s="2609">
        <f t="shared" si="443"/>
        <v>2029</v>
      </c>
      <c r="AC249" s="2570" t="s">
        <v>798</v>
      </c>
      <c r="AD249" s="2608">
        <f t="shared" ref="AD249:AJ249" si="444">AD204</f>
        <v>2023</v>
      </c>
      <c r="AE249" s="2608">
        <f t="shared" si="444"/>
        <v>2024</v>
      </c>
      <c r="AF249" s="2608">
        <f t="shared" si="444"/>
        <v>2025</v>
      </c>
      <c r="AG249" s="2608">
        <f t="shared" si="444"/>
        <v>2026</v>
      </c>
      <c r="AH249" s="2608">
        <f t="shared" si="444"/>
        <v>2027</v>
      </c>
      <c r="AI249" s="2608">
        <f t="shared" si="444"/>
        <v>2028</v>
      </c>
      <c r="AJ249" s="2609">
        <f t="shared" si="444"/>
        <v>2029</v>
      </c>
      <c r="AL249" s="2570" t="s">
        <v>798</v>
      </c>
      <c r="AM249" s="2608">
        <f t="shared" ref="AM249:AS249" si="445">AM204</f>
        <v>2023</v>
      </c>
      <c r="AN249" s="2608">
        <f t="shared" si="445"/>
        <v>2024</v>
      </c>
      <c r="AO249" s="2608">
        <f t="shared" si="445"/>
        <v>2025</v>
      </c>
      <c r="AP249" s="2608">
        <f t="shared" si="445"/>
        <v>2026</v>
      </c>
      <c r="AQ249" s="2608">
        <f t="shared" si="445"/>
        <v>2027</v>
      </c>
      <c r="AR249" s="2608">
        <f t="shared" si="445"/>
        <v>2028</v>
      </c>
      <c r="AS249" s="2609">
        <f t="shared" si="445"/>
        <v>2029</v>
      </c>
    </row>
    <row r="250" spans="2:45">
      <c r="B250" s="2570">
        <v>2018</v>
      </c>
      <c r="C250" s="2556">
        <f>SUM($C132:C$133)-SUM($C206:C$207)</f>
        <v>0</v>
      </c>
      <c r="D250" s="2591">
        <f>SUM($C132:D$133)-SUM($C206:D$207)</f>
        <v>0</v>
      </c>
      <c r="E250" s="2591">
        <f>SUM($C132:E$133)-SUM($C206:E$207)</f>
        <v>0</v>
      </c>
      <c r="F250" s="2591">
        <f>SUM($C132:F$133)-SUM($C206:F$207)</f>
        <v>0</v>
      </c>
      <c r="G250" s="2591">
        <f>SUM($C132:G$133)-SUM($C206:G$207)</f>
        <v>0</v>
      </c>
      <c r="H250" s="2591">
        <f>SUM($C132:H$133)-SUM($C206:H$207)</f>
        <v>0</v>
      </c>
      <c r="I250" s="2592">
        <f>SUM($C132:I$133)-SUM($C206:I$207)</f>
        <v>0</v>
      </c>
      <c r="K250" s="2570">
        <v>2018</v>
      </c>
      <c r="L250" s="2556">
        <f>SUM($L132:L$133)-SUM($L206:L$207)</f>
        <v>0</v>
      </c>
      <c r="M250" s="2556">
        <f>SUM($L132:M$133)-SUM($L206:M$207)</f>
        <v>0</v>
      </c>
      <c r="N250" s="2556">
        <f>SUM($L132:N$133)-SUM($L206:N$207)</f>
        <v>0</v>
      </c>
      <c r="O250" s="2556">
        <f>SUM($L132:O$133)-SUM($L206:O$207)</f>
        <v>0</v>
      </c>
      <c r="P250" s="2556">
        <f>SUM($L132:P$133)-SUM($L206:P$207)</f>
        <v>0</v>
      </c>
      <c r="Q250" s="2556">
        <f>SUM($L132:Q$133)-SUM($L206:Q$207)</f>
        <v>0</v>
      </c>
      <c r="R250" s="2557">
        <f>SUM($L132:R$133)-SUM($L206:R$207)</f>
        <v>0</v>
      </c>
      <c r="T250" s="2549">
        <f>T234</f>
        <v>2018</v>
      </c>
      <c r="U250" s="2558">
        <f>SUM($U132:U$132)-SUM($U206:U$206)</f>
        <v>16186.5</v>
      </c>
      <c r="V250" s="2558">
        <f>SUM($U132:V$132)-SUM($U206:V$206)</f>
        <v>10523.25</v>
      </c>
      <c r="W250" s="2558">
        <f>SUM($U132:W$132)-SUM($U206:W$206)</f>
        <v>0.25000000000727596</v>
      </c>
      <c r="X250" s="2558">
        <f>SUM($U132:X$132)-SUM($U206:X$206)</f>
        <v>0.25000000000727596</v>
      </c>
      <c r="Y250" s="2558">
        <f>SUM($U132:Y$132)-SUM($U206:Y$206)</f>
        <v>0.25000000000727596</v>
      </c>
      <c r="Z250" s="2558">
        <f>SUM($U132:Z$132)-SUM($U206:Z$206)</f>
        <v>0.25000000000727596</v>
      </c>
      <c r="AA250" s="2559">
        <f>SUM($U132:AA$132)-SUM($U206:AA$206)</f>
        <v>0.25000000000727596</v>
      </c>
      <c r="AC250" s="2549">
        <f t="shared" ref="AC250:AC260" si="446">AC234</f>
        <v>2018</v>
      </c>
      <c r="AD250" s="1750">
        <f>SUM($AD132:AD$132)-SUM($AD206:AD$206)</f>
        <v>5436</v>
      </c>
      <c r="AE250" s="1750">
        <f>SUM($AD132:AE$132)-SUM($AD206:AE$206)</f>
        <v>0</v>
      </c>
      <c r="AF250" s="1750">
        <f>SUM($AD132:AF$132)-SUM($AD206:AF$206)</f>
        <v>0</v>
      </c>
      <c r="AG250" s="1750">
        <f>SUM($AD132:AG$132)-SUM($AD206:AG$206)</f>
        <v>0</v>
      </c>
      <c r="AH250" s="1750">
        <f>SUM($AD132:AH$132)-SUM($AD206:AH$206)</f>
        <v>0</v>
      </c>
      <c r="AI250" s="1750">
        <f>SUM($AD132:AI$132)-SUM($AD206:AI$206)</f>
        <v>0</v>
      </c>
      <c r="AJ250" s="2610">
        <f>SUM($AD132:AJ$132)-SUM($AD206:AJ$206)</f>
        <v>0</v>
      </c>
      <c r="AL250" s="2549">
        <f>AL234</f>
        <v>2018</v>
      </c>
      <c r="AM250" s="2556">
        <f>SUM($AM132:AM$132)-SUM($AM206:AM$206)</f>
        <v>898.5</v>
      </c>
      <c r="AN250" s="2556">
        <f>SUM($AM132:AN$132)-SUM($AM206:AN$206)</f>
        <v>0</v>
      </c>
      <c r="AO250" s="2556">
        <f>SUM($AM132:AO$132)-SUM($AM206:AO$206)</f>
        <v>0</v>
      </c>
      <c r="AP250" s="2556">
        <f>SUM($AM132:AP$132)-SUM($AM206:AP$206)</f>
        <v>0</v>
      </c>
      <c r="AQ250" s="2556">
        <f>SUM($AM132:AQ$132)-SUM($AM206:AQ$206)</f>
        <v>0</v>
      </c>
      <c r="AR250" s="2556">
        <f>SUM($AM132:AR$132)-SUM($AM206:AR$206)</f>
        <v>0</v>
      </c>
      <c r="AS250" s="2557">
        <f>SUM($AM132:AS$132)-SUM($AM206:AS$206)</f>
        <v>0</v>
      </c>
    </row>
    <row r="251" spans="2:45">
      <c r="B251" s="2549">
        <f t="shared" ref="B251:B260" si="447">B235</f>
        <v>2019</v>
      </c>
      <c r="C251" s="2556">
        <f>SUM($C133:C$133)-SUM($C207:C$207)</f>
        <v>0</v>
      </c>
      <c r="D251" s="2556">
        <f>SUM($C133:D$133)-SUM($C207:D$207)</f>
        <v>0</v>
      </c>
      <c r="E251" s="2556">
        <f>SUM($C133:E$133)-SUM($C207:E$207)</f>
        <v>0</v>
      </c>
      <c r="F251" s="2556">
        <f>SUM($C133:F$133)-SUM($C207:F$207)</f>
        <v>0</v>
      </c>
      <c r="G251" s="2556">
        <f>SUM($C133:G$133)-SUM($C207:G$207)</f>
        <v>0</v>
      </c>
      <c r="H251" s="2556">
        <f>SUM($C133:H$133)-SUM($C207:H$207)</f>
        <v>0</v>
      </c>
      <c r="I251" s="2557">
        <f>SUM($C133:I$133)-SUM($C207:I$207)</f>
        <v>0</v>
      </c>
      <c r="K251" s="2549">
        <f t="shared" ref="K251:K260" si="448">K235</f>
        <v>2019</v>
      </c>
      <c r="L251" s="2556">
        <f>SUM($L133:L$133)-SUM($L207:L$207)</f>
        <v>0</v>
      </c>
      <c r="M251" s="2556">
        <f>SUM($L133:M$133)-SUM($L207:M$207)</f>
        <v>0</v>
      </c>
      <c r="N251" s="2556">
        <f>SUM($L133:N$133)-SUM($L207:N$207)</f>
        <v>0</v>
      </c>
      <c r="O251" s="2556">
        <f>SUM($L133:O$133)-SUM($L207:O$207)</f>
        <v>0</v>
      </c>
      <c r="P251" s="2556">
        <f>SUM($L133:P$133)-SUM($L207:P$207)</f>
        <v>0</v>
      </c>
      <c r="Q251" s="2556">
        <f>SUM($L133:Q$133)-SUM($L207:Q$207)</f>
        <v>0</v>
      </c>
      <c r="R251" s="2557">
        <f>SUM($L133:R$133)-SUM($L207:R$207)</f>
        <v>0</v>
      </c>
      <c r="T251" s="2549">
        <f>T235</f>
        <v>2019</v>
      </c>
      <c r="U251" s="2558">
        <f>SUM($U$133:U133)-SUM($U$207:U207)</f>
        <v>0</v>
      </c>
      <c r="V251" s="2558">
        <f>SUM($U$133:V133)-SUM($U$207:V207)</f>
        <v>22658</v>
      </c>
      <c r="W251" s="2558">
        <f>SUM($U$133:W133)-SUM($U$207:W207)</f>
        <v>22658</v>
      </c>
      <c r="X251" s="2558">
        <f>SUM($U$133:X133)-SUM($U$207:X207)</f>
        <v>22658</v>
      </c>
      <c r="Y251" s="2558">
        <f>SUM($U$133:Y133)-SUM($U$207:Y207)</f>
        <v>22658</v>
      </c>
      <c r="Z251" s="2558">
        <f>SUM($U$133:Z133)-SUM($U$207:Z207)</f>
        <v>22658</v>
      </c>
      <c r="AA251" s="2559">
        <f>SUM($U$133:AA133)-SUM($U$207:AA207)</f>
        <v>22658</v>
      </c>
      <c r="AC251" s="2549">
        <f t="shared" si="446"/>
        <v>2019</v>
      </c>
      <c r="AD251" s="2556">
        <f>SUM($AD$133:AD133)-SUM($AD$207:AD207)</f>
        <v>11011.5</v>
      </c>
      <c r="AE251" s="2556">
        <f>SUM($AD$133:AE133)-SUM($AD$207:AE207)</f>
        <v>0</v>
      </c>
      <c r="AF251" s="2556">
        <f>SUM($AD$133:AF133)-SUM($AD$207:AF207)</f>
        <v>0</v>
      </c>
      <c r="AG251" s="2556">
        <f>SUM($AD$133:AG133)-SUM($AD$207:AG207)</f>
        <v>0</v>
      </c>
      <c r="AH251" s="2556">
        <f>SUM($AD$133:AH133)-SUM($AD$207:AH207)</f>
        <v>0</v>
      </c>
      <c r="AI251" s="2556">
        <f>SUM($AD$133:AI133)-SUM($AD$207:AI207)</f>
        <v>0</v>
      </c>
      <c r="AJ251" s="2557">
        <f>SUM($AD$133:AJ133)-SUM($AD$207:AJ207)</f>
        <v>0</v>
      </c>
      <c r="AL251" s="2549">
        <v>2019</v>
      </c>
      <c r="AM251" s="2556">
        <f>SUM($AM$133:AM133)-SUM($AM$207:AM207)</f>
        <v>1835</v>
      </c>
      <c r="AN251" s="2556">
        <f>SUM($AM$133:AN133)-SUM($AM$207:AN207)</f>
        <v>0</v>
      </c>
      <c r="AO251" s="2556">
        <f>SUM($AM$133:AO133)-SUM($AM$207:AO207)</f>
        <v>0</v>
      </c>
      <c r="AP251" s="2556">
        <f>SUM($AM$133:AP133)-SUM($AM$207:AP207)</f>
        <v>0</v>
      </c>
      <c r="AQ251" s="2556">
        <f>SUM($AM$133:AQ133)-SUM($AM$207:AQ207)</f>
        <v>0</v>
      </c>
      <c r="AR251" s="2556">
        <f>SUM($AM$133:AR133)-SUM($AM$207:AR207)</f>
        <v>0</v>
      </c>
      <c r="AS251" s="2557">
        <f>SUM($AM$133:AS133)-SUM($AM$207:AS207)</f>
        <v>0</v>
      </c>
    </row>
    <row r="252" spans="2:45">
      <c r="B252" s="2549">
        <f t="shared" si="447"/>
        <v>2020</v>
      </c>
      <c r="C252" s="2556">
        <f>SUM($C134:C$134)-SUM($C208:C$208)</f>
        <v>0</v>
      </c>
      <c r="D252" s="2556">
        <f>SUM($C134:D$134)-SUM($C208:D$208)</f>
        <v>0</v>
      </c>
      <c r="E252" s="2556">
        <f>SUM($C134:E$134)-SUM($C208:E$208)</f>
        <v>0</v>
      </c>
      <c r="F252" s="2556">
        <f>SUM($C134:F$134)-SUM($C208:F$208)</f>
        <v>0</v>
      </c>
      <c r="G252" s="2556">
        <f>SUM($C134:G$134)-SUM($C208:G$208)</f>
        <v>0</v>
      </c>
      <c r="H252" s="2556">
        <f>SUM($C134:H$134)-SUM($C208:H$208)</f>
        <v>0</v>
      </c>
      <c r="I252" s="2557">
        <f>SUM($C134:I$134)-SUM($C208:I$208)</f>
        <v>0</v>
      </c>
      <c r="K252" s="2549">
        <f t="shared" si="448"/>
        <v>2020</v>
      </c>
      <c r="L252" s="2556">
        <f>SUM($L134:L$134)-SUM($L208:L$208)</f>
        <v>0</v>
      </c>
      <c r="M252" s="2556">
        <f>SUM($L134:M$134)-SUM($L208:M$208)</f>
        <v>0</v>
      </c>
      <c r="N252" s="2556">
        <f>SUM($L134:N$134)-SUM($L208:N$208)</f>
        <v>0</v>
      </c>
      <c r="O252" s="2556">
        <f>SUM($L134:O$134)-SUM($L208:O$208)</f>
        <v>0</v>
      </c>
      <c r="P252" s="2556">
        <f>SUM($L134:P$134)-SUM($L208:P$208)</f>
        <v>0</v>
      </c>
      <c r="Q252" s="2556">
        <f>SUM($L134:Q$134)-SUM($L208:Q$208)</f>
        <v>0</v>
      </c>
      <c r="R252" s="2557">
        <f>SUM($L134:R$134)-SUM($L208:R$208)</f>
        <v>0</v>
      </c>
      <c r="T252" s="2549">
        <f>T236</f>
        <v>2020</v>
      </c>
      <c r="U252" s="2558">
        <f>SUM($U$134:U134)-SUM($U$208:U208)</f>
        <v>0</v>
      </c>
      <c r="V252" s="2558">
        <f>SUM($U$134:V134)-SUM($U$208:V208)</f>
        <v>20750</v>
      </c>
      <c r="W252" s="2558">
        <f>SUM($U$134:W134)-SUM($U$208:W208)</f>
        <v>20750</v>
      </c>
      <c r="X252" s="2558">
        <f>SUM($U$134:X134)-SUM($U$208:X208)</f>
        <v>20750</v>
      </c>
      <c r="Y252" s="2558">
        <f>SUM($U$134:Y134)-SUM($U$208:Y208)</f>
        <v>20750</v>
      </c>
      <c r="Z252" s="2558">
        <f>SUM($U$134:Z134)-SUM($U$208:Z208)</f>
        <v>20750</v>
      </c>
      <c r="AA252" s="2559">
        <f>SUM($U$134:AA134)-SUM($U$208:AA208)</f>
        <v>20750</v>
      </c>
      <c r="AC252" s="2549">
        <f t="shared" si="446"/>
        <v>2020</v>
      </c>
      <c r="AD252" s="2556">
        <f>SUM($AD$134:AD134)-SUM($AD$208:AD208)</f>
        <v>0</v>
      </c>
      <c r="AE252" s="2556">
        <f>SUM($AD$134:AE134)-SUM($AD$208:AE208)</f>
        <v>0</v>
      </c>
      <c r="AF252" s="2556">
        <f>SUM($AD$134:AF134)-SUM($AD$208:AF208)</f>
        <v>0</v>
      </c>
      <c r="AG252" s="2556">
        <f>SUM($AD$134:AG134)-SUM($AD$208:AG208)</f>
        <v>0</v>
      </c>
      <c r="AH252" s="2556">
        <f>SUM($AD$134:AH134)-SUM($AD$208:AH208)</f>
        <v>0</v>
      </c>
      <c r="AI252" s="2556">
        <f>SUM($AD$134:AI134)-SUM($AD$208:AI208)</f>
        <v>0</v>
      </c>
      <c r="AJ252" s="2557">
        <f>SUM($AD$134:AJ134)-SUM($AD$208:AJ208)</f>
        <v>0</v>
      </c>
      <c r="AL252" s="2549">
        <f t="shared" ref="AL252:AL261" si="449">AL236</f>
        <v>2020</v>
      </c>
      <c r="AM252" s="2556">
        <f>SUM($AM$134:AM134)-SUM($AM$208:AM208)</f>
        <v>0</v>
      </c>
      <c r="AN252" s="2556">
        <f>SUM($AM$134:AN134)-SUM($AM$208:AN208)</f>
        <v>0</v>
      </c>
      <c r="AO252" s="2556">
        <f>SUM($AM$134:AO134)-SUM($AM$208:AO208)</f>
        <v>0</v>
      </c>
      <c r="AP252" s="2556">
        <f>SUM($AM$134:AP134)-SUM($AM$208:AP208)</f>
        <v>0</v>
      </c>
      <c r="AQ252" s="2556">
        <f>SUM($AM$134:AQ134)-SUM($AM$208:AQ208)</f>
        <v>0</v>
      </c>
      <c r="AR252" s="2556">
        <f>SUM($AM$134:AR134)-SUM($AM$208:AR208)</f>
        <v>0</v>
      </c>
      <c r="AS252" s="2557">
        <f>SUM($AM$134:AS134)-SUM($AM$208:AS208)</f>
        <v>0</v>
      </c>
    </row>
    <row r="253" spans="2:45">
      <c r="B253" s="2549">
        <f t="shared" si="447"/>
        <v>2021</v>
      </c>
      <c r="C253" s="2556">
        <f>SUM($C135:C$135)-SUM($C209:C$209)</f>
        <v>0</v>
      </c>
      <c r="D253" s="2556">
        <f>SUM($C135:D$135)-SUM($C209:D$209)</f>
        <v>0</v>
      </c>
      <c r="E253" s="2556">
        <f>SUM($C135:E$135)-SUM($C209:E$209)</f>
        <v>0</v>
      </c>
      <c r="F253" s="2556">
        <f>SUM($C135:F$135)-SUM($C209:F$209)</f>
        <v>0</v>
      </c>
      <c r="G253" s="2556">
        <f>SUM($C135:G$135)-SUM($C209:G$209)</f>
        <v>0</v>
      </c>
      <c r="H253" s="2556">
        <f>SUM($C135:H$135)-SUM($C209:H$209)</f>
        <v>0</v>
      </c>
      <c r="I253" s="2557">
        <f>SUM($C135:I$135)-SUM($C209:I$209)</f>
        <v>0</v>
      </c>
      <c r="K253" s="2549">
        <f t="shared" si="448"/>
        <v>2021</v>
      </c>
      <c r="L253" s="2556">
        <f>SUM($L135:L$135)-SUM($L209:L$209)</f>
        <v>0</v>
      </c>
      <c r="M253" s="2556">
        <f>SUM($L135:M$135)-SUM($L209:M$209)</f>
        <v>0</v>
      </c>
      <c r="N253" s="2556">
        <f>SUM($L135:N$135)-SUM($L209:N$209)</f>
        <v>0</v>
      </c>
      <c r="O253" s="2556">
        <f>SUM($L135:O$135)-SUM($L209:O$209)</f>
        <v>0</v>
      </c>
      <c r="P253" s="2556">
        <f>SUM($L135:P$135)-SUM($L209:P$209)</f>
        <v>0</v>
      </c>
      <c r="Q253" s="2556">
        <f>SUM($L135:Q$135)-SUM($L209:Q$209)</f>
        <v>0</v>
      </c>
      <c r="R253" s="2557">
        <f>SUM($L135:R$135)-SUM($L209:R$209)</f>
        <v>0</v>
      </c>
      <c r="T253" s="2549">
        <f>T237</f>
        <v>2021</v>
      </c>
      <c r="U253" s="2558">
        <f>SUM($U$135:U135)-SUM($U$209:U209)</f>
        <v>0</v>
      </c>
      <c r="V253" s="2558">
        <f>SUM($U$135:V135)-SUM($U$209:V209)</f>
        <v>0</v>
      </c>
      <c r="W253" s="2558">
        <f>SUM($U$135:W135)-SUM($U$209:W209)</f>
        <v>0</v>
      </c>
      <c r="X253" s="2558">
        <f>SUM($U$135:X135)-SUM($U$209:X209)</f>
        <v>0</v>
      </c>
      <c r="Y253" s="2558">
        <f>SUM($U$135:Y135)-SUM($U$209:Y209)</f>
        <v>0</v>
      </c>
      <c r="Z253" s="2558">
        <f>SUM($U$135:Z135)-SUM($U$209:Z209)</f>
        <v>0</v>
      </c>
      <c r="AA253" s="2559">
        <f>SUM($U$135:AA135)-SUM($U$209:AA209)</f>
        <v>0</v>
      </c>
      <c r="AC253" s="2549">
        <f t="shared" si="446"/>
        <v>2021</v>
      </c>
      <c r="AD253" s="2556">
        <f>SUM($AD$135:AD135)-SUM($AD$209:AD209)</f>
        <v>0</v>
      </c>
      <c r="AE253" s="2556">
        <f>SUM($AD$135:AE135)-SUM($AD$209:AE209)</f>
        <v>0</v>
      </c>
      <c r="AF253" s="2556">
        <f>SUM($AD$135:AF135)-SUM($AD$209:AF209)</f>
        <v>0</v>
      </c>
      <c r="AG253" s="2556">
        <f>SUM($AD$135:AG135)-SUM($AD$209:AG209)</f>
        <v>0</v>
      </c>
      <c r="AH253" s="2556">
        <f>SUM($AD$135:AH135)-SUM($AD$209:AH209)</f>
        <v>0</v>
      </c>
      <c r="AI253" s="2556">
        <f>SUM($AD$135:AI135)-SUM($AD$209:AI209)</f>
        <v>0</v>
      </c>
      <c r="AJ253" s="2557">
        <f>SUM($AD$135:AJ135)-SUM($AD$209:AJ209)</f>
        <v>0</v>
      </c>
      <c r="AL253" s="2549">
        <f t="shared" si="449"/>
        <v>2021</v>
      </c>
      <c r="AM253" s="2556">
        <f>SUM($AM$135:AM135)-SUM($AM$209:AM209)</f>
        <v>0</v>
      </c>
      <c r="AN253" s="2556">
        <f>SUM($AM$135:AN135)-SUM($AM$209:AN209)</f>
        <v>0</v>
      </c>
      <c r="AO253" s="2556">
        <f>SUM($AM$135:AO135)-SUM($AM$209:AO209)</f>
        <v>0</v>
      </c>
      <c r="AP253" s="2556">
        <f>SUM($AM$135:AP135)-SUM($AM$209:AP209)</f>
        <v>0</v>
      </c>
      <c r="AQ253" s="2556">
        <f>SUM($AM$135:AQ135)-SUM($AM$209:AQ209)</f>
        <v>0</v>
      </c>
      <c r="AR253" s="2556">
        <f>SUM($AM$135:AR135)-SUM($AM$209:AR209)</f>
        <v>0</v>
      </c>
      <c r="AS253" s="2557">
        <f>SUM($AM$135:AS135)-SUM($AM$209:AS209)</f>
        <v>0</v>
      </c>
    </row>
    <row r="254" spans="2:45">
      <c r="B254" s="2549">
        <f t="shared" si="447"/>
        <v>2022</v>
      </c>
      <c r="C254" s="2556">
        <f>SUM($C$136:C136)-SUM($C$210:C210)</f>
        <v>0</v>
      </c>
      <c r="D254" s="2556">
        <f>SUM($C$136:D136)-SUM($C$210:D210)</f>
        <v>0</v>
      </c>
      <c r="E254" s="2556">
        <f>SUM($C$136:E136)-SUM($C$210:E210)</f>
        <v>0</v>
      </c>
      <c r="F254" s="2556">
        <f>SUM($C$136:F136)-SUM($C$210:F210)</f>
        <v>0</v>
      </c>
      <c r="G254" s="2556">
        <f>SUM($C$136:G136)-SUM($C$210:G210)</f>
        <v>0</v>
      </c>
      <c r="H254" s="2556">
        <f>SUM($C$136:H136)-SUM($C$210:H210)</f>
        <v>0</v>
      </c>
      <c r="I254" s="2557">
        <f>SUM($C$136:I136)-SUM($C$210:I210)</f>
        <v>0</v>
      </c>
      <c r="K254" s="2549">
        <f t="shared" si="448"/>
        <v>2022</v>
      </c>
      <c r="L254" s="2556">
        <f>SUM($L$136:L136)-SUM($L$210:L210)</f>
        <v>0</v>
      </c>
      <c r="M254" s="2556">
        <f>SUM($L$136:M136)-SUM($L$210:M210)</f>
        <v>0</v>
      </c>
      <c r="N254" s="2556">
        <f>SUM($L$136:N136)-SUM($L$210:N210)</f>
        <v>0</v>
      </c>
      <c r="O254" s="2556">
        <f>SUM($L$136:O136)-SUM($L$210:O210)</f>
        <v>0</v>
      </c>
      <c r="P254" s="2556">
        <f>SUM($L$136:P136)-SUM($L$210:P210)</f>
        <v>0</v>
      </c>
      <c r="Q254" s="2556">
        <f>SUM($L$136:Q136)-SUM($L$210:Q210)</f>
        <v>0</v>
      </c>
      <c r="R254" s="2557">
        <f>SUM($L$136:R136)-SUM($L$210:R210)</f>
        <v>0</v>
      </c>
      <c r="T254" s="2549">
        <v>2022</v>
      </c>
      <c r="U254" s="2558">
        <f>SUM($U136:U$136)-SUM($U210:U$210)</f>
        <v>0</v>
      </c>
      <c r="V254" s="2558">
        <f>SUM($U136:V$136)-SUM($U210:V$210)</f>
        <v>0</v>
      </c>
      <c r="W254" s="2558">
        <f>SUM($U136:W$136)-SUM($U210:W$210)</f>
        <v>0</v>
      </c>
      <c r="X254" s="2558">
        <f>SUM($U136:X$136)-SUM($U210:X$210)</f>
        <v>0</v>
      </c>
      <c r="Y254" s="2558">
        <f>SUM($U136:Y$136)-SUM($U210:Y$210)</f>
        <v>0</v>
      </c>
      <c r="Z254" s="2558">
        <f>SUM($U136:Z$136)-SUM($U210:Z$210)</f>
        <v>0</v>
      </c>
      <c r="AA254" s="2559">
        <f>SUM($U136:AA$136)-SUM($U210:AA$210)</f>
        <v>0</v>
      </c>
      <c r="AC254" s="2549">
        <f t="shared" si="446"/>
        <v>2022</v>
      </c>
      <c r="AD254" s="2556">
        <f>SUM($AD$136:AD136)-SUM($AD$210:AD210)</f>
        <v>0</v>
      </c>
      <c r="AE254" s="2556">
        <f ca="1">SUM($AD$136:AE136)-SUM($AD$210:AE210)</f>
        <v>0</v>
      </c>
      <c r="AF254" s="2556">
        <f ca="1">SUM($AD$136:AF136)-SUM($AD$210:AF210)</f>
        <v>0</v>
      </c>
      <c r="AG254" s="2556">
        <f ca="1">SUM($AD$136:AG136)-SUM($AD$210:AG210)</f>
        <v>0</v>
      </c>
      <c r="AH254" s="2556">
        <f ca="1">SUM($AD$136:AH136)-SUM($AD$210:AH210)</f>
        <v>0</v>
      </c>
      <c r="AI254" s="2556">
        <f ca="1">SUM($AD$136:AI136)-SUM($AD$210:AI210)</f>
        <v>0</v>
      </c>
      <c r="AJ254" s="2557">
        <f ca="1">SUM($AD$136:AJ136)-SUM($AD$210:AJ210)</f>
        <v>0</v>
      </c>
      <c r="AL254" s="2549">
        <f t="shared" si="449"/>
        <v>2022</v>
      </c>
      <c r="AM254" s="2556">
        <f>SUM($AM$136:AM136)-SUM($AM$210:AM210)</f>
        <v>0</v>
      </c>
      <c r="AN254" s="2556">
        <f>SUM($AM$136:AN136)-SUM($AM$210:AN210)</f>
        <v>0</v>
      </c>
      <c r="AO254" s="2556">
        <f>SUM($AM$136:AO136)-SUM($AM$210:AO210)</f>
        <v>0</v>
      </c>
      <c r="AP254" s="2556">
        <f>SUM($AM$136:AP136)-SUM($AM$210:AP210)</f>
        <v>0</v>
      </c>
      <c r="AQ254" s="2556">
        <f>SUM($AM$136:AQ136)-SUM($AM$210:AQ210)</f>
        <v>0</v>
      </c>
      <c r="AR254" s="2556">
        <f>SUM($AM$136:AR136)-SUM($AM$210:AR210)</f>
        <v>0</v>
      </c>
      <c r="AS254" s="2557">
        <f>SUM($AM$136:AS136)-SUM($AM$210:AS210)</f>
        <v>0</v>
      </c>
    </row>
    <row r="255" spans="2:45">
      <c r="B255" s="2549">
        <f t="shared" si="447"/>
        <v>2023</v>
      </c>
      <c r="C255" s="2556">
        <f>SUM($C$137:C137)-SUM($C$211:C211)</f>
        <v>0</v>
      </c>
      <c r="D255" s="2556">
        <f>SUM($C$137:D137)-SUM($C$211:D211)</f>
        <v>0</v>
      </c>
      <c r="E255" s="2556">
        <f>SUM($C$137:E137)-SUM($C$211:E211)</f>
        <v>0</v>
      </c>
      <c r="F255" s="2556">
        <f>SUM($C$137:F137)-SUM($C$211:F211)</f>
        <v>0</v>
      </c>
      <c r="G255" s="2556">
        <f>SUM($C$137:G137)-SUM($C$211:G211)</f>
        <v>0</v>
      </c>
      <c r="H255" s="2556">
        <f>SUM($C$137:H137)-SUM($C$211:H211)</f>
        <v>0</v>
      </c>
      <c r="I255" s="2557">
        <f>SUM($C$137:I137)-SUM($C$211:I211)</f>
        <v>0</v>
      </c>
      <c r="K255" s="2549">
        <f t="shared" si="448"/>
        <v>2023</v>
      </c>
      <c r="L255" s="2556">
        <f>SUM($L$137:L137)-SUM($L$211:L211)</f>
        <v>0</v>
      </c>
      <c r="M255" s="2556">
        <f>SUM($L$137:M137)-SUM($L$211:M211)</f>
        <v>0</v>
      </c>
      <c r="N255" s="2556">
        <f>SUM($L$137:N137)-SUM($L$211:N211)</f>
        <v>0</v>
      </c>
      <c r="O255" s="2556">
        <f>SUM($L$137:O137)-SUM($L$211:O211)</f>
        <v>0</v>
      </c>
      <c r="P255" s="2556">
        <f>SUM($L$137:P137)-SUM($L$211:P211)</f>
        <v>0</v>
      </c>
      <c r="Q255" s="2556">
        <f>SUM($L$137:Q137)-SUM($L$211:Q211)</f>
        <v>0</v>
      </c>
      <c r="R255" s="2557">
        <f>SUM($L$137:R137)-SUM($L$211:R211)</f>
        <v>0</v>
      </c>
      <c r="T255" s="2549">
        <f t="shared" ref="T255:T260" si="450">T239</f>
        <v>2023</v>
      </c>
      <c r="U255" s="2558">
        <f>SUM($U$137:U137)-SUM($U$211:U211)</f>
        <v>0</v>
      </c>
      <c r="V255" s="2558">
        <f>SUM($U$137:V137)-SUM($U$211:V211)</f>
        <v>0</v>
      </c>
      <c r="W255" s="2558">
        <f>SUM($U$137:W137)-SUM($U$211:W211)</f>
        <v>0</v>
      </c>
      <c r="X255" s="2558">
        <f>SUM($U$137:X137)-SUM($U$211:X211)</f>
        <v>0</v>
      </c>
      <c r="Y255" s="2558">
        <f>SUM($U$137:Y137)-SUM($U$211:Y211)</f>
        <v>0</v>
      </c>
      <c r="Z255" s="2558">
        <f>SUM($U$137:Z137)-SUM($U$211:Z211)</f>
        <v>0</v>
      </c>
      <c r="AA255" s="2559">
        <f>SUM($U$137:AA137)-SUM($U$211:AA211)</f>
        <v>0</v>
      </c>
      <c r="AC255" s="2549">
        <f t="shared" si="446"/>
        <v>2023</v>
      </c>
      <c r="AD255" s="2556">
        <f>SUM($AD$137:AD137)-SUM($AD$211:AD211)</f>
        <v>0</v>
      </c>
      <c r="AE255" s="2556">
        <f>SUM($AD$137:AE137)-SUM($AD$211:AE211)</f>
        <v>0</v>
      </c>
      <c r="AF255" s="2556">
        <f ca="1">SUM($AD$137:AF137)-SUM($AD$211:AF211)</f>
        <v>0</v>
      </c>
      <c r="AG255" s="2556">
        <f ca="1">SUM($AD$137:AG137)-SUM($AD$211:AG211)</f>
        <v>0</v>
      </c>
      <c r="AH255" s="2556">
        <f ca="1">SUM($AD$137:AH137)-SUM($AD$211:AH211)</f>
        <v>0</v>
      </c>
      <c r="AI255" s="2556">
        <f ca="1">SUM($AD$137:AI137)-SUM($AD$211:AI211)</f>
        <v>0</v>
      </c>
      <c r="AJ255" s="2557">
        <f ca="1">SUM($AD$137:AJ137)-SUM($AD$211:AJ211)</f>
        <v>0</v>
      </c>
      <c r="AL255" s="2549">
        <f t="shared" si="449"/>
        <v>2023</v>
      </c>
      <c r="AM255" s="2556">
        <f>SUM($AM$137:AM137)-SUM($AM$211:AM211)</f>
        <v>0</v>
      </c>
      <c r="AN255" s="2556">
        <f>SUM($AM$137:AN137)-SUM($AM$211:AN211)</f>
        <v>0</v>
      </c>
      <c r="AO255" s="2556">
        <f>SUM($AM$137:AO137)-SUM($AM$211:AO211)</f>
        <v>0</v>
      </c>
      <c r="AP255" s="2556">
        <f>SUM($AM$137:AP137)-SUM($AM$211:AP211)</f>
        <v>0</v>
      </c>
      <c r="AQ255" s="2556">
        <f>SUM($AM$137:AQ137)-SUM($AM$211:AQ211)</f>
        <v>0</v>
      </c>
      <c r="AR255" s="2556">
        <f>SUM($AM$137:AR137)-SUM($AM$211:AR211)</f>
        <v>0</v>
      </c>
      <c r="AS255" s="2557">
        <f>SUM($AM$137:AS137)-SUM($AM$211:AS211)</f>
        <v>0</v>
      </c>
    </row>
    <row r="256" spans="2:45">
      <c r="B256" s="2549">
        <f t="shared" si="447"/>
        <v>2024</v>
      </c>
      <c r="C256" s="2556">
        <f>SUM($C$138:C138)-SUM($C$212:C212)</f>
        <v>0</v>
      </c>
      <c r="D256" s="2556">
        <f>SUM($C$138:D138)-SUM($C$212:D212)</f>
        <v>0</v>
      </c>
      <c r="E256" s="2556">
        <f>SUM($C$138:E138)-SUM($C$212:E212)</f>
        <v>0</v>
      </c>
      <c r="F256" s="2556">
        <f>SUM($C$138:F138)-SUM($C$212:F212)</f>
        <v>0</v>
      </c>
      <c r="G256" s="2556">
        <f>SUM($C$138:G138)-SUM($C$212:G212)</f>
        <v>0</v>
      </c>
      <c r="H256" s="2556">
        <f>SUM($C$138:H138)-SUM($C$212:H212)</f>
        <v>0</v>
      </c>
      <c r="I256" s="2557">
        <f>SUM($C$138:I138)-SUM($C$212:I212)</f>
        <v>0</v>
      </c>
      <c r="K256" s="2549">
        <f t="shared" si="448"/>
        <v>2024</v>
      </c>
      <c r="L256" s="2556">
        <f>SUM($L$138:L138)-SUM($L$212:L212)</f>
        <v>0</v>
      </c>
      <c r="M256" s="2556">
        <f>SUM($L$138:M138)-SUM($L$212:M212)</f>
        <v>0</v>
      </c>
      <c r="N256" s="2556">
        <f>SUM($L$138:N138)-SUM($L$212:N212)</f>
        <v>0</v>
      </c>
      <c r="O256" s="2556">
        <f>SUM($L$138:O138)-SUM($L$212:O212)</f>
        <v>0</v>
      </c>
      <c r="P256" s="2556">
        <f>SUM($L$138:P138)-SUM($L$212:P212)</f>
        <v>0</v>
      </c>
      <c r="Q256" s="2556">
        <f>SUM($L$138:Q138)-SUM($L$212:Q212)</f>
        <v>0</v>
      </c>
      <c r="R256" s="2557">
        <f>SUM($L$138:R138)-SUM($L$212:R212)</f>
        <v>0</v>
      </c>
      <c r="T256" s="2549">
        <f t="shared" si="450"/>
        <v>2024</v>
      </c>
      <c r="U256" s="2558">
        <f>SUM($U$138:U138)-SUM($U$212:U212)</f>
        <v>0</v>
      </c>
      <c r="V256" s="2558">
        <f>SUM($U$138:V138)-SUM($U$212:V212)</f>
        <v>0</v>
      </c>
      <c r="W256" s="2558">
        <f>SUM($U$138:W138)-SUM($U$212:W212)</f>
        <v>0</v>
      </c>
      <c r="X256" s="2558">
        <f>SUM($U$138:X138)-SUM($U$212:X212)</f>
        <v>0</v>
      </c>
      <c r="Y256" s="2558">
        <f>SUM($U$138:Y138)-SUM($U$212:Y212)</f>
        <v>0</v>
      </c>
      <c r="Z256" s="2558">
        <f>SUM($U$138:Z138)-SUM($U$212:Z212)</f>
        <v>0</v>
      </c>
      <c r="AA256" s="2559">
        <f>SUM($U$138:AA138)-SUM($U$212:AA212)</f>
        <v>0</v>
      </c>
      <c r="AC256" s="2549">
        <f t="shared" si="446"/>
        <v>2024</v>
      </c>
      <c r="AD256" s="2556">
        <f>SUM($AD$138:AD138)-SUM($AD$212:AD212)</f>
        <v>0</v>
      </c>
      <c r="AE256" s="2556">
        <f>SUM($AD$138:AE138)-SUM($AD$212:AE212)</f>
        <v>0</v>
      </c>
      <c r="AF256" s="2556">
        <f ca="1">SUM($AD$138:AF138)-SUM($AD$212:AF212)</f>
        <v>0</v>
      </c>
      <c r="AG256" s="2556">
        <f ca="1">SUM($AD$138:AG138)-SUM($AD$212:AG212)</f>
        <v>0</v>
      </c>
      <c r="AH256" s="2556">
        <f ca="1">SUM($AD$138:AH138)-SUM($AD$212:AH212)</f>
        <v>0</v>
      </c>
      <c r="AI256" s="2556">
        <f ca="1">SUM($AD$138:AI138)-SUM($AD$212:AI212)</f>
        <v>0</v>
      </c>
      <c r="AJ256" s="2557">
        <f ca="1">SUM($AD$138:AJ138)-SUM($AD$212:AJ212)</f>
        <v>0</v>
      </c>
      <c r="AL256" s="2549">
        <f t="shared" si="449"/>
        <v>2024</v>
      </c>
      <c r="AM256" s="2556">
        <f>SUM($AM$138:AM138)-SUM($AM$212:AM212)</f>
        <v>0</v>
      </c>
      <c r="AN256" s="2556">
        <f>SUM($AM$138:AN138)-SUM($AM$212:AN212)</f>
        <v>0</v>
      </c>
      <c r="AO256" s="2556">
        <f>SUM($AM$138:AO138)-SUM($AM$212:AO212)</f>
        <v>0</v>
      </c>
      <c r="AP256" s="2556">
        <f>SUM($AM$138:AP138)-SUM($AM$212:AP212)</f>
        <v>0</v>
      </c>
      <c r="AQ256" s="2556">
        <f>SUM($AM$138:AQ138)-SUM($AM$212:AQ212)</f>
        <v>0</v>
      </c>
      <c r="AR256" s="2556">
        <f>SUM($AM$138:AR138)-SUM($AM$212:AR212)</f>
        <v>0</v>
      </c>
      <c r="AS256" s="2557">
        <f>SUM($AM$138:AS138)-SUM($AM$212:AS212)</f>
        <v>0</v>
      </c>
    </row>
    <row r="257" spans="2:45">
      <c r="B257" s="2549">
        <f t="shared" si="447"/>
        <v>2025</v>
      </c>
      <c r="C257" s="2556">
        <f>SUM($C$139:C139)-SUM($C$213:C213)</f>
        <v>0</v>
      </c>
      <c r="D257" s="2556">
        <f>SUM($C$139:D139)-SUM($C$213:D213)</f>
        <v>0</v>
      </c>
      <c r="E257" s="2556">
        <f>SUM($C$139:E139)-SUM($C$213:E213)</f>
        <v>0</v>
      </c>
      <c r="F257" s="2556">
        <f>SUM($C$139:F139)-SUM($C$213:F213)</f>
        <v>0</v>
      </c>
      <c r="G257" s="2556">
        <f>SUM($C$139:G139)-SUM($C$213:G213)</f>
        <v>0</v>
      </c>
      <c r="H257" s="2556">
        <f>SUM($C$139:H139)-SUM($C$213:H213)</f>
        <v>0</v>
      </c>
      <c r="I257" s="2557">
        <f>SUM($C$139:I139)-SUM($C$213:I213)</f>
        <v>0</v>
      </c>
      <c r="K257" s="2549">
        <f t="shared" si="448"/>
        <v>2025</v>
      </c>
      <c r="L257" s="2556">
        <f>SUM($L$139:L139)-SUM($L$213:L213)</f>
        <v>0</v>
      </c>
      <c r="M257" s="2556">
        <f>SUM($L$139:M139)-SUM($L$213:M213)</f>
        <v>0</v>
      </c>
      <c r="N257" s="2556">
        <f>SUM($L$139:N139)-SUM($L$213:N213)</f>
        <v>0</v>
      </c>
      <c r="O257" s="2556">
        <f>SUM($L$139:O139)-SUM($L$213:O213)</f>
        <v>0</v>
      </c>
      <c r="P257" s="2556">
        <f>SUM($L$139:P139)-SUM($L$213:P213)</f>
        <v>0</v>
      </c>
      <c r="Q257" s="2556">
        <f>SUM($L$139:Q139)-SUM($L$213:Q213)</f>
        <v>0</v>
      </c>
      <c r="R257" s="2557">
        <f>SUM($L$139:R139)-SUM($L$213:R213)</f>
        <v>0</v>
      </c>
      <c r="T257" s="2549">
        <f t="shared" si="450"/>
        <v>2025</v>
      </c>
      <c r="U257" s="2558">
        <f>SUM($U$139:U139)-SUM($U$213:U213)</f>
        <v>0</v>
      </c>
      <c r="V257" s="2558">
        <f>SUM($U$139:V139)-SUM($U$213:V213)</f>
        <v>0</v>
      </c>
      <c r="W257" s="2558">
        <f>SUM($U$139:W139)-SUM($U$213:W213)</f>
        <v>0</v>
      </c>
      <c r="X257" s="2558">
        <f>SUM($U$139:X139)-SUM($U$213:X213)</f>
        <v>0</v>
      </c>
      <c r="Y257" s="2558">
        <f>SUM($U$139:Y139)-SUM($U$213:Y213)</f>
        <v>0</v>
      </c>
      <c r="Z257" s="2558">
        <f>SUM($U$139:Z139)-SUM($U$213:Z213)</f>
        <v>0</v>
      </c>
      <c r="AA257" s="2559">
        <f>SUM($U$139:AA139)-SUM($U$213:AA213)</f>
        <v>0</v>
      </c>
      <c r="AC257" s="2549">
        <f t="shared" si="446"/>
        <v>2025</v>
      </c>
      <c r="AD257" s="2556">
        <f>SUM($AD$139:AD139)-SUM($AD$213:AD213)</f>
        <v>0</v>
      </c>
      <c r="AE257" s="2556">
        <f>SUM($AD$139:AE139)-SUM($AD$213:AE213)</f>
        <v>0</v>
      </c>
      <c r="AF257" s="2556">
        <f>SUM($AD$139:AF139)-SUM($AD$213:AF213)</f>
        <v>0</v>
      </c>
      <c r="AG257" s="2556">
        <f ca="1">SUM($AD$139:AG139)-SUM($AD$213:AG213)</f>
        <v>0</v>
      </c>
      <c r="AH257" s="2556">
        <f ca="1">SUM($AD$139:AH139)-SUM($AD$213:AH213)</f>
        <v>0</v>
      </c>
      <c r="AI257" s="2556">
        <f ca="1">SUM($AD$139:AI139)-SUM($AD$213:AI213)</f>
        <v>0</v>
      </c>
      <c r="AJ257" s="2557">
        <f ca="1">SUM($AD$139:AJ139)-SUM($AD$213:AJ213)</f>
        <v>0</v>
      </c>
      <c r="AL257" s="2549">
        <f t="shared" si="449"/>
        <v>2025</v>
      </c>
      <c r="AM257" s="2556">
        <f>SUM($AM$139:AM139)-SUM($AM$213:AM213)</f>
        <v>0</v>
      </c>
      <c r="AN257" s="2556">
        <f>SUM($AM$139:AN139)-SUM($AM$213:AN213)</f>
        <v>0</v>
      </c>
      <c r="AO257" s="2556">
        <f>SUM($AM$139:AO139)-SUM($AM$213:AO213)</f>
        <v>0</v>
      </c>
      <c r="AP257" s="2556">
        <f>SUM($AM$139:AP139)-SUM($AM$213:AP213)</f>
        <v>0</v>
      </c>
      <c r="AQ257" s="2556">
        <f>SUM($AM$139:AQ139)-SUM($AM$213:AQ213)</f>
        <v>0</v>
      </c>
      <c r="AR257" s="2556">
        <f>SUM($AM$139:AR139)-SUM($AM$213:AR213)</f>
        <v>0</v>
      </c>
      <c r="AS257" s="2557">
        <f>SUM($AM$139:AS139)-SUM($AM$213:AS213)</f>
        <v>0</v>
      </c>
    </row>
    <row r="258" spans="2:45">
      <c r="B258" s="2549">
        <f t="shared" si="447"/>
        <v>2026</v>
      </c>
      <c r="C258" s="2556">
        <f>SUM($C$140:C140)-SUM($C$214:C214)</f>
        <v>0</v>
      </c>
      <c r="D258" s="2556">
        <f>SUM($C$140:D140)-SUM($C$214:D214)</f>
        <v>0</v>
      </c>
      <c r="E258" s="2556">
        <f>SUM($C$140:E140)-SUM($C$214:E214)</f>
        <v>0</v>
      </c>
      <c r="F258" s="2556">
        <f>SUM($C$140:F140)-SUM($C$214:F214)</f>
        <v>0</v>
      </c>
      <c r="G258" s="2556">
        <f>SUM($C$140:G140)-SUM($C$214:G214)</f>
        <v>0</v>
      </c>
      <c r="H258" s="2556">
        <f>SUM($C$140:H140)-SUM($C$214:H214)</f>
        <v>0</v>
      </c>
      <c r="I258" s="2557">
        <f>SUM($C$140:I140)-SUM($C$214:I214)</f>
        <v>0</v>
      </c>
      <c r="K258" s="2549">
        <f t="shared" si="448"/>
        <v>2026</v>
      </c>
      <c r="L258" s="2556">
        <f>SUM($L$140:L140)-SUM($L$214:L214)</f>
        <v>0</v>
      </c>
      <c r="M258" s="2556">
        <f>SUM($L$140:M140)-SUM($L$214:M214)</f>
        <v>0</v>
      </c>
      <c r="N258" s="2556">
        <f>SUM($L$140:N140)-SUM($L$214:N214)</f>
        <v>0</v>
      </c>
      <c r="O258" s="2556">
        <f>SUM($L$140:O140)-SUM($L$214:O214)</f>
        <v>0</v>
      </c>
      <c r="P258" s="2556">
        <f>SUM($L$140:P140)-SUM($L$214:P214)</f>
        <v>0</v>
      </c>
      <c r="Q258" s="2556">
        <f>SUM($L$140:Q140)-SUM($L$214:Q214)</f>
        <v>0</v>
      </c>
      <c r="R258" s="2557">
        <f>SUM($L$140:R140)-SUM($L$214:R214)</f>
        <v>0</v>
      </c>
      <c r="T258" s="2549">
        <f t="shared" si="450"/>
        <v>2026</v>
      </c>
      <c r="U258" s="2558">
        <f>SUM($U$140:U140)-SUM($U$214:U214)</f>
        <v>0</v>
      </c>
      <c r="V258" s="2558">
        <f>SUM($U$140:V140)-SUM($U$214:V214)</f>
        <v>0</v>
      </c>
      <c r="W258" s="2558">
        <f>SUM($U$140:W140)-SUM($U$214:W214)</f>
        <v>0</v>
      </c>
      <c r="X258" s="2558">
        <f>SUM($U$140:X140)-SUM($U$214:X214)</f>
        <v>0</v>
      </c>
      <c r="Y258" s="2558">
        <f>SUM($U$140:Y140)-SUM($U$214:Y214)</f>
        <v>0</v>
      </c>
      <c r="Z258" s="2558">
        <f>SUM($U$140:Z140)-SUM($U$214:Z214)</f>
        <v>0</v>
      </c>
      <c r="AA258" s="2559">
        <f>SUM($U$140:AA140)-SUM($U$214:AA214)</f>
        <v>0</v>
      </c>
      <c r="AC258" s="2549">
        <f t="shared" si="446"/>
        <v>2026</v>
      </c>
      <c r="AD258" s="2556">
        <f>SUM($AD$140:AD140)-SUM($AD$214:AD214)</f>
        <v>0</v>
      </c>
      <c r="AE258" s="2556">
        <f>SUM($AD$140:AE140)-SUM($AD$214:AE214)</f>
        <v>0</v>
      </c>
      <c r="AF258" s="2556">
        <f>SUM($AD$140:AF140)-SUM($AD$214:AF214)</f>
        <v>0</v>
      </c>
      <c r="AG258" s="2556">
        <f>SUM($AD$140:AG140)-SUM($AD$214:AG214)</f>
        <v>0</v>
      </c>
      <c r="AH258" s="2556">
        <f ca="1">SUM($AD$140:AH140)-SUM($AD$214:AH214)</f>
        <v>0</v>
      </c>
      <c r="AI258" s="2556">
        <f ca="1">SUM($AD$140:AI140)-SUM($AD$214:AI214)</f>
        <v>0</v>
      </c>
      <c r="AJ258" s="2557">
        <f ca="1">SUM($AD$140:AJ140)-SUM($AD$214:AJ214)</f>
        <v>0</v>
      </c>
      <c r="AL258" s="2549">
        <f t="shared" si="449"/>
        <v>2026</v>
      </c>
      <c r="AM258" s="2556">
        <f>SUM($AM$140:AM140)-SUM($AM$214:AM214)</f>
        <v>0</v>
      </c>
      <c r="AN258" s="2556">
        <f>SUM($AM$140:AN140)-SUM($AM$214:AN214)</f>
        <v>0</v>
      </c>
      <c r="AO258" s="2556">
        <f>SUM($AM$140:AO140)-SUM($AM$214:AO214)</f>
        <v>0</v>
      </c>
      <c r="AP258" s="2556">
        <f>SUM($AM$140:AP140)-SUM($AM$214:AP214)</f>
        <v>0</v>
      </c>
      <c r="AQ258" s="2556">
        <f>SUM($AM$140:AQ140)-SUM($AM$214:AQ214)</f>
        <v>0</v>
      </c>
      <c r="AR258" s="2556">
        <f>SUM($AM$140:AR140)-SUM($AM$214:AR214)</f>
        <v>0</v>
      </c>
      <c r="AS258" s="2557">
        <f>SUM($AM$140:AS140)-SUM($AM$214:AS214)</f>
        <v>0</v>
      </c>
    </row>
    <row r="259" spans="2:45">
      <c r="B259" s="2549">
        <f t="shared" si="447"/>
        <v>2027</v>
      </c>
      <c r="C259" s="2556">
        <f>SUM($C$141:C141)-SUM($C$215:C215)</f>
        <v>0</v>
      </c>
      <c r="D259" s="2556">
        <f>SUM($C$141:D141)-SUM($C$215:D215)</f>
        <v>0</v>
      </c>
      <c r="E259" s="2556">
        <f>SUM($C$141:E141)-SUM($C$215:E215)</f>
        <v>0</v>
      </c>
      <c r="F259" s="2556">
        <f>SUM($C$141:F141)-SUM($C$215:F215)</f>
        <v>0</v>
      </c>
      <c r="G259" s="2556">
        <f>SUM($C$141:G141)-SUM($C$215:G215)</f>
        <v>0</v>
      </c>
      <c r="H259" s="2556">
        <f>SUM($C$141:H141)-SUM($C$215:H215)</f>
        <v>0</v>
      </c>
      <c r="I259" s="2557">
        <f>SUM($C$141:I141)-SUM($C$215:I215)</f>
        <v>0</v>
      </c>
      <c r="K259" s="2549">
        <f t="shared" si="448"/>
        <v>2027</v>
      </c>
      <c r="L259" s="2556">
        <f>SUM($L$141:L141)-SUM($L$215:L215)</f>
        <v>0</v>
      </c>
      <c r="M259" s="2556">
        <f>SUM($L$141:M141)-SUM($L$215:M215)</f>
        <v>0</v>
      </c>
      <c r="N259" s="2556">
        <f>SUM($L$141:N141)-SUM($L$215:N215)</f>
        <v>0</v>
      </c>
      <c r="O259" s="2556">
        <f>SUM($L$141:O141)-SUM($L$215:O215)</f>
        <v>0</v>
      </c>
      <c r="P259" s="2556">
        <f>SUM($L$141:P141)-SUM($L$215:P215)</f>
        <v>0</v>
      </c>
      <c r="Q259" s="2556">
        <f>SUM($L$141:Q141)-SUM($L$215:Q215)</f>
        <v>0</v>
      </c>
      <c r="R259" s="2557">
        <f>SUM($L$141:R141)-SUM($L$215:R215)</f>
        <v>0</v>
      </c>
      <c r="T259" s="2549">
        <f t="shared" si="450"/>
        <v>2027</v>
      </c>
      <c r="U259" s="2558">
        <f>SUM($U$141:U141)-SUM($U$215:U215)</f>
        <v>0</v>
      </c>
      <c r="V259" s="2558">
        <f>SUM($U$141:V141)-SUM($U$215:V215)</f>
        <v>0</v>
      </c>
      <c r="W259" s="2558">
        <f>SUM($U$141:W141)-SUM($U$215:W215)</f>
        <v>0</v>
      </c>
      <c r="X259" s="2558">
        <f>SUM($U$141:X141)-SUM($U$215:X215)</f>
        <v>0</v>
      </c>
      <c r="Y259" s="2558">
        <f>SUM($U$141:Y141)-SUM($U$215:Y215)</f>
        <v>0</v>
      </c>
      <c r="Z259" s="2558">
        <f>SUM($U$141:Z141)-SUM($U$215:Z215)</f>
        <v>0</v>
      </c>
      <c r="AA259" s="2559">
        <f>SUM($U$141:AA141)-SUM($U$215:AA215)</f>
        <v>0</v>
      </c>
      <c r="AC259" s="2549">
        <f t="shared" si="446"/>
        <v>2027</v>
      </c>
      <c r="AD259" s="2556">
        <f>SUM($AD$141:AD141)-SUM($AD$215:AD215)</f>
        <v>0</v>
      </c>
      <c r="AE259" s="2556">
        <f>SUM($AD$141:AE141)-SUM($AD$215:AE215)</f>
        <v>0</v>
      </c>
      <c r="AF259" s="2556">
        <f>SUM($AD$141:AF141)-SUM($AD$215:AF215)</f>
        <v>0</v>
      </c>
      <c r="AG259" s="2556">
        <f>SUM($AD$141:AG141)-SUM($AD$215:AG215)</f>
        <v>0</v>
      </c>
      <c r="AH259" s="2556">
        <f>SUM($AD$141:AH141)-SUM($AD$215:AH215)</f>
        <v>0</v>
      </c>
      <c r="AI259" s="2556">
        <f ca="1">SUM($AD$141:AI141)-SUM($AD$215:AI215)</f>
        <v>0</v>
      </c>
      <c r="AJ259" s="2557">
        <f ca="1">SUM($AD$141:AJ141)-SUM($AD$215:AJ215)</f>
        <v>0</v>
      </c>
      <c r="AL259" s="2549">
        <f t="shared" si="449"/>
        <v>2027</v>
      </c>
      <c r="AM259" s="2556">
        <f>SUM($AM$141:AM141)-SUM($AM$215:AM215)</f>
        <v>0</v>
      </c>
      <c r="AN259" s="2556">
        <f>SUM($AM$141:AN141)-SUM($AM$215:AN215)</f>
        <v>0</v>
      </c>
      <c r="AO259" s="2556">
        <f>SUM($AM$141:AO141)-SUM($AM$215:AO215)</f>
        <v>0</v>
      </c>
      <c r="AP259" s="2556">
        <f>SUM($AM$141:AP141)-SUM($AM$215:AP215)</f>
        <v>0</v>
      </c>
      <c r="AQ259" s="2556">
        <f>SUM($AM$141:AQ141)-SUM($AM$215:AQ215)</f>
        <v>0</v>
      </c>
      <c r="AR259" s="2556">
        <f>SUM($AM$141:AR141)-SUM($AM$215:AR215)</f>
        <v>0</v>
      </c>
      <c r="AS259" s="2557">
        <f>SUM($AM$141:AS141)-SUM($AM$215:AS215)</f>
        <v>0</v>
      </c>
    </row>
    <row r="260" spans="2:45">
      <c r="B260" s="2549">
        <f t="shared" si="447"/>
        <v>2028</v>
      </c>
      <c r="C260" s="2556">
        <f>SUM($C$142:C142)-SUM($C$216:C216)</f>
        <v>0</v>
      </c>
      <c r="D260" s="2556">
        <f>SUM($C$142:D142)-SUM($C$216:D216)</f>
        <v>0</v>
      </c>
      <c r="E260" s="2556">
        <f>SUM($C$142:E142)-SUM($C$216:E216)</f>
        <v>0</v>
      </c>
      <c r="F260" s="2556">
        <f>SUM($C$142:F142)-SUM($C$216:F216)</f>
        <v>0</v>
      </c>
      <c r="G260" s="2556">
        <f>SUM($C$142:G142)-SUM($C$216:G216)</f>
        <v>0</v>
      </c>
      <c r="H260" s="2556">
        <f>SUM($C$142:H142)-SUM($C$216:H216)</f>
        <v>0</v>
      </c>
      <c r="I260" s="2557">
        <f>SUM($C$142:I142)-SUM($C$216:I216)</f>
        <v>0</v>
      </c>
      <c r="K260" s="2549">
        <f t="shared" si="448"/>
        <v>2028</v>
      </c>
      <c r="L260" s="2556">
        <f>SUM($L$142:L142)-SUM($L$216:L216)</f>
        <v>0</v>
      </c>
      <c r="M260" s="2556">
        <f>SUM($L$142:M142)-SUM($L$216:M216)</f>
        <v>0</v>
      </c>
      <c r="N260" s="2556">
        <f>SUM($L$142:N142)-SUM($L$216:N216)</f>
        <v>0</v>
      </c>
      <c r="O260" s="2556">
        <f>SUM($L$142:O142)-SUM($L$216:O216)</f>
        <v>0</v>
      </c>
      <c r="P260" s="2556">
        <f>SUM($L$142:P142)-SUM($L$216:P216)</f>
        <v>0</v>
      </c>
      <c r="Q260" s="2556">
        <f>SUM($L$142:Q142)-SUM($L$216:Q216)</f>
        <v>0</v>
      </c>
      <c r="R260" s="2557">
        <f>SUM($L$142:R142)-SUM($L$216:R216)</f>
        <v>0</v>
      </c>
      <c r="T260" s="2549">
        <f t="shared" si="450"/>
        <v>2028</v>
      </c>
      <c r="U260" s="2558">
        <f>SUM($U$142:U142)-SUM($U$216:U216)</f>
        <v>0</v>
      </c>
      <c r="V260" s="2558">
        <f>SUM($U$142:V142)-SUM($U$216:V216)</f>
        <v>0</v>
      </c>
      <c r="W260" s="2558">
        <f>SUM($U$142:W142)-SUM($U$216:W216)</f>
        <v>0</v>
      </c>
      <c r="X260" s="2558">
        <f>SUM($U$142:X142)-SUM($U$216:X216)</f>
        <v>0</v>
      </c>
      <c r="Y260" s="2558">
        <f>SUM($U$142:Y142)-SUM($U$216:Y216)</f>
        <v>0</v>
      </c>
      <c r="Z260" s="2558">
        <f>SUM($U$142:Z142)-SUM($U$216:Z216)</f>
        <v>0</v>
      </c>
      <c r="AA260" s="2559">
        <f>SUM($U$142:AA142)-SUM($U$216:AA216)</f>
        <v>0</v>
      </c>
      <c r="AC260" s="2549">
        <f t="shared" si="446"/>
        <v>2028</v>
      </c>
      <c r="AD260" s="2556">
        <f>SUM($AD$142:AD142)-SUM($AD$216:AD216)</f>
        <v>0</v>
      </c>
      <c r="AE260" s="2556">
        <f>SUM($AD$142:AE142)-SUM($AD$216:AE216)</f>
        <v>0</v>
      </c>
      <c r="AF260" s="2556">
        <f>SUM($AD$142:AF142)-SUM($AD$216:AF216)</f>
        <v>0</v>
      </c>
      <c r="AG260" s="2556">
        <f>SUM($AD$142:AG142)-SUM($AD$216:AG216)</f>
        <v>0</v>
      </c>
      <c r="AH260" s="2556">
        <f>SUM($AD$142:AH142)-SUM($AD$216:AH216)</f>
        <v>0</v>
      </c>
      <c r="AI260" s="2556">
        <f>SUM($AD$142:AI142)-SUM($AD$216:AI216)</f>
        <v>0</v>
      </c>
      <c r="AJ260" s="2557">
        <f ca="1">SUM($AD$142:AJ142)-SUM($AD$216:AJ216)</f>
        <v>0</v>
      </c>
      <c r="AL260" s="2549">
        <f t="shared" si="449"/>
        <v>2028</v>
      </c>
      <c r="AM260" s="2556">
        <f>SUM($AM$142:AM142)-SUM($AM$216:AM216)</f>
        <v>0</v>
      </c>
      <c r="AN260" s="2556">
        <f>SUM($AM$142:AN142)-SUM($AM$216:AN216)</f>
        <v>0</v>
      </c>
      <c r="AO260" s="2556">
        <f>SUM($AM$142:AO142)-SUM($AM$216:AO216)</f>
        <v>0</v>
      </c>
      <c r="AP260" s="2556">
        <f>SUM($AM$142:AP142)-SUM($AM$216:AP216)</f>
        <v>0</v>
      </c>
      <c r="AQ260" s="2556">
        <f>SUM($AM$142:AQ142)-SUM($AM$216:AQ216)</f>
        <v>0</v>
      </c>
      <c r="AR260" s="2556">
        <f>SUM($AM$142:AR142)-SUM($AM$216:AR216)</f>
        <v>0</v>
      </c>
      <c r="AS260" s="2557">
        <f>SUM($AM$142:AS142)-SUM($AM$216:AS216)</f>
        <v>0</v>
      </c>
    </row>
    <row r="261" spans="2:45">
      <c r="B261" s="2549"/>
      <c r="C261" s="2556"/>
      <c r="D261" s="2556"/>
      <c r="E261" s="2556"/>
      <c r="F261" s="2556"/>
      <c r="G261" s="2556"/>
      <c r="H261" s="2556"/>
      <c r="I261" s="2557"/>
      <c r="K261" s="2549"/>
      <c r="L261" s="2556"/>
      <c r="M261" s="2556"/>
      <c r="N261" s="2556"/>
      <c r="O261" s="2556"/>
      <c r="P261" s="2556"/>
      <c r="Q261" s="2556"/>
      <c r="R261" s="2557"/>
      <c r="T261" s="2549"/>
      <c r="U261" s="2558"/>
      <c r="V261" s="2558"/>
      <c r="W261" s="2558"/>
      <c r="X261" s="2558"/>
      <c r="Y261" s="2558"/>
      <c r="Z261" s="2558"/>
      <c r="AA261" s="2559"/>
      <c r="AC261" s="2549"/>
      <c r="AD261" s="2556"/>
      <c r="AE261" s="2556"/>
      <c r="AF261" s="2556"/>
      <c r="AG261" s="2556"/>
      <c r="AH261" s="2556"/>
      <c r="AI261" s="2556"/>
      <c r="AJ261" s="2557"/>
      <c r="AL261" s="2549">
        <f t="shared" si="449"/>
        <v>2029</v>
      </c>
      <c r="AM261" s="2556">
        <f>SUM($AM$143:AM143)-SUM($AM$217:AM217)</f>
        <v>0</v>
      </c>
      <c r="AN261" s="2556">
        <f>SUM($AM$143:AN143)-SUM($AM$217:AN217)</f>
        <v>0</v>
      </c>
      <c r="AO261" s="2556">
        <f>SUM($AM$143:AO143)-SUM($AM$217:AO217)</f>
        <v>0</v>
      </c>
      <c r="AP261" s="2556">
        <f>SUM($AM$143:AP143)-SUM($AM$217:AP217)</f>
        <v>0</v>
      </c>
      <c r="AQ261" s="2556">
        <f>SUM($AM$143:AQ143)-SUM($AM$217:AQ217)</f>
        <v>0</v>
      </c>
      <c r="AR261" s="2556">
        <f>SUM($AM$143:AR143)-SUM($AM$217:AR217)</f>
        <v>0</v>
      </c>
      <c r="AS261" s="2557">
        <f>SUM($AM$143:AS143)-SUM($AM$217:AS217)</f>
        <v>0</v>
      </c>
    </row>
    <row r="262" spans="2:45">
      <c r="B262" s="2549"/>
      <c r="C262" s="2556"/>
      <c r="D262" s="2556"/>
      <c r="E262" s="2556"/>
      <c r="F262" s="2556"/>
      <c r="G262" s="2556"/>
      <c r="H262" s="2556"/>
      <c r="I262" s="2557"/>
      <c r="K262" s="2549"/>
      <c r="L262" s="2556"/>
      <c r="M262" s="2556"/>
      <c r="N262" s="2556"/>
      <c r="O262" s="2556"/>
      <c r="P262" s="2556"/>
      <c r="Q262" s="2556"/>
      <c r="R262" s="2557"/>
      <c r="T262" s="2549"/>
      <c r="U262" s="2558"/>
      <c r="V262" s="2558"/>
      <c r="W262" s="2558"/>
      <c r="X262" s="2558"/>
      <c r="Y262" s="2558"/>
      <c r="Z262" s="2558"/>
      <c r="AA262" s="2559"/>
      <c r="AC262" s="2549"/>
      <c r="AD262" s="2556"/>
      <c r="AE262" s="2556"/>
      <c r="AF262" s="2556"/>
      <c r="AG262" s="2556"/>
      <c r="AH262" s="2556"/>
      <c r="AI262" s="2556"/>
      <c r="AJ262" s="2557"/>
      <c r="AL262" s="2549"/>
      <c r="AM262" s="2556"/>
      <c r="AN262" s="2556"/>
      <c r="AO262" s="2556"/>
      <c r="AP262" s="2556"/>
      <c r="AQ262" s="2556"/>
      <c r="AR262" s="2556"/>
      <c r="AS262" s="2557"/>
    </row>
    <row r="263" spans="2:45">
      <c r="B263" s="2570" t="s">
        <v>794</v>
      </c>
      <c r="C263" s="2556"/>
      <c r="D263" s="2556"/>
      <c r="E263" s="2556"/>
      <c r="F263" s="2556"/>
      <c r="G263" s="2556"/>
      <c r="H263" s="2556"/>
      <c r="I263" s="2557"/>
      <c r="K263" s="2570" t="s">
        <v>794</v>
      </c>
      <c r="L263" s="2556"/>
      <c r="M263" s="2556"/>
      <c r="N263" s="2556"/>
      <c r="O263" s="2556"/>
      <c r="P263" s="2556"/>
      <c r="Q263" s="2556"/>
      <c r="R263" s="2557"/>
      <c r="T263" s="2570" t="s">
        <v>794</v>
      </c>
      <c r="U263" s="2558"/>
      <c r="V263" s="2558"/>
      <c r="W263" s="2558"/>
      <c r="X263" s="2558"/>
      <c r="Y263" s="2558"/>
      <c r="Z263" s="2558"/>
      <c r="AA263" s="2559"/>
      <c r="AC263" s="2570" t="s">
        <v>794</v>
      </c>
      <c r="AD263" s="2556"/>
      <c r="AE263" s="2556"/>
      <c r="AF263" s="2556"/>
      <c r="AG263" s="2556"/>
      <c r="AH263" s="2556"/>
      <c r="AI263" s="2556"/>
      <c r="AJ263" s="2557"/>
      <c r="AL263" s="2570" t="s">
        <v>794</v>
      </c>
      <c r="AM263" s="2556"/>
      <c r="AN263" s="2556"/>
      <c r="AO263" s="2556"/>
      <c r="AP263" s="2556"/>
      <c r="AQ263" s="2556"/>
      <c r="AR263" s="2556"/>
      <c r="AS263" s="2557"/>
    </row>
    <row r="264" spans="2:45">
      <c r="B264" s="2570">
        <v>2018</v>
      </c>
      <c r="C264" s="2556">
        <f t="shared" ref="C264:I274" ca="1" si="451">C250*C220</f>
        <v>0</v>
      </c>
      <c r="D264" s="2556">
        <f t="shared" ca="1" si="451"/>
        <v>0</v>
      </c>
      <c r="E264" s="2556">
        <f t="shared" ca="1" si="451"/>
        <v>0</v>
      </c>
      <c r="F264" s="2556">
        <f t="shared" ca="1" si="451"/>
        <v>0</v>
      </c>
      <c r="G264" s="2556">
        <f t="shared" ca="1" si="451"/>
        <v>0</v>
      </c>
      <c r="H264" s="2556">
        <f t="shared" ca="1" si="451"/>
        <v>0</v>
      </c>
      <c r="I264" s="2557">
        <f t="shared" ca="1" si="451"/>
        <v>0</v>
      </c>
      <c r="K264" s="2570">
        <v>2018</v>
      </c>
      <c r="L264" s="2556">
        <f t="shared" ref="L264:R274" ca="1" si="452">L250*L220</f>
        <v>0</v>
      </c>
      <c r="M264" s="2556">
        <f t="shared" ca="1" si="452"/>
        <v>0</v>
      </c>
      <c r="N264" s="2556">
        <f t="shared" ca="1" si="452"/>
        <v>0</v>
      </c>
      <c r="O264" s="2556">
        <f t="shared" ca="1" si="452"/>
        <v>0</v>
      </c>
      <c r="P264" s="2556">
        <f t="shared" ca="1" si="452"/>
        <v>0</v>
      </c>
      <c r="Q264" s="2556">
        <f t="shared" ca="1" si="452"/>
        <v>0</v>
      </c>
      <c r="R264" s="2557">
        <f t="shared" ca="1" si="452"/>
        <v>0</v>
      </c>
      <c r="T264" s="2549">
        <f>T250</f>
        <v>2018</v>
      </c>
      <c r="U264" s="2558">
        <f ca="1">U250*U220</f>
        <v>159811.3412297997</v>
      </c>
      <c r="V264" s="2558">
        <f ca="1">V250*V220</f>
        <v>103897.36487792233</v>
      </c>
      <c r="W264" s="2558">
        <f t="shared" ref="U264:AA267" ca="1" si="453">W250*W220</f>
        <v>2.4682813028519264</v>
      </c>
      <c r="X264" s="2558">
        <f t="shared" ca="1" si="453"/>
        <v>2.4682813028519264</v>
      </c>
      <c r="Y264" s="2558">
        <f ca="1">Y250*Y220</f>
        <v>2.4682813028519264</v>
      </c>
      <c r="Z264" s="2558">
        <f t="shared" ca="1" si="453"/>
        <v>2.4682813028519264</v>
      </c>
      <c r="AA264" s="2559">
        <f t="shared" ca="1" si="453"/>
        <v>2.4682813028519264</v>
      </c>
      <c r="AC264" s="2549">
        <f t="shared" ref="AC264:AC274" si="454">AC250</f>
        <v>2018</v>
      </c>
      <c r="AD264" s="2556">
        <f ca="1">AD250*AD220</f>
        <v>53670.308647650279</v>
      </c>
      <c r="AE264" s="2556">
        <f t="shared" ref="AD264:AJ268" ca="1" si="455">AE250*AE220</f>
        <v>0</v>
      </c>
      <c r="AF264" s="2556">
        <f t="shared" ca="1" si="455"/>
        <v>0</v>
      </c>
      <c r="AG264" s="2556">
        <f t="shared" ca="1" si="455"/>
        <v>0</v>
      </c>
      <c r="AH264" s="2556">
        <f t="shared" ca="1" si="455"/>
        <v>0</v>
      </c>
      <c r="AI264" s="2556">
        <f t="shared" ca="1" si="455"/>
        <v>0</v>
      </c>
      <c r="AJ264" s="2557">
        <f t="shared" ca="1" si="455"/>
        <v>0</v>
      </c>
      <c r="AL264" s="2549">
        <f>AL250</f>
        <v>2018</v>
      </c>
      <c r="AM264" s="2556">
        <f t="shared" ref="AM264:AS264" ca="1" si="456">AM250*AM220</f>
        <v>9369.4358750320353</v>
      </c>
      <c r="AN264" s="2556">
        <f t="shared" ca="1" si="456"/>
        <v>0</v>
      </c>
      <c r="AO264" s="2556">
        <f t="shared" ca="1" si="456"/>
        <v>0</v>
      </c>
      <c r="AP264" s="2556">
        <f t="shared" ca="1" si="456"/>
        <v>0</v>
      </c>
      <c r="AQ264" s="2556">
        <f t="shared" ca="1" si="456"/>
        <v>0</v>
      </c>
      <c r="AR264" s="2556">
        <f t="shared" ca="1" si="456"/>
        <v>0</v>
      </c>
      <c r="AS264" s="2557">
        <f t="shared" ca="1" si="456"/>
        <v>0</v>
      </c>
    </row>
    <row r="265" spans="2:45">
      <c r="B265" s="2549">
        <v>2019</v>
      </c>
      <c r="C265" s="2556">
        <f t="shared" ca="1" si="451"/>
        <v>0</v>
      </c>
      <c r="D265" s="2556">
        <f t="shared" ca="1" si="451"/>
        <v>0</v>
      </c>
      <c r="E265" s="2556">
        <f t="shared" ca="1" si="451"/>
        <v>0</v>
      </c>
      <c r="F265" s="2556">
        <f t="shared" ca="1" si="451"/>
        <v>0</v>
      </c>
      <c r="G265" s="2556">
        <f t="shared" ca="1" si="451"/>
        <v>0</v>
      </c>
      <c r="H265" s="2556">
        <f t="shared" ca="1" si="451"/>
        <v>0</v>
      </c>
      <c r="I265" s="2557">
        <f t="shared" ca="1" si="451"/>
        <v>0</v>
      </c>
      <c r="K265" s="2549">
        <f t="shared" ref="K265:K274" si="457">K251</f>
        <v>2019</v>
      </c>
      <c r="L265" s="2556">
        <f t="shared" ca="1" si="452"/>
        <v>0</v>
      </c>
      <c r="M265" s="2556">
        <f t="shared" ca="1" si="452"/>
        <v>0</v>
      </c>
      <c r="N265" s="2556">
        <f t="shared" ca="1" si="452"/>
        <v>0</v>
      </c>
      <c r="O265" s="2556">
        <f t="shared" ca="1" si="452"/>
        <v>0</v>
      </c>
      <c r="P265" s="2556">
        <f t="shared" ca="1" si="452"/>
        <v>0</v>
      </c>
      <c r="Q265" s="2556">
        <f t="shared" ca="1" si="452"/>
        <v>0</v>
      </c>
      <c r="R265" s="2557">
        <f t="shared" ca="1" si="452"/>
        <v>0</v>
      </c>
      <c r="T265" s="2549">
        <f>T251</f>
        <v>2019</v>
      </c>
      <c r="U265" s="2558">
        <f t="shared" ca="1" si="453"/>
        <v>0</v>
      </c>
      <c r="V265" s="2558">
        <f ca="1">V251*V221</f>
        <v>235776.28823988163</v>
      </c>
      <c r="W265" s="2558">
        <f t="shared" ca="1" si="453"/>
        <v>235776.28823988163</v>
      </c>
      <c r="X265" s="2558">
        <f t="shared" ca="1" si="453"/>
        <v>235776.28823988163</v>
      </c>
      <c r="Y265" s="2558">
        <f t="shared" ca="1" si="453"/>
        <v>235776.28823988163</v>
      </c>
      <c r="Z265" s="2558">
        <f t="shared" ca="1" si="453"/>
        <v>235776.28823988163</v>
      </c>
      <c r="AA265" s="2559">
        <f t="shared" ca="1" si="453"/>
        <v>235776.28823988163</v>
      </c>
      <c r="AC265" s="2549">
        <f t="shared" si="454"/>
        <v>2019</v>
      </c>
      <c r="AD265" s="2556">
        <f t="shared" ca="1" si="455"/>
        <v>108717.91826225184</v>
      </c>
      <c r="AE265" s="2556">
        <f t="shared" ca="1" si="455"/>
        <v>0</v>
      </c>
      <c r="AF265" s="2556">
        <f t="shared" ca="1" si="455"/>
        <v>0</v>
      </c>
      <c r="AG265" s="2556">
        <f t="shared" ca="1" si="455"/>
        <v>0</v>
      </c>
      <c r="AH265" s="2556">
        <f t="shared" ca="1" si="455"/>
        <v>0</v>
      </c>
      <c r="AI265" s="2556">
        <f t="shared" ca="1" si="455"/>
        <v>0</v>
      </c>
      <c r="AJ265" s="2557">
        <f t="shared" ca="1" si="455"/>
        <v>0</v>
      </c>
      <c r="AL265" s="2549">
        <v>2019</v>
      </c>
      <c r="AM265" s="2556">
        <f t="shared" ref="AM265:AS265" ca="1" si="458">AM251*AM221</f>
        <v>19135.130585068207</v>
      </c>
      <c r="AN265" s="2556">
        <f t="shared" ca="1" si="458"/>
        <v>0</v>
      </c>
      <c r="AO265" s="2556">
        <f t="shared" ca="1" si="458"/>
        <v>0</v>
      </c>
      <c r="AP265" s="2556">
        <f t="shared" ca="1" si="458"/>
        <v>0</v>
      </c>
      <c r="AQ265" s="2556">
        <f t="shared" ca="1" si="458"/>
        <v>0</v>
      </c>
      <c r="AR265" s="2556">
        <f t="shared" ca="1" si="458"/>
        <v>0</v>
      </c>
      <c r="AS265" s="2557">
        <f t="shared" ca="1" si="458"/>
        <v>0</v>
      </c>
    </row>
    <row r="266" spans="2:45">
      <c r="B266" s="2549">
        <f t="shared" ref="B266:B274" si="459">B252</f>
        <v>2020</v>
      </c>
      <c r="C266" s="2556">
        <f t="shared" ca="1" si="451"/>
        <v>0</v>
      </c>
      <c r="D266" s="2556">
        <f t="shared" ca="1" si="451"/>
        <v>0</v>
      </c>
      <c r="E266" s="2556">
        <f t="shared" ca="1" si="451"/>
        <v>0</v>
      </c>
      <c r="F266" s="2556">
        <f t="shared" ca="1" si="451"/>
        <v>0</v>
      </c>
      <c r="G266" s="2556">
        <f t="shared" ca="1" si="451"/>
        <v>0</v>
      </c>
      <c r="H266" s="2556">
        <f t="shared" ca="1" si="451"/>
        <v>0</v>
      </c>
      <c r="I266" s="2557">
        <f t="shared" ca="1" si="451"/>
        <v>0</v>
      </c>
      <c r="K266" s="2549">
        <f t="shared" si="457"/>
        <v>2020</v>
      </c>
      <c r="L266" s="2556">
        <f t="shared" ca="1" si="452"/>
        <v>0</v>
      </c>
      <c r="M266" s="2556">
        <f t="shared" ca="1" si="452"/>
        <v>0</v>
      </c>
      <c r="N266" s="2556">
        <f t="shared" ca="1" si="452"/>
        <v>0</v>
      </c>
      <c r="O266" s="2556">
        <f t="shared" ca="1" si="452"/>
        <v>0</v>
      </c>
      <c r="P266" s="2556">
        <f t="shared" ca="1" si="452"/>
        <v>0</v>
      </c>
      <c r="Q266" s="2556">
        <f t="shared" ca="1" si="452"/>
        <v>0</v>
      </c>
      <c r="R266" s="2557">
        <f t="shared" ca="1" si="452"/>
        <v>0</v>
      </c>
      <c r="T266" s="2549">
        <f>T252</f>
        <v>2020</v>
      </c>
      <c r="U266" s="2558">
        <f t="shared" ca="1" si="453"/>
        <v>0</v>
      </c>
      <c r="V266" s="2558">
        <f t="shared" ca="1" si="453"/>
        <v>215921.88105647205</v>
      </c>
      <c r="W266" s="2558">
        <f t="shared" ca="1" si="453"/>
        <v>215921.88105647205</v>
      </c>
      <c r="X266" s="2558">
        <f t="shared" ca="1" si="453"/>
        <v>215921.88105647205</v>
      </c>
      <c r="Y266" s="2558">
        <f t="shared" ca="1" si="453"/>
        <v>215921.88105647205</v>
      </c>
      <c r="Z266" s="2558">
        <f t="shared" ca="1" si="453"/>
        <v>215921.88105647205</v>
      </c>
      <c r="AA266" s="2559">
        <f t="shared" ca="1" si="453"/>
        <v>215921.88105647205</v>
      </c>
      <c r="AC266" s="2549">
        <f t="shared" si="454"/>
        <v>2020</v>
      </c>
      <c r="AD266" s="2556">
        <f t="shared" ca="1" si="455"/>
        <v>0</v>
      </c>
      <c r="AE266" s="2556">
        <f t="shared" ca="1" si="455"/>
        <v>0</v>
      </c>
      <c r="AF266" s="2556">
        <f t="shared" ca="1" si="455"/>
        <v>0</v>
      </c>
      <c r="AG266" s="2556">
        <f t="shared" ca="1" si="455"/>
        <v>0</v>
      </c>
      <c r="AH266" s="2556">
        <f t="shared" ca="1" si="455"/>
        <v>0</v>
      </c>
      <c r="AI266" s="2556">
        <f t="shared" ca="1" si="455"/>
        <v>0</v>
      </c>
      <c r="AJ266" s="2557">
        <f t="shared" ca="1" si="455"/>
        <v>0</v>
      </c>
      <c r="AL266" s="2549">
        <f t="shared" ref="AL266:AL275" si="460">AL252</f>
        <v>2020</v>
      </c>
      <c r="AM266" s="2556">
        <f t="shared" ref="AM266:AS266" ca="1" si="461">AM252*AM222</f>
        <v>0</v>
      </c>
      <c r="AN266" s="2556">
        <f t="shared" ca="1" si="461"/>
        <v>0</v>
      </c>
      <c r="AO266" s="2556">
        <f t="shared" ca="1" si="461"/>
        <v>0</v>
      </c>
      <c r="AP266" s="2556">
        <f t="shared" ca="1" si="461"/>
        <v>0</v>
      </c>
      <c r="AQ266" s="2556">
        <f t="shared" ca="1" si="461"/>
        <v>0</v>
      </c>
      <c r="AR266" s="2556">
        <f t="shared" ca="1" si="461"/>
        <v>0</v>
      </c>
      <c r="AS266" s="2557">
        <f t="shared" ca="1" si="461"/>
        <v>0</v>
      </c>
    </row>
    <row r="267" spans="2:45">
      <c r="B267" s="2549">
        <f t="shared" si="459"/>
        <v>2021</v>
      </c>
      <c r="C267" s="2556">
        <f t="shared" ca="1" si="451"/>
        <v>0</v>
      </c>
      <c r="D267" s="2556">
        <f t="shared" ca="1" si="451"/>
        <v>0</v>
      </c>
      <c r="E267" s="2556">
        <f t="shared" ca="1" si="451"/>
        <v>0</v>
      </c>
      <c r="F267" s="2556">
        <f t="shared" ca="1" si="451"/>
        <v>0</v>
      </c>
      <c r="G267" s="2556">
        <f t="shared" ca="1" si="451"/>
        <v>0</v>
      </c>
      <c r="H267" s="2556">
        <f t="shared" ca="1" si="451"/>
        <v>0</v>
      </c>
      <c r="I267" s="2557">
        <f t="shared" ca="1" si="451"/>
        <v>0</v>
      </c>
      <c r="K267" s="2549">
        <f t="shared" si="457"/>
        <v>2021</v>
      </c>
      <c r="L267" s="2556">
        <f t="shared" ca="1" si="452"/>
        <v>0</v>
      </c>
      <c r="M267" s="2556">
        <f t="shared" ca="1" si="452"/>
        <v>0</v>
      </c>
      <c r="N267" s="2556">
        <f t="shared" ca="1" si="452"/>
        <v>0</v>
      </c>
      <c r="O267" s="2556">
        <f t="shared" ca="1" si="452"/>
        <v>0</v>
      </c>
      <c r="P267" s="2556">
        <f t="shared" ca="1" si="452"/>
        <v>0</v>
      </c>
      <c r="Q267" s="2556">
        <f t="shared" ca="1" si="452"/>
        <v>0</v>
      </c>
      <c r="R267" s="2557">
        <f t="shared" ca="1" si="452"/>
        <v>0</v>
      </c>
      <c r="T267" s="2549">
        <f>T253</f>
        <v>2021</v>
      </c>
      <c r="U267" s="2558">
        <f t="shared" ca="1" si="453"/>
        <v>0</v>
      </c>
      <c r="V267" s="2558">
        <f ca="1">V253*V223</f>
        <v>0</v>
      </c>
      <c r="W267" s="2558">
        <f ca="1">W253*W223</f>
        <v>0</v>
      </c>
      <c r="X267" s="2558">
        <f ca="1">X253*X223</f>
        <v>0</v>
      </c>
      <c r="Y267" s="2558">
        <f ca="1">Y253*Y223</f>
        <v>0</v>
      </c>
      <c r="Z267" s="2558">
        <f t="shared" ca="1" si="453"/>
        <v>0</v>
      </c>
      <c r="AA267" s="2559">
        <f t="shared" ca="1" si="453"/>
        <v>0</v>
      </c>
      <c r="AC267" s="2549">
        <f t="shared" si="454"/>
        <v>2021</v>
      </c>
      <c r="AD267" s="2556">
        <f t="shared" ca="1" si="455"/>
        <v>0</v>
      </c>
      <c r="AE267" s="2556">
        <f t="shared" ca="1" si="455"/>
        <v>0</v>
      </c>
      <c r="AF267" s="2556">
        <f t="shared" ca="1" si="455"/>
        <v>0</v>
      </c>
      <c r="AG267" s="2556">
        <f t="shared" ca="1" si="455"/>
        <v>0</v>
      </c>
      <c r="AH267" s="2556">
        <f t="shared" ca="1" si="455"/>
        <v>0</v>
      </c>
      <c r="AI267" s="2556">
        <f t="shared" ca="1" si="455"/>
        <v>0</v>
      </c>
      <c r="AJ267" s="2557">
        <f t="shared" ca="1" si="455"/>
        <v>0</v>
      </c>
      <c r="AK267" s="2585"/>
      <c r="AL267" s="2549">
        <f t="shared" si="460"/>
        <v>2021</v>
      </c>
      <c r="AM267" s="2556">
        <f t="shared" ref="AM267:AS275" ca="1" si="462">AM253*AM223</f>
        <v>0</v>
      </c>
      <c r="AN267" s="2556">
        <f t="shared" ca="1" si="462"/>
        <v>0</v>
      </c>
      <c r="AO267" s="2556">
        <f t="shared" ca="1" si="462"/>
        <v>0</v>
      </c>
      <c r="AP267" s="2556">
        <f t="shared" ca="1" si="462"/>
        <v>0</v>
      </c>
      <c r="AQ267" s="2556">
        <f t="shared" ca="1" si="462"/>
        <v>0</v>
      </c>
      <c r="AR267" s="2556">
        <f t="shared" ca="1" si="462"/>
        <v>0</v>
      </c>
      <c r="AS267" s="2557">
        <f t="shared" ca="1" si="462"/>
        <v>0</v>
      </c>
    </row>
    <row r="268" spans="2:45">
      <c r="B268" s="2549">
        <f t="shared" si="459"/>
        <v>2022</v>
      </c>
      <c r="C268" s="2556">
        <f t="shared" ca="1" si="451"/>
        <v>0</v>
      </c>
      <c r="D268" s="2556">
        <f t="shared" ca="1" si="451"/>
        <v>0</v>
      </c>
      <c r="E268" s="2556">
        <f t="shared" ca="1" si="451"/>
        <v>0</v>
      </c>
      <c r="F268" s="2556">
        <f t="shared" ca="1" si="451"/>
        <v>0</v>
      </c>
      <c r="G268" s="2556">
        <f t="shared" ca="1" si="451"/>
        <v>0</v>
      </c>
      <c r="H268" s="2556">
        <f t="shared" ca="1" si="451"/>
        <v>0</v>
      </c>
      <c r="I268" s="2557">
        <f t="shared" ca="1" si="451"/>
        <v>0</v>
      </c>
      <c r="K268" s="2549">
        <f t="shared" si="457"/>
        <v>2022</v>
      </c>
      <c r="L268" s="2556">
        <f t="shared" ca="1" si="452"/>
        <v>0</v>
      </c>
      <c r="M268" s="2556">
        <f t="shared" ca="1" si="452"/>
        <v>0</v>
      </c>
      <c r="N268" s="2556">
        <f t="shared" ca="1" si="452"/>
        <v>0</v>
      </c>
      <c r="O268" s="2556">
        <f t="shared" ca="1" si="452"/>
        <v>0</v>
      </c>
      <c r="P268" s="2556">
        <f t="shared" ca="1" si="452"/>
        <v>0</v>
      </c>
      <c r="Q268" s="2556">
        <f t="shared" ca="1" si="452"/>
        <v>0</v>
      </c>
      <c r="R268" s="2557">
        <f t="shared" ca="1" si="452"/>
        <v>0</v>
      </c>
      <c r="T268" s="2549">
        <v>2022</v>
      </c>
      <c r="U268" s="2558">
        <f t="shared" ref="U268:U274" ca="1" si="463">U254*U224</f>
        <v>0</v>
      </c>
      <c r="V268" s="2558">
        <f t="shared" ref="V268:AA268" ca="1" si="464">V254*V224</f>
        <v>0</v>
      </c>
      <c r="W268" s="2558">
        <f t="shared" ca="1" si="464"/>
        <v>0</v>
      </c>
      <c r="X268" s="2558">
        <f t="shared" ca="1" si="464"/>
        <v>0</v>
      </c>
      <c r="Y268" s="2558">
        <f t="shared" ca="1" si="464"/>
        <v>0</v>
      </c>
      <c r="Z268" s="2558">
        <f t="shared" ca="1" si="464"/>
        <v>0</v>
      </c>
      <c r="AA268" s="2559">
        <f t="shared" ca="1" si="464"/>
        <v>0</v>
      </c>
      <c r="AC268" s="2549">
        <f t="shared" si="454"/>
        <v>2022</v>
      </c>
      <c r="AD268" s="2556">
        <f t="shared" ca="1" si="455"/>
        <v>0</v>
      </c>
      <c r="AE268" s="2556">
        <f t="shared" ca="1" si="455"/>
        <v>0</v>
      </c>
      <c r="AF268" s="2556">
        <f t="shared" ca="1" si="455"/>
        <v>0</v>
      </c>
      <c r="AG268" s="2556">
        <f t="shared" ca="1" si="455"/>
        <v>0</v>
      </c>
      <c r="AH268" s="2556">
        <f t="shared" ca="1" si="455"/>
        <v>0</v>
      </c>
      <c r="AI268" s="2556">
        <f t="shared" ca="1" si="455"/>
        <v>0</v>
      </c>
      <c r="AJ268" s="2557">
        <f t="shared" ca="1" si="455"/>
        <v>0</v>
      </c>
      <c r="AL268" s="2549">
        <f t="shared" si="460"/>
        <v>2022</v>
      </c>
      <c r="AM268" s="2556">
        <f t="shared" ca="1" si="462"/>
        <v>0</v>
      </c>
      <c r="AN268" s="2556">
        <f t="shared" ca="1" si="462"/>
        <v>0</v>
      </c>
      <c r="AO268" s="2556">
        <f t="shared" ca="1" si="462"/>
        <v>0</v>
      </c>
      <c r="AP268" s="2556">
        <f t="shared" ca="1" si="462"/>
        <v>0</v>
      </c>
      <c r="AQ268" s="2556">
        <f t="shared" ca="1" si="462"/>
        <v>0</v>
      </c>
      <c r="AR268" s="2556">
        <f t="shared" ca="1" si="462"/>
        <v>0</v>
      </c>
      <c r="AS268" s="2557">
        <f t="shared" ca="1" si="462"/>
        <v>0</v>
      </c>
    </row>
    <row r="269" spans="2:45">
      <c r="B269" s="2549">
        <f t="shared" si="459"/>
        <v>2023</v>
      </c>
      <c r="C269" s="2556">
        <f t="shared" ca="1" si="451"/>
        <v>0</v>
      </c>
      <c r="D269" s="2556">
        <f t="shared" ca="1" si="451"/>
        <v>0</v>
      </c>
      <c r="E269" s="2556">
        <f t="shared" ca="1" si="451"/>
        <v>0</v>
      </c>
      <c r="F269" s="2556">
        <f t="shared" ca="1" si="451"/>
        <v>0</v>
      </c>
      <c r="G269" s="2556">
        <f t="shared" ca="1" si="451"/>
        <v>0</v>
      </c>
      <c r="H269" s="2556">
        <f t="shared" ca="1" si="451"/>
        <v>0</v>
      </c>
      <c r="I269" s="2557">
        <f t="shared" ca="1" si="451"/>
        <v>0</v>
      </c>
      <c r="K269" s="2549">
        <f t="shared" si="457"/>
        <v>2023</v>
      </c>
      <c r="L269" s="2556">
        <f t="shared" ca="1" si="452"/>
        <v>0</v>
      </c>
      <c r="M269" s="2556">
        <f t="shared" ca="1" si="452"/>
        <v>0</v>
      </c>
      <c r="N269" s="2556">
        <f t="shared" ca="1" si="452"/>
        <v>0</v>
      </c>
      <c r="O269" s="2556">
        <f t="shared" ca="1" si="452"/>
        <v>0</v>
      </c>
      <c r="P269" s="2556">
        <f t="shared" ca="1" si="452"/>
        <v>0</v>
      </c>
      <c r="Q269" s="2556">
        <f t="shared" ca="1" si="452"/>
        <v>0</v>
      </c>
      <c r="R269" s="2557">
        <f t="shared" ca="1" si="452"/>
        <v>0</v>
      </c>
      <c r="T269" s="2549">
        <f t="shared" ref="T269:T274" si="465">T255</f>
        <v>2023</v>
      </c>
      <c r="U269" s="2558">
        <f t="shared" ca="1" si="463"/>
        <v>0</v>
      </c>
      <c r="V269" s="2558">
        <f t="shared" ref="V269:AA274" ca="1" si="466">V255*V225</f>
        <v>0</v>
      </c>
      <c r="W269" s="2558">
        <f t="shared" ca="1" si="466"/>
        <v>0</v>
      </c>
      <c r="X269" s="2558">
        <f t="shared" ca="1" si="466"/>
        <v>0</v>
      </c>
      <c r="Y269" s="2558">
        <f t="shared" ca="1" si="466"/>
        <v>0</v>
      </c>
      <c r="Z269" s="2558">
        <f t="shared" ca="1" si="466"/>
        <v>0</v>
      </c>
      <c r="AA269" s="2559">
        <f t="shared" ca="1" si="466"/>
        <v>0</v>
      </c>
      <c r="AC269" s="2549">
        <f t="shared" si="454"/>
        <v>2023</v>
      </c>
      <c r="AD269" s="2556">
        <f t="shared" ref="AD269:AJ269" ca="1" si="467">AD255*AD225</f>
        <v>0</v>
      </c>
      <c r="AE269" s="2556">
        <f t="shared" ca="1" si="467"/>
        <v>0</v>
      </c>
      <c r="AF269" s="2556">
        <f t="shared" ca="1" si="467"/>
        <v>0</v>
      </c>
      <c r="AG269" s="2556">
        <f t="shared" ca="1" si="467"/>
        <v>0</v>
      </c>
      <c r="AH269" s="2556">
        <f t="shared" ca="1" si="467"/>
        <v>0</v>
      </c>
      <c r="AI269" s="2556">
        <f t="shared" ca="1" si="467"/>
        <v>0</v>
      </c>
      <c r="AJ269" s="2557">
        <f t="shared" ca="1" si="467"/>
        <v>0</v>
      </c>
      <c r="AL269" s="2549">
        <f t="shared" si="460"/>
        <v>2023</v>
      </c>
      <c r="AM269" s="2556">
        <f t="shared" ca="1" si="462"/>
        <v>0</v>
      </c>
      <c r="AN269" s="2556">
        <f t="shared" ca="1" si="462"/>
        <v>0</v>
      </c>
      <c r="AO269" s="2556">
        <f t="shared" ca="1" si="462"/>
        <v>0</v>
      </c>
      <c r="AP269" s="2556">
        <f t="shared" ca="1" si="462"/>
        <v>0</v>
      </c>
      <c r="AQ269" s="2556">
        <f t="shared" ca="1" si="462"/>
        <v>0</v>
      </c>
      <c r="AR269" s="2556">
        <f t="shared" ca="1" si="462"/>
        <v>0</v>
      </c>
      <c r="AS269" s="2557">
        <f t="shared" ca="1" si="462"/>
        <v>0</v>
      </c>
    </row>
    <row r="270" spans="2:45">
      <c r="B270" s="2549">
        <f t="shared" si="459"/>
        <v>2024</v>
      </c>
      <c r="C270" s="2556">
        <f t="shared" ca="1" si="451"/>
        <v>0</v>
      </c>
      <c r="D270" s="2556">
        <f t="shared" ca="1" si="451"/>
        <v>0</v>
      </c>
      <c r="E270" s="2556">
        <f t="shared" ca="1" si="451"/>
        <v>0</v>
      </c>
      <c r="F270" s="2556">
        <f t="shared" ca="1" si="451"/>
        <v>0</v>
      </c>
      <c r="G270" s="2556">
        <f t="shared" ca="1" si="451"/>
        <v>0</v>
      </c>
      <c r="H270" s="2556">
        <f t="shared" ca="1" si="451"/>
        <v>0</v>
      </c>
      <c r="I270" s="2557">
        <f t="shared" ca="1" si="451"/>
        <v>0</v>
      </c>
      <c r="K270" s="2549">
        <f t="shared" si="457"/>
        <v>2024</v>
      </c>
      <c r="L270" s="2556">
        <f t="shared" ca="1" si="452"/>
        <v>0</v>
      </c>
      <c r="M270" s="2556">
        <f t="shared" ca="1" si="452"/>
        <v>0</v>
      </c>
      <c r="N270" s="2556">
        <f t="shared" ca="1" si="452"/>
        <v>0</v>
      </c>
      <c r="O270" s="2556">
        <f t="shared" ca="1" si="452"/>
        <v>0</v>
      </c>
      <c r="P270" s="2556">
        <f t="shared" ca="1" si="452"/>
        <v>0</v>
      </c>
      <c r="Q270" s="2556">
        <f t="shared" ca="1" si="452"/>
        <v>0</v>
      </c>
      <c r="R270" s="2557">
        <f t="shared" ca="1" si="452"/>
        <v>0</v>
      </c>
      <c r="T270" s="2549">
        <f t="shared" si="465"/>
        <v>2024</v>
      </c>
      <c r="U270" s="2558">
        <f t="shared" ca="1" si="463"/>
        <v>0</v>
      </c>
      <c r="V270" s="2558">
        <f t="shared" ca="1" si="466"/>
        <v>0</v>
      </c>
      <c r="W270" s="2558">
        <f t="shared" ca="1" si="466"/>
        <v>0</v>
      </c>
      <c r="X270" s="2558">
        <f t="shared" ca="1" si="466"/>
        <v>0</v>
      </c>
      <c r="Y270" s="2558">
        <f t="shared" ca="1" si="466"/>
        <v>0</v>
      </c>
      <c r="Z270" s="2558">
        <f t="shared" ca="1" si="466"/>
        <v>0</v>
      </c>
      <c r="AA270" s="2559">
        <f t="shared" ca="1" si="466"/>
        <v>0</v>
      </c>
      <c r="AC270" s="2549">
        <f t="shared" si="454"/>
        <v>2024</v>
      </c>
      <c r="AD270" s="2556">
        <f t="shared" ref="AD270:AJ270" ca="1" si="468">AD256*AD226</f>
        <v>0</v>
      </c>
      <c r="AE270" s="2556">
        <f t="shared" ca="1" si="468"/>
        <v>0</v>
      </c>
      <c r="AF270" s="2556">
        <f t="shared" ca="1" si="468"/>
        <v>0</v>
      </c>
      <c r="AG270" s="2556">
        <f t="shared" ca="1" si="468"/>
        <v>0</v>
      </c>
      <c r="AH270" s="2556">
        <f t="shared" ca="1" si="468"/>
        <v>0</v>
      </c>
      <c r="AI270" s="2556">
        <f t="shared" ca="1" si="468"/>
        <v>0</v>
      </c>
      <c r="AJ270" s="2557">
        <f t="shared" ca="1" si="468"/>
        <v>0</v>
      </c>
      <c r="AL270" s="2549">
        <f t="shared" si="460"/>
        <v>2024</v>
      </c>
      <c r="AM270" s="2556">
        <f t="shared" ca="1" si="462"/>
        <v>0</v>
      </c>
      <c r="AN270" s="2556">
        <f t="shared" ca="1" si="462"/>
        <v>0</v>
      </c>
      <c r="AO270" s="2556">
        <f t="shared" ca="1" si="462"/>
        <v>0</v>
      </c>
      <c r="AP270" s="2556">
        <f t="shared" ca="1" si="462"/>
        <v>0</v>
      </c>
      <c r="AQ270" s="2556">
        <f t="shared" ca="1" si="462"/>
        <v>0</v>
      </c>
      <c r="AR270" s="2556">
        <f t="shared" ca="1" si="462"/>
        <v>0</v>
      </c>
      <c r="AS270" s="2557">
        <f t="shared" ca="1" si="462"/>
        <v>0</v>
      </c>
    </row>
    <row r="271" spans="2:45">
      <c r="B271" s="2549">
        <f t="shared" si="459"/>
        <v>2025</v>
      </c>
      <c r="C271" s="2556">
        <f t="shared" ca="1" si="451"/>
        <v>0</v>
      </c>
      <c r="D271" s="2556">
        <f t="shared" ca="1" si="451"/>
        <v>0</v>
      </c>
      <c r="E271" s="2556">
        <f t="shared" ca="1" si="451"/>
        <v>0</v>
      </c>
      <c r="F271" s="2556">
        <f t="shared" ca="1" si="451"/>
        <v>0</v>
      </c>
      <c r="G271" s="2556">
        <f t="shared" ca="1" si="451"/>
        <v>0</v>
      </c>
      <c r="H271" s="2556">
        <f t="shared" ca="1" si="451"/>
        <v>0</v>
      </c>
      <c r="I271" s="2557">
        <f t="shared" ca="1" si="451"/>
        <v>0</v>
      </c>
      <c r="K271" s="2549">
        <f t="shared" si="457"/>
        <v>2025</v>
      </c>
      <c r="L271" s="2556">
        <f t="shared" ca="1" si="452"/>
        <v>0</v>
      </c>
      <c r="M271" s="2556">
        <f t="shared" ca="1" si="452"/>
        <v>0</v>
      </c>
      <c r="N271" s="2556">
        <f t="shared" ca="1" si="452"/>
        <v>0</v>
      </c>
      <c r="O271" s="2556">
        <f t="shared" ca="1" si="452"/>
        <v>0</v>
      </c>
      <c r="P271" s="2556">
        <f t="shared" ca="1" si="452"/>
        <v>0</v>
      </c>
      <c r="Q271" s="2556">
        <f t="shared" ca="1" si="452"/>
        <v>0</v>
      </c>
      <c r="R271" s="2557">
        <f t="shared" ca="1" si="452"/>
        <v>0</v>
      </c>
      <c r="T271" s="2549">
        <f t="shared" si="465"/>
        <v>2025</v>
      </c>
      <c r="U271" s="2558">
        <f t="shared" ca="1" si="463"/>
        <v>0</v>
      </c>
      <c r="V271" s="2558">
        <f t="shared" ca="1" si="466"/>
        <v>0</v>
      </c>
      <c r="W271" s="2558">
        <f t="shared" ca="1" si="466"/>
        <v>0</v>
      </c>
      <c r="X271" s="2558">
        <f t="shared" ca="1" si="466"/>
        <v>0</v>
      </c>
      <c r="Y271" s="2558">
        <f t="shared" ca="1" si="466"/>
        <v>0</v>
      </c>
      <c r="Z271" s="2558">
        <f t="shared" ca="1" si="466"/>
        <v>0</v>
      </c>
      <c r="AA271" s="2559">
        <f t="shared" ca="1" si="466"/>
        <v>0</v>
      </c>
      <c r="AC271" s="2549">
        <f t="shared" si="454"/>
        <v>2025</v>
      </c>
      <c r="AD271" s="2556">
        <f t="shared" ref="AD271:AJ271" ca="1" si="469">AD257*AD227</f>
        <v>0</v>
      </c>
      <c r="AE271" s="2556">
        <f t="shared" ca="1" si="469"/>
        <v>0</v>
      </c>
      <c r="AF271" s="2556">
        <f t="shared" ca="1" si="469"/>
        <v>0</v>
      </c>
      <c r="AG271" s="2556">
        <f t="shared" ca="1" si="469"/>
        <v>0</v>
      </c>
      <c r="AH271" s="2556">
        <f t="shared" ca="1" si="469"/>
        <v>0</v>
      </c>
      <c r="AI271" s="2556">
        <f t="shared" ca="1" si="469"/>
        <v>0</v>
      </c>
      <c r="AJ271" s="2557">
        <f t="shared" ca="1" si="469"/>
        <v>0</v>
      </c>
      <c r="AL271" s="2549">
        <f t="shared" si="460"/>
        <v>2025</v>
      </c>
      <c r="AM271" s="2556">
        <f t="shared" ca="1" si="462"/>
        <v>0</v>
      </c>
      <c r="AN271" s="2556">
        <f t="shared" ca="1" si="462"/>
        <v>0</v>
      </c>
      <c r="AO271" s="2556">
        <f t="shared" ca="1" si="462"/>
        <v>0</v>
      </c>
      <c r="AP271" s="2556">
        <f t="shared" ca="1" si="462"/>
        <v>0</v>
      </c>
      <c r="AQ271" s="2556">
        <f t="shared" ca="1" si="462"/>
        <v>0</v>
      </c>
      <c r="AR271" s="2556">
        <f t="shared" ca="1" si="462"/>
        <v>0</v>
      </c>
      <c r="AS271" s="2557">
        <f t="shared" ca="1" si="462"/>
        <v>0</v>
      </c>
    </row>
    <row r="272" spans="2:45">
      <c r="B272" s="2549">
        <f t="shared" si="459"/>
        <v>2026</v>
      </c>
      <c r="C272" s="2556">
        <f t="shared" ca="1" si="451"/>
        <v>0</v>
      </c>
      <c r="D272" s="2556">
        <f t="shared" ca="1" si="451"/>
        <v>0</v>
      </c>
      <c r="E272" s="2556">
        <f t="shared" ca="1" si="451"/>
        <v>0</v>
      </c>
      <c r="F272" s="2556">
        <f t="shared" ca="1" si="451"/>
        <v>0</v>
      </c>
      <c r="G272" s="2556">
        <f t="shared" ca="1" si="451"/>
        <v>0</v>
      </c>
      <c r="H272" s="2556">
        <f t="shared" ca="1" si="451"/>
        <v>0</v>
      </c>
      <c r="I272" s="2557">
        <f t="shared" ca="1" si="451"/>
        <v>0</v>
      </c>
      <c r="K272" s="2549">
        <f t="shared" si="457"/>
        <v>2026</v>
      </c>
      <c r="L272" s="2556">
        <f t="shared" ca="1" si="452"/>
        <v>0</v>
      </c>
      <c r="M272" s="2556">
        <f t="shared" ca="1" si="452"/>
        <v>0</v>
      </c>
      <c r="N272" s="2556">
        <f t="shared" ca="1" si="452"/>
        <v>0</v>
      </c>
      <c r="O272" s="2556">
        <f t="shared" ca="1" si="452"/>
        <v>0</v>
      </c>
      <c r="P272" s="2556">
        <f t="shared" ca="1" si="452"/>
        <v>0</v>
      </c>
      <c r="Q272" s="2556">
        <f t="shared" ca="1" si="452"/>
        <v>0</v>
      </c>
      <c r="R272" s="2557">
        <f t="shared" ca="1" si="452"/>
        <v>0</v>
      </c>
      <c r="T272" s="2549">
        <f t="shared" si="465"/>
        <v>2026</v>
      </c>
      <c r="U272" s="2558">
        <f t="shared" ca="1" si="463"/>
        <v>0</v>
      </c>
      <c r="V272" s="2558">
        <f t="shared" ca="1" si="466"/>
        <v>0</v>
      </c>
      <c r="W272" s="2558">
        <f t="shared" ca="1" si="466"/>
        <v>0</v>
      </c>
      <c r="X272" s="2558">
        <f t="shared" ca="1" si="466"/>
        <v>0</v>
      </c>
      <c r="Y272" s="2558">
        <f t="shared" ca="1" si="466"/>
        <v>0</v>
      </c>
      <c r="Z272" s="2558">
        <f t="shared" ca="1" si="466"/>
        <v>0</v>
      </c>
      <c r="AA272" s="2559">
        <f t="shared" ca="1" si="466"/>
        <v>0</v>
      </c>
      <c r="AC272" s="2549">
        <f t="shared" si="454"/>
        <v>2026</v>
      </c>
      <c r="AD272" s="2556">
        <f t="shared" ref="AD272:AJ272" ca="1" si="470">AD258*AD228</f>
        <v>0</v>
      </c>
      <c r="AE272" s="2556">
        <f t="shared" ca="1" si="470"/>
        <v>0</v>
      </c>
      <c r="AF272" s="2556">
        <f t="shared" ca="1" si="470"/>
        <v>0</v>
      </c>
      <c r="AG272" s="2556">
        <f t="shared" ca="1" si="470"/>
        <v>0</v>
      </c>
      <c r="AH272" s="2556">
        <f t="shared" ca="1" si="470"/>
        <v>0</v>
      </c>
      <c r="AI272" s="2556">
        <f t="shared" ca="1" si="470"/>
        <v>0</v>
      </c>
      <c r="AJ272" s="2557">
        <f t="shared" ca="1" si="470"/>
        <v>0</v>
      </c>
      <c r="AL272" s="2549">
        <f t="shared" si="460"/>
        <v>2026</v>
      </c>
      <c r="AM272" s="2556">
        <f t="shared" ca="1" si="462"/>
        <v>0</v>
      </c>
      <c r="AN272" s="2556">
        <f t="shared" ca="1" si="462"/>
        <v>0</v>
      </c>
      <c r="AO272" s="2556">
        <f t="shared" ca="1" si="462"/>
        <v>0</v>
      </c>
      <c r="AP272" s="2556">
        <f t="shared" ca="1" si="462"/>
        <v>0</v>
      </c>
      <c r="AQ272" s="2556">
        <f t="shared" ca="1" si="462"/>
        <v>0</v>
      </c>
      <c r="AR272" s="2556">
        <f t="shared" ca="1" si="462"/>
        <v>0</v>
      </c>
      <c r="AS272" s="2557">
        <f t="shared" ca="1" si="462"/>
        <v>0</v>
      </c>
    </row>
    <row r="273" spans="2:45">
      <c r="B273" s="2549">
        <f t="shared" si="459"/>
        <v>2027</v>
      </c>
      <c r="C273" s="2556">
        <f t="shared" ca="1" si="451"/>
        <v>0</v>
      </c>
      <c r="D273" s="2556">
        <f t="shared" ca="1" si="451"/>
        <v>0</v>
      </c>
      <c r="E273" s="2556">
        <f t="shared" ca="1" si="451"/>
        <v>0</v>
      </c>
      <c r="F273" s="2556">
        <f t="shared" ca="1" si="451"/>
        <v>0</v>
      </c>
      <c r="G273" s="2556">
        <f t="shared" ca="1" si="451"/>
        <v>0</v>
      </c>
      <c r="H273" s="2556">
        <f t="shared" ca="1" si="451"/>
        <v>0</v>
      </c>
      <c r="I273" s="2557">
        <f t="shared" ca="1" si="451"/>
        <v>0</v>
      </c>
      <c r="K273" s="2549">
        <f t="shared" si="457"/>
        <v>2027</v>
      </c>
      <c r="L273" s="2556">
        <f t="shared" ca="1" si="452"/>
        <v>0</v>
      </c>
      <c r="M273" s="2556">
        <f t="shared" ca="1" si="452"/>
        <v>0</v>
      </c>
      <c r="N273" s="2556">
        <f t="shared" ca="1" si="452"/>
        <v>0</v>
      </c>
      <c r="O273" s="2556">
        <f t="shared" ca="1" si="452"/>
        <v>0</v>
      </c>
      <c r="P273" s="2556">
        <f t="shared" ca="1" si="452"/>
        <v>0</v>
      </c>
      <c r="Q273" s="2556">
        <f t="shared" ca="1" si="452"/>
        <v>0</v>
      </c>
      <c r="R273" s="2557">
        <f t="shared" ca="1" si="452"/>
        <v>0</v>
      </c>
      <c r="T273" s="2549">
        <f t="shared" si="465"/>
        <v>2027</v>
      </c>
      <c r="U273" s="2558">
        <f t="shared" ca="1" si="463"/>
        <v>0</v>
      </c>
      <c r="V273" s="2558">
        <f t="shared" ca="1" si="466"/>
        <v>0</v>
      </c>
      <c r="W273" s="2558">
        <f t="shared" ca="1" si="466"/>
        <v>0</v>
      </c>
      <c r="X273" s="2558">
        <f t="shared" ca="1" si="466"/>
        <v>0</v>
      </c>
      <c r="Y273" s="2558">
        <f t="shared" ca="1" si="466"/>
        <v>0</v>
      </c>
      <c r="Z273" s="2558">
        <f t="shared" ca="1" si="466"/>
        <v>0</v>
      </c>
      <c r="AA273" s="2559">
        <f t="shared" ca="1" si="466"/>
        <v>0</v>
      </c>
      <c r="AC273" s="2549">
        <f t="shared" si="454"/>
        <v>2027</v>
      </c>
      <c r="AD273" s="2556">
        <f t="shared" ref="AD273:AJ273" ca="1" si="471">AD259*AD229</f>
        <v>0</v>
      </c>
      <c r="AE273" s="2556">
        <f t="shared" ca="1" si="471"/>
        <v>0</v>
      </c>
      <c r="AF273" s="2556">
        <f t="shared" ca="1" si="471"/>
        <v>0</v>
      </c>
      <c r="AG273" s="2556">
        <f t="shared" ca="1" si="471"/>
        <v>0</v>
      </c>
      <c r="AH273" s="2556">
        <f t="shared" ca="1" si="471"/>
        <v>0</v>
      </c>
      <c r="AI273" s="2556">
        <f t="shared" ca="1" si="471"/>
        <v>0</v>
      </c>
      <c r="AJ273" s="2557">
        <f t="shared" ca="1" si="471"/>
        <v>0</v>
      </c>
      <c r="AL273" s="2549">
        <f t="shared" si="460"/>
        <v>2027</v>
      </c>
      <c r="AM273" s="2556">
        <f t="shared" ca="1" si="462"/>
        <v>0</v>
      </c>
      <c r="AN273" s="2556">
        <f t="shared" ca="1" si="462"/>
        <v>0</v>
      </c>
      <c r="AO273" s="2556">
        <f t="shared" ca="1" si="462"/>
        <v>0</v>
      </c>
      <c r="AP273" s="2556">
        <f t="shared" ca="1" si="462"/>
        <v>0</v>
      </c>
      <c r="AQ273" s="2556">
        <f t="shared" ca="1" si="462"/>
        <v>0</v>
      </c>
      <c r="AR273" s="2556">
        <f t="shared" ca="1" si="462"/>
        <v>0</v>
      </c>
      <c r="AS273" s="2557">
        <f t="shared" ca="1" si="462"/>
        <v>0</v>
      </c>
    </row>
    <row r="274" spans="2:45">
      <c r="B274" s="2549">
        <f t="shared" si="459"/>
        <v>2028</v>
      </c>
      <c r="C274" s="2556">
        <f t="shared" ca="1" si="451"/>
        <v>0</v>
      </c>
      <c r="D274" s="2556">
        <f t="shared" ca="1" si="451"/>
        <v>0</v>
      </c>
      <c r="E274" s="2556">
        <f t="shared" ca="1" si="451"/>
        <v>0</v>
      </c>
      <c r="F274" s="2556">
        <f t="shared" ca="1" si="451"/>
        <v>0</v>
      </c>
      <c r="G274" s="2556">
        <f t="shared" ca="1" si="451"/>
        <v>0</v>
      </c>
      <c r="H274" s="2556">
        <f t="shared" ca="1" si="451"/>
        <v>0</v>
      </c>
      <c r="I274" s="2557">
        <f t="shared" ca="1" si="451"/>
        <v>0</v>
      </c>
      <c r="K274" s="2549">
        <f t="shared" si="457"/>
        <v>2028</v>
      </c>
      <c r="L274" s="2556">
        <f t="shared" ca="1" si="452"/>
        <v>0</v>
      </c>
      <c r="M274" s="2556">
        <f t="shared" ca="1" si="452"/>
        <v>0</v>
      </c>
      <c r="N274" s="2556">
        <f t="shared" ca="1" si="452"/>
        <v>0</v>
      </c>
      <c r="O274" s="2556">
        <f t="shared" ca="1" si="452"/>
        <v>0</v>
      </c>
      <c r="P274" s="2556">
        <f t="shared" ca="1" si="452"/>
        <v>0</v>
      </c>
      <c r="Q274" s="2556">
        <f t="shared" ca="1" si="452"/>
        <v>0</v>
      </c>
      <c r="R274" s="2557">
        <f t="shared" ca="1" si="452"/>
        <v>0</v>
      </c>
      <c r="T274" s="2549">
        <f t="shared" si="465"/>
        <v>2028</v>
      </c>
      <c r="U274" s="2558">
        <f t="shared" ca="1" si="463"/>
        <v>0</v>
      </c>
      <c r="V274" s="2558">
        <f t="shared" ca="1" si="466"/>
        <v>0</v>
      </c>
      <c r="W274" s="2558">
        <f t="shared" ca="1" si="466"/>
        <v>0</v>
      </c>
      <c r="X274" s="2558">
        <f t="shared" ca="1" si="466"/>
        <v>0</v>
      </c>
      <c r="Y274" s="2558">
        <f t="shared" ca="1" si="466"/>
        <v>0</v>
      </c>
      <c r="Z274" s="2558">
        <f t="shared" ca="1" si="466"/>
        <v>0</v>
      </c>
      <c r="AA274" s="2559">
        <f t="shared" ca="1" si="466"/>
        <v>0</v>
      </c>
      <c r="AC274" s="2549">
        <f t="shared" si="454"/>
        <v>2028</v>
      </c>
      <c r="AD274" s="2556">
        <f t="shared" ref="AD274:AJ274" ca="1" si="472">AD260*AD230</f>
        <v>0</v>
      </c>
      <c r="AE274" s="2556">
        <f t="shared" ca="1" si="472"/>
        <v>0</v>
      </c>
      <c r="AF274" s="2556">
        <f t="shared" ca="1" si="472"/>
        <v>0</v>
      </c>
      <c r="AG274" s="2556">
        <f t="shared" ca="1" si="472"/>
        <v>0</v>
      </c>
      <c r="AH274" s="2556">
        <f t="shared" ca="1" si="472"/>
        <v>0</v>
      </c>
      <c r="AI274" s="2556">
        <f t="shared" ca="1" si="472"/>
        <v>0</v>
      </c>
      <c r="AJ274" s="2557">
        <f t="shared" ca="1" si="472"/>
        <v>0</v>
      </c>
      <c r="AL274" s="2549">
        <f t="shared" si="460"/>
        <v>2028</v>
      </c>
      <c r="AM274" s="2556">
        <f t="shared" ca="1" si="462"/>
        <v>0</v>
      </c>
      <c r="AN274" s="2556">
        <f t="shared" ca="1" si="462"/>
        <v>0</v>
      </c>
      <c r="AO274" s="2556">
        <f t="shared" ca="1" si="462"/>
        <v>0</v>
      </c>
      <c r="AP274" s="2556">
        <f t="shared" ca="1" si="462"/>
        <v>0</v>
      </c>
      <c r="AQ274" s="2556">
        <f t="shared" ca="1" si="462"/>
        <v>0</v>
      </c>
      <c r="AR274" s="2556">
        <f t="shared" ca="1" si="462"/>
        <v>0</v>
      </c>
      <c r="AS274" s="2557">
        <f t="shared" ca="1" si="462"/>
        <v>0</v>
      </c>
    </row>
    <row r="275" spans="2:45">
      <c r="B275" s="2549"/>
      <c r="C275" s="2561"/>
      <c r="D275" s="2561"/>
      <c r="E275" s="2561"/>
      <c r="F275" s="2561"/>
      <c r="G275" s="2561"/>
      <c r="H275" s="2561"/>
      <c r="I275" s="2562"/>
      <c r="K275" s="2549"/>
      <c r="L275" s="2561"/>
      <c r="M275" s="2561"/>
      <c r="N275" s="2561"/>
      <c r="O275" s="2561"/>
      <c r="P275" s="2561"/>
      <c r="Q275" s="2561"/>
      <c r="R275" s="2562"/>
      <c r="T275" s="2549"/>
      <c r="U275" s="2593"/>
      <c r="V275" s="2593"/>
      <c r="W275" s="2593"/>
      <c r="X275" s="2593"/>
      <c r="Y275" s="2593"/>
      <c r="Z275" s="2593"/>
      <c r="AA275" s="2611"/>
      <c r="AC275" s="2549"/>
      <c r="AD275" s="2561"/>
      <c r="AE275" s="2561"/>
      <c r="AF275" s="2561"/>
      <c r="AG275" s="2561"/>
      <c r="AH275" s="2561"/>
      <c r="AI275" s="2561"/>
      <c r="AJ275" s="2562"/>
      <c r="AL275" s="2549">
        <f t="shared" si="460"/>
        <v>2029</v>
      </c>
      <c r="AM275" s="2561">
        <f t="shared" ca="1" si="462"/>
        <v>0</v>
      </c>
      <c r="AN275" s="2561">
        <f t="shared" ca="1" si="462"/>
        <v>0</v>
      </c>
      <c r="AO275" s="2561">
        <f t="shared" ca="1" si="462"/>
        <v>0</v>
      </c>
      <c r="AP275" s="2561">
        <f t="shared" ca="1" si="462"/>
        <v>0</v>
      </c>
      <c r="AQ275" s="2561">
        <f t="shared" ca="1" si="462"/>
        <v>0</v>
      </c>
      <c r="AR275" s="2561">
        <f t="shared" ca="1" si="462"/>
        <v>0</v>
      </c>
      <c r="AS275" s="2562">
        <f t="shared" ca="1" si="462"/>
        <v>0</v>
      </c>
    </row>
    <row r="276" spans="2:45">
      <c r="B276" s="2586" t="s">
        <v>795</v>
      </c>
      <c r="C276" s="2594">
        <f t="shared" ref="C276:H276" ca="1" si="473">SUM(C264:C275)</f>
        <v>0</v>
      </c>
      <c r="D276" s="2594">
        <f t="shared" ca="1" si="473"/>
        <v>0</v>
      </c>
      <c r="E276" s="2594">
        <f t="shared" ca="1" si="473"/>
        <v>0</v>
      </c>
      <c r="F276" s="2594">
        <f t="shared" ca="1" si="473"/>
        <v>0</v>
      </c>
      <c r="G276" s="2594">
        <f t="shared" ca="1" si="473"/>
        <v>0</v>
      </c>
      <c r="H276" s="2594">
        <f t="shared" ca="1" si="473"/>
        <v>0</v>
      </c>
      <c r="I276" s="2595">
        <f ca="1">SUM(I264:I275)</f>
        <v>0</v>
      </c>
      <c r="K276" s="2586" t="s">
        <v>795</v>
      </c>
      <c r="L276" s="2594">
        <f ca="1">SUM(L264:L275)</f>
        <v>0</v>
      </c>
      <c r="M276" s="2594">
        <f t="shared" ref="M276:R276" ca="1" si="474">SUM(M264:M275)</f>
        <v>0</v>
      </c>
      <c r="N276" s="2594">
        <f t="shared" ca="1" si="474"/>
        <v>0</v>
      </c>
      <c r="O276" s="2594">
        <f t="shared" ca="1" si="474"/>
        <v>0</v>
      </c>
      <c r="P276" s="2594">
        <f t="shared" ca="1" si="474"/>
        <v>0</v>
      </c>
      <c r="Q276" s="2594">
        <f t="shared" ca="1" si="474"/>
        <v>0</v>
      </c>
      <c r="R276" s="2595">
        <f t="shared" ca="1" si="474"/>
        <v>0</v>
      </c>
      <c r="T276" s="2586" t="s">
        <v>795</v>
      </c>
      <c r="U276" s="2563">
        <f t="shared" ref="U276:AA276" ca="1" si="475">SUM(U264:U275)</f>
        <v>159811.3412297997</v>
      </c>
      <c r="V276" s="2563">
        <f t="shared" ca="1" si="475"/>
        <v>555595.53417427605</v>
      </c>
      <c r="W276" s="2563">
        <f t="shared" ca="1" si="475"/>
        <v>451700.63757765654</v>
      </c>
      <c r="X276" s="2563">
        <f t="shared" ca="1" si="475"/>
        <v>451700.63757765654</v>
      </c>
      <c r="Y276" s="2563">
        <f t="shared" ca="1" si="475"/>
        <v>451700.63757765654</v>
      </c>
      <c r="Z276" s="2563">
        <f t="shared" ca="1" si="475"/>
        <v>451700.63757765654</v>
      </c>
      <c r="AA276" s="2564">
        <f t="shared" ca="1" si="475"/>
        <v>451700.63757765654</v>
      </c>
      <c r="AC276" s="2586" t="s">
        <v>795</v>
      </c>
      <c r="AD276" s="2594">
        <f t="shared" ref="AD276:AJ276" ca="1" si="476">SUM(AD264:AD275)</f>
        <v>162388.22690990212</v>
      </c>
      <c r="AE276" s="2594">
        <f t="shared" ca="1" si="476"/>
        <v>0</v>
      </c>
      <c r="AF276" s="2594">
        <f t="shared" ca="1" si="476"/>
        <v>0</v>
      </c>
      <c r="AG276" s="2594">
        <f t="shared" ca="1" si="476"/>
        <v>0</v>
      </c>
      <c r="AH276" s="2594">
        <f t="shared" ca="1" si="476"/>
        <v>0</v>
      </c>
      <c r="AI276" s="2594">
        <f t="shared" ca="1" si="476"/>
        <v>0</v>
      </c>
      <c r="AJ276" s="2595">
        <f t="shared" ca="1" si="476"/>
        <v>0</v>
      </c>
      <c r="AL276" s="2586" t="s">
        <v>795</v>
      </c>
      <c r="AM276" s="2594">
        <f t="shared" ref="AM276:AS276" ca="1" si="477">SUM(AM264:AM275)</f>
        <v>28504.566460100243</v>
      </c>
      <c r="AN276" s="2594">
        <f t="shared" ca="1" si="477"/>
        <v>0</v>
      </c>
      <c r="AO276" s="2594">
        <f t="shared" ca="1" si="477"/>
        <v>0</v>
      </c>
      <c r="AP276" s="2594">
        <f t="shared" ca="1" si="477"/>
        <v>0</v>
      </c>
      <c r="AQ276" s="2594">
        <f t="shared" ca="1" si="477"/>
        <v>0</v>
      </c>
      <c r="AR276" s="2594">
        <f t="shared" ca="1" si="477"/>
        <v>0</v>
      </c>
      <c r="AS276" s="2595">
        <f t="shared" ca="1" si="477"/>
        <v>0</v>
      </c>
    </row>
    <row r="278" spans="2:45">
      <c r="B278" s="2612"/>
      <c r="U278" s="2585"/>
      <c r="V278" s="2585"/>
      <c r="W278" s="2585"/>
      <c r="X278" s="2585"/>
      <c r="Y278" s="2585"/>
      <c r="AC278" s="2612"/>
      <c r="AD278" s="2585"/>
      <c r="AE278" s="2585"/>
      <c r="AF278" s="2585"/>
      <c r="AG278" s="2585"/>
      <c r="AH278" s="2585"/>
      <c r="AI278" s="2585"/>
      <c r="AJ278" s="2585"/>
    </row>
    <row r="279" spans="2:45">
      <c r="C279" s="2482"/>
      <c r="U279" s="2613"/>
      <c r="V279" s="2613"/>
      <c r="AD279" s="2482"/>
    </row>
    <row r="280" spans="2:45">
      <c r="U280" s="2585"/>
      <c r="V280" s="2585"/>
      <c r="W280" s="2585"/>
      <c r="X280" s="2585"/>
      <c r="Y280" s="2585"/>
      <c r="Z280" s="2585"/>
      <c r="AA280" s="2585"/>
      <c r="AE280" s="2585"/>
      <c r="AF280" s="2585"/>
      <c r="AG280" s="2585"/>
      <c r="AH280" s="2585"/>
      <c r="AI280" s="2585"/>
      <c r="AJ280" s="2585"/>
      <c r="AM280" s="2585"/>
      <c r="AN280" s="2585"/>
      <c r="AO280" s="2585"/>
      <c r="AP280" s="2585"/>
      <c r="AQ280" s="2585"/>
      <c r="AR280" s="2585"/>
      <c r="AS280" s="2585"/>
    </row>
    <row r="281" spans="2:45">
      <c r="V281" s="2482"/>
      <c r="AD281" s="2585"/>
      <c r="AE281" s="2585"/>
      <c r="AF281" s="2585"/>
      <c r="AG281" s="2585"/>
      <c r="AH281" s="2585"/>
      <c r="AI281" s="2585"/>
      <c r="AJ281" s="2585"/>
    </row>
    <row r="282" spans="2:45">
      <c r="V282" s="2585"/>
      <c r="AD282" s="2585"/>
      <c r="AE282" s="2585"/>
      <c r="AF282" s="2585"/>
      <c r="AG282" s="2585"/>
      <c r="AH282" s="2585"/>
      <c r="AI282" s="2585"/>
      <c r="AJ282" s="2585"/>
    </row>
    <row r="283" spans="2:45">
      <c r="AD283" s="2585"/>
      <c r="AE283" s="2585"/>
      <c r="AF283" s="2585"/>
      <c r="AG283" s="2585"/>
      <c r="AH283" s="2585"/>
      <c r="AI283" s="2585"/>
      <c r="AJ283" s="2585"/>
    </row>
    <row r="284" spans="2:45">
      <c r="AD284" s="2585"/>
      <c r="AE284" s="2585"/>
      <c r="AF284" s="2585"/>
      <c r="AG284" s="2585"/>
      <c r="AH284" s="2585"/>
      <c r="AI284" s="2585"/>
      <c r="AJ284" s="2585"/>
    </row>
    <row r="285" spans="2:45">
      <c r="AD285" s="2585"/>
      <c r="AE285" s="2585"/>
      <c r="AF285" s="2585"/>
      <c r="AG285" s="2585"/>
      <c r="AH285" s="2585"/>
      <c r="AI285" s="2585"/>
      <c r="AJ285" s="2585"/>
    </row>
    <row r="286" spans="2:45">
      <c r="AD286" s="2585"/>
      <c r="AE286" s="2585"/>
      <c r="AF286" s="2585"/>
      <c r="AG286" s="2585"/>
      <c r="AH286" s="2585"/>
      <c r="AI286" s="2585"/>
      <c r="AJ286" s="2585"/>
    </row>
    <row r="287" spans="2:45">
      <c r="AD287" s="2585"/>
      <c r="AE287" s="2585"/>
      <c r="AF287" s="2585"/>
      <c r="AG287" s="2585"/>
      <c r="AH287" s="2585"/>
      <c r="AI287" s="2585"/>
      <c r="AJ287" s="2585"/>
    </row>
    <row r="374" spans="20:27">
      <c r="T374" s="2613"/>
      <c r="U374" s="2585"/>
      <c r="V374" s="2585"/>
      <c r="W374" s="2585"/>
      <c r="X374" s="2585"/>
      <c r="Y374" s="2585"/>
      <c r="Z374" s="2585"/>
      <c r="AA374" s="2585"/>
    </row>
    <row r="375" spans="20:27">
      <c r="T375" s="2613" t="s">
        <v>829</v>
      </c>
      <c r="U375" s="2585">
        <f ca="1">SUM(U24:AA24)+SUM(U123:AA123)+SUM(U164:AA164)</f>
        <v>0</v>
      </c>
      <c r="V375" s="2585">
        <f ca="1">SUM(U25:AA25)+SUM(U124:AA124)+SUM(U165:AA165)</f>
        <v>0</v>
      </c>
      <c r="W375" s="2585">
        <f ca="1">SUM(U26:AA26)+SUM(U125:AA125)+SUM(U166:AA166)</f>
        <v>0</v>
      </c>
      <c r="X375" s="2585">
        <f ca="1">SUM(U27:AA27)+SUM(U126:AA126)+SUM(U167:AA167)</f>
        <v>0</v>
      </c>
      <c r="Y375" s="2585">
        <f ca="1">SUM(U28:AA28)+SUM(U127:AA127)+SUM(U168:AA168)</f>
        <v>0</v>
      </c>
      <c r="Z375" s="2585">
        <f ca="1">SUM(U29:AA29)+SUM(U128:AA128)+SUM(U169:AA169)</f>
        <v>0</v>
      </c>
      <c r="AA375" s="2585">
        <f ca="1">SUM(U30:AA30)+SUM(U129:AA129)+SUM(U170:AA170)</f>
        <v>345779.11122975673</v>
      </c>
    </row>
    <row r="376" spans="20:27">
      <c r="T376" s="2613" t="s">
        <v>830</v>
      </c>
      <c r="U376" s="2614" t="e">
        <f ca="1">U375/U374</f>
        <v>#DIV/0!</v>
      </c>
      <c r="V376" s="2614" t="e">
        <f t="shared" ref="V376:AA376" ca="1" si="478">V375/V374</f>
        <v>#DIV/0!</v>
      </c>
      <c r="W376" s="2614" t="e">
        <f t="shared" ca="1" si="478"/>
        <v>#DIV/0!</v>
      </c>
      <c r="X376" s="2614" t="e">
        <f t="shared" ca="1" si="478"/>
        <v>#DIV/0!</v>
      </c>
      <c r="Y376" s="2614" t="e">
        <f t="shared" ca="1" si="478"/>
        <v>#DIV/0!</v>
      </c>
      <c r="Z376" s="2614" t="e">
        <f t="shared" ca="1" si="478"/>
        <v>#DIV/0!</v>
      </c>
      <c r="AA376" s="2614" t="e">
        <f t="shared" ca="1" si="478"/>
        <v>#DIV/0!</v>
      </c>
    </row>
  </sheetData>
  <sheetProtection password="CD53" sheet="1" objects="1" scenarios="1" selectLockedCells="1"/>
  <conditionalFormatting sqref="U250:AA275">
    <cfRule type="cellIs" dxfId="7" priority="1" operator="lessThan">
      <formula>0</formula>
    </cfRule>
  </conditionalFormatting>
  <pageMargins left="0.7" right="0.7" top="0.75" bottom="0.75" header="0.3" footer="0.3"/>
  <pageSetup paperSize="9" orientation="portrait" r:id="rId1"/>
  <ignoredErrors>
    <ignoredError sqref="AE92:AJ92 V91:AA91 C178:I17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pageSetUpPr fitToPage="1"/>
  </sheetPr>
  <dimension ref="A2:Y233"/>
  <sheetViews>
    <sheetView topLeftCell="A136" zoomScale="55" zoomScaleNormal="55" workbookViewId="0">
      <selection activeCell="C180" sqref="C180"/>
    </sheetView>
  </sheetViews>
  <sheetFormatPr defaultRowHeight="12.75"/>
  <cols>
    <col min="1" max="1" width="3" style="1287" customWidth="1"/>
    <col min="2" max="2" width="21" style="1287" customWidth="1"/>
    <col min="3" max="3" width="22" style="2701" customWidth="1"/>
    <col min="4" max="4" width="14.140625" style="1287" bestFit="1" customWidth="1"/>
    <col min="5" max="5" width="12.7109375" style="1287" bestFit="1" customWidth="1"/>
    <col min="6" max="6" width="20.42578125" style="1287" bestFit="1" customWidth="1"/>
    <col min="7" max="7" width="49.140625" style="1287" customWidth="1"/>
    <col min="8" max="8" width="1.85546875" style="1287" customWidth="1"/>
    <col min="9" max="9" width="21.7109375" style="1287" customWidth="1"/>
    <col min="10" max="10" width="20.85546875" style="1287" customWidth="1"/>
    <col min="11" max="11" width="20" style="1287" customWidth="1"/>
    <col min="12" max="12" width="11.5703125" style="1287" bestFit="1" customWidth="1"/>
    <col min="13" max="13" width="35.140625" style="1287" bestFit="1" customWidth="1"/>
    <col min="14" max="14" width="11.5703125" style="1287" bestFit="1" customWidth="1"/>
    <col min="15" max="15" width="23.28515625" style="1287" bestFit="1" customWidth="1"/>
    <col min="16" max="16" width="21.28515625" style="1287" bestFit="1" customWidth="1"/>
    <col min="17" max="17" width="21.85546875" style="1287" bestFit="1" customWidth="1"/>
    <col min="18" max="18" width="12.42578125" style="1287" bestFit="1" customWidth="1"/>
    <col min="19" max="19" width="24.42578125" style="1287" bestFit="1" customWidth="1"/>
    <col min="20" max="20" width="11.5703125" style="1287" bestFit="1" customWidth="1"/>
    <col min="21" max="21" width="22.7109375" style="1287" bestFit="1" customWidth="1"/>
    <col min="22" max="22" width="22.28515625" style="1287" customWidth="1"/>
    <col min="23" max="23" width="13.85546875" style="1287" bestFit="1" customWidth="1"/>
    <col min="24" max="24" width="11.28515625" style="1287" bestFit="1" customWidth="1"/>
    <col min="25" max="25" width="42" style="1287" bestFit="1" customWidth="1"/>
    <col min="26" max="26" width="11.28515625" style="1287" bestFit="1" customWidth="1"/>
    <col min="27" max="27" width="31" style="1287" bestFit="1" customWidth="1"/>
    <col min="28" max="28" width="11.5703125" style="1287" bestFit="1" customWidth="1"/>
    <col min="29" max="29" width="13.85546875" style="1287" bestFit="1" customWidth="1"/>
    <col min="30" max="32" width="9.140625" style="1287"/>
    <col min="33" max="33" width="2.85546875" style="1287" customWidth="1"/>
    <col min="34" max="34" width="33" style="1287" bestFit="1" customWidth="1"/>
    <col min="35" max="35" width="9.140625" style="1287"/>
    <col min="36" max="36" width="13.85546875" style="1287" bestFit="1" customWidth="1"/>
    <col min="37" max="37" width="11.5703125" style="1287" bestFit="1" customWidth="1"/>
    <col min="38" max="243" width="9.140625" style="1287"/>
    <col min="244" max="244" width="14.85546875" style="1287" bestFit="1" customWidth="1"/>
    <col min="245" max="245" width="16.42578125" style="1287" bestFit="1" customWidth="1"/>
    <col min="246" max="246" width="28.42578125" style="1287" bestFit="1" customWidth="1"/>
    <col min="247" max="247" width="45.5703125" style="1287" bestFit="1" customWidth="1"/>
    <col min="248" max="248" width="41.85546875" style="1287" bestFit="1" customWidth="1"/>
    <col min="249" max="249" width="12.28515625" style="1287" bestFit="1" customWidth="1"/>
    <col min="250" max="250" width="9.5703125" style="1287" customWidth="1"/>
    <col min="251" max="251" width="35.28515625" style="1287" customWidth="1"/>
    <col min="252" max="252" width="9.140625" style="1287"/>
    <col min="253" max="253" width="96" style="1287" bestFit="1" customWidth="1"/>
    <col min="254" max="254" width="43.28515625" style="1287" bestFit="1" customWidth="1"/>
    <col min="255" max="255" width="44" style="1287" bestFit="1" customWidth="1"/>
    <col min="256" max="256" width="28" style="1287" bestFit="1" customWidth="1"/>
    <col min="257" max="257" width="9.140625" style="1287"/>
    <col min="258" max="261" width="9.140625" style="1287" customWidth="1"/>
    <col min="262" max="499" width="9.140625" style="1287"/>
    <col min="500" max="500" width="14.85546875" style="1287" bestFit="1" customWidth="1"/>
    <col min="501" max="501" width="16.42578125" style="1287" bestFit="1" customWidth="1"/>
    <col min="502" max="502" width="28.42578125" style="1287" bestFit="1" customWidth="1"/>
    <col min="503" max="503" width="45.5703125" style="1287" bestFit="1" customWidth="1"/>
    <col min="504" max="504" width="41.85546875" style="1287" bestFit="1" customWidth="1"/>
    <col min="505" max="505" width="12.28515625" style="1287" bestFit="1" customWidth="1"/>
    <col min="506" max="506" width="9.5703125" style="1287" customWidth="1"/>
    <col min="507" max="507" width="35.28515625" style="1287" customWidth="1"/>
    <col min="508" max="508" width="9.140625" style="1287"/>
    <col min="509" max="509" width="96" style="1287" bestFit="1" customWidth="1"/>
    <col min="510" max="510" width="43.28515625" style="1287" bestFit="1" customWidth="1"/>
    <col min="511" max="511" width="44" style="1287" bestFit="1" customWidth="1"/>
    <col min="512" max="512" width="28" style="1287" bestFit="1" customWidth="1"/>
    <col min="513" max="513" width="9.140625" style="1287"/>
    <col min="514" max="517" width="9.140625" style="1287" customWidth="1"/>
    <col min="518" max="755" width="9.140625" style="1287"/>
    <col min="756" max="756" width="14.85546875" style="1287" bestFit="1" customWidth="1"/>
    <col min="757" max="757" width="16.42578125" style="1287" bestFit="1" customWidth="1"/>
    <col min="758" max="758" width="28.42578125" style="1287" bestFit="1" customWidth="1"/>
    <col min="759" max="759" width="45.5703125" style="1287" bestFit="1" customWidth="1"/>
    <col min="760" max="760" width="41.85546875" style="1287" bestFit="1" customWidth="1"/>
    <col min="761" max="761" width="12.28515625" style="1287" bestFit="1" customWidth="1"/>
    <col min="762" max="762" width="9.5703125" style="1287" customWidth="1"/>
    <col min="763" max="763" width="35.28515625" style="1287" customWidth="1"/>
    <col min="764" max="764" width="9.140625" style="1287"/>
    <col min="765" max="765" width="96" style="1287" bestFit="1" customWidth="1"/>
    <col min="766" max="766" width="43.28515625" style="1287" bestFit="1" customWidth="1"/>
    <col min="767" max="767" width="44" style="1287" bestFit="1" customWidth="1"/>
    <col min="768" max="768" width="28" style="1287" bestFit="1" customWidth="1"/>
    <col min="769" max="769" width="9.140625" style="1287"/>
    <col min="770" max="773" width="9.140625" style="1287" customWidth="1"/>
    <col min="774" max="1011" width="9.140625" style="1287"/>
    <col min="1012" max="1012" width="14.85546875" style="1287" bestFit="1" customWidth="1"/>
    <col min="1013" max="1013" width="16.42578125" style="1287" bestFit="1" customWidth="1"/>
    <col min="1014" max="1014" width="28.42578125" style="1287" bestFit="1" customWidth="1"/>
    <col min="1015" max="1015" width="45.5703125" style="1287" bestFit="1" customWidth="1"/>
    <col min="1016" max="1016" width="41.85546875" style="1287" bestFit="1" customWidth="1"/>
    <col min="1017" max="1017" width="12.28515625" style="1287" bestFit="1" customWidth="1"/>
    <col min="1018" max="1018" width="9.5703125" style="1287" customWidth="1"/>
    <col min="1019" max="1019" width="35.28515625" style="1287" customWidth="1"/>
    <col min="1020" max="1020" width="9.140625" style="1287"/>
    <col min="1021" max="1021" width="96" style="1287" bestFit="1" customWidth="1"/>
    <col min="1022" max="1022" width="43.28515625" style="1287" bestFit="1" customWidth="1"/>
    <col min="1023" max="1023" width="44" style="1287" bestFit="1" customWidth="1"/>
    <col min="1024" max="1024" width="28" style="1287" bestFit="1" customWidth="1"/>
    <col min="1025" max="1025" width="9.140625" style="1287"/>
    <col min="1026" max="1029" width="9.140625" style="1287" customWidth="1"/>
    <col min="1030" max="1267" width="9.140625" style="1287"/>
    <col min="1268" max="1268" width="14.85546875" style="1287" bestFit="1" customWidth="1"/>
    <col min="1269" max="1269" width="16.42578125" style="1287" bestFit="1" customWidth="1"/>
    <col min="1270" max="1270" width="28.42578125" style="1287" bestFit="1" customWidth="1"/>
    <col min="1271" max="1271" width="45.5703125" style="1287" bestFit="1" customWidth="1"/>
    <col min="1272" max="1272" width="41.85546875" style="1287" bestFit="1" customWidth="1"/>
    <col min="1273" max="1273" width="12.28515625" style="1287" bestFit="1" customWidth="1"/>
    <col min="1274" max="1274" width="9.5703125" style="1287" customWidth="1"/>
    <col min="1275" max="1275" width="35.28515625" style="1287" customWidth="1"/>
    <col min="1276" max="1276" width="9.140625" style="1287"/>
    <col min="1277" max="1277" width="96" style="1287" bestFit="1" customWidth="1"/>
    <col min="1278" max="1278" width="43.28515625" style="1287" bestFit="1" customWidth="1"/>
    <col min="1279" max="1279" width="44" style="1287" bestFit="1" customWidth="1"/>
    <col min="1280" max="1280" width="28" style="1287" bestFit="1" customWidth="1"/>
    <col min="1281" max="1281" width="9.140625" style="1287"/>
    <col min="1282" max="1285" width="9.140625" style="1287" customWidth="1"/>
    <col min="1286" max="1523" width="9.140625" style="1287"/>
    <col min="1524" max="1524" width="14.85546875" style="1287" bestFit="1" customWidth="1"/>
    <col min="1525" max="1525" width="16.42578125" style="1287" bestFit="1" customWidth="1"/>
    <col min="1526" max="1526" width="28.42578125" style="1287" bestFit="1" customWidth="1"/>
    <col min="1527" max="1527" width="45.5703125" style="1287" bestFit="1" customWidth="1"/>
    <col min="1528" max="1528" width="41.85546875" style="1287" bestFit="1" customWidth="1"/>
    <col min="1529" max="1529" width="12.28515625" style="1287" bestFit="1" customWidth="1"/>
    <col min="1530" max="1530" width="9.5703125" style="1287" customWidth="1"/>
    <col min="1531" max="1531" width="35.28515625" style="1287" customWidth="1"/>
    <col min="1532" max="1532" width="9.140625" style="1287"/>
    <col min="1533" max="1533" width="96" style="1287" bestFit="1" customWidth="1"/>
    <col min="1534" max="1534" width="43.28515625" style="1287" bestFit="1" customWidth="1"/>
    <col min="1535" max="1535" width="44" style="1287" bestFit="1" customWidth="1"/>
    <col min="1536" max="1536" width="28" style="1287" bestFit="1" customWidth="1"/>
    <col min="1537" max="1537" width="9.140625" style="1287"/>
    <col min="1538" max="1541" width="9.140625" style="1287" customWidth="1"/>
    <col min="1542" max="1779" width="9.140625" style="1287"/>
    <col min="1780" max="1780" width="14.85546875" style="1287" bestFit="1" customWidth="1"/>
    <col min="1781" max="1781" width="16.42578125" style="1287" bestFit="1" customWidth="1"/>
    <col min="1782" max="1782" width="28.42578125" style="1287" bestFit="1" customWidth="1"/>
    <col min="1783" max="1783" width="45.5703125" style="1287" bestFit="1" customWidth="1"/>
    <col min="1784" max="1784" width="41.85546875" style="1287" bestFit="1" customWidth="1"/>
    <col min="1785" max="1785" width="12.28515625" style="1287" bestFit="1" customWidth="1"/>
    <col min="1786" max="1786" width="9.5703125" style="1287" customWidth="1"/>
    <col min="1787" max="1787" width="35.28515625" style="1287" customWidth="1"/>
    <col min="1788" max="1788" width="9.140625" style="1287"/>
    <col min="1789" max="1789" width="96" style="1287" bestFit="1" customWidth="1"/>
    <col min="1790" max="1790" width="43.28515625" style="1287" bestFit="1" customWidth="1"/>
    <col min="1791" max="1791" width="44" style="1287" bestFit="1" customWidth="1"/>
    <col min="1792" max="1792" width="28" style="1287" bestFit="1" customWidth="1"/>
    <col min="1793" max="1793" width="9.140625" style="1287"/>
    <col min="1794" max="1797" width="9.140625" style="1287" customWidth="1"/>
    <col min="1798" max="2035" width="9.140625" style="1287"/>
    <col min="2036" max="2036" width="14.85546875" style="1287" bestFit="1" customWidth="1"/>
    <col min="2037" max="2037" width="16.42578125" style="1287" bestFit="1" customWidth="1"/>
    <col min="2038" max="2038" width="28.42578125" style="1287" bestFit="1" customWidth="1"/>
    <col min="2039" max="2039" width="45.5703125" style="1287" bestFit="1" customWidth="1"/>
    <col min="2040" max="2040" width="41.85546875" style="1287" bestFit="1" customWidth="1"/>
    <col min="2041" max="2041" width="12.28515625" style="1287" bestFit="1" customWidth="1"/>
    <col min="2042" max="2042" width="9.5703125" style="1287" customWidth="1"/>
    <col min="2043" max="2043" width="35.28515625" style="1287" customWidth="1"/>
    <col min="2044" max="2044" width="9.140625" style="1287"/>
    <col min="2045" max="2045" width="96" style="1287" bestFit="1" customWidth="1"/>
    <col min="2046" max="2046" width="43.28515625" style="1287" bestFit="1" customWidth="1"/>
    <col min="2047" max="2047" width="44" style="1287" bestFit="1" customWidth="1"/>
    <col min="2048" max="2048" width="28" style="1287" bestFit="1" customWidth="1"/>
    <col min="2049" max="2049" width="9.140625" style="1287"/>
    <col min="2050" max="2053" width="9.140625" style="1287" customWidth="1"/>
    <col min="2054" max="2291" width="9.140625" style="1287"/>
    <col min="2292" max="2292" width="14.85546875" style="1287" bestFit="1" customWidth="1"/>
    <col min="2293" max="2293" width="16.42578125" style="1287" bestFit="1" customWidth="1"/>
    <col min="2294" max="2294" width="28.42578125" style="1287" bestFit="1" customWidth="1"/>
    <col min="2295" max="2295" width="45.5703125" style="1287" bestFit="1" customWidth="1"/>
    <col min="2296" max="2296" width="41.85546875" style="1287" bestFit="1" customWidth="1"/>
    <col min="2297" max="2297" width="12.28515625" style="1287" bestFit="1" customWidth="1"/>
    <col min="2298" max="2298" width="9.5703125" style="1287" customWidth="1"/>
    <col min="2299" max="2299" width="35.28515625" style="1287" customWidth="1"/>
    <col min="2300" max="2300" width="9.140625" style="1287"/>
    <col min="2301" max="2301" width="96" style="1287" bestFit="1" customWidth="1"/>
    <col min="2302" max="2302" width="43.28515625" style="1287" bestFit="1" customWidth="1"/>
    <col min="2303" max="2303" width="44" style="1287" bestFit="1" customWidth="1"/>
    <col min="2304" max="2304" width="28" style="1287" bestFit="1" customWidth="1"/>
    <col min="2305" max="2305" width="9.140625" style="1287"/>
    <col min="2306" max="2309" width="9.140625" style="1287" customWidth="1"/>
    <col min="2310" max="2547" width="9.140625" style="1287"/>
    <col min="2548" max="2548" width="14.85546875" style="1287" bestFit="1" customWidth="1"/>
    <col min="2549" max="2549" width="16.42578125" style="1287" bestFit="1" customWidth="1"/>
    <col min="2550" max="2550" width="28.42578125" style="1287" bestFit="1" customWidth="1"/>
    <col min="2551" max="2551" width="45.5703125" style="1287" bestFit="1" customWidth="1"/>
    <col min="2552" max="2552" width="41.85546875" style="1287" bestFit="1" customWidth="1"/>
    <col min="2553" max="2553" width="12.28515625" style="1287" bestFit="1" customWidth="1"/>
    <col min="2554" max="2554" width="9.5703125" style="1287" customWidth="1"/>
    <col min="2555" max="2555" width="35.28515625" style="1287" customWidth="1"/>
    <col min="2556" max="2556" width="9.140625" style="1287"/>
    <col min="2557" max="2557" width="96" style="1287" bestFit="1" customWidth="1"/>
    <col min="2558" max="2558" width="43.28515625" style="1287" bestFit="1" customWidth="1"/>
    <col min="2559" max="2559" width="44" style="1287" bestFit="1" customWidth="1"/>
    <col min="2560" max="2560" width="28" style="1287" bestFit="1" customWidth="1"/>
    <col min="2561" max="2561" width="9.140625" style="1287"/>
    <col min="2562" max="2565" width="9.140625" style="1287" customWidth="1"/>
    <col min="2566" max="2803" width="9.140625" style="1287"/>
    <col min="2804" max="2804" width="14.85546875" style="1287" bestFit="1" customWidth="1"/>
    <col min="2805" max="2805" width="16.42578125" style="1287" bestFit="1" customWidth="1"/>
    <col min="2806" max="2806" width="28.42578125" style="1287" bestFit="1" customWidth="1"/>
    <col min="2807" max="2807" width="45.5703125" style="1287" bestFit="1" customWidth="1"/>
    <col min="2808" max="2808" width="41.85546875" style="1287" bestFit="1" customWidth="1"/>
    <col min="2809" max="2809" width="12.28515625" style="1287" bestFit="1" customWidth="1"/>
    <col min="2810" max="2810" width="9.5703125" style="1287" customWidth="1"/>
    <col min="2811" max="2811" width="35.28515625" style="1287" customWidth="1"/>
    <col min="2812" max="2812" width="9.140625" style="1287"/>
    <col min="2813" max="2813" width="96" style="1287" bestFit="1" customWidth="1"/>
    <col min="2814" max="2814" width="43.28515625" style="1287" bestFit="1" customWidth="1"/>
    <col min="2815" max="2815" width="44" style="1287" bestFit="1" customWidth="1"/>
    <col min="2816" max="2816" width="28" style="1287" bestFit="1" customWidth="1"/>
    <col min="2817" max="2817" width="9.140625" style="1287"/>
    <col min="2818" max="2821" width="9.140625" style="1287" customWidth="1"/>
    <col min="2822" max="3059" width="9.140625" style="1287"/>
    <col min="3060" max="3060" width="14.85546875" style="1287" bestFit="1" customWidth="1"/>
    <col min="3061" max="3061" width="16.42578125" style="1287" bestFit="1" customWidth="1"/>
    <col min="3062" max="3062" width="28.42578125" style="1287" bestFit="1" customWidth="1"/>
    <col min="3063" max="3063" width="45.5703125" style="1287" bestFit="1" customWidth="1"/>
    <col min="3064" max="3064" width="41.85546875" style="1287" bestFit="1" customWidth="1"/>
    <col min="3065" max="3065" width="12.28515625" style="1287" bestFit="1" customWidth="1"/>
    <col min="3066" max="3066" width="9.5703125" style="1287" customWidth="1"/>
    <col min="3067" max="3067" width="35.28515625" style="1287" customWidth="1"/>
    <col min="3068" max="3068" width="9.140625" style="1287"/>
    <col min="3069" max="3069" width="96" style="1287" bestFit="1" customWidth="1"/>
    <col min="3070" max="3070" width="43.28515625" style="1287" bestFit="1" customWidth="1"/>
    <col min="3071" max="3071" width="44" style="1287" bestFit="1" customWidth="1"/>
    <col min="3072" max="3072" width="28" style="1287" bestFit="1" customWidth="1"/>
    <col min="3073" max="3073" width="9.140625" style="1287"/>
    <col min="3074" max="3077" width="9.140625" style="1287" customWidth="1"/>
    <col min="3078" max="3315" width="9.140625" style="1287"/>
    <col min="3316" max="3316" width="14.85546875" style="1287" bestFit="1" customWidth="1"/>
    <col min="3317" max="3317" width="16.42578125" style="1287" bestFit="1" customWidth="1"/>
    <col min="3318" max="3318" width="28.42578125" style="1287" bestFit="1" customWidth="1"/>
    <col min="3319" max="3319" width="45.5703125" style="1287" bestFit="1" customWidth="1"/>
    <col min="3320" max="3320" width="41.85546875" style="1287" bestFit="1" customWidth="1"/>
    <col min="3321" max="3321" width="12.28515625" style="1287" bestFit="1" customWidth="1"/>
    <col min="3322" max="3322" width="9.5703125" style="1287" customWidth="1"/>
    <col min="3323" max="3323" width="35.28515625" style="1287" customWidth="1"/>
    <col min="3324" max="3324" width="9.140625" style="1287"/>
    <col min="3325" max="3325" width="96" style="1287" bestFit="1" customWidth="1"/>
    <col min="3326" max="3326" width="43.28515625" style="1287" bestFit="1" customWidth="1"/>
    <col min="3327" max="3327" width="44" style="1287" bestFit="1" customWidth="1"/>
    <col min="3328" max="3328" width="28" style="1287" bestFit="1" customWidth="1"/>
    <col min="3329" max="3329" width="9.140625" style="1287"/>
    <col min="3330" max="3333" width="9.140625" style="1287" customWidth="1"/>
    <col min="3334" max="3571" width="9.140625" style="1287"/>
    <col min="3572" max="3572" width="14.85546875" style="1287" bestFit="1" customWidth="1"/>
    <col min="3573" max="3573" width="16.42578125" style="1287" bestFit="1" customWidth="1"/>
    <col min="3574" max="3574" width="28.42578125" style="1287" bestFit="1" customWidth="1"/>
    <col min="3575" max="3575" width="45.5703125" style="1287" bestFit="1" customWidth="1"/>
    <col min="3576" max="3576" width="41.85546875" style="1287" bestFit="1" customWidth="1"/>
    <col min="3577" max="3577" width="12.28515625" style="1287" bestFit="1" customWidth="1"/>
    <col min="3578" max="3578" width="9.5703125" style="1287" customWidth="1"/>
    <col min="3579" max="3579" width="35.28515625" style="1287" customWidth="1"/>
    <col min="3580" max="3580" width="9.140625" style="1287"/>
    <col min="3581" max="3581" width="96" style="1287" bestFit="1" customWidth="1"/>
    <col min="3582" max="3582" width="43.28515625" style="1287" bestFit="1" customWidth="1"/>
    <col min="3583" max="3583" width="44" style="1287" bestFit="1" customWidth="1"/>
    <col min="3584" max="3584" width="28" style="1287" bestFit="1" customWidth="1"/>
    <col min="3585" max="3585" width="9.140625" style="1287"/>
    <col min="3586" max="3589" width="9.140625" style="1287" customWidth="1"/>
    <col min="3590" max="3827" width="9.140625" style="1287"/>
    <col min="3828" max="3828" width="14.85546875" style="1287" bestFit="1" customWidth="1"/>
    <col min="3829" max="3829" width="16.42578125" style="1287" bestFit="1" customWidth="1"/>
    <col min="3830" max="3830" width="28.42578125" style="1287" bestFit="1" customWidth="1"/>
    <col min="3831" max="3831" width="45.5703125" style="1287" bestFit="1" customWidth="1"/>
    <col min="3832" max="3832" width="41.85546875" style="1287" bestFit="1" customWidth="1"/>
    <col min="3833" max="3833" width="12.28515625" style="1287" bestFit="1" customWidth="1"/>
    <col min="3834" max="3834" width="9.5703125" style="1287" customWidth="1"/>
    <col min="3835" max="3835" width="35.28515625" style="1287" customWidth="1"/>
    <col min="3836" max="3836" width="9.140625" style="1287"/>
    <col min="3837" max="3837" width="96" style="1287" bestFit="1" customWidth="1"/>
    <col min="3838" max="3838" width="43.28515625" style="1287" bestFit="1" customWidth="1"/>
    <col min="3839" max="3839" width="44" style="1287" bestFit="1" customWidth="1"/>
    <col min="3840" max="3840" width="28" style="1287" bestFit="1" customWidth="1"/>
    <col min="3841" max="3841" width="9.140625" style="1287"/>
    <col min="3842" max="3845" width="9.140625" style="1287" customWidth="1"/>
    <col min="3846" max="4083" width="9.140625" style="1287"/>
    <col min="4084" max="4084" width="14.85546875" style="1287" bestFit="1" customWidth="1"/>
    <col min="4085" max="4085" width="16.42578125" style="1287" bestFit="1" customWidth="1"/>
    <col min="4086" max="4086" width="28.42578125" style="1287" bestFit="1" customWidth="1"/>
    <col min="4087" max="4087" width="45.5703125" style="1287" bestFit="1" customWidth="1"/>
    <col min="4088" max="4088" width="41.85546875" style="1287" bestFit="1" customWidth="1"/>
    <col min="4089" max="4089" width="12.28515625" style="1287" bestFit="1" customWidth="1"/>
    <col min="4090" max="4090" width="9.5703125" style="1287" customWidth="1"/>
    <col min="4091" max="4091" width="35.28515625" style="1287" customWidth="1"/>
    <col min="4092" max="4092" width="9.140625" style="1287"/>
    <col min="4093" max="4093" width="96" style="1287" bestFit="1" customWidth="1"/>
    <col min="4094" max="4094" width="43.28515625" style="1287" bestFit="1" customWidth="1"/>
    <col min="4095" max="4095" width="44" style="1287" bestFit="1" customWidth="1"/>
    <col min="4096" max="4096" width="28" style="1287" bestFit="1" customWidth="1"/>
    <col min="4097" max="4097" width="9.140625" style="1287"/>
    <col min="4098" max="4101" width="9.140625" style="1287" customWidth="1"/>
    <col min="4102" max="4339" width="9.140625" style="1287"/>
    <col min="4340" max="4340" width="14.85546875" style="1287" bestFit="1" customWidth="1"/>
    <col min="4341" max="4341" width="16.42578125" style="1287" bestFit="1" customWidth="1"/>
    <col min="4342" max="4342" width="28.42578125" style="1287" bestFit="1" customWidth="1"/>
    <col min="4343" max="4343" width="45.5703125" style="1287" bestFit="1" customWidth="1"/>
    <col min="4344" max="4344" width="41.85546875" style="1287" bestFit="1" customWidth="1"/>
    <col min="4345" max="4345" width="12.28515625" style="1287" bestFit="1" customWidth="1"/>
    <col min="4346" max="4346" width="9.5703125" style="1287" customWidth="1"/>
    <col min="4347" max="4347" width="35.28515625" style="1287" customWidth="1"/>
    <col min="4348" max="4348" width="9.140625" style="1287"/>
    <col min="4349" max="4349" width="96" style="1287" bestFit="1" customWidth="1"/>
    <col min="4350" max="4350" width="43.28515625" style="1287" bestFit="1" customWidth="1"/>
    <col min="4351" max="4351" width="44" style="1287" bestFit="1" customWidth="1"/>
    <col min="4352" max="4352" width="28" style="1287" bestFit="1" customWidth="1"/>
    <col min="4353" max="4353" width="9.140625" style="1287"/>
    <col min="4354" max="4357" width="9.140625" style="1287" customWidth="1"/>
    <col min="4358" max="4595" width="9.140625" style="1287"/>
    <col min="4596" max="4596" width="14.85546875" style="1287" bestFit="1" customWidth="1"/>
    <col min="4597" max="4597" width="16.42578125" style="1287" bestFit="1" customWidth="1"/>
    <col min="4598" max="4598" width="28.42578125" style="1287" bestFit="1" customWidth="1"/>
    <col min="4599" max="4599" width="45.5703125" style="1287" bestFit="1" customWidth="1"/>
    <col min="4600" max="4600" width="41.85546875" style="1287" bestFit="1" customWidth="1"/>
    <col min="4601" max="4601" width="12.28515625" style="1287" bestFit="1" customWidth="1"/>
    <col min="4602" max="4602" width="9.5703125" style="1287" customWidth="1"/>
    <col min="4603" max="4603" width="35.28515625" style="1287" customWidth="1"/>
    <col min="4604" max="4604" width="9.140625" style="1287"/>
    <col min="4605" max="4605" width="96" style="1287" bestFit="1" customWidth="1"/>
    <col min="4606" max="4606" width="43.28515625" style="1287" bestFit="1" customWidth="1"/>
    <col min="4607" max="4607" width="44" style="1287" bestFit="1" customWidth="1"/>
    <col min="4608" max="4608" width="28" style="1287" bestFit="1" customWidth="1"/>
    <col min="4609" max="4609" width="9.140625" style="1287"/>
    <col min="4610" max="4613" width="9.140625" style="1287" customWidth="1"/>
    <col min="4614" max="4851" width="9.140625" style="1287"/>
    <col min="4852" max="4852" width="14.85546875" style="1287" bestFit="1" customWidth="1"/>
    <col min="4853" max="4853" width="16.42578125" style="1287" bestFit="1" customWidth="1"/>
    <col min="4854" max="4854" width="28.42578125" style="1287" bestFit="1" customWidth="1"/>
    <col min="4855" max="4855" width="45.5703125" style="1287" bestFit="1" customWidth="1"/>
    <col min="4856" max="4856" width="41.85546875" style="1287" bestFit="1" customWidth="1"/>
    <col min="4857" max="4857" width="12.28515625" style="1287" bestFit="1" customWidth="1"/>
    <col min="4858" max="4858" width="9.5703125" style="1287" customWidth="1"/>
    <col min="4859" max="4859" width="35.28515625" style="1287" customWidth="1"/>
    <col min="4860" max="4860" width="9.140625" style="1287"/>
    <col min="4861" max="4861" width="96" style="1287" bestFit="1" customWidth="1"/>
    <col min="4862" max="4862" width="43.28515625" style="1287" bestFit="1" customWidth="1"/>
    <col min="4863" max="4863" width="44" style="1287" bestFit="1" customWidth="1"/>
    <col min="4864" max="4864" width="28" style="1287" bestFit="1" customWidth="1"/>
    <col min="4865" max="4865" width="9.140625" style="1287"/>
    <col min="4866" max="4869" width="9.140625" style="1287" customWidth="1"/>
    <col min="4870" max="5107" width="9.140625" style="1287"/>
    <col min="5108" max="5108" width="14.85546875" style="1287" bestFit="1" customWidth="1"/>
    <col min="5109" max="5109" width="16.42578125" style="1287" bestFit="1" customWidth="1"/>
    <col min="5110" max="5110" width="28.42578125" style="1287" bestFit="1" customWidth="1"/>
    <col min="5111" max="5111" width="45.5703125" style="1287" bestFit="1" customWidth="1"/>
    <col min="5112" max="5112" width="41.85546875" style="1287" bestFit="1" customWidth="1"/>
    <col min="5113" max="5113" width="12.28515625" style="1287" bestFit="1" customWidth="1"/>
    <col min="5114" max="5114" width="9.5703125" style="1287" customWidth="1"/>
    <col min="5115" max="5115" width="35.28515625" style="1287" customWidth="1"/>
    <col min="5116" max="5116" width="9.140625" style="1287"/>
    <col min="5117" max="5117" width="96" style="1287" bestFit="1" customWidth="1"/>
    <col min="5118" max="5118" width="43.28515625" style="1287" bestFit="1" customWidth="1"/>
    <col min="5119" max="5119" width="44" style="1287" bestFit="1" customWidth="1"/>
    <col min="5120" max="5120" width="28" style="1287" bestFit="1" customWidth="1"/>
    <col min="5121" max="5121" width="9.140625" style="1287"/>
    <col min="5122" max="5125" width="9.140625" style="1287" customWidth="1"/>
    <col min="5126" max="5363" width="9.140625" style="1287"/>
    <col min="5364" max="5364" width="14.85546875" style="1287" bestFit="1" customWidth="1"/>
    <col min="5365" max="5365" width="16.42578125" style="1287" bestFit="1" customWidth="1"/>
    <col min="5366" max="5366" width="28.42578125" style="1287" bestFit="1" customWidth="1"/>
    <col min="5367" max="5367" width="45.5703125" style="1287" bestFit="1" customWidth="1"/>
    <col min="5368" max="5368" width="41.85546875" style="1287" bestFit="1" customWidth="1"/>
    <col min="5369" max="5369" width="12.28515625" style="1287" bestFit="1" customWidth="1"/>
    <col min="5370" max="5370" width="9.5703125" style="1287" customWidth="1"/>
    <col min="5371" max="5371" width="35.28515625" style="1287" customWidth="1"/>
    <col min="5372" max="5372" width="9.140625" style="1287"/>
    <col min="5373" max="5373" width="96" style="1287" bestFit="1" customWidth="1"/>
    <col min="5374" max="5374" width="43.28515625" style="1287" bestFit="1" customWidth="1"/>
    <col min="5375" max="5375" width="44" style="1287" bestFit="1" customWidth="1"/>
    <col min="5376" max="5376" width="28" style="1287" bestFit="1" customWidth="1"/>
    <col min="5377" max="5377" width="9.140625" style="1287"/>
    <col min="5378" max="5381" width="9.140625" style="1287" customWidth="1"/>
    <col min="5382" max="5619" width="9.140625" style="1287"/>
    <col min="5620" max="5620" width="14.85546875" style="1287" bestFit="1" customWidth="1"/>
    <col min="5621" max="5621" width="16.42578125" style="1287" bestFit="1" customWidth="1"/>
    <col min="5622" max="5622" width="28.42578125" style="1287" bestFit="1" customWidth="1"/>
    <col min="5623" max="5623" width="45.5703125" style="1287" bestFit="1" customWidth="1"/>
    <col min="5624" max="5624" width="41.85546875" style="1287" bestFit="1" customWidth="1"/>
    <col min="5625" max="5625" width="12.28515625" style="1287" bestFit="1" customWidth="1"/>
    <col min="5626" max="5626" width="9.5703125" style="1287" customWidth="1"/>
    <col min="5627" max="5627" width="35.28515625" style="1287" customWidth="1"/>
    <col min="5628" max="5628" width="9.140625" style="1287"/>
    <col min="5629" max="5629" width="96" style="1287" bestFit="1" customWidth="1"/>
    <col min="5630" max="5630" width="43.28515625" style="1287" bestFit="1" customWidth="1"/>
    <col min="5631" max="5631" width="44" style="1287" bestFit="1" customWidth="1"/>
    <col min="5632" max="5632" width="28" style="1287" bestFit="1" customWidth="1"/>
    <col min="5633" max="5633" width="9.140625" style="1287"/>
    <col min="5634" max="5637" width="9.140625" style="1287" customWidth="1"/>
    <col min="5638" max="5875" width="9.140625" style="1287"/>
    <col min="5876" max="5876" width="14.85546875" style="1287" bestFit="1" customWidth="1"/>
    <col min="5877" max="5877" width="16.42578125" style="1287" bestFit="1" customWidth="1"/>
    <col min="5878" max="5878" width="28.42578125" style="1287" bestFit="1" customWidth="1"/>
    <col min="5879" max="5879" width="45.5703125" style="1287" bestFit="1" customWidth="1"/>
    <col min="5880" max="5880" width="41.85546875" style="1287" bestFit="1" customWidth="1"/>
    <col min="5881" max="5881" width="12.28515625" style="1287" bestFit="1" customWidth="1"/>
    <col min="5882" max="5882" width="9.5703125" style="1287" customWidth="1"/>
    <col min="5883" max="5883" width="35.28515625" style="1287" customWidth="1"/>
    <col min="5884" max="5884" width="9.140625" style="1287"/>
    <col min="5885" max="5885" width="96" style="1287" bestFit="1" customWidth="1"/>
    <col min="5886" max="5886" width="43.28515625" style="1287" bestFit="1" customWidth="1"/>
    <col min="5887" max="5887" width="44" style="1287" bestFit="1" customWidth="1"/>
    <col min="5888" max="5888" width="28" style="1287" bestFit="1" customWidth="1"/>
    <col min="5889" max="5889" width="9.140625" style="1287"/>
    <col min="5890" max="5893" width="9.140625" style="1287" customWidth="1"/>
    <col min="5894" max="6131" width="9.140625" style="1287"/>
    <col min="6132" max="6132" width="14.85546875" style="1287" bestFit="1" customWidth="1"/>
    <col min="6133" max="6133" width="16.42578125" style="1287" bestFit="1" customWidth="1"/>
    <col min="6134" max="6134" width="28.42578125" style="1287" bestFit="1" customWidth="1"/>
    <col min="6135" max="6135" width="45.5703125" style="1287" bestFit="1" customWidth="1"/>
    <col min="6136" max="6136" width="41.85546875" style="1287" bestFit="1" customWidth="1"/>
    <col min="6137" max="6137" width="12.28515625" style="1287" bestFit="1" customWidth="1"/>
    <col min="6138" max="6138" width="9.5703125" style="1287" customWidth="1"/>
    <col min="6139" max="6139" width="35.28515625" style="1287" customWidth="1"/>
    <col min="6140" max="6140" width="9.140625" style="1287"/>
    <col min="6141" max="6141" width="96" style="1287" bestFit="1" customWidth="1"/>
    <col min="6142" max="6142" width="43.28515625" style="1287" bestFit="1" customWidth="1"/>
    <col min="6143" max="6143" width="44" style="1287" bestFit="1" customWidth="1"/>
    <col min="6144" max="6144" width="28" style="1287" bestFit="1" customWidth="1"/>
    <col min="6145" max="6145" width="9.140625" style="1287"/>
    <col min="6146" max="6149" width="9.140625" style="1287" customWidth="1"/>
    <col min="6150" max="6387" width="9.140625" style="1287"/>
    <col min="6388" max="6388" width="14.85546875" style="1287" bestFit="1" customWidth="1"/>
    <col min="6389" max="6389" width="16.42578125" style="1287" bestFit="1" customWidth="1"/>
    <col min="6390" max="6390" width="28.42578125" style="1287" bestFit="1" customWidth="1"/>
    <col min="6391" max="6391" width="45.5703125" style="1287" bestFit="1" customWidth="1"/>
    <col min="6392" max="6392" width="41.85546875" style="1287" bestFit="1" customWidth="1"/>
    <col min="6393" max="6393" width="12.28515625" style="1287" bestFit="1" customWidth="1"/>
    <col min="6394" max="6394" width="9.5703125" style="1287" customWidth="1"/>
    <col min="6395" max="6395" width="35.28515625" style="1287" customWidth="1"/>
    <col min="6396" max="6396" width="9.140625" style="1287"/>
    <col min="6397" max="6397" width="96" style="1287" bestFit="1" customWidth="1"/>
    <col min="6398" max="6398" width="43.28515625" style="1287" bestFit="1" customWidth="1"/>
    <col min="6399" max="6399" width="44" style="1287" bestFit="1" customWidth="1"/>
    <col min="6400" max="6400" width="28" style="1287" bestFit="1" customWidth="1"/>
    <col min="6401" max="6401" width="9.140625" style="1287"/>
    <col min="6402" max="6405" width="9.140625" style="1287" customWidth="1"/>
    <col min="6406" max="6643" width="9.140625" style="1287"/>
    <col min="6644" max="6644" width="14.85546875" style="1287" bestFit="1" customWidth="1"/>
    <col min="6645" max="6645" width="16.42578125" style="1287" bestFit="1" customWidth="1"/>
    <col min="6646" max="6646" width="28.42578125" style="1287" bestFit="1" customWidth="1"/>
    <col min="6647" max="6647" width="45.5703125" style="1287" bestFit="1" customWidth="1"/>
    <col min="6648" max="6648" width="41.85546875" style="1287" bestFit="1" customWidth="1"/>
    <col min="6649" max="6649" width="12.28515625" style="1287" bestFit="1" customWidth="1"/>
    <col min="6650" max="6650" width="9.5703125" style="1287" customWidth="1"/>
    <col min="6651" max="6651" width="35.28515625" style="1287" customWidth="1"/>
    <col min="6652" max="6652" width="9.140625" style="1287"/>
    <col min="6653" max="6653" width="96" style="1287" bestFit="1" customWidth="1"/>
    <col min="6654" max="6654" width="43.28515625" style="1287" bestFit="1" customWidth="1"/>
    <col min="6655" max="6655" width="44" style="1287" bestFit="1" customWidth="1"/>
    <col min="6656" max="6656" width="28" style="1287" bestFit="1" customWidth="1"/>
    <col min="6657" max="6657" width="9.140625" style="1287"/>
    <col min="6658" max="6661" width="9.140625" style="1287" customWidth="1"/>
    <col min="6662" max="6899" width="9.140625" style="1287"/>
    <col min="6900" max="6900" width="14.85546875" style="1287" bestFit="1" customWidth="1"/>
    <col min="6901" max="6901" width="16.42578125" style="1287" bestFit="1" customWidth="1"/>
    <col min="6902" max="6902" width="28.42578125" style="1287" bestFit="1" customWidth="1"/>
    <col min="6903" max="6903" width="45.5703125" style="1287" bestFit="1" customWidth="1"/>
    <col min="6904" max="6904" width="41.85546875" style="1287" bestFit="1" customWidth="1"/>
    <col min="6905" max="6905" width="12.28515625" style="1287" bestFit="1" customWidth="1"/>
    <col min="6906" max="6906" width="9.5703125" style="1287" customWidth="1"/>
    <col min="6907" max="6907" width="35.28515625" style="1287" customWidth="1"/>
    <col min="6908" max="6908" width="9.140625" style="1287"/>
    <col min="6909" max="6909" width="96" style="1287" bestFit="1" customWidth="1"/>
    <col min="6910" max="6910" width="43.28515625" style="1287" bestFit="1" customWidth="1"/>
    <col min="6911" max="6911" width="44" style="1287" bestFit="1" customWidth="1"/>
    <col min="6912" max="6912" width="28" style="1287" bestFit="1" customWidth="1"/>
    <col min="6913" max="6913" width="9.140625" style="1287"/>
    <col min="6914" max="6917" width="9.140625" style="1287" customWidth="1"/>
    <col min="6918" max="7155" width="9.140625" style="1287"/>
    <col min="7156" max="7156" width="14.85546875" style="1287" bestFit="1" customWidth="1"/>
    <col min="7157" max="7157" width="16.42578125" style="1287" bestFit="1" customWidth="1"/>
    <col min="7158" max="7158" width="28.42578125" style="1287" bestFit="1" customWidth="1"/>
    <col min="7159" max="7159" width="45.5703125" style="1287" bestFit="1" customWidth="1"/>
    <col min="7160" max="7160" width="41.85546875" style="1287" bestFit="1" customWidth="1"/>
    <col min="7161" max="7161" width="12.28515625" style="1287" bestFit="1" customWidth="1"/>
    <col min="7162" max="7162" width="9.5703125" style="1287" customWidth="1"/>
    <col min="7163" max="7163" width="35.28515625" style="1287" customWidth="1"/>
    <col min="7164" max="7164" width="9.140625" style="1287"/>
    <col min="7165" max="7165" width="96" style="1287" bestFit="1" customWidth="1"/>
    <col min="7166" max="7166" width="43.28515625" style="1287" bestFit="1" customWidth="1"/>
    <col min="7167" max="7167" width="44" style="1287" bestFit="1" customWidth="1"/>
    <col min="7168" max="7168" width="28" style="1287" bestFit="1" customWidth="1"/>
    <col min="7169" max="7169" width="9.140625" style="1287"/>
    <col min="7170" max="7173" width="9.140625" style="1287" customWidth="1"/>
    <col min="7174" max="7411" width="9.140625" style="1287"/>
    <col min="7412" max="7412" width="14.85546875" style="1287" bestFit="1" customWidth="1"/>
    <col min="7413" max="7413" width="16.42578125" style="1287" bestFit="1" customWidth="1"/>
    <col min="7414" max="7414" width="28.42578125" style="1287" bestFit="1" customWidth="1"/>
    <col min="7415" max="7415" width="45.5703125" style="1287" bestFit="1" customWidth="1"/>
    <col min="7416" max="7416" width="41.85546875" style="1287" bestFit="1" customWidth="1"/>
    <col min="7417" max="7417" width="12.28515625" style="1287" bestFit="1" customWidth="1"/>
    <col min="7418" max="7418" width="9.5703125" style="1287" customWidth="1"/>
    <col min="7419" max="7419" width="35.28515625" style="1287" customWidth="1"/>
    <col min="7420" max="7420" width="9.140625" style="1287"/>
    <col min="7421" max="7421" width="96" style="1287" bestFit="1" customWidth="1"/>
    <col min="7422" max="7422" width="43.28515625" style="1287" bestFit="1" customWidth="1"/>
    <col min="7423" max="7423" width="44" style="1287" bestFit="1" customWidth="1"/>
    <col min="7424" max="7424" width="28" style="1287" bestFit="1" customWidth="1"/>
    <col min="7425" max="7425" width="9.140625" style="1287"/>
    <col min="7426" max="7429" width="9.140625" style="1287" customWidth="1"/>
    <col min="7430" max="7667" width="9.140625" style="1287"/>
    <col min="7668" max="7668" width="14.85546875" style="1287" bestFit="1" customWidth="1"/>
    <col min="7669" max="7669" width="16.42578125" style="1287" bestFit="1" customWidth="1"/>
    <col min="7670" max="7670" width="28.42578125" style="1287" bestFit="1" customWidth="1"/>
    <col min="7671" max="7671" width="45.5703125" style="1287" bestFit="1" customWidth="1"/>
    <col min="7672" max="7672" width="41.85546875" style="1287" bestFit="1" customWidth="1"/>
    <col min="7673" max="7673" width="12.28515625" style="1287" bestFit="1" customWidth="1"/>
    <col min="7674" max="7674" width="9.5703125" style="1287" customWidth="1"/>
    <col min="7675" max="7675" width="35.28515625" style="1287" customWidth="1"/>
    <col min="7676" max="7676" width="9.140625" style="1287"/>
    <col min="7677" max="7677" width="96" style="1287" bestFit="1" customWidth="1"/>
    <col min="7678" max="7678" width="43.28515625" style="1287" bestFit="1" customWidth="1"/>
    <col min="7679" max="7679" width="44" style="1287" bestFit="1" customWidth="1"/>
    <col min="7680" max="7680" width="28" style="1287" bestFit="1" customWidth="1"/>
    <col min="7681" max="7681" width="9.140625" style="1287"/>
    <col min="7682" max="7685" width="9.140625" style="1287" customWidth="1"/>
    <col min="7686" max="7923" width="9.140625" style="1287"/>
    <col min="7924" max="7924" width="14.85546875" style="1287" bestFit="1" customWidth="1"/>
    <col min="7925" max="7925" width="16.42578125" style="1287" bestFit="1" customWidth="1"/>
    <col min="7926" max="7926" width="28.42578125" style="1287" bestFit="1" customWidth="1"/>
    <col min="7927" max="7927" width="45.5703125" style="1287" bestFit="1" customWidth="1"/>
    <col min="7928" max="7928" width="41.85546875" style="1287" bestFit="1" customWidth="1"/>
    <col min="7929" max="7929" width="12.28515625" style="1287" bestFit="1" customWidth="1"/>
    <col min="7930" max="7930" width="9.5703125" style="1287" customWidth="1"/>
    <col min="7931" max="7931" width="35.28515625" style="1287" customWidth="1"/>
    <col min="7932" max="7932" width="9.140625" style="1287"/>
    <col min="7933" max="7933" width="96" style="1287" bestFit="1" customWidth="1"/>
    <col min="7934" max="7934" width="43.28515625" style="1287" bestFit="1" customWidth="1"/>
    <col min="7935" max="7935" width="44" style="1287" bestFit="1" customWidth="1"/>
    <col min="7936" max="7936" width="28" style="1287" bestFit="1" customWidth="1"/>
    <col min="7937" max="7937" width="9.140625" style="1287"/>
    <col min="7938" max="7941" width="9.140625" style="1287" customWidth="1"/>
    <col min="7942" max="8179" width="9.140625" style="1287"/>
    <col min="8180" max="8180" width="14.85546875" style="1287" bestFit="1" customWidth="1"/>
    <col min="8181" max="8181" width="16.42578125" style="1287" bestFit="1" customWidth="1"/>
    <col min="8182" max="8182" width="28.42578125" style="1287" bestFit="1" customWidth="1"/>
    <col min="8183" max="8183" width="45.5703125" style="1287" bestFit="1" customWidth="1"/>
    <col min="8184" max="8184" width="41.85546875" style="1287" bestFit="1" customWidth="1"/>
    <col min="8185" max="8185" width="12.28515625" style="1287" bestFit="1" customWidth="1"/>
    <col min="8186" max="8186" width="9.5703125" style="1287" customWidth="1"/>
    <col min="8187" max="8187" width="35.28515625" style="1287" customWidth="1"/>
    <col min="8188" max="8188" width="9.140625" style="1287"/>
    <col min="8189" max="8189" width="96" style="1287" bestFit="1" customWidth="1"/>
    <col min="8190" max="8190" width="43.28515625" style="1287" bestFit="1" customWidth="1"/>
    <col min="8191" max="8191" width="44" style="1287" bestFit="1" customWidth="1"/>
    <col min="8192" max="8192" width="28" style="1287" bestFit="1" customWidth="1"/>
    <col min="8193" max="8193" width="9.140625" style="1287"/>
    <col min="8194" max="8197" width="9.140625" style="1287" customWidth="1"/>
    <col min="8198" max="8435" width="9.140625" style="1287"/>
    <col min="8436" max="8436" width="14.85546875" style="1287" bestFit="1" customWidth="1"/>
    <col min="8437" max="8437" width="16.42578125" style="1287" bestFit="1" customWidth="1"/>
    <col min="8438" max="8438" width="28.42578125" style="1287" bestFit="1" customWidth="1"/>
    <col min="8439" max="8439" width="45.5703125" style="1287" bestFit="1" customWidth="1"/>
    <col min="8440" max="8440" width="41.85546875" style="1287" bestFit="1" customWidth="1"/>
    <col min="8441" max="8441" width="12.28515625" style="1287" bestFit="1" customWidth="1"/>
    <col min="8442" max="8442" width="9.5703125" style="1287" customWidth="1"/>
    <col min="8443" max="8443" width="35.28515625" style="1287" customWidth="1"/>
    <col min="8444" max="8444" width="9.140625" style="1287"/>
    <col min="8445" max="8445" width="96" style="1287" bestFit="1" customWidth="1"/>
    <col min="8446" max="8446" width="43.28515625" style="1287" bestFit="1" customWidth="1"/>
    <col min="8447" max="8447" width="44" style="1287" bestFit="1" customWidth="1"/>
    <col min="8448" max="8448" width="28" style="1287" bestFit="1" customWidth="1"/>
    <col min="8449" max="8449" width="9.140625" style="1287"/>
    <col min="8450" max="8453" width="9.140625" style="1287" customWidth="1"/>
    <col min="8454" max="8691" width="9.140625" style="1287"/>
    <col min="8692" max="8692" width="14.85546875" style="1287" bestFit="1" customWidth="1"/>
    <col min="8693" max="8693" width="16.42578125" style="1287" bestFit="1" customWidth="1"/>
    <col min="8694" max="8694" width="28.42578125" style="1287" bestFit="1" customWidth="1"/>
    <col min="8695" max="8695" width="45.5703125" style="1287" bestFit="1" customWidth="1"/>
    <col min="8696" max="8696" width="41.85546875" style="1287" bestFit="1" customWidth="1"/>
    <col min="8697" max="8697" width="12.28515625" style="1287" bestFit="1" customWidth="1"/>
    <col min="8698" max="8698" width="9.5703125" style="1287" customWidth="1"/>
    <col min="8699" max="8699" width="35.28515625" style="1287" customWidth="1"/>
    <col min="8700" max="8700" width="9.140625" style="1287"/>
    <col min="8701" max="8701" width="96" style="1287" bestFit="1" customWidth="1"/>
    <col min="8702" max="8702" width="43.28515625" style="1287" bestFit="1" customWidth="1"/>
    <col min="8703" max="8703" width="44" style="1287" bestFit="1" customWidth="1"/>
    <col min="8704" max="8704" width="28" style="1287" bestFit="1" customWidth="1"/>
    <col min="8705" max="8705" width="9.140625" style="1287"/>
    <col min="8706" max="8709" width="9.140625" style="1287" customWidth="1"/>
    <col min="8710" max="8947" width="9.140625" style="1287"/>
    <col min="8948" max="8948" width="14.85546875" style="1287" bestFit="1" customWidth="1"/>
    <col min="8949" max="8949" width="16.42578125" style="1287" bestFit="1" customWidth="1"/>
    <col min="8950" max="8950" width="28.42578125" style="1287" bestFit="1" customWidth="1"/>
    <col min="8951" max="8951" width="45.5703125" style="1287" bestFit="1" customWidth="1"/>
    <col min="8952" max="8952" width="41.85546875" style="1287" bestFit="1" customWidth="1"/>
    <col min="8953" max="8953" width="12.28515625" style="1287" bestFit="1" customWidth="1"/>
    <col min="8954" max="8954" width="9.5703125" style="1287" customWidth="1"/>
    <col min="8955" max="8955" width="35.28515625" style="1287" customWidth="1"/>
    <col min="8956" max="8956" width="9.140625" style="1287"/>
    <col min="8957" max="8957" width="96" style="1287" bestFit="1" customWidth="1"/>
    <col min="8958" max="8958" width="43.28515625" style="1287" bestFit="1" customWidth="1"/>
    <col min="8959" max="8959" width="44" style="1287" bestFit="1" customWidth="1"/>
    <col min="8960" max="8960" width="28" style="1287" bestFit="1" customWidth="1"/>
    <col min="8961" max="8961" width="9.140625" style="1287"/>
    <col min="8962" max="8965" width="9.140625" style="1287" customWidth="1"/>
    <col min="8966" max="9203" width="9.140625" style="1287"/>
    <col min="9204" max="9204" width="14.85546875" style="1287" bestFit="1" customWidth="1"/>
    <col min="9205" max="9205" width="16.42578125" style="1287" bestFit="1" customWidth="1"/>
    <col min="9206" max="9206" width="28.42578125" style="1287" bestFit="1" customWidth="1"/>
    <col min="9207" max="9207" width="45.5703125" style="1287" bestFit="1" customWidth="1"/>
    <col min="9208" max="9208" width="41.85546875" style="1287" bestFit="1" customWidth="1"/>
    <col min="9209" max="9209" width="12.28515625" style="1287" bestFit="1" customWidth="1"/>
    <col min="9210" max="9210" width="9.5703125" style="1287" customWidth="1"/>
    <col min="9211" max="9211" width="35.28515625" style="1287" customWidth="1"/>
    <col min="9212" max="9212" width="9.140625" style="1287"/>
    <col min="9213" max="9213" width="96" style="1287" bestFit="1" customWidth="1"/>
    <col min="9214" max="9214" width="43.28515625" style="1287" bestFit="1" customWidth="1"/>
    <col min="9215" max="9215" width="44" style="1287" bestFit="1" customWidth="1"/>
    <col min="9216" max="9216" width="28" style="1287" bestFit="1" customWidth="1"/>
    <col min="9217" max="9217" width="9.140625" style="1287"/>
    <col min="9218" max="9221" width="9.140625" style="1287" customWidth="1"/>
    <col min="9222" max="9459" width="9.140625" style="1287"/>
    <col min="9460" max="9460" width="14.85546875" style="1287" bestFit="1" customWidth="1"/>
    <col min="9461" max="9461" width="16.42578125" style="1287" bestFit="1" customWidth="1"/>
    <col min="9462" max="9462" width="28.42578125" style="1287" bestFit="1" customWidth="1"/>
    <col min="9463" max="9463" width="45.5703125" style="1287" bestFit="1" customWidth="1"/>
    <col min="9464" max="9464" width="41.85546875" style="1287" bestFit="1" customWidth="1"/>
    <col min="9465" max="9465" width="12.28515625" style="1287" bestFit="1" customWidth="1"/>
    <col min="9466" max="9466" width="9.5703125" style="1287" customWidth="1"/>
    <col min="9467" max="9467" width="35.28515625" style="1287" customWidth="1"/>
    <col min="9468" max="9468" width="9.140625" style="1287"/>
    <col min="9469" max="9469" width="96" style="1287" bestFit="1" customWidth="1"/>
    <col min="9470" max="9470" width="43.28515625" style="1287" bestFit="1" customWidth="1"/>
    <col min="9471" max="9471" width="44" style="1287" bestFit="1" customWidth="1"/>
    <col min="9472" max="9472" width="28" style="1287" bestFit="1" customWidth="1"/>
    <col min="9473" max="9473" width="9.140625" style="1287"/>
    <col min="9474" max="9477" width="9.140625" style="1287" customWidth="1"/>
    <col min="9478" max="9715" width="9.140625" style="1287"/>
    <col min="9716" max="9716" width="14.85546875" style="1287" bestFit="1" customWidth="1"/>
    <col min="9717" max="9717" width="16.42578125" style="1287" bestFit="1" customWidth="1"/>
    <col min="9718" max="9718" width="28.42578125" style="1287" bestFit="1" customWidth="1"/>
    <col min="9719" max="9719" width="45.5703125" style="1287" bestFit="1" customWidth="1"/>
    <col min="9720" max="9720" width="41.85546875" style="1287" bestFit="1" customWidth="1"/>
    <col min="9721" max="9721" width="12.28515625" style="1287" bestFit="1" customWidth="1"/>
    <col min="9722" max="9722" width="9.5703125" style="1287" customWidth="1"/>
    <col min="9723" max="9723" width="35.28515625" style="1287" customWidth="1"/>
    <col min="9724" max="9724" width="9.140625" style="1287"/>
    <col min="9725" max="9725" width="96" style="1287" bestFit="1" customWidth="1"/>
    <col min="9726" max="9726" width="43.28515625" style="1287" bestFit="1" customWidth="1"/>
    <col min="9727" max="9727" width="44" style="1287" bestFit="1" customWidth="1"/>
    <col min="9728" max="9728" width="28" style="1287" bestFit="1" customWidth="1"/>
    <col min="9729" max="9729" width="9.140625" style="1287"/>
    <col min="9730" max="9733" width="9.140625" style="1287" customWidth="1"/>
    <col min="9734" max="9971" width="9.140625" style="1287"/>
    <col min="9972" max="9972" width="14.85546875" style="1287" bestFit="1" customWidth="1"/>
    <col min="9973" max="9973" width="16.42578125" style="1287" bestFit="1" customWidth="1"/>
    <col min="9974" max="9974" width="28.42578125" style="1287" bestFit="1" customWidth="1"/>
    <col min="9975" max="9975" width="45.5703125" style="1287" bestFit="1" customWidth="1"/>
    <col min="9976" max="9976" width="41.85546875" style="1287" bestFit="1" customWidth="1"/>
    <col min="9977" max="9977" width="12.28515625" style="1287" bestFit="1" customWidth="1"/>
    <col min="9978" max="9978" width="9.5703125" style="1287" customWidth="1"/>
    <col min="9979" max="9979" width="35.28515625" style="1287" customWidth="1"/>
    <col min="9980" max="9980" width="9.140625" style="1287"/>
    <col min="9981" max="9981" width="96" style="1287" bestFit="1" customWidth="1"/>
    <col min="9982" max="9982" width="43.28515625" style="1287" bestFit="1" customWidth="1"/>
    <col min="9983" max="9983" width="44" style="1287" bestFit="1" customWidth="1"/>
    <col min="9984" max="9984" width="28" style="1287" bestFit="1" customWidth="1"/>
    <col min="9985" max="9985" width="9.140625" style="1287"/>
    <col min="9986" max="9989" width="9.140625" style="1287" customWidth="1"/>
    <col min="9990" max="10227" width="9.140625" style="1287"/>
    <col min="10228" max="10228" width="14.85546875" style="1287" bestFit="1" customWidth="1"/>
    <col min="10229" max="10229" width="16.42578125" style="1287" bestFit="1" customWidth="1"/>
    <col min="10230" max="10230" width="28.42578125" style="1287" bestFit="1" customWidth="1"/>
    <col min="10231" max="10231" width="45.5703125" style="1287" bestFit="1" customWidth="1"/>
    <col min="10232" max="10232" width="41.85546875" style="1287" bestFit="1" customWidth="1"/>
    <col min="10233" max="10233" width="12.28515625" style="1287" bestFit="1" customWidth="1"/>
    <col min="10234" max="10234" width="9.5703125" style="1287" customWidth="1"/>
    <col min="10235" max="10235" width="35.28515625" style="1287" customWidth="1"/>
    <col min="10236" max="10236" width="9.140625" style="1287"/>
    <col min="10237" max="10237" width="96" style="1287" bestFit="1" customWidth="1"/>
    <col min="10238" max="10238" width="43.28515625" style="1287" bestFit="1" customWidth="1"/>
    <col min="10239" max="10239" width="44" style="1287" bestFit="1" customWidth="1"/>
    <col min="10240" max="10240" width="28" style="1287" bestFit="1" customWidth="1"/>
    <col min="10241" max="10241" width="9.140625" style="1287"/>
    <col min="10242" max="10245" width="9.140625" style="1287" customWidth="1"/>
    <col min="10246" max="10483" width="9.140625" style="1287"/>
    <col min="10484" max="10484" width="14.85546875" style="1287" bestFit="1" customWidth="1"/>
    <col min="10485" max="10485" width="16.42578125" style="1287" bestFit="1" customWidth="1"/>
    <col min="10486" max="10486" width="28.42578125" style="1287" bestFit="1" customWidth="1"/>
    <col min="10487" max="10487" width="45.5703125" style="1287" bestFit="1" customWidth="1"/>
    <col min="10488" max="10488" width="41.85546875" style="1287" bestFit="1" customWidth="1"/>
    <col min="10489" max="10489" width="12.28515625" style="1287" bestFit="1" customWidth="1"/>
    <col min="10490" max="10490" width="9.5703125" style="1287" customWidth="1"/>
    <col min="10491" max="10491" width="35.28515625" style="1287" customWidth="1"/>
    <col min="10492" max="10492" width="9.140625" style="1287"/>
    <col min="10493" max="10493" width="96" style="1287" bestFit="1" customWidth="1"/>
    <col min="10494" max="10494" width="43.28515625" style="1287" bestFit="1" customWidth="1"/>
    <col min="10495" max="10495" width="44" style="1287" bestFit="1" customWidth="1"/>
    <col min="10496" max="10496" width="28" style="1287" bestFit="1" customWidth="1"/>
    <col min="10497" max="10497" width="9.140625" style="1287"/>
    <col min="10498" max="10501" width="9.140625" style="1287" customWidth="1"/>
    <col min="10502" max="10739" width="9.140625" style="1287"/>
    <col min="10740" max="10740" width="14.85546875" style="1287" bestFit="1" customWidth="1"/>
    <col min="10741" max="10741" width="16.42578125" style="1287" bestFit="1" customWidth="1"/>
    <col min="10742" max="10742" width="28.42578125" style="1287" bestFit="1" customWidth="1"/>
    <col min="10743" max="10743" width="45.5703125" style="1287" bestFit="1" customWidth="1"/>
    <col min="10744" max="10744" width="41.85546875" style="1287" bestFit="1" customWidth="1"/>
    <col min="10745" max="10745" width="12.28515625" style="1287" bestFit="1" customWidth="1"/>
    <col min="10746" max="10746" width="9.5703125" style="1287" customWidth="1"/>
    <col min="10747" max="10747" width="35.28515625" style="1287" customWidth="1"/>
    <col min="10748" max="10748" width="9.140625" style="1287"/>
    <col min="10749" max="10749" width="96" style="1287" bestFit="1" customWidth="1"/>
    <col min="10750" max="10750" width="43.28515625" style="1287" bestFit="1" customWidth="1"/>
    <col min="10751" max="10751" width="44" style="1287" bestFit="1" customWidth="1"/>
    <col min="10752" max="10752" width="28" style="1287" bestFit="1" customWidth="1"/>
    <col min="10753" max="10753" width="9.140625" style="1287"/>
    <col min="10754" max="10757" width="9.140625" style="1287" customWidth="1"/>
    <col min="10758" max="10995" width="9.140625" style="1287"/>
    <col min="10996" max="10996" width="14.85546875" style="1287" bestFit="1" customWidth="1"/>
    <col min="10997" max="10997" width="16.42578125" style="1287" bestFit="1" customWidth="1"/>
    <col min="10998" max="10998" width="28.42578125" style="1287" bestFit="1" customWidth="1"/>
    <col min="10999" max="10999" width="45.5703125" style="1287" bestFit="1" customWidth="1"/>
    <col min="11000" max="11000" width="41.85546875" style="1287" bestFit="1" customWidth="1"/>
    <col min="11001" max="11001" width="12.28515625" style="1287" bestFit="1" customWidth="1"/>
    <col min="11002" max="11002" width="9.5703125" style="1287" customWidth="1"/>
    <col min="11003" max="11003" width="35.28515625" style="1287" customWidth="1"/>
    <col min="11004" max="11004" width="9.140625" style="1287"/>
    <col min="11005" max="11005" width="96" style="1287" bestFit="1" customWidth="1"/>
    <col min="11006" max="11006" width="43.28515625" style="1287" bestFit="1" customWidth="1"/>
    <col min="11007" max="11007" width="44" style="1287" bestFit="1" customWidth="1"/>
    <col min="11008" max="11008" width="28" style="1287" bestFit="1" customWidth="1"/>
    <col min="11009" max="11009" width="9.140625" style="1287"/>
    <col min="11010" max="11013" width="9.140625" style="1287" customWidth="1"/>
    <col min="11014" max="11251" width="9.140625" style="1287"/>
    <col min="11252" max="11252" width="14.85546875" style="1287" bestFit="1" customWidth="1"/>
    <col min="11253" max="11253" width="16.42578125" style="1287" bestFit="1" customWidth="1"/>
    <col min="11254" max="11254" width="28.42578125" style="1287" bestFit="1" customWidth="1"/>
    <col min="11255" max="11255" width="45.5703125" style="1287" bestFit="1" customWidth="1"/>
    <col min="11256" max="11256" width="41.85546875" style="1287" bestFit="1" customWidth="1"/>
    <col min="11257" max="11257" width="12.28515625" style="1287" bestFit="1" customWidth="1"/>
    <col min="11258" max="11258" width="9.5703125" style="1287" customWidth="1"/>
    <col min="11259" max="11259" width="35.28515625" style="1287" customWidth="1"/>
    <col min="11260" max="11260" width="9.140625" style="1287"/>
    <col min="11261" max="11261" width="96" style="1287" bestFit="1" customWidth="1"/>
    <col min="11262" max="11262" width="43.28515625" style="1287" bestFit="1" customWidth="1"/>
    <col min="11263" max="11263" width="44" style="1287" bestFit="1" customWidth="1"/>
    <col min="11264" max="11264" width="28" style="1287" bestFit="1" customWidth="1"/>
    <col min="11265" max="11265" width="9.140625" style="1287"/>
    <col min="11266" max="11269" width="9.140625" style="1287" customWidth="1"/>
    <col min="11270" max="11507" width="9.140625" style="1287"/>
    <col min="11508" max="11508" width="14.85546875" style="1287" bestFit="1" customWidth="1"/>
    <col min="11509" max="11509" width="16.42578125" style="1287" bestFit="1" customWidth="1"/>
    <col min="11510" max="11510" width="28.42578125" style="1287" bestFit="1" customWidth="1"/>
    <col min="11511" max="11511" width="45.5703125" style="1287" bestFit="1" customWidth="1"/>
    <col min="11512" max="11512" width="41.85546875" style="1287" bestFit="1" customWidth="1"/>
    <col min="11513" max="11513" width="12.28515625" style="1287" bestFit="1" customWidth="1"/>
    <col min="11514" max="11514" width="9.5703125" style="1287" customWidth="1"/>
    <col min="11515" max="11515" width="35.28515625" style="1287" customWidth="1"/>
    <col min="11516" max="11516" width="9.140625" style="1287"/>
    <col min="11517" max="11517" width="96" style="1287" bestFit="1" customWidth="1"/>
    <col min="11518" max="11518" width="43.28515625" style="1287" bestFit="1" customWidth="1"/>
    <col min="11519" max="11519" width="44" style="1287" bestFit="1" customWidth="1"/>
    <col min="11520" max="11520" width="28" style="1287" bestFit="1" customWidth="1"/>
    <col min="11521" max="11521" width="9.140625" style="1287"/>
    <col min="11522" max="11525" width="9.140625" style="1287" customWidth="1"/>
    <col min="11526" max="11763" width="9.140625" style="1287"/>
    <col min="11764" max="11764" width="14.85546875" style="1287" bestFit="1" customWidth="1"/>
    <col min="11765" max="11765" width="16.42578125" style="1287" bestFit="1" customWidth="1"/>
    <col min="11766" max="11766" width="28.42578125" style="1287" bestFit="1" customWidth="1"/>
    <col min="11767" max="11767" width="45.5703125" style="1287" bestFit="1" customWidth="1"/>
    <col min="11768" max="11768" width="41.85546875" style="1287" bestFit="1" customWidth="1"/>
    <col min="11769" max="11769" width="12.28515625" style="1287" bestFit="1" customWidth="1"/>
    <col min="11770" max="11770" width="9.5703125" style="1287" customWidth="1"/>
    <col min="11771" max="11771" width="35.28515625" style="1287" customWidth="1"/>
    <col min="11772" max="11772" width="9.140625" style="1287"/>
    <col min="11773" max="11773" width="96" style="1287" bestFit="1" customWidth="1"/>
    <col min="11774" max="11774" width="43.28515625" style="1287" bestFit="1" customWidth="1"/>
    <col min="11775" max="11775" width="44" style="1287" bestFit="1" customWidth="1"/>
    <col min="11776" max="11776" width="28" style="1287" bestFit="1" customWidth="1"/>
    <col min="11777" max="11777" width="9.140625" style="1287"/>
    <col min="11778" max="11781" width="9.140625" style="1287" customWidth="1"/>
    <col min="11782" max="12019" width="9.140625" style="1287"/>
    <col min="12020" max="12020" width="14.85546875" style="1287" bestFit="1" customWidth="1"/>
    <col min="12021" max="12021" width="16.42578125" style="1287" bestFit="1" customWidth="1"/>
    <col min="12022" max="12022" width="28.42578125" style="1287" bestFit="1" customWidth="1"/>
    <col min="12023" max="12023" width="45.5703125" style="1287" bestFit="1" customWidth="1"/>
    <col min="12024" max="12024" width="41.85546875" style="1287" bestFit="1" customWidth="1"/>
    <col min="12025" max="12025" width="12.28515625" style="1287" bestFit="1" customWidth="1"/>
    <col min="12026" max="12026" width="9.5703125" style="1287" customWidth="1"/>
    <col min="12027" max="12027" width="35.28515625" style="1287" customWidth="1"/>
    <col min="12028" max="12028" width="9.140625" style="1287"/>
    <col min="12029" max="12029" width="96" style="1287" bestFit="1" customWidth="1"/>
    <col min="12030" max="12030" width="43.28515625" style="1287" bestFit="1" customWidth="1"/>
    <col min="12031" max="12031" width="44" style="1287" bestFit="1" customWidth="1"/>
    <col min="12032" max="12032" width="28" style="1287" bestFit="1" customWidth="1"/>
    <col min="12033" max="12033" width="9.140625" style="1287"/>
    <col min="12034" max="12037" width="9.140625" style="1287" customWidth="1"/>
    <col min="12038" max="12275" width="9.140625" style="1287"/>
    <col min="12276" max="12276" width="14.85546875" style="1287" bestFit="1" customWidth="1"/>
    <col min="12277" max="12277" width="16.42578125" style="1287" bestFit="1" customWidth="1"/>
    <col min="12278" max="12278" width="28.42578125" style="1287" bestFit="1" customWidth="1"/>
    <col min="12279" max="12279" width="45.5703125" style="1287" bestFit="1" customWidth="1"/>
    <col min="12280" max="12280" width="41.85546875" style="1287" bestFit="1" customWidth="1"/>
    <col min="12281" max="12281" width="12.28515625" style="1287" bestFit="1" customWidth="1"/>
    <col min="12282" max="12282" width="9.5703125" style="1287" customWidth="1"/>
    <col min="12283" max="12283" width="35.28515625" style="1287" customWidth="1"/>
    <col min="12284" max="12284" width="9.140625" style="1287"/>
    <col min="12285" max="12285" width="96" style="1287" bestFit="1" customWidth="1"/>
    <col min="12286" max="12286" width="43.28515625" style="1287" bestFit="1" customWidth="1"/>
    <col min="12287" max="12287" width="44" style="1287" bestFit="1" customWidth="1"/>
    <col min="12288" max="12288" width="28" style="1287" bestFit="1" customWidth="1"/>
    <col min="12289" max="12289" width="9.140625" style="1287"/>
    <col min="12290" max="12293" width="9.140625" style="1287" customWidth="1"/>
    <col min="12294" max="12531" width="9.140625" style="1287"/>
    <col min="12532" max="12532" width="14.85546875" style="1287" bestFit="1" customWidth="1"/>
    <col min="12533" max="12533" width="16.42578125" style="1287" bestFit="1" customWidth="1"/>
    <col min="12534" max="12534" width="28.42578125" style="1287" bestFit="1" customWidth="1"/>
    <col min="12535" max="12535" width="45.5703125" style="1287" bestFit="1" customWidth="1"/>
    <col min="12536" max="12536" width="41.85546875" style="1287" bestFit="1" customWidth="1"/>
    <col min="12537" max="12537" width="12.28515625" style="1287" bestFit="1" customWidth="1"/>
    <col min="12538" max="12538" width="9.5703125" style="1287" customWidth="1"/>
    <col min="12539" max="12539" width="35.28515625" style="1287" customWidth="1"/>
    <col min="12540" max="12540" width="9.140625" style="1287"/>
    <col min="12541" max="12541" width="96" style="1287" bestFit="1" customWidth="1"/>
    <col min="12542" max="12542" width="43.28515625" style="1287" bestFit="1" customWidth="1"/>
    <col min="12543" max="12543" width="44" style="1287" bestFit="1" customWidth="1"/>
    <col min="12544" max="12544" width="28" style="1287" bestFit="1" customWidth="1"/>
    <col min="12545" max="12545" width="9.140625" style="1287"/>
    <col min="12546" max="12549" width="9.140625" style="1287" customWidth="1"/>
    <col min="12550" max="12787" width="9.140625" style="1287"/>
    <col min="12788" max="12788" width="14.85546875" style="1287" bestFit="1" customWidth="1"/>
    <col min="12789" max="12789" width="16.42578125" style="1287" bestFit="1" customWidth="1"/>
    <col min="12790" max="12790" width="28.42578125" style="1287" bestFit="1" customWidth="1"/>
    <col min="12791" max="12791" width="45.5703125" style="1287" bestFit="1" customWidth="1"/>
    <col min="12792" max="12792" width="41.85546875" style="1287" bestFit="1" customWidth="1"/>
    <col min="12793" max="12793" width="12.28515625" style="1287" bestFit="1" customWidth="1"/>
    <col min="12794" max="12794" width="9.5703125" style="1287" customWidth="1"/>
    <col min="12795" max="12795" width="35.28515625" style="1287" customWidth="1"/>
    <col min="12796" max="12796" width="9.140625" style="1287"/>
    <col min="12797" max="12797" width="96" style="1287" bestFit="1" customWidth="1"/>
    <col min="12798" max="12798" width="43.28515625" style="1287" bestFit="1" customWidth="1"/>
    <col min="12799" max="12799" width="44" style="1287" bestFit="1" customWidth="1"/>
    <col min="12800" max="12800" width="28" style="1287" bestFit="1" customWidth="1"/>
    <col min="12801" max="12801" width="9.140625" style="1287"/>
    <col min="12802" max="12805" width="9.140625" style="1287" customWidth="1"/>
    <col min="12806" max="13043" width="9.140625" style="1287"/>
    <col min="13044" max="13044" width="14.85546875" style="1287" bestFit="1" customWidth="1"/>
    <col min="13045" max="13045" width="16.42578125" style="1287" bestFit="1" customWidth="1"/>
    <col min="13046" max="13046" width="28.42578125" style="1287" bestFit="1" customWidth="1"/>
    <col min="13047" max="13047" width="45.5703125" style="1287" bestFit="1" customWidth="1"/>
    <col min="13048" max="13048" width="41.85546875" style="1287" bestFit="1" customWidth="1"/>
    <col min="13049" max="13049" width="12.28515625" style="1287" bestFit="1" customWidth="1"/>
    <col min="13050" max="13050" width="9.5703125" style="1287" customWidth="1"/>
    <col min="13051" max="13051" width="35.28515625" style="1287" customWidth="1"/>
    <col min="13052" max="13052" width="9.140625" style="1287"/>
    <col min="13053" max="13053" width="96" style="1287" bestFit="1" customWidth="1"/>
    <col min="13054" max="13054" width="43.28515625" style="1287" bestFit="1" customWidth="1"/>
    <col min="13055" max="13055" width="44" style="1287" bestFit="1" customWidth="1"/>
    <col min="13056" max="13056" width="28" style="1287" bestFit="1" customWidth="1"/>
    <col min="13057" max="13057" width="9.140625" style="1287"/>
    <col min="13058" max="13061" width="9.140625" style="1287" customWidth="1"/>
    <col min="13062" max="13299" width="9.140625" style="1287"/>
    <col min="13300" max="13300" width="14.85546875" style="1287" bestFit="1" customWidth="1"/>
    <col min="13301" max="13301" width="16.42578125" style="1287" bestFit="1" customWidth="1"/>
    <col min="13302" max="13302" width="28.42578125" style="1287" bestFit="1" customWidth="1"/>
    <col min="13303" max="13303" width="45.5703125" style="1287" bestFit="1" customWidth="1"/>
    <col min="13304" max="13304" width="41.85546875" style="1287" bestFit="1" customWidth="1"/>
    <col min="13305" max="13305" width="12.28515625" style="1287" bestFit="1" customWidth="1"/>
    <col min="13306" max="13306" width="9.5703125" style="1287" customWidth="1"/>
    <col min="13307" max="13307" width="35.28515625" style="1287" customWidth="1"/>
    <col min="13308" max="13308" width="9.140625" style="1287"/>
    <col min="13309" max="13309" width="96" style="1287" bestFit="1" customWidth="1"/>
    <col min="13310" max="13310" width="43.28515625" style="1287" bestFit="1" customWidth="1"/>
    <col min="13311" max="13311" width="44" style="1287" bestFit="1" customWidth="1"/>
    <col min="13312" max="13312" width="28" style="1287" bestFit="1" customWidth="1"/>
    <col min="13313" max="13313" width="9.140625" style="1287"/>
    <col min="13314" max="13317" width="9.140625" style="1287" customWidth="1"/>
    <col min="13318" max="13555" width="9.140625" style="1287"/>
    <col min="13556" max="13556" width="14.85546875" style="1287" bestFit="1" customWidth="1"/>
    <col min="13557" max="13557" width="16.42578125" style="1287" bestFit="1" customWidth="1"/>
    <col min="13558" max="13558" width="28.42578125" style="1287" bestFit="1" customWidth="1"/>
    <col min="13559" max="13559" width="45.5703125" style="1287" bestFit="1" customWidth="1"/>
    <col min="13560" max="13560" width="41.85546875" style="1287" bestFit="1" customWidth="1"/>
    <col min="13561" max="13561" width="12.28515625" style="1287" bestFit="1" customWidth="1"/>
    <col min="13562" max="13562" width="9.5703125" style="1287" customWidth="1"/>
    <col min="13563" max="13563" width="35.28515625" style="1287" customWidth="1"/>
    <col min="13564" max="13564" width="9.140625" style="1287"/>
    <col min="13565" max="13565" width="96" style="1287" bestFit="1" customWidth="1"/>
    <col min="13566" max="13566" width="43.28515625" style="1287" bestFit="1" customWidth="1"/>
    <col min="13567" max="13567" width="44" style="1287" bestFit="1" customWidth="1"/>
    <col min="13568" max="13568" width="28" style="1287" bestFit="1" customWidth="1"/>
    <col min="13569" max="13569" width="9.140625" style="1287"/>
    <col min="13570" max="13573" width="9.140625" style="1287" customWidth="1"/>
    <col min="13574" max="13811" width="9.140625" style="1287"/>
    <col min="13812" max="13812" width="14.85546875" style="1287" bestFit="1" customWidth="1"/>
    <col min="13813" max="13813" width="16.42578125" style="1287" bestFit="1" customWidth="1"/>
    <col min="13814" max="13814" width="28.42578125" style="1287" bestFit="1" customWidth="1"/>
    <col min="13815" max="13815" width="45.5703125" style="1287" bestFit="1" customWidth="1"/>
    <col min="13816" max="13816" width="41.85546875" style="1287" bestFit="1" customWidth="1"/>
    <col min="13817" max="13817" width="12.28515625" style="1287" bestFit="1" customWidth="1"/>
    <col min="13818" max="13818" width="9.5703125" style="1287" customWidth="1"/>
    <col min="13819" max="13819" width="35.28515625" style="1287" customWidth="1"/>
    <col min="13820" max="13820" width="9.140625" style="1287"/>
    <col min="13821" max="13821" width="96" style="1287" bestFit="1" customWidth="1"/>
    <col min="13822" max="13822" width="43.28515625" style="1287" bestFit="1" customWidth="1"/>
    <col min="13823" max="13823" width="44" style="1287" bestFit="1" customWidth="1"/>
    <col min="13824" max="13824" width="28" style="1287" bestFit="1" customWidth="1"/>
    <col min="13825" max="13825" width="9.140625" style="1287"/>
    <col min="13826" max="13829" width="9.140625" style="1287" customWidth="1"/>
    <col min="13830" max="14067" width="9.140625" style="1287"/>
    <col min="14068" max="14068" width="14.85546875" style="1287" bestFit="1" customWidth="1"/>
    <col min="14069" max="14069" width="16.42578125" style="1287" bestFit="1" customWidth="1"/>
    <col min="14070" max="14070" width="28.42578125" style="1287" bestFit="1" customWidth="1"/>
    <col min="14071" max="14071" width="45.5703125" style="1287" bestFit="1" customWidth="1"/>
    <col min="14072" max="14072" width="41.85546875" style="1287" bestFit="1" customWidth="1"/>
    <col min="14073" max="14073" width="12.28515625" style="1287" bestFit="1" customWidth="1"/>
    <col min="14074" max="14074" width="9.5703125" style="1287" customWidth="1"/>
    <col min="14075" max="14075" width="35.28515625" style="1287" customWidth="1"/>
    <col min="14076" max="14076" width="9.140625" style="1287"/>
    <col min="14077" max="14077" width="96" style="1287" bestFit="1" customWidth="1"/>
    <col min="14078" max="14078" width="43.28515625" style="1287" bestFit="1" customWidth="1"/>
    <col min="14079" max="14079" width="44" style="1287" bestFit="1" customWidth="1"/>
    <col min="14080" max="14080" width="28" style="1287" bestFit="1" customWidth="1"/>
    <col min="14081" max="14081" width="9.140625" style="1287"/>
    <col min="14082" max="14085" width="9.140625" style="1287" customWidth="1"/>
    <col min="14086" max="14323" width="9.140625" style="1287"/>
    <col min="14324" max="14324" width="14.85546875" style="1287" bestFit="1" customWidth="1"/>
    <col min="14325" max="14325" width="16.42578125" style="1287" bestFit="1" customWidth="1"/>
    <col min="14326" max="14326" width="28.42578125" style="1287" bestFit="1" customWidth="1"/>
    <col min="14327" max="14327" width="45.5703125" style="1287" bestFit="1" customWidth="1"/>
    <col min="14328" max="14328" width="41.85546875" style="1287" bestFit="1" customWidth="1"/>
    <col min="14329" max="14329" width="12.28515625" style="1287" bestFit="1" customWidth="1"/>
    <col min="14330" max="14330" width="9.5703125" style="1287" customWidth="1"/>
    <col min="14331" max="14331" width="35.28515625" style="1287" customWidth="1"/>
    <col min="14332" max="14332" width="9.140625" style="1287"/>
    <col min="14333" max="14333" width="96" style="1287" bestFit="1" customWidth="1"/>
    <col min="14334" max="14334" width="43.28515625" style="1287" bestFit="1" customWidth="1"/>
    <col min="14335" max="14335" width="44" style="1287" bestFit="1" customWidth="1"/>
    <col min="14336" max="14336" width="28" style="1287" bestFit="1" customWidth="1"/>
    <col min="14337" max="14337" width="9.140625" style="1287"/>
    <col min="14338" max="14341" width="9.140625" style="1287" customWidth="1"/>
    <col min="14342" max="14579" width="9.140625" style="1287"/>
    <col min="14580" max="14580" width="14.85546875" style="1287" bestFit="1" customWidth="1"/>
    <col min="14581" max="14581" width="16.42578125" style="1287" bestFit="1" customWidth="1"/>
    <col min="14582" max="14582" width="28.42578125" style="1287" bestFit="1" customWidth="1"/>
    <col min="14583" max="14583" width="45.5703125" style="1287" bestFit="1" customWidth="1"/>
    <col min="14584" max="14584" width="41.85546875" style="1287" bestFit="1" customWidth="1"/>
    <col min="14585" max="14585" width="12.28515625" style="1287" bestFit="1" customWidth="1"/>
    <col min="14586" max="14586" width="9.5703125" style="1287" customWidth="1"/>
    <col min="14587" max="14587" width="35.28515625" style="1287" customWidth="1"/>
    <col min="14588" max="14588" width="9.140625" style="1287"/>
    <col min="14589" max="14589" width="96" style="1287" bestFit="1" customWidth="1"/>
    <col min="14590" max="14590" width="43.28515625" style="1287" bestFit="1" customWidth="1"/>
    <col min="14591" max="14591" width="44" style="1287" bestFit="1" customWidth="1"/>
    <col min="14592" max="14592" width="28" style="1287" bestFit="1" customWidth="1"/>
    <col min="14593" max="14593" width="9.140625" style="1287"/>
    <col min="14594" max="14597" width="9.140625" style="1287" customWidth="1"/>
    <col min="14598" max="14835" width="9.140625" style="1287"/>
    <col min="14836" max="14836" width="14.85546875" style="1287" bestFit="1" customWidth="1"/>
    <col min="14837" max="14837" width="16.42578125" style="1287" bestFit="1" customWidth="1"/>
    <col min="14838" max="14838" width="28.42578125" style="1287" bestFit="1" customWidth="1"/>
    <col min="14839" max="14839" width="45.5703125" style="1287" bestFit="1" customWidth="1"/>
    <col min="14840" max="14840" width="41.85546875" style="1287" bestFit="1" customWidth="1"/>
    <col min="14841" max="14841" width="12.28515625" style="1287" bestFit="1" customWidth="1"/>
    <col min="14842" max="14842" width="9.5703125" style="1287" customWidth="1"/>
    <col min="14843" max="14843" width="35.28515625" style="1287" customWidth="1"/>
    <col min="14844" max="14844" width="9.140625" style="1287"/>
    <col min="14845" max="14845" width="96" style="1287" bestFit="1" customWidth="1"/>
    <col min="14846" max="14846" width="43.28515625" style="1287" bestFit="1" customWidth="1"/>
    <col min="14847" max="14847" width="44" style="1287" bestFit="1" customWidth="1"/>
    <col min="14848" max="14848" width="28" style="1287" bestFit="1" customWidth="1"/>
    <col min="14849" max="14849" width="9.140625" style="1287"/>
    <col min="14850" max="14853" width="9.140625" style="1287" customWidth="1"/>
    <col min="14854" max="15091" width="9.140625" style="1287"/>
    <col min="15092" max="15092" width="14.85546875" style="1287" bestFit="1" customWidth="1"/>
    <col min="15093" max="15093" width="16.42578125" style="1287" bestFit="1" customWidth="1"/>
    <col min="15094" max="15094" width="28.42578125" style="1287" bestFit="1" customWidth="1"/>
    <col min="15095" max="15095" width="45.5703125" style="1287" bestFit="1" customWidth="1"/>
    <col min="15096" max="15096" width="41.85546875" style="1287" bestFit="1" customWidth="1"/>
    <col min="15097" max="15097" width="12.28515625" style="1287" bestFit="1" customWidth="1"/>
    <col min="15098" max="15098" width="9.5703125" style="1287" customWidth="1"/>
    <col min="15099" max="15099" width="35.28515625" style="1287" customWidth="1"/>
    <col min="15100" max="15100" width="9.140625" style="1287"/>
    <col min="15101" max="15101" width="96" style="1287" bestFit="1" customWidth="1"/>
    <col min="15102" max="15102" width="43.28515625" style="1287" bestFit="1" customWidth="1"/>
    <col min="15103" max="15103" width="44" style="1287" bestFit="1" customWidth="1"/>
    <col min="15104" max="15104" width="28" style="1287" bestFit="1" customWidth="1"/>
    <col min="15105" max="15105" width="9.140625" style="1287"/>
    <col min="15106" max="15109" width="9.140625" style="1287" customWidth="1"/>
    <col min="15110" max="15347" width="9.140625" style="1287"/>
    <col min="15348" max="15348" width="14.85546875" style="1287" bestFit="1" customWidth="1"/>
    <col min="15349" max="15349" width="16.42578125" style="1287" bestFit="1" customWidth="1"/>
    <col min="15350" max="15350" width="28.42578125" style="1287" bestFit="1" customWidth="1"/>
    <col min="15351" max="15351" width="45.5703125" style="1287" bestFit="1" customWidth="1"/>
    <col min="15352" max="15352" width="41.85546875" style="1287" bestFit="1" customWidth="1"/>
    <col min="15353" max="15353" width="12.28515625" style="1287" bestFit="1" customWidth="1"/>
    <col min="15354" max="15354" width="9.5703125" style="1287" customWidth="1"/>
    <col min="15355" max="15355" width="35.28515625" style="1287" customWidth="1"/>
    <col min="15356" max="15356" width="9.140625" style="1287"/>
    <col min="15357" max="15357" width="96" style="1287" bestFit="1" customWidth="1"/>
    <col min="15358" max="15358" width="43.28515625" style="1287" bestFit="1" customWidth="1"/>
    <col min="15359" max="15359" width="44" style="1287" bestFit="1" customWidth="1"/>
    <col min="15360" max="15360" width="28" style="1287" bestFit="1" customWidth="1"/>
    <col min="15361" max="15361" width="9.140625" style="1287"/>
    <col min="15362" max="15365" width="9.140625" style="1287" customWidth="1"/>
    <col min="15366" max="15603" width="9.140625" style="1287"/>
    <col min="15604" max="15604" width="14.85546875" style="1287" bestFit="1" customWidth="1"/>
    <col min="15605" max="15605" width="16.42578125" style="1287" bestFit="1" customWidth="1"/>
    <col min="15606" max="15606" width="28.42578125" style="1287" bestFit="1" customWidth="1"/>
    <col min="15607" max="15607" width="45.5703125" style="1287" bestFit="1" customWidth="1"/>
    <col min="15608" max="15608" width="41.85546875" style="1287" bestFit="1" customWidth="1"/>
    <col min="15609" max="15609" width="12.28515625" style="1287" bestFit="1" customWidth="1"/>
    <col min="15610" max="15610" width="9.5703125" style="1287" customWidth="1"/>
    <col min="15611" max="15611" width="35.28515625" style="1287" customWidth="1"/>
    <col min="15612" max="15612" width="9.140625" style="1287"/>
    <col min="15613" max="15613" width="96" style="1287" bestFit="1" customWidth="1"/>
    <col min="15614" max="15614" width="43.28515625" style="1287" bestFit="1" customWidth="1"/>
    <col min="15615" max="15615" width="44" style="1287" bestFit="1" customWidth="1"/>
    <col min="15616" max="15616" width="28" style="1287" bestFit="1" customWidth="1"/>
    <col min="15617" max="15617" width="9.140625" style="1287"/>
    <col min="15618" max="15621" width="9.140625" style="1287" customWidth="1"/>
    <col min="15622" max="15859" width="9.140625" style="1287"/>
    <col min="15860" max="15860" width="14.85546875" style="1287" bestFit="1" customWidth="1"/>
    <col min="15861" max="15861" width="16.42578125" style="1287" bestFit="1" customWidth="1"/>
    <col min="15862" max="15862" width="28.42578125" style="1287" bestFit="1" customWidth="1"/>
    <col min="15863" max="15863" width="45.5703125" style="1287" bestFit="1" customWidth="1"/>
    <col min="15864" max="15864" width="41.85546875" style="1287" bestFit="1" customWidth="1"/>
    <col min="15865" max="15865" width="12.28515625" style="1287" bestFit="1" customWidth="1"/>
    <col min="15866" max="15866" width="9.5703125" style="1287" customWidth="1"/>
    <col min="15867" max="15867" width="35.28515625" style="1287" customWidth="1"/>
    <col min="15868" max="15868" width="9.140625" style="1287"/>
    <col min="15869" max="15869" width="96" style="1287" bestFit="1" customWidth="1"/>
    <col min="15870" max="15870" width="43.28515625" style="1287" bestFit="1" customWidth="1"/>
    <col min="15871" max="15871" width="44" style="1287" bestFit="1" customWidth="1"/>
    <col min="15872" max="15872" width="28" style="1287" bestFit="1" customWidth="1"/>
    <col min="15873" max="15873" width="9.140625" style="1287"/>
    <col min="15874" max="15877" width="9.140625" style="1287" customWidth="1"/>
    <col min="15878" max="16384" width="9.140625" style="1287"/>
  </cols>
  <sheetData>
    <row r="2" spans="2:20" s="2616" customFormat="1">
      <c r="B2" s="2615" t="s">
        <v>970</v>
      </c>
    </row>
    <row r="3" spans="2:20" s="2616" customFormat="1" ht="13.5" thickBot="1">
      <c r="I3" s="2617">
        <v>2023</v>
      </c>
      <c r="O3" s="2617">
        <v>2024</v>
      </c>
    </row>
    <row r="4" spans="2:20" s="2616" customFormat="1">
      <c r="B4" s="2618" t="s">
        <v>630</v>
      </c>
      <c r="C4" s="2619">
        <v>2018</v>
      </c>
      <c r="D4" s="2619">
        <v>2019</v>
      </c>
      <c r="E4" s="2619">
        <v>2020</v>
      </c>
      <c r="F4" s="2620">
        <v>2021</v>
      </c>
      <c r="G4" s="2621" t="s">
        <v>26</v>
      </c>
      <c r="I4" s="2618" t="s">
        <v>630</v>
      </c>
      <c r="J4" s="2619">
        <v>2018</v>
      </c>
      <c r="K4" s="2619">
        <v>2019</v>
      </c>
      <c r="L4" s="2619">
        <v>2020</v>
      </c>
      <c r="M4" s="2620">
        <v>2021</v>
      </c>
      <c r="N4" s="2621" t="s">
        <v>26</v>
      </c>
      <c r="O4" s="2618" t="str">
        <f>I4</f>
        <v>Bottled</v>
      </c>
      <c r="P4" s="2619">
        <v>2018</v>
      </c>
      <c r="Q4" s="2619">
        <v>2019</v>
      </c>
      <c r="R4" s="2619">
        <v>2020</v>
      </c>
      <c r="S4" s="2620">
        <v>2021</v>
      </c>
      <c r="T4" s="2621" t="s">
        <v>26</v>
      </c>
    </row>
    <row r="5" spans="2:20" s="2616" customFormat="1">
      <c r="B5" s="2622" t="s">
        <v>196</v>
      </c>
      <c r="C5" s="2623">
        <f>'Inv. start wine'!F50</f>
        <v>0</v>
      </c>
      <c r="D5" s="2623">
        <v>648</v>
      </c>
      <c r="E5" s="2623">
        <v>2592</v>
      </c>
      <c r="F5" s="2624">
        <f>F75</f>
        <v>2342</v>
      </c>
      <c r="G5" s="2625">
        <f>SUM(C5:F5)</f>
        <v>5582</v>
      </c>
      <c r="I5" s="2622" t="s">
        <v>196</v>
      </c>
      <c r="J5" s="2623">
        <f>'Inv. start wine'!C5</f>
        <v>0</v>
      </c>
      <c r="K5" s="2623">
        <f>'Inv. start wine'!D5</f>
        <v>648</v>
      </c>
      <c r="L5" s="2623">
        <f>'Inv. start wine'!E5</f>
        <v>2592</v>
      </c>
      <c r="M5" s="2623">
        <f>'Inv. start wine'!F5</f>
        <v>2342</v>
      </c>
      <c r="N5" s="2625">
        <f>SUM(J5:M5)</f>
        <v>5582</v>
      </c>
      <c r="O5" s="2622" t="s">
        <v>196</v>
      </c>
      <c r="P5" s="2623">
        <f t="shared" ref="P5:S9" si="0">C5-J5</f>
        <v>0</v>
      </c>
      <c r="Q5" s="2623">
        <f t="shared" si="0"/>
        <v>0</v>
      </c>
      <c r="R5" s="2623">
        <f t="shared" si="0"/>
        <v>0</v>
      </c>
      <c r="S5" s="2623">
        <f t="shared" si="0"/>
        <v>0</v>
      </c>
      <c r="T5" s="2625">
        <f>SUM(P5:S5)</f>
        <v>0</v>
      </c>
    </row>
    <row r="6" spans="2:20" s="2616" customFormat="1">
      <c r="B6" s="2622" t="s">
        <v>198</v>
      </c>
      <c r="C6" s="2623">
        <f>'Inv. start wine'!F51</f>
        <v>0</v>
      </c>
      <c r="D6" s="2623">
        <f>'Inv. start wine'!F59</f>
        <v>0</v>
      </c>
      <c r="E6" s="2623">
        <v>7776</v>
      </c>
      <c r="F6" s="2624"/>
      <c r="G6" s="2625">
        <f>SUM(C6:F6)</f>
        <v>7776</v>
      </c>
      <c r="I6" s="2622" t="s">
        <v>198</v>
      </c>
      <c r="J6" s="2623">
        <f>'Inv. start wine'!C6</f>
        <v>0</v>
      </c>
      <c r="K6" s="2623">
        <f>'Inv. start wine'!D6</f>
        <v>0</v>
      </c>
      <c r="L6" s="2623">
        <f>'Inv. start wine'!E6</f>
        <v>7776</v>
      </c>
      <c r="M6" s="2624">
        <f>'Inv. start wine'!F6</f>
        <v>0</v>
      </c>
      <c r="N6" s="2625">
        <f>SUM(J6:M6)</f>
        <v>7776</v>
      </c>
      <c r="O6" s="2622" t="s">
        <v>198</v>
      </c>
      <c r="P6" s="2623">
        <f t="shared" si="0"/>
        <v>0</v>
      </c>
      <c r="Q6" s="2623">
        <f t="shared" si="0"/>
        <v>0</v>
      </c>
      <c r="R6" s="2623">
        <f t="shared" si="0"/>
        <v>0</v>
      </c>
      <c r="S6" s="2623">
        <f t="shared" si="0"/>
        <v>0</v>
      </c>
      <c r="T6" s="2625">
        <f>SUM(P6:S6)</f>
        <v>0</v>
      </c>
    </row>
    <row r="7" spans="2:20" s="2616" customFormat="1">
      <c r="B7" s="2622" t="str">
        <f>'Inv. start wine'!B35</f>
        <v>Classic</v>
      </c>
      <c r="C7" s="2623">
        <f>'Inv. start wine'!F52</f>
        <v>21582</v>
      </c>
      <c r="D7" s="2623">
        <f>'Inv. start wine'!F60</f>
        <v>0</v>
      </c>
      <c r="E7" s="2623">
        <f>'Inv. start wine'!F69</f>
        <v>0</v>
      </c>
      <c r="F7" s="2624"/>
      <c r="G7" s="2625">
        <f>SUM(C7:F7)</f>
        <v>21582</v>
      </c>
      <c r="I7" s="2622" t="str">
        <f>B7</f>
        <v>Classic</v>
      </c>
      <c r="J7" s="2623">
        <f>'Inv. start wine'!C7</f>
        <v>21582</v>
      </c>
      <c r="K7" s="2623">
        <f>'Inv. start wine'!D7</f>
        <v>0</v>
      </c>
      <c r="L7" s="2623">
        <f>'Inv. start wine'!E7</f>
        <v>0</v>
      </c>
      <c r="M7" s="2624">
        <f>'Inv. start wine'!F7</f>
        <v>0</v>
      </c>
      <c r="N7" s="2625">
        <f>SUM(J7:M7)</f>
        <v>21582</v>
      </c>
      <c r="O7" s="2622" t="str">
        <f>I7</f>
        <v>Classic</v>
      </c>
      <c r="P7" s="2623">
        <f t="shared" si="0"/>
        <v>0</v>
      </c>
      <c r="Q7" s="2623">
        <f t="shared" si="0"/>
        <v>0</v>
      </c>
      <c r="R7" s="2623">
        <f t="shared" si="0"/>
        <v>0</v>
      </c>
      <c r="S7" s="2623">
        <f t="shared" si="0"/>
        <v>0</v>
      </c>
      <c r="T7" s="2625">
        <f>SUM(P7:S7)</f>
        <v>0</v>
      </c>
    </row>
    <row r="8" spans="2:20" s="2616" customFormat="1">
      <c r="B8" s="2622" t="str">
        <f>'Inv. start wine'!B39</f>
        <v>Premium</v>
      </c>
      <c r="C8" s="2623">
        <f>'Inv. start wine'!F53</f>
        <v>7248</v>
      </c>
      <c r="D8" s="2623">
        <f>'Inv. start wine'!F61</f>
        <v>14682</v>
      </c>
      <c r="E8" s="2623">
        <f>'Inv. start wine'!F70</f>
        <v>0</v>
      </c>
      <c r="F8" s="2624"/>
      <c r="G8" s="2625">
        <f>SUM(C8:F8)</f>
        <v>21930</v>
      </c>
      <c r="I8" s="2622" t="str">
        <f>B8</f>
        <v>Premium</v>
      </c>
      <c r="J8" s="2623">
        <f>'Inv. start wine'!C8</f>
        <v>7248</v>
      </c>
      <c r="K8" s="2623">
        <f>'Inv. start wine'!D8</f>
        <v>14682</v>
      </c>
      <c r="L8" s="2623">
        <f>'Inv. start wine'!E8</f>
        <v>0</v>
      </c>
      <c r="M8" s="2624">
        <f>'Inv. start wine'!F8</f>
        <v>0</v>
      </c>
      <c r="N8" s="2625">
        <f>SUM(J8:M8)</f>
        <v>21930</v>
      </c>
      <c r="O8" s="2622" t="str">
        <f>I8</f>
        <v>Premium</v>
      </c>
      <c r="P8" s="2623">
        <f t="shared" si="0"/>
        <v>0</v>
      </c>
      <c r="Q8" s="2623">
        <f t="shared" si="0"/>
        <v>0</v>
      </c>
      <c r="R8" s="2623">
        <f t="shared" si="0"/>
        <v>0</v>
      </c>
      <c r="S8" s="2623">
        <f t="shared" si="0"/>
        <v>0</v>
      </c>
      <c r="T8" s="2625">
        <f>SUM(P8:S8)</f>
        <v>0</v>
      </c>
    </row>
    <row r="9" spans="2:20" s="2616" customFormat="1">
      <c r="B9" s="2622" t="str">
        <f>'Inv. start wine'!B42</f>
        <v>Selection individuelle</v>
      </c>
      <c r="C9" s="2626">
        <f>'Inv. start wine'!F54</f>
        <v>1198</v>
      </c>
      <c r="D9" s="2626">
        <f>'Inv. start wine'!F62</f>
        <v>2446.6666666666665</v>
      </c>
      <c r="E9" s="2626">
        <f>'Inv. start wine'!F71</f>
        <v>0</v>
      </c>
      <c r="F9" s="2627"/>
      <c r="G9" s="2628">
        <f>SUM(C9:F9)</f>
        <v>3644.6666666666665</v>
      </c>
      <c r="I9" s="2622" t="str">
        <f>B9</f>
        <v>Selection individuelle</v>
      </c>
      <c r="J9" s="2626">
        <f>'Inv. start wine'!C9</f>
        <v>1198</v>
      </c>
      <c r="K9" s="2626">
        <f>'Inv. start wine'!D9</f>
        <v>2446.6666666666665</v>
      </c>
      <c r="L9" s="2626">
        <f>'Inv. start wine'!E9</f>
        <v>0</v>
      </c>
      <c r="M9" s="2627">
        <f>'Inv. start wine'!F9</f>
        <v>0</v>
      </c>
      <c r="N9" s="2628">
        <f>SUM(J9:M9)</f>
        <v>3644.6666666666665</v>
      </c>
      <c r="O9" s="2622" t="str">
        <f>I9</f>
        <v>Selection individuelle</v>
      </c>
      <c r="P9" s="2623">
        <f t="shared" si="0"/>
        <v>0</v>
      </c>
      <c r="Q9" s="2623">
        <f t="shared" si="0"/>
        <v>0</v>
      </c>
      <c r="R9" s="2623">
        <f t="shared" si="0"/>
        <v>0</v>
      </c>
      <c r="S9" s="2623">
        <f t="shared" si="0"/>
        <v>0</v>
      </c>
      <c r="T9" s="2628">
        <f>SUM(P9:S9)</f>
        <v>0</v>
      </c>
    </row>
    <row r="10" spans="2:20" s="2616" customFormat="1" ht="13.5" thickBot="1">
      <c r="B10" s="2629"/>
      <c r="C10" s="2630">
        <f>SUM(C5:C9)</f>
        <v>30028</v>
      </c>
      <c r="D10" s="2630">
        <f>SUM(D5:D9)</f>
        <v>17776.666666666668</v>
      </c>
      <c r="E10" s="2630">
        <f>SUM(E5:E9)</f>
        <v>10368</v>
      </c>
      <c r="F10" s="2631">
        <f>SUM(F5:F9)</f>
        <v>2342</v>
      </c>
      <c r="G10" s="2632">
        <f>SUM(G5:G9)</f>
        <v>60514.666666666664</v>
      </c>
      <c r="I10" s="2629"/>
      <c r="J10" s="2630">
        <f>SUM(J5:J9)</f>
        <v>30028</v>
      </c>
      <c r="K10" s="2630">
        <f>SUM(K5:K9)</f>
        <v>17776.666666666668</v>
      </c>
      <c r="L10" s="2630">
        <f>SUM(L5:L9)</f>
        <v>10368</v>
      </c>
      <c r="M10" s="2630">
        <f>SUM(M5:M9)</f>
        <v>2342</v>
      </c>
      <c r="N10" s="2632">
        <f>SUM(N5:N9)</f>
        <v>60514.666666666664</v>
      </c>
      <c r="O10" s="2629"/>
      <c r="P10" s="2630">
        <f>SUM(P5:P9)</f>
        <v>0</v>
      </c>
      <c r="Q10" s="2630">
        <f>SUM(Q5:Q9)</f>
        <v>0</v>
      </c>
      <c r="R10" s="2630">
        <f>SUM(R5:R9)</f>
        <v>0</v>
      </c>
      <c r="S10" s="2631">
        <f>SUM(S5:S9)</f>
        <v>0</v>
      </c>
      <c r="T10" s="2632">
        <f>SUM(T5:T9)</f>
        <v>0</v>
      </c>
    </row>
    <row r="11" spans="2:20" s="2616" customFormat="1" ht="13.5" thickBot="1">
      <c r="C11" s="2633"/>
      <c r="D11" s="2633"/>
      <c r="E11" s="2633"/>
      <c r="F11" s="2633"/>
      <c r="J11" s="2633"/>
      <c r="K11" s="2633"/>
      <c r="L11" s="2633"/>
      <c r="M11" s="2633"/>
      <c r="P11" s="2633"/>
      <c r="Q11" s="2633"/>
      <c r="R11" s="2633"/>
      <c r="S11" s="2633"/>
    </row>
    <row r="12" spans="2:20" s="2616" customFormat="1">
      <c r="B12" s="2618" t="s">
        <v>969</v>
      </c>
      <c r="C12" s="2619">
        <v>2018</v>
      </c>
      <c r="D12" s="2619">
        <v>2019</v>
      </c>
      <c r="E12" s="2619">
        <v>2020</v>
      </c>
      <c r="F12" s="2620">
        <v>2021</v>
      </c>
      <c r="G12" s="2621" t="s">
        <v>26</v>
      </c>
      <c r="I12" s="2618" t="s">
        <v>969</v>
      </c>
      <c r="J12" s="2619">
        <v>2018</v>
      </c>
      <c r="K12" s="2619">
        <v>2019</v>
      </c>
      <c r="L12" s="2619">
        <v>2020</v>
      </c>
      <c r="M12" s="2620">
        <v>2021</v>
      </c>
      <c r="N12" s="2621" t="s">
        <v>26</v>
      </c>
      <c r="O12" s="2618" t="s">
        <v>969</v>
      </c>
      <c r="P12" s="2619">
        <v>2018</v>
      </c>
      <c r="Q12" s="2619">
        <v>2019</v>
      </c>
      <c r="R12" s="2619">
        <v>2020</v>
      </c>
      <c r="S12" s="2620">
        <v>2021</v>
      </c>
      <c r="T12" s="2621" t="s">
        <v>26</v>
      </c>
    </row>
    <row r="13" spans="2:20" s="2616" customFormat="1">
      <c r="B13" s="2622" t="str">
        <f>B5</f>
        <v>White</v>
      </c>
      <c r="C13" s="2623"/>
      <c r="D13" s="2623"/>
      <c r="E13" s="2623"/>
      <c r="F13" s="2624">
        <f>J207</f>
        <v>0</v>
      </c>
      <c r="G13" s="2625">
        <f>SUM(C13:F13)</f>
        <v>0</v>
      </c>
      <c r="I13" s="2622" t="str">
        <f>I5</f>
        <v>White</v>
      </c>
      <c r="J13" s="2623">
        <f>'Inv. start wine'!C13</f>
        <v>0</v>
      </c>
      <c r="K13" s="2623">
        <f>'Inv. start wine'!D13</f>
        <v>0</v>
      </c>
      <c r="L13" s="2623">
        <f>'Inv. start wine'!E13</f>
        <v>0</v>
      </c>
      <c r="M13" s="2623">
        <f>'Inv. start wine'!F13</f>
        <v>0</v>
      </c>
      <c r="N13" s="2625">
        <f>SUM(J13:M13)</f>
        <v>0</v>
      </c>
      <c r="O13" s="2622" t="str">
        <f>O5</f>
        <v>White</v>
      </c>
      <c r="P13" s="2623">
        <f t="shared" ref="P13:S17" si="1">C13-J13</f>
        <v>0</v>
      </c>
      <c r="Q13" s="2623">
        <f t="shared" si="1"/>
        <v>0</v>
      </c>
      <c r="R13" s="2623">
        <f t="shared" si="1"/>
        <v>0</v>
      </c>
      <c r="S13" s="2623">
        <f t="shared" si="1"/>
        <v>0</v>
      </c>
      <c r="T13" s="2625">
        <f>SUM(P13:S13)</f>
        <v>0</v>
      </c>
    </row>
    <row r="14" spans="2:20" s="2616" customFormat="1">
      <c r="B14" s="2622" t="str">
        <f>B6</f>
        <v>Rose</v>
      </c>
      <c r="C14" s="2623"/>
      <c r="D14" s="2623"/>
      <c r="E14" s="2623"/>
      <c r="F14" s="2624">
        <f>J202</f>
        <v>5266.666666666667</v>
      </c>
      <c r="G14" s="2625">
        <f>SUM(C14:F14)</f>
        <v>5266.666666666667</v>
      </c>
      <c r="I14" s="2622" t="str">
        <f>I6</f>
        <v>Rose</v>
      </c>
      <c r="J14" s="2623">
        <f>'Inv. start wine'!C14</f>
        <v>0</v>
      </c>
      <c r="K14" s="2623">
        <f>'Inv. start wine'!D14</f>
        <v>0</v>
      </c>
      <c r="L14" s="2623">
        <f>'Inv. start wine'!E14</f>
        <v>0</v>
      </c>
      <c r="M14" s="2623">
        <f>'Inv. start wine'!F14</f>
        <v>5266.666666666667</v>
      </c>
      <c r="N14" s="2625">
        <f>SUM(J14:M14)</f>
        <v>5266.666666666667</v>
      </c>
      <c r="O14" s="2622" t="str">
        <f>O6</f>
        <v>Rose</v>
      </c>
      <c r="P14" s="2623">
        <f t="shared" si="1"/>
        <v>0</v>
      </c>
      <c r="Q14" s="2623">
        <f t="shared" si="1"/>
        <v>0</v>
      </c>
      <c r="R14" s="2623">
        <f t="shared" si="1"/>
        <v>0</v>
      </c>
      <c r="S14" s="2623">
        <f t="shared" si="1"/>
        <v>0</v>
      </c>
      <c r="T14" s="2625">
        <f>SUM(P14:S14)</f>
        <v>0</v>
      </c>
    </row>
    <row r="15" spans="2:20" s="2616" customFormat="1">
      <c r="B15" s="2622" t="str">
        <f>B7</f>
        <v>Classic</v>
      </c>
      <c r="C15" s="2623"/>
      <c r="D15" s="2623">
        <f>C178</f>
        <v>30210.666666666668</v>
      </c>
      <c r="E15" s="2623">
        <f>C215</f>
        <v>27666.666666666668</v>
      </c>
      <c r="F15" s="2624"/>
      <c r="G15" s="2625">
        <f>SUM(C15:F15)</f>
        <v>57877.333333333336</v>
      </c>
      <c r="I15" s="2622" t="str">
        <f>I7</f>
        <v>Classic</v>
      </c>
      <c r="J15" s="2623">
        <f>'Inv. start wine'!C15</f>
        <v>0</v>
      </c>
      <c r="K15" s="2623">
        <f>'Inv. start wine'!D15</f>
        <v>30210.666666666668</v>
      </c>
      <c r="L15" s="2623">
        <f>'Inv. start wine'!E15</f>
        <v>27666.666666666668</v>
      </c>
      <c r="M15" s="2623"/>
      <c r="N15" s="2625">
        <f>SUM(J15:M15)</f>
        <v>57877.333333333336</v>
      </c>
      <c r="O15" s="2622" t="str">
        <f>O7</f>
        <v>Classic</v>
      </c>
      <c r="P15" s="2623">
        <f t="shared" si="1"/>
        <v>0</v>
      </c>
      <c r="Q15" s="2623">
        <f t="shared" si="1"/>
        <v>0</v>
      </c>
      <c r="R15" s="2623">
        <f t="shared" si="1"/>
        <v>0</v>
      </c>
      <c r="S15" s="2623">
        <f t="shared" si="1"/>
        <v>0</v>
      </c>
      <c r="T15" s="2625">
        <f>SUM(P15:S15)</f>
        <v>0</v>
      </c>
    </row>
    <row r="16" spans="2:20" s="2616" customFormat="1">
      <c r="B16" s="2622" t="str">
        <f>B8</f>
        <v>Premium</v>
      </c>
      <c r="C16" s="2623"/>
      <c r="D16" s="2623"/>
      <c r="E16" s="2623">
        <f>J172</f>
        <v>12300</v>
      </c>
      <c r="F16" s="2624">
        <f>J197</f>
        <v>25200</v>
      </c>
      <c r="G16" s="2625">
        <f>SUM(C16:F16)</f>
        <v>37500</v>
      </c>
      <c r="I16" s="2622" t="str">
        <f>I8</f>
        <v>Premium</v>
      </c>
      <c r="J16" s="2623"/>
      <c r="K16" s="2623"/>
      <c r="L16" s="2623">
        <f>'Inv. start wine'!E16</f>
        <v>12300</v>
      </c>
      <c r="M16" s="2624"/>
      <c r="N16" s="2625">
        <f>SUM(J16:M16)</f>
        <v>12300</v>
      </c>
      <c r="O16" s="2622" t="str">
        <f>O8</f>
        <v>Premium</v>
      </c>
      <c r="P16" s="2623">
        <f t="shared" si="1"/>
        <v>0</v>
      </c>
      <c r="Q16" s="2623">
        <f t="shared" si="1"/>
        <v>0</v>
      </c>
      <c r="R16" s="2623">
        <f t="shared" si="1"/>
        <v>0</v>
      </c>
      <c r="S16" s="2623">
        <f>F16-M16</f>
        <v>25200</v>
      </c>
      <c r="T16" s="2625">
        <f>SUM(P16:S16)</f>
        <v>25200</v>
      </c>
    </row>
    <row r="17" spans="2:25" s="2616" customFormat="1">
      <c r="B17" s="2622" t="str">
        <f>B9</f>
        <v>Selection individuelle</v>
      </c>
      <c r="C17" s="2626"/>
      <c r="D17" s="2626"/>
      <c r="E17" s="2626"/>
      <c r="F17" s="2627"/>
      <c r="G17" s="2628">
        <f>SUM(C17:F17)</f>
        <v>0</v>
      </c>
      <c r="I17" s="2622" t="str">
        <f>I9</f>
        <v>Selection individuelle</v>
      </c>
      <c r="J17" s="2626"/>
      <c r="K17" s="2626"/>
      <c r="L17" s="2626"/>
      <c r="M17" s="2627"/>
      <c r="N17" s="2628">
        <f>SUM(J17:M17)</f>
        <v>0</v>
      </c>
      <c r="O17" s="2622" t="str">
        <f>O9</f>
        <v>Selection individuelle</v>
      </c>
      <c r="P17" s="2623">
        <f t="shared" si="1"/>
        <v>0</v>
      </c>
      <c r="Q17" s="2623">
        <f t="shared" si="1"/>
        <v>0</v>
      </c>
      <c r="R17" s="2623">
        <f t="shared" si="1"/>
        <v>0</v>
      </c>
      <c r="S17" s="2623">
        <f t="shared" si="1"/>
        <v>0</v>
      </c>
      <c r="T17" s="2628">
        <f>SUM(P17:S17)</f>
        <v>0</v>
      </c>
    </row>
    <row r="18" spans="2:25" s="2616" customFormat="1" ht="13.5" thickBot="1">
      <c r="B18" s="2629"/>
      <c r="C18" s="2630">
        <f>SUM(C13:C17)</f>
        <v>0</v>
      </c>
      <c r="D18" s="2630">
        <f>SUM(D13:D17)</f>
        <v>30210.666666666668</v>
      </c>
      <c r="E18" s="2630">
        <f>SUM(E13:E17)</f>
        <v>39966.666666666672</v>
      </c>
      <c r="F18" s="2631">
        <f>SUM(F13:F17)</f>
        <v>30466.666666666668</v>
      </c>
      <c r="G18" s="2632">
        <f>SUM(G13:G17)</f>
        <v>100644</v>
      </c>
      <c r="I18" s="2629"/>
      <c r="J18" s="2630">
        <f>SUM(J13:J17)</f>
        <v>0</v>
      </c>
      <c r="K18" s="2630">
        <f>SUM(K13:K17)</f>
        <v>30210.666666666668</v>
      </c>
      <c r="L18" s="2630">
        <f>SUM(L13:L17)</f>
        <v>39966.666666666672</v>
      </c>
      <c r="M18" s="2631">
        <f>SUM(M13:M17)</f>
        <v>5266.666666666667</v>
      </c>
      <c r="N18" s="2632">
        <f>SUM(N13:N17)</f>
        <v>75444</v>
      </c>
      <c r="O18" s="2629"/>
      <c r="P18" s="2630">
        <f>SUM(P13:P17)</f>
        <v>0</v>
      </c>
      <c r="Q18" s="2630">
        <f>SUM(Q13:Q17)</f>
        <v>0</v>
      </c>
      <c r="R18" s="2630">
        <f>SUM(R13:R17)</f>
        <v>0</v>
      </c>
      <c r="S18" s="2631">
        <f>SUM(S13:S17)</f>
        <v>25200</v>
      </c>
      <c r="T18" s="2632">
        <f>SUM(T13:T17)</f>
        <v>25200</v>
      </c>
    </row>
    <row r="19" spans="2:25" s="2616" customFormat="1" ht="13.5" thickBot="1">
      <c r="C19" s="2633"/>
      <c r="D19" s="2633"/>
      <c r="E19" s="2633"/>
      <c r="F19" s="2633"/>
      <c r="J19" s="2633"/>
      <c r="K19" s="2633"/>
      <c r="L19" s="2633"/>
      <c r="M19" s="2633"/>
      <c r="P19" s="2633"/>
      <c r="Q19" s="2633"/>
      <c r="R19" s="2633"/>
      <c r="S19" s="2633"/>
    </row>
    <row r="20" spans="2:25" s="2616" customFormat="1">
      <c r="B20" s="2618" t="s">
        <v>26</v>
      </c>
      <c r="C20" s="2619">
        <f>C12</f>
        <v>2018</v>
      </c>
      <c r="D20" s="2619">
        <f>D12</f>
        <v>2019</v>
      </c>
      <c r="E20" s="2619">
        <f>E12</f>
        <v>2020</v>
      </c>
      <c r="F20" s="2620">
        <f>F12</f>
        <v>2021</v>
      </c>
      <c r="G20" s="2621" t="s">
        <v>26</v>
      </c>
      <c r="I20" s="2618" t="s">
        <v>26</v>
      </c>
      <c r="J20" s="2619">
        <f>J12</f>
        <v>2018</v>
      </c>
      <c r="K20" s="2619">
        <f>K12</f>
        <v>2019</v>
      </c>
      <c r="L20" s="2619">
        <f>L12</f>
        <v>2020</v>
      </c>
      <c r="M20" s="2620">
        <f>M12</f>
        <v>2021</v>
      </c>
      <c r="N20" s="2621" t="s">
        <v>26</v>
      </c>
      <c r="O20" s="2618" t="s">
        <v>26</v>
      </c>
      <c r="P20" s="2619">
        <f>P12</f>
        <v>2018</v>
      </c>
      <c r="Q20" s="2619">
        <f>Q12</f>
        <v>2019</v>
      </c>
      <c r="R20" s="2619">
        <f>R12</f>
        <v>2020</v>
      </c>
      <c r="S20" s="2620">
        <f>S12</f>
        <v>2021</v>
      </c>
      <c r="T20" s="2621" t="s">
        <v>26</v>
      </c>
    </row>
    <row r="21" spans="2:25" s="2616" customFormat="1">
      <c r="B21" s="2622" t="str">
        <f>B13</f>
        <v>White</v>
      </c>
      <c r="C21" s="2623">
        <f t="shared" ref="C21:F25" si="2">C5+C13</f>
        <v>0</v>
      </c>
      <c r="D21" s="2623">
        <f t="shared" si="2"/>
        <v>648</v>
      </c>
      <c r="E21" s="2623">
        <f t="shared" si="2"/>
        <v>2592</v>
      </c>
      <c r="F21" s="2624">
        <f t="shared" si="2"/>
        <v>2342</v>
      </c>
      <c r="G21" s="2625">
        <f>SUM(C21:F21)</f>
        <v>5582</v>
      </c>
      <c r="I21" s="2622" t="str">
        <f>I13</f>
        <v>White</v>
      </c>
      <c r="J21" s="2623">
        <f>J5++J13</f>
        <v>0</v>
      </c>
      <c r="K21" s="2623">
        <f>K5++K13</f>
        <v>648</v>
      </c>
      <c r="L21" s="2623">
        <f>L5++L13</f>
        <v>2592</v>
      </c>
      <c r="M21" s="2623">
        <f>M5++M13</f>
        <v>2342</v>
      </c>
      <c r="N21" s="2625">
        <f>SUM(J21:M21)</f>
        <v>5582</v>
      </c>
      <c r="O21" s="2622" t="str">
        <f>O13</f>
        <v>White</v>
      </c>
      <c r="P21" s="2623">
        <f>P5+P13</f>
        <v>0</v>
      </c>
      <c r="Q21" s="2623">
        <f t="shared" ref="P21:S25" si="3">Q5+Q13</f>
        <v>0</v>
      </c>
      <c r="R21" s="2623">
        <f t="shared" si="3"/>
        <v>0</v>
      </c>
      <c r="S21" s="2624">
        <f t="shared" si="3"/>
        <v>0</v>
      </c>
      <c r="T21" s="2625">
        <f>SUM(P21:S21)</f>
        <v>0</v>
      </c>
    </row>
    <row r="22" spans="2:25" s="2616" customFormat="1">
      <c r="B22" s="2622" t="str">
        <f>B14</f>
        <v>Rose</v>
      </c>
      <c r="C22" s="2623">
        <f t="shared" si="2"/>
        <v>0</v>
      </c>
      <c r="D22" s="2623">
        <f t="shared" si="2"/>
        <v>0</v>
      </c>
      <c r="E22" s="2623">
        <f t="shared" si="2"/>
        <v>7776</v>
      </c>
      <c r="F22" s="2624">
        <f t="shared" si="2"/>
        <v>5266.666666666667</v>
      </c>
      <c r="G22" s="2625">
        <f>SUM(C22:F22)</f>
        <v>13042.666666666668</v>
      </c>
      <c r="I22" s="2622" t="str">
        <f>I14</f>
        <v>Rose</v>
      </c>
      <c r="J22" s="2623">
        <f t="shared" ref="J22:M25" si="4">J6++J14</f>
        <v>0</v>
      </c>
      <c r="K22" s="2623">
        <f t="shared" si="4"/>
        <v>0</v>
      </c>
      <c r="L22" s="2623">
        <f t="shared" si="4"/>
        <v>7776</v>
      </c>
      <c r="M22" s="2623">
        <f t="shared" si="4"/>
        <v>5266.666666666667</v>
      </c>
      <c r="N22" s="2625">
        <f>SUM(J22:M22)</f>
        <v>13042.666666666668</v>
      </c>
      <c r="O22" s="2622" t="str">
        <f>O14</f>
        <v>Rose</v>
      </c>
      <c r="P22" s="2623">
        <f t="shared" si="3"/>
        <v>0</v>
      </c>
      <c r="Q22" s="2623">
        <f t="shared" si="3"/>
        <v>0</v>
      </c>
      <c r="R22" s="2623">
        <f t="shared" si="3"/>
        <v>0</v>
      </c>
      <c r="S22" s="2624">
        <f t="shared" si="3"/>
        <v>0</v>
      </c>
      <c r="T22" s="2625">
        <f>SUM(P22:S22)</f>
        <v>0</v>
      </c>
    </row>
    <row r="23" spans="2:25" s="2616" customFormat="1">
      <c r="B23" s="2622" t="str">
        <f>B15</f>
        <v>Classic</v>
      </c>
      <c r="C23" s="2623">
        <f t="shared" si="2"/>
        <v>21582</v>
      </c>
      <c r="D23" s="2623">
        <f t="shared" si="2"/>
        <v>30210.666666666668</v>
      </c>
      <c r="E23" s="2623">
        <f t="shared" si="2"/>
        <v>27666.666666666668</v>
      </c>
      <c r="F23" s="2624">
        <f t="shared" si="2"/>
        <v>0</v>
      </c>
      <c r="G23" s="2625">
        <f>SUM(C23:F23)</f>
        <v>79459.333333333343</v>
      </c>
      <c r="I23" s="2622" t="str">
        <f>I15</f>
        <v>Classic</v>
      </c>
      <c r="J23" s="2623">
        <f t="shared" si="4"/>
        <v>21582</v>
      </c>
      <c r="K23" s="2623">
        <f t="shared" si="4"/>
        <v>30210.666666666668</v>
      </c>
      <c r="L23" s="2623">
        <f t="shared" si="4"/>
        <v>27666.666666666668</v>
      </c>
      <c r="M23" s="2623">
        <f t="shared" si="4"/>
        <v>0</v>
      </c>
      <c r="N23" s="2625">
        <f>SUM(J23:M23)</f>
        <v>79459.333333333343</v>
      </c>
      <c r="O23" s="2622" t="str">
        <f>O15</f>
        <v>Classic</v>
      </c>
      <c r="P23" s="2623">
        <f t="shared" si="3"/>
        <v>0</v>
      </c>
      <c r="Q23" s="2623">
        <f t="shared" si="3"/>
        <v>0</v>
      </c>
      <c r="R23" s="2623">
        <f t="shared" si="3"/>
        <v>0</v>
      </c>
      <c r="S23" s="2624">
        <f t="shared" si="3"/>
        <v>0</v>
      </c>
      <c r="T23" s="2625">
        <f>SUM(P23:S23)</f>
        <v>0</v>
      </c>
    </row>
    <row r="24" spans="2:25" s="2616" customFormat="1">
      <c r="B24" s="2622" t="str">
        <f>B16</f>
        <v>Premium</v>
      </c>
      <c r="C24" s="2623">
        <f t="shared" si="2"/>
        <v>7248</v>
      </c>
      <c r="D24" s="2623">
        <f t="shared" si="2"/>
        <v>14682</v>
      </c>
      <c r="E24" s="2623">
        <f t="shared" si="2"/>
        <v>12300</v>
      </c>
      <c r="F24" s="2624">
        <f t="shared" si="2"/>
        <v>25200</v>
      </c>
      <c r="G24" s="2625">
        <f>SUM(C24:F24)</f>
        <v>59430</v>
      </c>
      <c r="I24" s="2622" t="str">
        <f>I16</f>
        <v>Premium</v>
      </c>
      <c r="J24" s="2623">
        <f t="shared" si="4"/>
        <v>7248</v>
      </c>
      <c r="K24" s="2623">
        <f t="shared" si="4"/>
        <v>14682</v>
      </c>
      <c r="L24" s="2623">
        <f t="shared" si="4"/>
        <v>12300</v>
      </c>
      <c r="M24" s="2623">
        <f t="shared" si="4"/>
        <v>0</v>
      </c>
      <c r="N24" s="2625">
        <f>SUM(J24:M24)</f>
        <v>34230</v>
      </c>
      <c r="O24" s="2622" t="str">
        <f>O16</f>
        <v>Premium</v>
      </c>
      <c r="P24" s="2623">
        <f t="shared" si="3"/>
        <v>0</v>
      </c>
      <c r="Q24" s="2623">
        <f t="shared" si="3"/>
        <v>0</v>
      </c>
      <c r="R24" s="2623">
        <f t="shared" si="3"/>
        <v>0</v>
      </c>
      <c r="S24" s="2624">
        <f t="shared" si="3"/>
        <v>25200</v>
      </c>
      <c r="T24" s="2625">
        <f>SUM(P24:S24)</f>
        <v>25200</v>
      </c>
    </row>
    <row r="25" spans="2:25" s="2616" customFormat="1">
      <c r="B25" s="2622" t="str">
        <f>B9</f>
        <v>Selection individuelle</v>
      </c>
      <c r="C25" s="2626">
        <f t="shared" si="2"/>
        <v>1198</v>
      </c>
      <c r="D25" s="2626">
        <f t="shared" si="2"/>
        <v>2446.6666666666665</v>
      </c>
      <c r="E25" s="2626">
        <f t="shared" si="2"/>
        <v>0</v>
      </c>
      <c r="F25" s="2627">
        <f t="shared" si="2"/>
        <v>0</v>
      </c>
      <c r="G25" s="2628">
        <f>SUM(C25:F25)</f>
        <v>3644.6666666666665</v>
      </c>
      <c r="I25" s="2622" t="str">
        <f>I9</f>
        <v>Selection individuelle</v>
      </c>
      <c r="J25" s="2623">
        <f t="shared" si="4"/>
        <v>1198</v>
      </c>
      <c r="K25" s="2623">
        <f t="shared" si="4"/>
        <v>2446.6666666666665</v>
      </c>
      <c r="L25" s="2623">
        <f t="shared" si="4"/>
        <v>0</v>
      </c>
      <c r="M25" s="2623">
        <f t="shared" si="4"/>
        <v>0</v>
      </c>
      <c r="N25" s="2628">
        <f>SUM(J25:M25)</f>
        <v>3644.6666666666665</v>
      </c>
      <c r="O25" s="2622" t="str">
        <f>O9</f>
        <v>Selection individuelle</v>
      </c>
      <c r="P25" s="2626">
        <f t="shared" si="3"/>
        <v>0</v>
      </c>
      <c r="Q25" s="2626">
        <f t="shared" si="3"/>
        <v>0</v>
      </c>
      <c r="R25" s="2626">
        <f t="shared" si="3"/>
        <v>0</v>
      </c>
      <c r="S25" s="2627">
        <f t="shared" si="3"/>
        <v>0</v>
      </c>
      <c r="T25" s="2628">
        <f>SUM(P25:S25)</f>
        <v>0</v>
      </c>
    </row>
    <row r="26" spans="2:25" s="2616" customFormat="1" ht="13.5" thickBot="1">
      <c r="B26" s="2629"/>
      <c r="C26" s="2630">
        <f>SUM(C21:C25)</f>
        <v>30028</v>
      </c>
      <c r="D26" s="2630">
        <f>SUM(D22:D25)</f>
        <v>47339.333333333336</v>
      </c>
      <c r="E26" s="2630">
        <f>SUM(E22:E25)</f>
        <v>47742.666666666672</v>
      </c>
      <c r="F26" s="2631">
        <f>SUM(F22:F25)</f>
        <v>30466.666666666668</v>
      </c>
      <c r="G26" s="2632">
        <f>SUM(G21:G25)</f>
        <v>161158.66666666666</v>
      </c>
      <c r="I26" s="2629"/>
      <c r="J26" s="2630">
        <f>SUM(J21:J25)</f>
        <v>30028</v>
      </c>
      <c r="K26" s="2630">
        <f>SUM(K22:K25)</f>
        <v>47339.333333333336</v>
      </c>
      <c r="L26" s="2630">
        <f>SUM(L22:L25)</f>
        <v>47742.666666666672</v>
      </c>
      <c r="M26" s="2631">
        <f>SUM(M22:M25)</f>
        <v>5266.666666666667</v>
      </c>
      <c r="N26" s="2632">
        <f>SUM(N21:N25)</f>
        <v>135958.66666666666</v>
      </c>
      <c r="O26" s="2629"/>
      <c r="P26" s="2630">
        <f>SUM(P21:P25)</f>
        <v>0</v>
      </c>
      <c r="Q26" s="2630">
        <f>SUM(Q22:Q25)</f>
        <v>0</v>
      </c>
      <c r="R26" s="2630">
        <f>SUM(R22:R25)</f>
        <v>0</v>
      </c>
      <c r="S26" s="2631">
        <f>SUM(S22:S25)</f>
        <v>25200</v>
      </c>
      <c r="T26" s="2632">
        <f>SUM(T21:T25)</f>
        <v>25200</v>
      </c>
    </row>
    <row r="27" spans="2:25" s="2616" customFormat="1" ht="13.5" thickBot="1"/>
    <row r="28" spans="2:25">
      <c r="B28" s="1526" t="s">
        <v>968</v>
      </c>
      <c r="C28" s="879"/>
      <c r="D28" s="1726"/>
      <c r="E28" s="1726"/>
      <c r="F28" s="1726"/>
      <c r="G28" s="1726"/>
      <c r="H28" s="1726"/>
      <c r="I28" s="1726"/>
      <c r="J28" s="1726"/>
      <c r="K28" s="1726"/>
      <c r="L28" s="1726"/>
      <c r="M28" s="1726"/>
      <c r="N28" s="1726"/>
      <c r="O28" s="1726"/>
      <c r="P28" s="1726"/>
      <c r="Q28" s="1726"/>
      <c r="R28" s="1726"/>
      <c r="S28" s="1727"/>
    </row>
    <row r="29" spans="2:25" ht="13.5" thickBot="1">
      <c r="B29" s="1037"/>
      <c r="C29" s="882"/>
      <c r="S29" s="1467"/>
    </row>
    <row r="30" spans="2:25" ht="13.5" thickBot="1">
      <c r="B30" s="1037"/>
      <c r="C30" s="882"/>
      <c r="I30" s="1526" t="s">
        <v>586</v>
      </c>
      <c r="J30" s="1726"/>
      <c r="K30" s="1726"/>
      <c r="L30" s="1726"/>
      <c r="M30" s="1726"/>
      <c r="N30" s="1726"/>
      <c r="O30" s="1726"/>
      <c r="P30" s="1726"/>
      <c r="Q30" s="1726"/>
      <c r="R30" s="1726"/>
      <c r="S30" s="1727"/>
    </row>
    <row r="31" spans="2:25" ht="13.5" thickBot="1">
      <c r="B31" s="2304" t="s">
        <v>193</v>
      </c>
      <c r="C31" s="2305" t="s">
        <v>194</v>
      </c>
      <c r="D31" s="2305" t="s">
        <v>147</v>
      </c>
      <c r="E31" s="2306" t="s">
        <v>26</v>
      </c>
      <c r="F31" s="2306" t="s">
        <v>195</v>
      </c>
      <c r="G31" s="2307" t="s">
        <v>184</v>
      </c>
      <c r="I31" s="2634">
        <v>2019</v>
      </c>
      <c r="J31" s="1726"/>
      <c r="K31" s="1726"/>
      <c r="L31" s="1726"/>
      <c r="M31" s="1727"/>
      <c r="O31" s="2634">
        <v>2020</v>
      </c>
      <c r="P31" s="1726"/>
      <c r="Q31" s="1726"/>
      <c r="R31" s="1726"/>
      <c r="S31" s="1727"/>
      <c r="U31" s="2634">
        <v>2021</v>
      </c>
      <c r="V31" s="1726"/>
      <c r="W31" s="1726"/>
      <c r="X31" s="1726"/>
      <c r="Y31" s="1727"/>
    </row>
    <row r="32" spans="2:25">
      <c r="B32" s="2315" t="s">
        <v>196</v>
      </c>
      <c r="C32" s="2316" t="s">
        <v>214</v>
      </c>
      <c r="D32" s="2317">
        <v>1</v>
      </c>
      <c r="E32" s="2306">
        <v>1</v>
      </c>
      <c r="F32" s="2635">
        <v>1</v>
      </c>
      <c r="G32" s="2636" t="s">
        <v>197</v>
      </c>
      <c r="I32" s="2637" t="s">
        <v>202</v>
      </c>
      <c r="J32" s="2638" t="s">
        <v>956</v>
      </c>
      <c r="K32" s="2638" t="s">
        <v>967</v>
      </c>
      <c r="L32" s="2638" t="s">
        <v>955</v>
      </c>
      <c r="M32" s="2639" t="s">
        <v>953</v>
      </c>
      <c r="O32" s="2637" t="s">
        <v>202</v>
      </c>
      <c r="P32" s="2638" t="s">
        <v>956</v>
      </c>
      <c r="Q32" s="2638" t="s">
        <v>967</v>
      </c>
      <c r="R32" s="2638" t="s">
        <v>955</v>
      </c>
      <c r="S32" s="2639" t="s">
        <v>953</v>
      </c>
      <c r="U32" s="2637" t="s">
        <v>202</v>
      </c>
      <c r="V32" s="2638" t="s">
        <v>956</v>
      </c>
      <c r="W32" s="2638" t="s">
        <v>967</v>
      </c>
      <c r="X32" s="2638" t="s">
        <v>955</v>
      </c>
      <c r="Y32" s="2639" t="s">
        <v>953</v>
      </c>
    </row>
    <row r="33" spans="2:25">
      <c r="B33" s="2325" t="s">
        <v>198</v>
      </c>
      <c r="C33" s="2326" t="s">
        <v>199</v>
      </c>
      <c r="D33" s="2640">
        <v>0.3</v>
      </c>
      <c r="E33" s="2328"/>
      <c r="F33" s="2641">
        <v>1</v>
      </c>
      <c r="G33" s="2642" t="s">
        <v>197</v>
      </c>
      <c r="I33" s="1992">
        <v>9</v>
      </c>
      <c r="J33" s="2643">
        <v>2019</v>
      </c>
      <c r="K33" s="2644" t="s">
        <v>964</v>
      </c>
      <c r="L33" s="2645">
        <v>225</v>
      </c>
      <c r="M33" s="2646" t="s">
        <v>548</v>
      </c>
      <c r="O33" s="1992">
        <v>1</v>
      </c>
      <c r="P33" s="2647">
        <v>2020</v>
      </c>
      <c r="Q33" s="2647" t="s">
        <v>957</v>
      </c>
      <c r="R33" s="2648">
        <v>225</v>
      </c>
      <c r="S33" s="2649" t="s">
        <v>210</v>
      </c>
      <c r="U33" s="1992">
        <v>74</v>
      </c>
      <c r="V33" s="2647">
        <v>2021</v>
      </c>
      <c r="W33" s="2647" t="s">
        <v>1206</v>
      </c>
      <c r="X33" s="2648">
        <v>225</v>
      </c>
      <c r="Y33" s="2649" t="s">
        <v>204</v>
      </c>
    </row>
    <row r="34" spans="2:25">
      <c r="B34" s="2333"/>
      <c r="C34" s="2334" t="s">
        <v>200</v>
      </c>
      <c r="D34" s="2650">
        <v>0.7</v>
      </c>
      <c r="E34" s="2336">
        <f>SUM(D33:D34)</f>
        <v>1</v>
      </c>
      <c r="F34" s="2651"/>
      <c r="G34" s="2652"/>
      <c r="I34" s="1992">
        <v>10</v>
      </c>
      <c r="J34" s="2643">
        <v>2019</v>
      </c>
      <c r="K34" s="2644" t="s">
        <v>964</v>
      </c>
      <c r="L34" s="2645">
        <v>225</v>
      </c>
      <c r="M34" s="2646" t="s">
        <v>966</v>
      </c>
      <c r="O34" s="1992">
        <v>2</v>
      </c>
      <c r="P34" s="2643">
        <v>2020</v>
      </c>
      <c r="Q34" s="2653" t="s">
        <v>957</v>
      </c>
      <c r="R34" s="2645">
        <v>225</v>
      </c>
      <c r="S34" s="2654" t="s">
        <v>210</v>
      </c>
      <c r="U34" s="1992">
        <v>75</v>
      </c>
      <c r="V34" s="2644">
        <v>2021</v>
      </c>
      <c r="W34" s="2644" t="s">
        <v>1206</v>
      </c>
      <c r="X34" s="2645">
        <v>225</v>
      </c>
      <c r="Y34" s="2654" t="s">
        <v>211</v>
      </c>
    </row>
    <row r="35" spans="2:25">
      <c r="B35" s="2325" t="s">
        <v>201</v>
      </c>
      <c r="C35" s="2326" t="s">
        <v>200</v>
      </c>
      <c r="D35" s="2640">
        <v>0.5</v>
      </c>
      <c r="E35" s="2328"/>
      <c r="F35" s="2641">
        <v>2</v>
      </c>
      <c r="G35" s="2642" t="s">
        <v>202</v>
      </c>
      <c r="I35" s="1992">
        <v>11</v>
      </c>
      <c r="J35" s="2643">
        <v>2019</v>
      </c>
      <c r="K35" s="2644" t="s">
        <v>964</v>
      </c>
      <c r="L35" s="2645">
        <v>225</v>
      </c>
      <c r="M35" s="2646" t="s">
        <v>966</v>
      </c>
      <c r="O35" s="1992">
        <v>3</v>
      </c>
      <c r="P35" s="2643">
        <v>2020</v>
      </c>
      <c r="Q35" s="2653" t="s">
        <v>957</v>
      </c>
      <c r="R35" s="2645">
        <v>225</v>
      </c>
      <c r="S35" s="2654" t="s">
        <v>210</v>
      </c>
      <c r="U35" s="1992">
        <v>76</v>
      </c>
      <c r="V35" s="2644">
        <v>2021</v>
      </c>
      <c r="W35" s="2644" t="s">
        <v>1206</v>
      </c>
      <c r="X35" s="2645">
        <v>225</v>
      </c>
      <c r="Y35" s="2654" t="s">
        <v>211</v>
      </c>
    </row>
    <row r="36" spans="2:25">
      <c r="B36" s="2343"/>
      <c r="C36" s="2344" t="s">
        <v>199</v>
      </c>
      <c r="D36" s="2655">
        <v>0.15</v>
      </c>
      <c r="E36" s="2346"/>
      <c r="F36" s="2656"/>
      <c r="G36" s="2657"/>
      <c r="I36" s="1992">
        <v>12</v>
      </c>
      <c r="J36" s="2643">
        <v>2019</v>
      </c>
      <c r="K36" s="2644" t="s">
        <v>964</v>
      </c>
      <c r="L36" s="2645">
        <v>225</v>
      </c>
      <c r="M36" s="2646" t="s">
        <v>966</v>
      </c>
      <c r="O36" s="1992">
        <v>4</v>
      </c>
      <c r="P36" s="2643">
        <v>2020</v>
      </c>
      <c r="Q36" s="2653" t="s">
        <v>957</v>
      </c>
      <c r="R36" s="2645">
        <v>225</v>
      </c>
      <c r="S36" s="2646" t="s">
        <v>959</v>
      </c>
      <c r="U36" s="1992">
        <v>77</v>
      </c>
      <c r="V36" s="2644">
        <v>2021</v>
      </c>
      <c r="W36" s="2644" t="s">
        <v>1206</v>
      </c>
      <c r="X36" s="2645">
        <v>225</v>
      </c>
      <c r="Y36" s="2646" t="s">
        <v>211</v>
      </c>
    </row>
    <row r="37" spans="2:25">
      <c r="B37" s="2343"/>
      <c r="C37" s="2344" t="s">
        <v>203</v>
      </c>
      <c r="D37" s="2655">
        <v>0.2</v>
      </c>
      <c r="E37" s="2346"/>
      <c r="F37" s="2656"/>
      <c r="G37" s="2657"/>
      <c r="I37" s="1992">
        <v>13</v>
      </c>
      <c r="J37" s="2643">
        <v>2019</v>
      </c>
      <c r="K37" s="2644" t="s">
        <v>964</v>
      </c>
      <c r="L37" s="2645">
        <v>225</v>
      </c>
      <c r="M37" s="2646" t="s">
        <v>966</v>
      </c>
      <c r="O37" s="1992">
        <v>5</v>
      </c>
      <c r="P37" s="2643">
        <v>2020</v>
      </c>
      <c r="Q37" s="2653" t="s">
        <v>957</v>
      </c>
      <c r="R37" s="2645">
        <v>225</v>
      </c>
      <c r="S37" s="2646" t="s">
        <v>959</v>
      </c>
      <c r="U37" s="1992">
        <v>78</v>
      </c>
      <c r="V37" s="2644">
        <v>2021</v>
      </c>
      <c r="W37" s="2644" t="s">
        <v>1206</v>
      </c>
      <c r="X37" s="2645">
        <v>225</v>
      </c>
      <c r="Y37" s="2646" t="s">
        <v>211</v>
      </c>
    </row>
    <row r="38" spans="2:25">
      <c r="B38" s="2333"/>
      <c r="C38" s="2334" t="s">
        <v>204</v>
      </c>
      <c r="D38" s="2658">
        <v>0.15</v>
      </c>
      <c r="E38" s="2336">
        <f>SUM(D35:D38)</f>
        <v>1</v>
      </c>
      <c r="F38" s="2651"/>
      <c r="G38" s="2652"/>
      <c r="I38" s="1992">
        <v>14</v>
      </c>
      <c r="J38" s="2643">
        <v>2019</v>
      </c>
      <c r="K38" s="2644" t="s">
        <v>964</v>
      </c>
      <c r="L38" s="2645">
        <v>225</v>
      </c>
      <c r="M38" s="2646" t="s">
        <v>966</v>
      </c>
      <c r="O38" s="1992">
        <v>6</v>
      </c>
      <c r="P38" s="2643">
        <v>2020</v>
      </c>
      <c r="Q38" s="2653" t="s">
        <v>957</v>
      </c>
      <c r="R38" s="2645">
        <v>225</v>
      </c>
      <c r="S38" s="2646" t="s">
        <v>959</v>
      </c>
      <c r="U38" s="1992">
        <v>79</v>
      </c>
      <c r="V38" s="2644">
        <v>2021</v>
      </c>
      <c r="W38" s="2644" t="s">
        <v>1206</v>
      </c>
      <c r="X38" s="2645">
        <v>225</v>
      </c>
      <c r="Y38" s="2646" t="s">
        <v>211</v>
      </c>
    </row>
    <row r="39" spans="2:25">
      <c r="B39" s="2325" t="s">
        <v>205</v>
      </c>
      <c r="C39" s="2326" t="s">
        <v>200</v>
      </c>
      <c r="D39" s="2659">
        <v>0.65</v>
      </c>
      <c r="E39" s="2328"/>
      <c r="F39" s="2641">
        <v>3</v>
      </c>
      <c r="G39" s="2642" t="s">
        <v>202</v>
      </c>
      <c r="I39" s="1992">
        <v>15</v>
      </c>
      <c r="J39" s="2643">
        <v>2019</v>
      </c>
      <c r="K39" s="2644" t="s">
        <v>964</v>
      </c>
      <c r="L39" s="2645">
        <v>225</v>
      </c>
      <c r="M39" s="2646" t="s">
        <v>966</v>
      </c>
      <c r="O39" s="1992">
        <v>7</v>
      </c>
      <c r="P39" s="2643">
        <v>2020</v>
      </c>
      <c r="Q39" s="2653" t="s">
        <v>957</v>
      </c>
      <c r="R39" s="2645">
        <v>225</v>
      </c>
      <c r="S39" s="2646" t="s">
        <v>959</v>
      </c>
      <c r="U39" s="1992">
        <v>80</v>
      </c>
      <c r="V39" s="2644">
        <v>2021</v>
      </c>
      <c r="W39" s="2644" t="s">
        <v>1206</v>
      </c>
      <c r="X39" s="2645">
        <v>225</v>
      </c>
      <c r="Y39" s="2646" t="s">
        <v>211</v>
      </c>
    </row>
    <row r="40" spans="2:25">
      <c r="B40" s="2343" t="s">
        <v>965</v>
      </c>
      <c r="C40" s="2344" t="s">
        <v>199</v>
      </c>
      <c r="D40" s="2655">
        <v>0.15</v>
      </c>
      <c r="E40" s="2346"/>
      <c r="F40" s="2656"/>
      <c r="G40" s="2657"/>
      <c r="I40" s="1992">
        <v>16</v>
      </c>
      <c r="J40" s="2643">
        <v>2019</v>
      </c>
      <c r="K40" s="2644" t="s">
        <v>964</v>
      </c>
      <c r="L40" s="2645">
        <v>225</v>
      </c>
      <c r="M40" s="2646" t="s">
        <v>548</v>
      </c>
      <c r="O40" s="1992">
        <v>8</v>
      </c>
      <c r="P40" s="2643">
        <v>2020</v>
      </c>
      <c r="Q40" s="2653" t="s">
        <v>957</v>
      </c>
      <c r="R40" s="2645">
        <v>225</v>
      </c>
      <c r="S40" s="2646" t="s">
        <v>959</v>
      </c>
      <c r="U40" s="1992">
        <v>81</v>
      </c>
      <c r="V40" s="2644">
        <v>2021</v>
      </c>
      <c r="W40" s="2644" t="s">
        <v>1206</v>
      </c>
      <c r="X40" s="2645">
        <v>225</v>
      </c>
      <c r="Y40" s="2646" t="s">
        <v>211</v>
      </c>
    </row>
    <row r="41" spans="2:25">
      <c r="B41" s="2333"/>
      <c r="C41" s="2334" t="s">
        <v>203</v>
      </c>
      <c r="D41" s="2658">
        <v>0.2</v>
      </c>
      <c r="E41" s="2336">
        <f>SUM(D39:D41)</f>
        <v>1</v>
      </c>
      <c r="F41" s="2651"/>
      <c r="G41" s="2652"/>
      <c r="I41" s="1992">
        <v>17</v>
      </c>
      <c r="J41" s="2643">
        <v>2019</v>
      </c>
      <c r="K41" s="2644" t="s">
        <v>964</v>
      </c>
      <c r="L41" s="2645">
        <v>225</v>
      </c>
      <c r="M41" s="2646" t="s">
        <v>548</v>
      </c>
      <c r="O41" s="1992">
        <v>19</v>
      </c>
      <c r="P41" s="2643">
        <v>2020</v>
      </c>
      <c r="Q41" s="2644" t="s">
        <v>957</v>
      </c>
      <c r="R41" s="2645">
        <v>225</v>
      </c>
      <c r="S41" s="2646" t="s">
        <v>962</v>
      </c>
      <c r="U41" s="1992">
        <v>82</v>
      </c>
      <c r="V41" s="2644">
        <v>2021</v>
      </c>
      <c r="W41" s="2644" t="s">
        <v>1206</v>
      </c>
      <c r="X41" s="2645">
        <v>225</v>
      </c>
      <c r="Y41" s="2646" t="s">
        <v>211</v>
      </c>
    </row>
    <row r="42" spans="2:25">
      <c r="B42" s="2325" t="s">
        <v>206</v>
      </c>
      <c r="C42" s="2326" t="s">
        <v>199</v>
      </c>
      <c r="D42" s="2659">
        <v>0.5</v>
      </c>
      <c r="E42" s="2328"/>
      <c r="F42" s="2641">
        <v>4</v>
      </c>
      <c r="G42" s="2642" t="s">
        <v>202</v>
      </c>
      <c r="I42" s="1992">
        <v>18</v>
      </c>
      <c r="J42" s="2643">
        <v>2019</v>
      </c>
      <c r="K42" s="2644" t="s">
        <v>964</v>
      </c>
      <c r="L42" s="2645">
        <v>225</v>
      </c>
      <c r="M42" s="2646" t="s">
        <v>548</v>
      </c>
      <c r="O42" s="1992">
        <v>20</v>
      </c>
      <c r="P42" s="2643">
        <v>2020</v>
      </c>
      <c r="Q42" s="2644" t="s">
        <v>957</v>
      </c>
      <c r="R42" s="2645">
        <v>225</v>
      </c>
      <c r="S42" s="2646" t="s">
        <v>962</v>
      </c>
      <c r="U42" s="1992">
        <v>83</v>
      </c>
      <c r="V42" s="2644">
        <v>2021</v>
      </c>
      <c r="W42" s="2644" t="s">
        <v>1206</v>
      </c>
      <c r="X42" s="2645">
        <v>225</v>
      </c>
      <c r="Y42" s="2646" t="s">
        <v>211</v>
      </c>
    </row>
    <row r="43" spans="2:25">
      <c r="B43" s="2343"/>
      <c r="C43" s="2344" t="s">
        <v>200</v>
      </c>
      <c r="D43" s="2655">
        <v>0.3</v>
      </c>
      <c r="E43" s="2346"/>
      <c r="F43" s="2656"/>
      <c r="G43" s="2657"/>
      <c r="I43" s="1992">
        <v>21</v>
      </c>
      <c r="J43" s="2643">
        <v>2019</v>
      </c>
      <c r="K43" s="2644" t="s">
        <v>964</v>
      </c>
      <c r="L43" s="2645">
        <v>225</v>
      </c>
      <c r="M43" s="2646" t="s">
        <v>548</v>
      </c>
      <c r="O43" s="1992">
        <v>22</v>
      </c>
      <c r="P43" s="2643">
        <v>2020</v>
      </c>
      <c r="Q43" s="2644" t="s">
        <v>957</v>
      </c>
      <c r="R43" s="2645">
        <v>225</v>
      </c>
      <c r="S43" s="2646" t="s">
        <v>962</v>
      </c>
      <c r="U43" s="1992">
        <v>84</v>
      </c>
      <c r="V43" s="2644">
        <v>2021</v>
      </c>
      <c r="W43" s="2644" t="s">
        <v>1206</v>
      </c>
      <c r="X43" s="2645">
        <v>225</v>
      </c>
      <c r="Y43" s="2646" t="s">
        <v>211</v>
      </c>
    </row>
    <row r="44" spans="2:25" ht="13.5" thickBot="1">
      <c r="B44" s="2369"/>
      <c r="C44" s="2370" t="s">
        <v>203</v>
      </c>
      <c r="D44" s="2660">
        <v>0.2</v>
      </c>
      <c r="E44" s="2372">
        <f>SUM(D42:D44)</f>
        <v>1</v>
      </c>
      <c r="F44" s="2661"/>
      <c r="G44" s="2662"/>
      <c r="I44" s="2663" t="s">
        <v>26</v>
      </c>
      <c r="J44" s="2664"/>
      <c r="K44" s="2664"/>
      <c r="L44" s="2665">
        <f>SUM(L33:L43)</f>
        <v>2475</v>
      </c>
      <c r="M44" s="2666"/>
      <c r="O44" s="1992">
        <v>23</v>
      </c>
      <c r="P44" s="2643">
        <v>2020</v>
      </c>
      <c r="Q44" s="2644" t="s">
        <v>957</v>
      </c>
      <c r="R44" s="2645">
        <v>225</v>
      </c>
      <c r="S44" s="2646" t="s">
        <v>962</v>
      </c>
      <c r="U44" s="1992">
        <v>85</v>
      </c>
      <c r="V44" s="2644">
        <v>2021</v>
      </c>
      <c r="W44" s="2644" t="s">
        <v>1206</v>
      </c>
      <c r="X44" s="2645">
        <v>225</v>
      </c>
      <c r="Y44" s="2646" t="s">
        <v>211</v>
      </c>
    </row>
    <row r="45" spans="2:25" ht="13.5" thickBot="1">
      <c r="B45" s="1037"/>
      <c r="C45" s="882"/>
      <c r="I45" s="1037"/>
      <c r="M45" s="1467"/>
      <c r="O45" s="1992">
        <v>24</v>
      </c>
      <c r="P45" s="2643">
        <v>2020</v>
      </c>
      <c r="Q45" s="2644" t="s">
        <v>957</v>
      </c>
      <c r="R45" s="2645">
        <v>225</v>
      </c>
      <c r="S45" s="2646" t="s">
        <v>962</v>
      </c>
      <c r="U45" s="1992">
        <v>86</v>
      </c>
      <c r="V45" s="2644">
        <v>2021</v>
      </c>
      <c r="W45" s="2644" t="s">
        <v>1206</v>
      </c>
      <c r="X45" s="2645">
        <v>225</v>
      </c>
      <c r="Y45" s="2646" t="s">
        <v>211</v>
      </c>
    </row>
    <row r="46" spans="2:25" ht="13.5" thickBot="1">
      <c r="B46" s="1037"/>
      <c r="C46" s="882"/>
      <c r="I46" s="2637" t="s">
        <v>202</v>
      </c>
      <c r="J46" s="885"/>
      <c r="K46" s="2638" t="s">
        <v>956</v>
      </c>
      <c r="L46" s="2638" t="s">
        <v>955</v>
      </c>
      <c r="M46" s="2639" t="s">
        <v>953</v>
      </c>
      <c r="O46" s="1992">
        <v>25</v>
      </c>
      <c r="P46" s="2643">
        <v>2020</v>
      </c>
      <c r="Q46" s="2644" t="s">
        <v>957</v>
      </c>
      <c r="R46" s="2645">
        <v>225</v>
      </c>
      <c r="S46" s="2646" t="s">
        <v>962</v>
      </c>
      <c r="U46" s="1992">
        <v>87</v>
      </c>
      <c r="V46" s="2644">
        <v>2021</v>
      </c>
      <c r="W46" s="2644" t="s">
        <v>1206</v>
      </c>
      <c r="X46" s="2645">
        <v>225</v>
      </c>
      <c r="Y46" s="2646" t="s">
        <v>211</v>
      </c>
    </row>
    <row r="47" spans="2:25" ht="13.5" thickBot="1">
      <c r="B47" s="1526" t="s">
        <v>963</v>
      </c>
      <c r="C47" s="879"/>
      <c r="D47" s="1726"/>
      <c r="E47" s="1726"/>
      <c r="F47" s="2667"/>
      <c r="G47" s="1727"/>
      <c r="I47" s="1992">
        <v>9</v>
      </c>
      <c r="J47" s="882"/>
      <c r="K47" s="887">
        <v>2019</v>
      </c>
      <c r="L47" s="886">
        <v>225</v>
      </c>
      <c r="M47" s="2668" t="s">
        <v>952</v>
      </c>
      <c r="O47" s="1992">
        <v>26</v>
      </c>
      <c r="P47" s="2643">
        <v>2020</v>
      </c>
      <c r="Q47" s="2644" t="s">
        <v>957</v>
      </c>
      <c r="R47" s="2645">
        <v>225</v>
      </c>
      <c r="S47" s="2646" t="s">
        <v>962</v>
      </c>
      <c r="U47" s="1992">
        <v>88</v>
      </c>
      <c r="V47" s="2644">
        <v>2021</v>
      </c>
      <c r="W47" s="2644" t="s">
        <v>1206</v>
      </c>
      <c r="X47" s="2645">
        <v>225</v>
      </c>
      <c r="Y47" s="2646" t="s">
        <v>962</v>
      </c>
    </row>
    <row r="48" spans="2:25" ht="13.5" thickBot="1">
      <c r="B48" s="2669">
        <v>2018</v>
      </c>
      <c r="C48" s="882"/>
      <c r="G48" s="1467"/>
      <c r="I48" s="1712" t="s">
        <v>950</v>
      </c>
      <c r="J48" s="879"/>
      <c r="K48" s="1488"/>
      <c r="L48" s="1726"/>
      <c r="M48" s="1727"/>
      <c r="O48" s="1992">
        <v>27</v>
      </c>
      <c r="P48" s="2643">
        <v>2020</v>
      </c>
      <c r="Q48" s="2644" t="s">
        <v>957</v>
      </c>
      <c r="R48" s="2645">
        <v>225</v>
      </c>
      <c r="S48" s="2646" t="s">
        <v>962</v>
      </c>
      <c r="U48" s="1992">
        <v>89</v>
      </c>
      <c r="V48" s="2644">
        <v>2021</v>
      </c>
      <c r="W48" s="2644" t="s">
        <v>1206</v>
      </c>
      <c r="X48" s="2645">
        <v>225</v>
      </c>
      <c r="Y48" s="2646" t="s">
        <v>962</v>
      </c>
    </row>
    <row r="49" spans="2:25">
      <c r="B49" s="2670" t="s">
        <v>552</v>
      </c>
      <c r="C49" s="2671" t="s">
        <v>543</v>
      </c>
      <c r="D49" s="2672" t="s">
        <v>961</v>
      </c>
      <c r="E49" s="1133" t="s">
        <v>960</v>
      </c>
      <c r="F49" s="1133" t="s">
        <v>26</v>
      </c>
      <c r="G49" s="2673" t="s">
        <v>551</v>
      </c>
      <c r="I49" s="1037" t="s">
        <v>211</v>
      </c>
      <c r="J49" s="2674">
        <v>0.3</v>
      </c>
      <c r="K49" s="1492"/>
      <c r="L49" s="1760">
        <f>J49*L47</f>
        <v>67.5</v>
      </c>
      <c r="M49" s="1467" t="str">
        <f>I49</f>
        <v>Mavrud</v>
      </c>
      <c r="O49" s="1992">
        <v>28</v>
      </c>
      <c r="P49" s="2643">
        <v>2020</v>
      </c>
      <c r="Q49" s="2644" t="s">
        <v>957</v>
      </c>
      <c r="R49" s="2645">
        <v>225</v>
      </c>
      <c r="S49" s="2646" t="s">
        <v>962</v>
      </c>
      <c r="U49" s="1992">
        <v>90</v>
      </c>
      <c r="V49" s="2644">
        <v>2021</v>
      </c>
      <c r="W49" s="2644" t="s">
        <v>1206</v>
      </c>
      <c r="X49" s="2645">
        <v>225</v>
      </c>
      <c r="Y49" s="2646" t="s">
        <v>962</v>
      </c>
    </row>
    <row r="50" spans="2:25">
      <c r="B50" s="1992">
        <v>2018</v>
      </c>
      <c r="C50" s="1287" t="s">
        <v>196</v>
      </c>
      <c r="D50" s="1492" t="s">
        <v>546</v>
      </c>
      <c r="E50" s="2675">
        <v>0</v>
      </c>
      <c r="F50" s="2676">
        <f>E50/0.75</f>
        <v>0</v>
      </c>
      <c r="G50" s="1467" t="s">
        <v>550</v>
      </c>
      <c r="I50" s="1037" t="s">
        <v>210</v>
      </c>
      <c r="J50" s="2674">
        <v>0.6</v>
      </c>
      <c r="K50" s="1492"/>
      <c r="L50" s="1760">
        <f>J50*L47</f>
        <v>135</v>
      </c>
      <c r="M50" s="1467" t="str">
        <f>I50</f>
        <v>Merlot</v>
      </c>
      <c r="O50" s="1992">
        <v>29</v>
      </c>
      <c r="P50" s="2643">
        <v>2020</v>
      </c>
      <c r="Q50" s="2644" t="s">
        <v>957</v>
      </c>
      <c r="R50" s="2645">
        <v>225</v>
      </c>
      <c r="S50" s="2646" t="s">
        <v>962</v>
      </c>
      <c r="U50" s="1992">
        <v>91</v>
      </c>
      <c r="V50" s="2644">
        <v>2021</v>
      </c>
      <c r="W50" s="2644" t="s">
        <v>1206</v>
      </c>
      <c r="X50" s="2645">
        <v>225</v>
      </c>
      <c r="Y50" s="2646" t="s">
        <v>962</v>
      </c>
    </row>
    <row r="51" spans="2:25">
      <c r="B51" s="1992">
        <v>2018</v>
      </c>
      <c r="C51" s="1287" t="s">
        <v>198</v>
      </c>
      <c r="D51" s="1492" t="s">
        <v>546</v>
      </c>
      <c r="E51" s="2675">
        <v>0</v>
      </c>
      <c r="F51" s="2676">
        <f>E51/0.75</f>
        <v>0</v>
      </c>
      <c r="G51" s="1467" t="s">
        <v>550</v>
      </c>
      <c r="I51" s="1037" t="str">
        <f>B108</f>
        <v xml:space="preserve">Cabernet Sauvignon </v>
      </c>
      <c r="J51" s="2677">
        <v>0.1</v>
      </c>
      <c r="K51" s="1492"/>
      <c r="L51" s="2536">
        <f>J51*L47</f>
        <v>22.5</v>
      </c>
      <c r="M51" s="1467" t="str">
        <f>I51</f>
        <v xml:space="preserve">Cabernet Sauvignon </v>
      </c>
      <c r="O51" s="1992">
        <v>30</v>
      </c>
      <c r="P51" s="2643">
        <v>2020</v>
      </c>
      <c r="Q51" s="2644" t="s">
        <v>957</v>
      </c>
      <c r="R51" s="2645">
        <v>225</v>
      </c>
      <c r="S51" s="2646" t="s">
        <v>962</v>
      </c>
      <c r="U51" s="1992">
        <v>92</v>
      </c>
      <c r="V51" s="2644">
        <v>2021</v>
      </c>
      <c r="W51" s="2644" t="s">
        <v>1206</v>
      </c>
      <c r="X51" s="2645">
        <v>225</v>
      </c>
      <c r="Y51" s="2646" t="s">
        <v>962</v>
      </c>
    </row>
    <row r="52" spans="2:25" ht="13.5" thickBot="1">
      <c r="B52" s="1992">
        <v>2018</v>
      </c>
      <c r="C52" s="1287" t="s">
        <v>201</v>
      </c>
      <c r="D52" s="1492" t="s">
        <v>546</v>
      </c>
      <c r="E52" s="2675">
        <f>F52*0.75</f>
        <v>16186.5</v>
      </c>
      <c r="F52" s="2676">
        <v>21582</v>
      </c>
      <c r="G52" s="1467" t="s">
        <v>550</v>
      </c>
      <c r="I52" s="1523"/>
      <c r="J52" s="878">
        <f>SUM(J49:J51)</f>
        <v>0.99999999999999989</v>
      </c>
      <c r="K52" s="2678"/>
      <c r="L52" s="2679">
        <f>SUM(L49:L51)</f>
        <v>225</v>
      </c>
      <c r="M52" s="2680"/>
      <c r="O52" s="1992">
        <v>31</v>
      </c>
      <c r="P52" s="2643">
        <v>2020</v>
      </c>
      <c r="Q52" s="2644" t="s">
        <v>957</v>
      </c>
      <c r="R52" s="2645">
        <v>225</v>
      </c>
      <c r="S52" s="2646" t="s">
        <v>962</v>
      </c>
      <c r="U52" s="1992">
        <v>93</v>
      </c>
      <c r="V52" s="2644">
        <v>2021</v>
      </c>
      <c r="W52" s="2644" t="s">
        <v>1206</v>
      </c>
      <c r="X52" s="2645">
        <v>225</v>
      </c>
      <c r="Y52" s="2646" t="s">
        <v>962</v>
      </c>
    </row>
    <row r="53" spans="2:25" ht="13.5" thickBot="1">
      <c r="B53" s="1992">
        <v>2018</v>
      </c>
      <c r="C53" s="1287" t="s">
        <v>545</v>
      </c>
      <c r="D53" s="1492" t="s">
        <v>546</v>
      </c>
      <c r="E53" s="2675">
        <v>5436</v>
      </c>
      <c r="F53" s="2676">
        <f>E53/0.75</f>
        <v>7248</v>
      </c>
      <c r="G53" s="1467" t="s">
        <v>550</v>
      </c>
      <c r="I53" s="1992">
        <v>16</v>
      </c>
      <c r="J53" s="882"/>
      <c r="K53" s="881">
        <v>2019</v>
      </c>
      <c r="L53" s="880">
        <v>225</v>
      </c>
      <c r="M53" s="2681" t="s">
        <v>952</v>
      </c>
      <c r="O53" s="1992">
        <v>32</v>
      </c>
      <c r="P53" s="2643">
        <v>2020</v>
      </c>
      <c r="Q53" s="2644" t="s">
        <v>957</v>
      </c>
      <c r="R53" s="2645">
        <v>225</v>
      </c>
      <c r="S53" s="2646" t="s">
        <v>962</v>
      </c>
      <c r="U53" s="1992">
        <v>94</v>
      </c>
      <c r="V53" s="2644">
        <v>2021</v>
      </c>
      <c r="W53" s="2644" t="s">
        <v>1206</v>
      </c>
      <c r="X53" s="2645">
        <v>225</v>
      </c>
      <c r="Y53" s="2646" t="s">
        <v>962</v>
      </c>
    </row>
    <row r="54" spans="2:25">
      <c r="B54" s="1992">
        <v>2018</v>
      </c>
      <c r="C54" s="1287" t="s">
        <v>206</v>
      </c>
      <c r="D54" s="1492" t="s">
        <v>546</v>
      </c>
      <c r="E54" s="2675">
        <f>F54*0.75</f>
        <v>898.5</v>
      </c>
      <c r="F54" s="2676">
        <v>1198</v>
      </c>
      <c r="G54" s="1467" t="s">
        <v>550</v>
      </c>
      <c r="I54" s="1712" t="s">
        <v>950</v>
      </c>
      <c r="J54" s="879"/>
      <c r="K54" s="1488"/>
      <c r="L54" s="1726"/>
      <c r="M54" s="1727"/>
      <c r="O54" s="1992">
        <v>33</v>
      </c>
      <c r="P54" s="2643">
        <v>2020</v>
      </c>
      <c r="Q54" s="2644" t="s">
        <v>957</v>
      </c>
      <c r="R54" s="2645">
        <v>225</v>
      </c>
      <c r="S54" s="2646" t="s">
        <v>962</v>
      </c>
      <c r="U54" s="1992">
        <v>95</v>
      </c>
      <c r="V54" s="2644">
        <v>2021</v>
      </c>
      <c r="W54" s="2644" t="s">
        <v>1206</v>
      </c>
      <c r="X54" s="2645">
        <v>225</v>
      </c>
      <c r="Y54" s="2646" t="s">
        <v>962</v>
      </c>
    </row>
    <row r="55" spans="2:25" ht="13.5" thickBot="1">
      <c r="B55" s="2663" t="s">
        <v>26</v>
      </c>
      <c r="C55" s="2682"/>
      <c r="D55" s="2664"/>
      <c r="E55" s="2665">
        <f>SUM(E50:E54)</f>
        <v>22521</v>
      </c>
      <c r="F55" s="2665">
        <f>SUM(F50:F54)</f>
        <v>30028</v>
      </c>
      <c r="G55" s="2683"/>
      <c r="I55" s="1037" t="str">
        <f>I49</f>
        <v>Mavrud</v>
      </c>
      <c r="J55" s="2674">
        <v>0.3</v>
      </c>
      <c r="K55" s="1492"/>
      <c r="L55" s="1760">
        <f>J55*L53</f>
        <v>67.5</v>
      </c>
      <c r="M55" s="1467" t="str">
        <f>I55</f>
        <v>Mavrud</v>
      </c>
      <c r="O55" s="1992">
        <v>34</v>
      </c>
      <c r="P55" s="2643">
        <v>2020</v>
      </c>
      <c r="Q55" s="2644" t="s">
        <v>957</v>
      </c>
      <c r="R55" s="2645">
        <v>225</v>
      </c>
      <c r="S55" s="2646" t="s">
        <v>210</v>
      </c>
      <c r="U55" s="1992">
        <v>96</v>
      </c>
      <c r="V55" s="2644">
        <v>2021</v>
      </c>
      <c r="W55" s="2644" t="s">
        <v>1206</v>
      </c>
      <c r="X55" s="2645">
        <v>225</v>
      </c>
      <c r="Y55" s="2646" t="s">
        <v>962</v>
      </c>
    </row>
    <row r="56" spans="2:25" ht="13.5" thickBot="1">
      <c r="B56" s="2669">
        <v>2019</v>
      </c>
      <c r="C56" s="882"/>
      <c r="G56" s="1467"/>
      <c r="I56" s="1037" t="str">
        <f>I50</f>
        <v>Merlot</v>
      </c>
      <c r="J56" s="2674">
        <v>0.6</v>
      </c>
      <c r="K56" s="1492"/>
      <c r="L56" s="1760">
        <f>J56*L53</f>
        <v>135</v>
      </c>
      <c r="M56" s="1467" t="str">
        <f>I56</f>
        <v>Merlot</v>
      </c>
      <c r="O56" s="1992">
        <v>35</v>
      </c>
      <c r="P56" s="2643">
        <v>2020</v>
      </c>
      <c r="Q56" s="2644" t="s">
        <v>957</v>
      </c>
      <c r="R56" s="2645">
        <v>225</v>
      </c>
      <c r="S56" s="2646" t="s">
        <v>962</v>
      </c>
      <c r="U56" s="1992">
        <v>97</v>
      </c>
      <c r="V56" s="2644">
        <v>2021</v>
      </c>
      <c r="W56" s="2644" t="s">
        <v>1206</v>
      </c>
      <c r="X56" s="2645">
        <v>225</v>
      </c>
      <c r="Y56" s="2646" t="s">
        <v>962</v>
      </c>
    </row>
    <row r="57" spans="2:25">
      <c r="B57" s="2670" t="s">
        <v>552</v>
      </c>
      <c r="C57" s="2671" t="s">
        <v>543</v>
      </c>
      <c r="D57" s="2672" t="s">
        <v>961</v>
      </c>
      <c r="E57" s="1133" t="s">
        <v>960</v>
      </c>
      <c r="F57" s="1133" t="s">
        <v>26</v>
      </c>
      <c r="G57" s="2673" t="s">
        <v>551</v>
      </c>
      <c r="I57" s="1037" t="str">
        <f>I51</f>
        <v xml:space="preserve">Cabernet Sauvignon </v>
      </c>
      <c r="J57" s="2677">
        <v>0.1</v>
      </c>
      <c r="K57" s="1492"/>
      <c r="L57" s="2536">
        <f>J57*L53</f>
        <v>22.5</v>
      </c>
      <c r="M57" s="1467" t="str">
        <f>I57</f>
        <v xml:space="preserve">Cabernet Sauvignon </v>
      </c>
      <c r="O57" s="1992">
        <v>36</v>
      </c>
      <c r="P57" s="2643">
        <v>2020</v>
      </c>
      <c r="Q57" s="2644" t="s">
        <v>957</v>
      </c>
      <c r="R57" s="2645">
        <v>225</v>
      </c>
      <c r="S57" s="2646" t="s">
        <v>962</v>
      </c>
      <c r="U57" s="1992">
        <v>98</v>
      </c>
      <c r="V57" s="2644">
        <v>2021</v>
      </c>
      <c r="W57" s="2644" t="s">
        <v>1206</v>
      </c>
      <c r="X57" s="2645">
        <v>225</v>
      </c>
      <c r="Y57" s="2646" t="s">
        <v>962</v>
      </c>
    </row>
    <row r="58" spans="2:25" ht="13.5" thickBot="1">
      <c r="B58" s="1992">
        <v>2019</v>
      </c>
      <c r="C58" s="1287" t="s">
        <v>196</v>
      </c>
      <c r="D58" s="1492" t="s">
        <v>546</v>
      </c>
      <c r="E58" s="2684">
        <v>495</v>
      </c>
      <c r="F58" s="2676">
        <f>E58/0.75</f>
        <v>660</v>
      </c>
      <c r="G58" s="1467" t="s">
        <v>550</v>
      </c>
      <c r="I58" s="1523"/>
      <c r="J58" s="878">
        <f>SUM(J55:J57)</f>
        <v>0.99999999999999989</v>
      </c>
      <c r="K58" s="2678"/>
      <c r="L58" s="2679">
        <f>SUM(L55:L57)</f>
        <v>225</v>
      </c>
      <c r="M58" s="2680"/>
      <c r="O58" s="1992">
        <v>37</v>
      </c>
      <c r="P58" s="2643">
        <v>2020</v>
      </c>
      <c r="Q58" s="2644" t="s">
        <v>957</v>
      </c>
      <c r="R58" s="2645">
        <v>225</v>
      </c>
      <c r="S58" s="2646" t="s">
        <v>962</v>
      </c>
      <c r="U58" s="1992">
        <v>99</v>
      </c>
      <c r="V58" s="2644">
        <v>2021</v>
      </c>
      <c r="W58" s="2644" t="s">
        <v>1206</v>
      </c>
      <c r="X58" s="2645">
        <v>225</v>
      </c>
      <c r="Y58" s="2646" t="s">
        <v>962</v>
      </c>
    </row>
    <row r="59" spans="2:25" ht="13.5" thickBot="1">
      <c r="B59" s="1992">
        <v>2019</v>
      </c>
      <c r="C59" s="1287" t="s">
        <v>198</v>
      </c>
      <c r="D59" s="1492" t="s">
        <v>546</v>
      </c>
      <c r="E59" s="2684">
        <v>0</v>
      </c>
      <c r="F59" s="2676">
        <f>E59/0.75</f>
        <v>0</v>
      </c>
      <c r="G59" s="1467" t="s">
        <v>550</v>
      </c>
      <c r="I59" s="1992">
        <v>17</v>
      </c>
      <c r="J59" s="882"/>
      <c r="K59" s="881">
        <v>2019</v>
      </c>
      <c r="L59" s="880">
        <v>225</v>
      </c>
      <c r="M59" s="2681" t="s">
        <v>952</v>
      </c>
      <c r="O59" s="1992">
        <v>38</v>
      </c>
      <c r="P59" s="2643">
        <v>2020</v>
      </c>
      <c r="Q59" s="2644" t="s">
        <v>957</v>
      </c>
      <c r="R59" s="2645">
        <v>225</v>
      </c>
      <c r="S59" s="2646" t="s">
        <v>962</v>
      </c>
      <c r="U59" s="1992">
        <v>100</v>
      </c>
      <c r="V59" s="2644">
        <v>2021</v>
      </c>
      <c r="W59" s="2644" t="s">
        <v>1206</v>
      </c>
      <c r="X59" s="2645">
        <v>225</v>
      </c>
      <c r="Y59" s="2646" t="s">
        <v>962</v>
      </c>
    </row>
    <row r="60" spans="2:25">
      <c r="B60" s="1992">
        <f>B59</f>
        <v>2019</v>
      </c>
      <c r="C60" s="1287" t="s">
        <v>201</v>
      </c>
      <c r="D60" s="1492" t="s">
        <v>546</v>
      </c>
      <c r="E60" s="2684">
        <v>0</v>
      </c>
      <c r="F60" s="2676">
        <f>E60/0.75</f>
        <v>0</v>
      </c>
      <c r="G60" s="1467" t="s">
        <v>550</v>
      </c>
      <c r="I60" s="1712" t="s">
        <v>950</v>
      </c>
      <c r="J60" s="879"/>
      <c r="K60" s="1488"/>
      <c r="L60" s="1726"/>
      <c r="M60" s="1727"/>
      <c r="O60" s="1992">
        <v>39</v>
      </c>
      <c r="P60" s="2643">
        <v>2020</v>
      </c>
      <c r="Q60" s="2644" t="s">
        <v>957</v>
      </c>
      <c r="R60" s="2645">
        <v>225</v>
      </c>
      <c r="S60" s="2646" t="s">
        <v>962</v>
      </c>
      <c r="U60" s="1992">
        <v>101</v>
      </c>
      <c r="V60" s="2644">
        <v>2021</v>
      </c>
      <c r="W60" s="2644" t="s">
        <v>1206</v>
      </c>
      <c r="X60" s="2645">
        <v>225</v>
      </c>
      <c r="Y60" s="2646" t="s">
        <v>962</v>
      </c>
    </row>
    <row r="61" spans="2:25">
      <c r="B61" s="1992">
        <f>B60</f>
        <v>2019</v>
      </c>
      <c r="C61" s="1287" t="s">
        <v>545</v>
      </c>
      <c r="D61" s="1492" t="s">
        <v>546</v>
      </c>
      <c r="E61" s="2685">
        <f>F61*0.75</f>
        <v>11011.5</v>
      </c>
      <c r="F61" s="2676">
        <v>14682</v>
      </c>
      <c r="G61" s="1467" t="s">
        <v>550</v>
      </c>
      <c r="I61" s="1037" t="str">
        <f>I55</f>
        <v>Mavrud</v>
      </c>
      <c r="J61" s="2674">
        <v>0.3</v>
      </c>
      <c r="K61" s="1492"/>
      <c r="L61" s="1760">
        <f>J61*L59</f>
        <v>67.5</v>
      </c>
      <c r="M61" s="1467" t="str">
        <f>I61</f>
        <v>Mavrud</v>
      </c>
      <c r="O61" s="1992">
        <v>40</v>
      </c>
      <c r="P61" s="2643">
        <v>2020</v>
      </c>
      <c r="Q61" s="2644" t="s">
        <v>957</v>
      </c>
      <c r="R61" s="2645">
        <v>225</v>
      </c>
      <c r="S61" s="2646" t="s">
        <v>210</v>
      </c>
      <c r="U61" s="1992">
        <v>102</v>
      </c>
      <c r="V61" s="2644">
        <v>2021</v>
      </c>
      <c r="W61" s="2644" t="s">
        <v>1206</v>
      </c>
      <c r="X61" s="2645">
        <v>225</v>
      </c>
      <c r="Y61" s="2646" t="s">
        <v>1207</v>
      </c>
    </row>
    <row r="62" spans="2:25">
      <c r="B62" s="1992">
        <f>B61</f>
        <v>2019</v>
      </c>
      <c r="C62" s="1287" t="s">
        <v>206</v>
      </c>
      <c r="D62" s="1492" t="s">
        <v>546</v>
      </c>
      <c r="E62" s="2685">
        <v>1835</v>
      </c>
      <c r="F62" s="2676">
        <f>E62/0.75</f>
        <v>2446.6666666666665</v>
      </c>
      <c r="G62" s="1467" t="s">
        <v>550</v>
      </c>
      <c r="I62" s="1037" t="str">
        <f>I56</f>
        <v>Merlot</v>
      </c>
      <c r="J62" s="2674">
        <v>0.6</v>
      </c>
      <c r="K62" s="1492"/>
      <c r="L62" s="1760">
        <f>J62*L59</f>
        <v>135</v>
      </c>
      <c r="M62" s="1467" t="str">
        <f>I62</f>
        <v>Merlot</v>
      </c>
      <c r="O62" s="1992">
        <v>41</v>
      </c>
      <c r="P62" s="2643">
        <v>2020</v>
      </c>
      <c r="Q62" s="2644" t="s">
        <v>957</v>
      </c>
      <c r="R62" s="2645">
        <v>225</v>
      </c>
      <c r="S62" s="2646" t="s">
        <v>210</v>
      </c>
      <c r="U62" s="1992">
        <v>103</v>
      </c>
      <c r="V62" s="2644">
        <v>2021</v>
      </c>
      <c r="W62" s="2644" t="s">
        <v>1206</v>
      </c>
      <c r="X62" s="2645">
        <v>225</v>
      </c>
      <c r="Y62" s="2646" t="s">
        <v>210</v>
      </c>
    </row>
    <row r="63" spans="2:25" ht="13.5" thickBot="1">
      <c r="B63" s="2663" t="s">
        <v>26</v>
      </c>
      <c r="C63" s="2682"/>
      <c r="D63" s="2664"/>
      <c r="E63" s="2665">
        <f>SUM(E58:E62)</f>
        <v>13341.5</v>
      </c>
      <c r="F63" s="2665">
        <f>SUM(F58:F62)</f>
        <v>17788.666666666668</v>
      </c>
      <c r="G63" s="2683"/>
      <c r="I63" s="1037" t="str">
        <f>I57</f>
        <v xml:space="preserve">Cabernet Sauvignon </v>
      </c>
      <c r="J63" s="2677">
        <v>0.1</v>
      </c>
      <c r="K63" s="1492"/>
      <c r="L63" s="2536">
        <f>J63*L59</f>
        <v>22.5</v>
      </c>
      <c r="M63" s="1467" t="str">
        <f>I63</f>
        <v xml:space="preserve">Cabernet Sauvignon </v>
      </c>
      <c r="O63" s="1992">
        <v>42</v>
      </c>
      <c r="P63" s="2643">
        <v>2020</v>
      </c>
      <c r="Q63" s="2644" t="s">
        <v>957</v>
      </c>
      <c r="R63" s="2645">
        <v>225</v>
      </c>
      <c r="S63" s="2646" t="s">
        <v>210</v>
      </c>
      <c r="U63" s="1992">
        <v>104</v>
      </c>
      <c r="V63" s="2644">
        <v>2021</v>
      </c>
      <c r="W63" s="2644" t="s">
        <v>1206</v>
      </c>
      <c r="X63" s="2645">
        <v>225</v>
      </c>
      <c r="Y63" s="2646" t="s">
        <v>210</v>
      </c>
    </row>
    <row r="64" spans="2:25" ht="13.5" thickBot="1">
      <c r="B64" s="1037"/>
      <c r="C64" s="882"/>
      <c r="G64" s="1467"/>
      <c r="I64" s="1523"/>
      <c r="J64" s="878">
        <f>SUM(J61:J63)</f>
        <v>0.99999999999999989</v>
      </c>
      <c r="K64" s="2678"/>
      <c r="L64" s="2679">
        <f>SUM(L61:L63)</f>
        <v>225</v>
      </c>
      <c r="M64" s="2680"/>
      <c r="O64" s="1992">
        <v>43</v>
      </c>
      <c r="P64" s="2643">
        <v>2020</v>
      </c>
      <c r="Q64" s="2644" t="s">
        <v>957</v>
      </c>
      <c r="R64" s="2645">
        <v>225</v>
      </c>
      <c r="S64" s="2646" t="s">
        <v>210</v>
      </c>
      <c r="U64" s="1992">
        <v>105</v>
      </c>
      <c r="V64" s="2644">
        <v>2021</v>
      </c>
      <c r="W64" s="2644" t="s">
        <v>1206</v>
      </c>
      <c r="X64" s="2645">
        <v>225</v>
      </c>
      <c r="Y64" s="2646" t="s">
        <v>203</v>
      </c>
    </row>
    <row r="65" spans="2:25" ht="13.5" thickBot="1">
      <c r="B65" s="2669">
        <v>2020</v>
      </c>
      <c r="C65" s="882"/>
      <c r="G65" s="1467"/>
      <c r="I65" s="1992">
        <v>18</v>
      </c>
      <c r="J65" s="882"/>
      <c r="K65" s="881">
        <v>2019</v>
      </c>
      <c r="L65" s="880">
        <v>225</v>
      </c>
      <c r="M65" s="2681" t="s">
        <v>952</v>
      </c>
      <c r="O65" s="1992">
        <v>44</v>
      </c>
      <c r="P65" s="2643">
        <v>2020</v>
      </c>
      <c r="Q65" s="2644" t="s">
        <v>957</v>
      </c>
      <c r="R65" s="2645">
        <v>225</v>
      </c>
      <c r="S65" s="2646" t="s">
        <v>210</v>
      </c>
      <c r="U65" s="1992">
        <v>106</v>
      </c>
      <c r="V65" s="2644">
        <v>2021</v>
      </c>
      <c r="W65" s="2644" t="s">
        <v>1206</v>
      </c>
      <c r="X65" s="2645">
        <v>225</v>
      </c>
      <c r="Y65" s="2646" t="s">
        <v>959</v>
      </c>
    </row>
    <row r="66" spans="2:25">
      <c r="B66" s="2670" t="s">
        <v>552</v>
      </c>
      <c r="C66" s="2671" t="s">
        <v>543</v>
      </c>
      <c r="D66" s="2672" t="s">
        <v>961</v>
      </c>
      <c r="E66" s="1133" t="s">
        <v>960</v>
      </c>
      <c r="F66" s="1133" t="s">
        <v>26</v>
      </c>
      <c r="G66" s="2673" t="s">
        <v>551</v>
      </c>
      <c r="I66" s="1712" t="s">
        <v>950</v>
      </c>
      <c r="J66" s="879"/>
      <c r="K66" s="1488"/>
      <c r="L66" s="1726"/>
      <c r="M66" s="1727"/>
      <c r="O66" s="1992">
        <v>45</v>
      </c>
      <c r="P66" s="2643">
        <v>2020</v>
      </c>
      <c r="Q66" s="2644" t="s">
        <v>957</v>
      </c>
      <c r="R66" s="2645">
        <v>225</v>
      </c>
      <c r="S66" s="2646" t="s">
        <v>210</v>
      </c>
      <c r="U66" s="1992">
        <v>107</v>
      </c>
      <c r="V66" s="2644">
        <v>2021</v>
      </c>
      <c r="W66" s="2644" t="s">
        <v>1206</v>
      </c>
      <c r="X66" s="2645">
        <v>225</v>
      </c>
      <c r="Y66" s="2646" t="s">
        <v>959</v>
      </c>
    </row>
    <row r="67" spans="2:25">
      <c r="B67" s="1992">
        <v>2020</v>
      </c>
      <c r="C67" s="1287" t="s">
        <v>196</v>
      </c>
      <c r="D67" s="1492" t="s">
        <v>546</v>
      </c>
      <c r="E67" s="2675">
        <v>1863</v>
      </c>
      <c r="F67" s="2676">
        <f>E67/0.75</f>
        <v>2484</v>
      </c>
      <c r="G67" s="1467" t="s">
        <v>550</v>
      </c>
      <c r="I67" s="1037" t="str">
        <f>I61</f>
        <v>Mavrud</v>
      </c>
      <c r="J67" s="2674">
        <v>0.3</v>
      </c>
      <c r="K67" s="1492"/>
      <c r="L67" s="1760">
        <f>J67*L65</f>
        <v>67.5</v>
      </c>
      <c r="M67" s="1467" t="str">
        <f>I67</f>
        <v>Mavrud</v>
      </c>
      <c r="O67" s="1992">
        <v>46</v>
      </c>
      <c r="P67" s="2643">
        <v>2020</v>
      </c>
      <c r="Q67" s="2644" t="s">
        <v>957</v>
      </c>
      <c r="R67" s="2645">
        <v>225</v>
      </c>
      <c r="S67" s="2646" t="s">
        <v>210</v>
      </c>
      <c r="U67" s="1992">
        <v>108</v>
      </c>
      <c r="V67" s="2644">
        <v>2021</v>
      </c>
      <c r="W67" s="2644" t="s">
        <v>1206</v>
      </c>
      <c r="X67" s="2645">
        <v>225</v>
      </c>
      <c r="Y67" s="2646" t="s">
        <v>959</v>
      </c>
    </row>
    <row r="68" spans="2:25">
      <c r="B68" s="1992">
        <v>2020</v>
      </c>
      <c r="C68" s="1287" t="s">
        <v>198</v>
      </c>
      <c r="D68" s="1492" t="s">
        <v>546</v>
      </c>
      <c r="E68" s="2685">
        <f>F68*0.75</f>
        <v>5449.5</v>
      </c>
      <c r="F68" s="2676">
        <v>7266</v>
      </c>
      <c r="G68" s="1467" t="s">
        <v>550</v>
      </c>
      <c r="I68" s="1037" t="str">
        <f>I62</f>
        <v>Merlot</v>
      </c>
      <c r="J68" s="2674">
        <v>0.6</v>
      </c>
      <c r="K68" s="1492"/>
      <c r="L68" s="1760">
        <f>J68*L65</f>
        <v>135</v>
      </c>
      <c r="M68" s="1467" t="str">
        <f>I68</f>
        <v>Merlot</v>
      </c>
      <c r="O68" s="1992">
        <v>47</v>
      </c>
      <c r="P68" s="2643">
        <v>2020</v>
      </c>
      <c r="Q68" s="2644" t="s">
        <v>957</v>
      </c>
      <c r="R68" s="2645">
        <v>225</v>
      </c>
      <c r="S68" s="2646" t="s">
        <v>210</v>
      </c>
      <c r="U68" s="1992">
        <v>109</v>
      </c>
      <c r="V68" s="2644">
        <v>2021</v>
      </c>
      <c r="W68" s="2644" t="s">
        <v>1206</v>
      </c>
      <c r="X68" s="2645">
        <v>225</v>
      </c>
      <c r="Y68" s="2646" t="s">
        <v>959</v>
      </c>
    </row>
    <row r="69" spans="2:25">
      <c r="B69" s="1992">
        <v>2020</v>
      </c>
      <c r="C69" s="1287" t="s">
        <v>201</v>
      </c>
      <c r="D69" s="1492" t="s">
        <v>546</v>
      </c>
      <c r="E69" s="2684">
        <v>0</v>
      </c>
      <c r="F69" s="2676">
        <f>E69/0.75</f>
        <v>0</v>
      </c>
      <c r="G69" s="1467" t="s">
        <v>550</v>
      </c>
      <c r="I69" s="1037" t="str">
        <f>I63</f>
        <v xml:space="preserve">Cabernet Sauvignon </v>
      </c>
      <c r="J69" s="2677">
        <v>0.1</v>
      </c>
      <c r="K69" s="1492"/>
      <c r="L69" s="2536">
        <f>J69*L65</f>
        <v>22.5</v>
      </c>
      <c r="M69" s="1467" t="str">
        <f>I69</f>
        <v xml:space="preserve">Cabernet Sauvignon </v>
      </c>
      <c r="O69" s="1992">
        <v>48</v>
      </c>
      <c r="P69" s="2643">
        <v>2020</v>
      </c>
      <c r="Q69" s="2644" t="s">
        <v>957</v>
      </c>
      <c r="R69" s="2645">
        <v>225</v>
      </c>
      <c r="S69" s="2646" t="s">
        <v>210</v>
      </c>
      <c r="U69" s="1992">
        <v>110</v>
      </c>
      <c r="V69" s="2644">
        <v>2021</v>
      </c>
      <c r="W69" s="2644" t="s">
        <v>1206</v>
      </c>
      <c r="X69" s="2645">
        <v>225</v>
      </c>
      <c r="Y69" s="2646" t="s">
        <v>959</v>
      </c>
    </row>
    <row r="70" spans="2:25" ht="13.5" thickBot="1">
      <c r="B70" s="1992">
        <v>2020</v>
      </c>
      <c r="C70" s="1287" t="s">
        <v>545</v>
      </c>
      <c r="D70" s="1492" t="s">
        <v>546</v>
      </c>
      <c r="E70" s="2684">
        <v>0</v>
      </c>
      <c r="F70" s="2676">
        <f>E70/0.75</f>
        <v>0</v>
      </c>
      <c r="G70" s="1467" t="s">
        <v>550</v>
      </c>
      <c r="I70" s="1523"/>
      <c r="J70" s="878">
        <f>SUM(J67:J69)</f>
        <v>0.99999999999999989</v>
      </c>
      <c r="K70" s="2678"/>
      <c r="L70" s="2679">
        <f>SUM(L67:L69)</f>
        <v>225</v>
      </c>
      <c r="M70" s="2680"/>
      <c r="O70" s="1992">
        <v>49</v>
      </c>
      <c r="P70" s="2643">
        <v>2020</v>
      </c>
      <c r="Q70" s="2644" t="s">
        <v>957</v>
      </c>
      <c r="R70" s="2645">
        <v>225</v>
      </c>
      <c r="S70" s="2646" t="s">
        <v>210</v>
      </c>
      <c r="U70" s="1992">
        <v>111</v>
      </c>
      <c r="V70" s="2644">
        <v>2021</v>
      </c>
      <c r="W70" s="2644" t="s">
        <v>1206</v>
      </c>
      <c r="X70" s="2645">
        <v>225</v>
      </c>
      <c r="Y70" s="2646" t="s">
        <v>959</v>
      </c>
    </row>
    <row r="71" spans="2:25" ht="13.5" thickBot="1">
      <c r="B71" s="1992">
        <v>2020</v>
      </c>
      <c r="C71" s="1287" t="s">
        <v>206</v>
      </c>
      <c r="D71" s="1492" t="s">
        <v>546</v>
      </c>
      <c r="E71" s="2684">
        <v>0</v>
      </c>
      <c r="F71" s="2676">
        <f>E71/0.75</f>
        <v>0</v>
      </c>
      <c r="G71" s="1467" t="s">
        <v>550</v>
      </c>
      <c r="I71" s="1992">
        <v>21</v>
      </c>
      <c r="J71" s="882"/>
      <c r="K71" s="881">
        <v>2019</v>
      </c>
      <c r="L71" s="880">
        <v>225</v>
      </c>
      <c r="M71" s="2681" t="s">
        <v>952</v>
      </c>
      <c r="O71" s="1992">
        <v>50</v>
      </c>
      <c r="P71" s="2643">
        <v>2020</v>
      </c>
      <c r="Q71" s="2644" t="s">
        <v>957</v>
      </c>
      <c r="R71" s="2645">
        <v>225</v>
      </c>
      <c r="S71" s="2646" t="s">
        <v>210</v>
      </c>
      <c r="U71" s="1992">
        <v>112</v>
      </c>
      <c r="V71" s="2644">
        <v>2021</v>
      </c>
      <c r="W71" s="2644" t="s">
        <v>1206</v>
      </c>
      <c r="X71" s="2645">
        <v>225</v>
      </c>
      <c r="Y71" s="2646" t="s">
        <v>959</v>
      </c>
    </row>
    <row r="72" spans="2:25" ht="13.5" thickBot="1">
      <c r="B72" s="2663" t="s">
        <v>26</v>
      </c>
      <c r="C72" s="2682"/>
      <c r="D72" s="2664"/>
      <c r="E72" s="2665">
        <f>SUM('Inv. start wine'!E67:E71)</f>
        <v>7312.5</v>
      </c>
      <c r="F72" s="2665">
        <f>SUM('Inv. start wine'!F67:F71)</f>
        <v>9750</v>
      </c>
      <c r="G72" s="2683"/>
      <c r="I72" s="1712" t="s">
        <v>950</v>
      </c>
      <c r="J72" s="879"/>
      <c r="K72" s="1488"/>
      <c r="L72" s="1726"/>
      <c r="M72" s="1727"/>
      <c r="O72" s="1992">
        <v>51</v>
      </c>
      <c r="P72" s="2643">
        <v>2020</v>
      </c>
      <c r="Q72" s="2644" t="s">
        <v>957</v>
      </c>
      <c r="R72" s="2645">
        <v>225</v>
      </c>
      <c r="S72" s="2646" t="s">
        <v>210</v>
      </c>
      <c r="U72" s="1992">
        <v>113</v>
      </c>
      <c r="V72" s="2644">
        <v>2021</v>
      </c>
      <c r="W72" s="2644" t="s">
        <v>1206</v>
      </c>
      <c r="X72" s="2645">
        <v>225</v>
      </c>
      <c r="Y72" s="2646" t="s">
        <v>959</v>
      </c>
    </row>
    <row r="73" spans="2:25" ht="13.5" thickBot="1">
      <c r="B73" s="2669">
        <v>2021</v>
      </c>
      <c r="C73" s="882"/>
      <c r="G73" s="1467"/>
      <c r="I73" s="1037" t="str">
        <f>I67</f>
        <v>Mavrud</v>
      </c>
      <c r="J73" s="2674">
        <v>0.3</v>
      </c>
      <c r="K73" s="1492"/>
      <c r="L73" s="1760">
        <f>J73*L71</f>
        <v>67.5</v>
      </c>
      <c r="M73" s="1467" t="str">
        <f>I73</f>
        <v>Mavrud</v>
      </c>
      <c r="O73" s="1992">
        <v>52</v>
      </c>
      <c r="P73" s="2643">
        <v>2020</v>
      </c>
      <c r="Q73" s="2644" t="s">
        <v>957</v>
      </c>
      <c r="R73" s="2645">
        <v>225</v>
      </c>
      <c r="S73" s="2646" t="s">
        <v>210</v>
      </c>
      <c r="U73" s="1992">
        <v>114</v>
      </c>
      <c r="V73" s="2644">
        <v>2021</v>
      </c>
      <c r="W73" s="2644" t="s">
        <v>1206</v>
      </c>
      <c r="X73" s="2645">
        <v>225</v>
      </c>
      <c r="Y73" s="2646" t="s">
        <v>959</v>
      </c>
    </row>
    <row r="74" spans="2:25">
      <c r="B74" s="2670" t="s">
        <v>552</v>
      </c>
      <c r="C74" s="2671" t="s">
        <v>543</v>
      </c>
      <c r="D74" s="2672" t="s">
        <v>961</v>
      </c>
      <c r="E74" s="1133" t="s">
        <v>960</v>
      </c>
      <c r="F74" s="1133" t="s">
        <v>26</v>
      </c>
      <c r="G74" s="2673" t="s">
        <v>551</v>
      </c>
      <c r="I74" s="1037" t="str">
        <f>I68</f>
        <v>Merlot</v>
      </c>
      <c r="J74" s="2674">
        <v>0.6</v>
      </c>
      <c r="K74" s="1492"/>
      <c r="L74" s="1760">
        <f>J74*L71</f>
        <v>135</v>
      </c>
      <c r="M74" s="1467" t="str">
        <f>I74</f>
        <v>Merlot</v>
      </c>
      <c r="O74" s="1992">
        <v>53</v>
      </c>
      <c r="P74" s="2643">
        <v>2020</v>
      </c>
      <c r="Q74" s="2644" t="s">
        <v>957</v>
      </c>
      <c r="R74" s="2645">
        <v>225</v>
      </c>
      <c r="S74" s="2646" t="s">
        <v>210</v>
      </c>
      <c r="U74" s="1992">
        <v>115</v>
      </c>
      <c r="V74" s="2644">
        <v>2021</v>
      </c>
      <c r="W74" s="2644" t="s">
        <v>1206</v>
      </c>
      <c r="X74" s="2645">
        <v>225</v>
      </c>
      <c r="Y74" s="2646" t="s">
        <v>959</v>
      </c>
    </row>
    <row r="75" spans="2:25">
      <c r="B75" s="1992">
        <v>2021</v>
      </c>
      <c r="C75" s="1287" t="s">
        <v>196</v>
      </c>
      <c r="D75" s="1492" t="s">
        <v>546</v>
      </c>
      <c r="E75" s="2675">
        <f>F75*0.75</f>
        <v>1756.5</v>
      </c>
      <c r="F75" s="2676">
        <v>2342</v>
      </c>
      <c r="G75" s="1467" t="s">
        <v>550</v>
      </c>
      <c r="I75" s="1037" t="str">
        <f>I69</f>
        <v xml:space="preserve">Cabernet Sauvignon </v>
      </c>
      <c r="J75" s="2677">
        <v>0.1</v>
      </c>
      <c r="K75" s="1492"/>
      <c r="L75" s="2536">
        <f>J75*L71</f>
        <v>22.5</v>
      </c>
      <c r="M75" s="1467" t="str">
        <f>I75</f>
        <v xml:space="preserve">Cabernet Sauvignon </v>
      </c>
      <c r="O75" s="1992">
        <v>54</v>
      </c>
      <c r="P75" s="2643">
        <v>2020</v>
      </c>
      <c r="Q75" s="2644" t="s">
        <v>957</v>
      </c>
      <c r="R75" s="2645">
        <v>225</v>
      </c>
      <c r="S75" s="2646" t="s">
        <v>210</v>
      </c>
      <c r="U75" s="1992">
        <v>116</v>
      </c>
      <c r="V75" s="2644">
        <v>2021</v>
      </c>
      <c r="W75" s="2644" t="s">
        <v>1206</v>
      </c>
      <c r="X75" s="2645">
        <v>225</v>
      </c>
      <c r="Y75" s="2646" t="s">
        <v>959</v>
      </c>
    </row>
    <row r="76" spans="2:25" ht="13.5" thickBot="1">
      <c r="B76" s="1992">
        <v>2021</v>
      </c>
      <c r="C76" s="1287" t="s">
        <v>198</v>
      </c>
      <c r="D76" s="1492" t="s">
        <v>546</v>
      </c>
      <c r="E76" s="2685"/>
      <c r="F76" s="2676"/>
      <c r="G76" s="1467" t="s">
        <v>550</v>
      </c>
      <c r="I76" s="1523"/>
      <c r="J76" s="878">
        <f>SUM(J73:J75)</f>
        <v>0.99999999999999989</v>
      </c>
      <c r="K76" s="2678"/>
      <c r="L76" s="2679">
        <f>SUM(L73:L75)</f>
        <v>225</v>
      </c>
      <c r="M76" s="2680"/>
      <c r="O76" s="1992">
        <v>55</v>
      </c>
      <c r="P76" s="2643">
        <v>2020</v>
      </c>
      <c r="Q76" s="2644" t="s">
        <v>957</v>
      </c>
      <c r="R76" s="2645">
        <v>225</v>
      </c>
      <c r="S76" s="2646" t="s">
        <v>210</v>
      </c>
      <c r="U76" s="1992">
        <v>117</v>
      </c>
      <c r="V76" s="2644">
        <v>2021</v>
      </c>
      <c r="W76" s="2644" t="s">
        <v>1206</v>
      </c>
      <c r="X76" s="2645">
        <v>225</v>
      </c>
      <c r="Y76" s="2646" t="s">
        <v>210</v>
      </c>
    </row>
    <row r="77" spans="2:25" ht="13.5" thickBot="1">
      <c r="B77" s="1992">
        <v>2021</v>
      </c>
      <c r="C77" s="1287" t="s">
        <v>201</v>
      </c>
      <c r="D77" s="1492" t="s">
        <v>546</v>
      </c>
      <c r="E77" s="2684">
        <v>0</v>
      </c>
      <c r="F77" s="2676"/>
      <c r="G77" s="1467" t="s">
        <v>550</v>
      </c>
      <c r="I77" s="1992">
        <v>10</v>
      </c>
      <c r="J77" s="882"/>
      <c r="K77" s="881">
        <v>2019</v>
      </c>
      <c r="L77" s="880">
        <v>225</v>
      </c>
      <c r="M77" s="2681" t="s">
        <v>952</v>
      </c>
      <c r="O77" s="1992">
        <v>56</v>
      </c>
      <c r="P77" s="2643">
        <v>2020</v>
      </c>
      <c r="Q77" s="2644" t="s">
        <v>957</v>
      </c>
      <c r="R77" s="2645">
        <v>225</v>
      </c>
      <c r="S77" s="2646" t="s">
        <v>210</v>
      </c>
      <c r="U77" s="1992">
        <v>118</v>
      </c>
      <c r="V77" s="2644">
        <v>2021</v>
      </c>
      <c r="W77" s="2644" t="s">
        <v>1206</v>
      </c>
      <c r="X77" s="2645">
        <v>225</v>
      </c>
      <c r="Y77" s="2646" t="s">
        <v>210</v>
      </c>
    </row>
    <row r="78" spans="2:25">
      <c r="B78" s="1992">
        <v>2021</v>
      </c>
      <c r="C78" s="1287" t="s">
        <v>545</v>
      </c>
      <c r="D78" s="1492" t="s">
        <v>546</v>
      </c>
      <c r="E78" s="2684">
        <v>0</v>
      </c>
      <c r="F78" s="2676"/>
      <c r="G78" s="1467" t="s">
        <v>550</v>
      </c>
      <c r="I78" s="1712" t="s">
        <v>950</v>
      </c>
      <c r="J78" s="879"/>
      <c r="K78" s="1488"/>
      <c r="L78" s="1726"/>
      <c r="M78" s="1727"/>
      <c r="O78" s="1992">
        <v>57</v>
      </c>
      <c r="P78" s="2643">
        <v>2020</v>
      </c>
      <c r="Q78" s="2644" t="s">
        <v>957</v>
      </c>
      <c r="R78" s="2645">
        <v>225</v>
      </c>
      <c r="S78" s="2646" t="s">
        <v>210</v>
      </c>
      <c r="U78" s="1992">
        <v>119</v>
      </c>
      <c r="V78" s="2644">
        <v>2021</v>
      </c>
      <c r="W78" s="2644" t="s">
        <v>1206</v>
      </c>
      <c r="X78" s="2645">
        <v>225</v>
      </c>
      <c r="Y78" s="2646" t="s">
        <v>210</v>
      </c>
    </row>
    <row r="79" spans="2:25">
      <c r="B79" s="1992">
        <v>2021</v>
      </c>
      <c r="C79" s="1287" t="s">
        <v>206</v>
      </c>
      <c r="D79" s="1492" t="s">
        <v>546</v>
      </c>
      <c r="E79" s="2684">
        <v>0</v>
      </c>
      <c r="F79" s="2676"/>
      <c r="G79" s="1467" t="s">
        <v>550</v>
      </c>
      <c r="I79" s="1037" t="str">
        <f>C35</f>
        <v xml:space="preserve">Merlot </v>
      </c>
      <c r="J79" s="2674">
        <v>0.4</v>
      </c>
      <c r="K79" s="1492"/>
      <c r="L79" s="1760">
        <f>J79*L77</f>
        <v>90</v>
      </c>
      <c r="M79" s="1467" t="str">
        <f>I79</f>
        <v xml:space="preserve">Merlot </v>
      </c>
      <c r="O79" s="1992">
        <v>58</v>
      </c>
      <c r="P79" s="2643">
        <v>2020</v>
      </c>
      <c r="Q79" s="2644" t="s">
        <v>957</v>
      </c>
      <c r="R79" s="2645">
        <v>225</v>
      </c>
      <c r="S79" s="2646" t="s">
        <v>210</v>
      </c>
      <c r="U79" s="1992">
        <v>120</v>
      </c>
      <c r="V79" s="2644">
        <v>2021</v>
      </c>
      <c r="W79" s="2644" t="s">
        <v>1206</v>
      </c>
      <c r="X79" s="2645">
        <v>225</v>
      </c>
      <c r="Y79" s="2646" t="s">
        <v>210</v>
      </c>
    </row>
    <row r="80" spans="2:25" ht="13.5" thickBot="1">
      <c r="B80" s="2663" t="s">
        <v>26</v>
      </c>
      <c r="C80" s="2682"/>
      <c r="D80" s="2664"/>
      <c r="E80" s="2665">
        <f>SUM('Inv. start wine'!E75:E79)</f>
        <v>1756.5</v>
      </c>
      <c r="F80" s="2665">
        <f>SUM('Inv. start wine'!F75:F79)</f>
        <v>2342</v>
      </c>
      <c r="G80" s="2683"/>
      <c r="I80" s="1037" t="str">
        <f>C38</f>
        <v xml:space="preserve">Mavrud </v>
      </c>
      <c r="J80" s="2677">
        <v>0.6</v>
      </c>
      <c r="K80" s="1492"/>
      <c r="L80" s="2536">
        <f>J80*L77</f>
        <v>135</v>
      </c>
      <c r="M80" s="1467" t="str">
        <f>I80</f>
        <v xml:space="preserve">Mavrud </v>
      </c>
      <c r="O80" s="1992">
        <v>59</v>
      </c>
      <c r="P80" s="2643">
        <v>2020</v>
      </c>
      <c r="Q80" s="2644" t="s">
        <v>957</v>
      </c>
      <c r="R80" s="2645">
        <v>225</v>
      </c>
      <c r="S80" s="2646" t="s">
        <v>959</v>
      </c>
      <c r="U80" s="1992">
        <v>121</v>
      </c>
      <c r="V80" s="2644">
        <v>2021</v>
      </c>
      <c r="W80" s="2644" t="s">
        <v>1206</v>
      </c>
      <c r="X80" s="2645">
        <v>225</v>
      </c>
      <c r="Y80" s="2646" t="s">
        <v>210</v>
      </c>
    </row>
    <row r="81" spans="1:25" ht="13.5" thickBot="1">
      <c r="I81" s="1523"/>
      <c r="J81" s="878">
        <f>SUM(J79:J80)</f>
        <v>1</v>
      </c>
      <c r="K81" s="2678"/>
      <c r="L81" s="2679">
        <f>SUM(L79:L80)</f>
        <v>225</v>
      </c>
      <c r="M81" s="2680"/>
      <c r="O81" s="1992">
        <v>60</v>
      </c>
      <c r="P81" s="2643">
        <v>2020</v>
      </c>
      <c r="Q81" s="2644" t="s">
        <v>957</v>
      </c>
      <c r="R81" s="2645">
        <v>225</v>
      </c>
      <c r="S81" s="2646" t="s">
        <v>959</v>
      </c>
      <c r="U81" s="1992">
        <v>122</v>
      </c>
      <c r="V81" s="2644">
        <v>2021</v>
      </c>
      <c r="W81" s="2644" t="s">
        <v>1206</v>
      </c>
      <c r="X81" s="2645">
        <v>225</v>
      </c>
      <c r="Y81" s="2646" t="s">
        <v>210</v>
      </c>
    </row>
    <row r="82" spans="1:25" ht="13.5" thickBot="1">
      <c r="B82" s="1526" t="s">
        <v>584</v>
      </c>
      <c r="C82" s="879"/>
      <c r="D82" s="1726"/>
      <c r="E82" s="1726"/>
      <c r="F82" s="1726"/>
      <c r="G82" s="1727"/>
      <c r="I82" s="1992">
        <v>11</v>
      </c>
      <c r="J82" s="882"/>
      <c r="K82" s="881">
        <v>2019</v>
      </c>
      <c r="L82" s="880">
        <v>225</v>
      </c>
      <c r="M82" s="2681" t="s">
        <v>952</v>
      </c>
      <c r="O82" s="1992">
        <v>61</v>
      </c>
      <c r="P82" s="2643">
        <v>2020</v>
      </c>
      <c r="Q82" s="2644" t="s">
        <v>957</v>
      </c>
      <c r="R82" s="2645">
        <v>225</v>
      </c>
      <c r="S82" s="2646" t="s">
        <v>959</v>
      </c>
      <c r="U82" s="1992">
        <v>123</v>
      </c>
      <c r="V82" s="2644">
        <v>2021</v>
      </c>
      <c r="W82" s="2644" t="s">
        <v>1206</v>
      </c>
      <c r="X82" s="2645">
        <v>225</v>
      </c>
      <c r="Y82" s="2646" t="s">
        <v>210</v>
      </c>
    </row>
    <row r="83" spans="1:25" ht="13.5" thickBot="1">
      <c r="B83" s="2669">
        <v>2019</v>
      </c>
      <c r="C83" s="2686"/>
      <c r="D83" s="1461"/>
      <c r="E83" s="1461"/>
      <c r="F83" s="1461"/>
      <c r="G83" s="1467"/>
      <c r="I83" s="1712" t="s">
        <v>950</v>
      </c>
      <c r="J83" s="879"/>
      <c r="K83" s="1488"/>
      <c r="L83" s="1726"/>
      <c r="M83" s="1727"/>
      <c r="O83" s="1992">
        <v>62</v>
      </c>
      <c r="P83" s="2643">
        <v>2020</v>
      </c>
      <c r="Q83" s="2644" t="s">
        <v>957</v>
      </c>
      <c r="R83" s="2645">
        <v>225</v>
      </c>
      <c r="S83" s="2646" t="s">
        <v>959</v>
      </c>
      <c r="U83" s="1992">
        <v>124</v>
      </c>
      <c r="V83" s="2644">
        <v>2021</v>
      </c>
      <c r="W83" s="2644" t="s">
        <v>1206</v>
      </c>
      <c r="X83" s="2645">
        <v>225</v>
      </c>
      <c r="Y83" s="2646" t="s">
        <v>210</v>
      </c>
    </row>
    <row r="84" spans="1:25">
      <c r="B84" s="2637" t="s">
        <v>106</v>
      </c>
      <c r="C84" s="885" t="s">
        <v>349</v>
      </c>
      <c r="D84" s="2638" t="s">
        <v>351</v>
      </c>
      <c r="E84" s="2638" t="s">
        <v>954</v>
      </c>
      <c r="F84" s="2638" t="s">
        <v>350</v>
      </c>
      <c r="G84" s="2639" t="s">
        <v>953</v>
      </c>
      <c r="I84" s="1037" t="str">
        <f>I79</f>
        <v xml:space="preserve">Merlot </v>
      </c>
      <c r="J84" s="2674">
        <v>0.4</v>
      </c>
      <c r="K84" s="1492"/>
      <c r="L84" s="1760">
        <f>J84*L82</f>
        <v>90</v>
      </c>
      <c r="M84" s="1467" t="str">
        <f>I84</f>
        <v xml:space="preserve">Merlot </v>
      </c>
      <c r="O84" s="1992">
        <v>63</v>
      </c>
      <c r="P84" s="2643">
        <v>2020</v>
      </c>
      <c r="Q84" s="2644" t="s">
        <v>957</v>
      </c>
      <c r="R84" s="2645">
        <v>225</v>
      </c>
      <c r="S84" s="2646" t="s">
        <v>210</v>
      </c>
      <c r="U84" s="1992">
        <v>125</v>
      </c>
      <c r="V84" s="2644">
        <v>2021</v>
      </c>
      <c r="W84" s="2644" t="s">
        <v>1206</v>
      </c>
      <c r="X84" s="2645">
        <v>225</v>
      </c>
      <c r="Y84" s="2646" t="s">
        <v>210</v>
      </c>
    </row>
    <row r="85" spans="1:25">
      <c r="B85" s="2687" t="s">
        <v>352</v>
      </c>
      <c r="C85" s="884">
        <v>13000</v>
      </c>
      <c r="D85" s="2898">
        <v>5</v>
      </c>
      <c r="E85" s="2897">
        <v>2019</v>
      </c>
      <c r="F85" s="883">
        <v>10300</v>
      </c>
      <c r="G85" s="2689" t="s">
        <v>1204</v>
      </c>
      <c r="I85" s="1037" t="str">
        <f>I80</f>
        <v xml:space="preserve">Mavrud </v>
      </c>
      <c r="J85" s="2677">
        <v>0.6</v>
      </c>
      <c r="K85" s="1492"/>
      <c r="L85" s="2536">
        <f>J85*L82</f>
        <v>135</v>
      </c>
      <c r="M85" s="1467" t="str">
        <f>I85</f>
        <v xml:space="preserve">Mavrud </v>
      </c>
      <c r="O85" s="1992">
        <v>64</v>
      </c>
      <c r="P85" s="2643">
        <v>2020</v>
      </c>
      <c r="Q85" s="2644" t="s">
        <v>957</v>
      </c>
      <c r="R85" s="2645">
        <v>225</v>
      </c>
      <c r="S85" s="2646" t="s">
        <v>210</v>
      </c>
      <c r="U85" s="1992">
        <v>126</v>
      </c>
      <c r="V85" s="2644">
        <v>2021</v>
      </c>
      <c r="W85" s="2644" t="s">
        <v>1206</v>
      </c>
      <c r="X85" s="2645">
        <v>225</v>
      </c>
      <c r="Y85" s="2646" t="s">
        <v>210</v>
      </c>
    </row>
    <row r="86" spans="1:25" ht="13.5" thickBot="1">
      <c r="B86" s="2687" t="s">
        <v>351</v>
      </c>
      <c r="C86" s="884">
        <v>5500</v>
      </c>
      <c r="D86" s="2896">
        <v>12</v>
      </c>
      <c r="E86" s="2897">
        <v>2019</v>
      </c>
      <c r="F86" s="883">
        <v>3400</v>
      </c>
      <c r="G86" s="2689" t="s">
        <v>1205</v>
      </c>
      <c r="I86" s="1523"/>
      <c r="J86" s="878">
        <f>SUM(J84:J85)</f>
        <v>1</v>
      </c>
      <c r="K86" s="2678"/>
      <c r="L86" s="2679">
        <f>SUM(L84:L85)</f>
        <v>225</v>
      </c>
      <c r="M86" s="2680"/>
      <c r="O86" s="1992">
        <v>65</v>
      </c>
      <c r="P86" s="2643">
        <v>2020</v>
      </c>
      <c r="Q86" s="2644" t="s">
        <v>957</v>
      </c>
      <c r="R86" s="2645">
        <v>225</v>
      </c>
      <c r="S86" s="2646" t="s">
        <v>210</v>
      </c>
      <c r="U86" s="1992">
        <v>127</v>
      </c>
      <c r="V86" s="2644">
        <v>2021</v>
      </c>
      <c r="W86" s="2644" t="s">
        <v>1206</v>
      </c>
      <c r="X86" s="2645">
        <v>225</v>
      </c>
      <c r="Y86" s="2646" t="s">
        <v>210</v>
      </c>
    </row>
    <row r="87" spans="1:25" ht="13.5" thickBot="1">
      <c r="B87" s="2687" t="s">
        <v>351</v>
      </c>
      <c r="C87" s="884">
        <v>1000</v>
      </c>
      <c r="D87" s="2898">
        <v>19</v>
      </c>
      <c r="E87" s="2897">
        <v>2019</v>
      </c>
      <c r="F87" s="2690">
        <v>630</v>
      </c>
      <c r="G87" s="2689" t="s">
        <v>547</v>
      </c>
      <c r="I87" s="1992">
        <v>12</v>
      </c>
      <c r="J87" s="882"/>
      <c r="K87" s="881">
        <v>2019</v>
      </c>
      <c r="L87" s="880">
        <v>225</v>
      </c>
      <c r="M87" s="2681" t="s">
        <v>952</v>
      </c>
      <c r="O87" s="1992">
        <v>66</v>
      </c>
      <c r="P87" s="2643">
        <v>2020</v>
      </c>
      <c r="Q87" s="2644" t="s">
        <v>957</v>
      </c>
      <c r="R87" s="2645">
        <v>225</v>
      </c>
      <c r="S87" s="2646" t="s">
        <v>959</v>
      </c>
      <c r="U87" s="1992">
        <v>128</v>
      </c>
      <c r="V87" s="2644">
        <v>2021</v>
      </c>
      <c r="W87" s="2644" t="s">
        <v>1206</v>
      </c>
      <c r="X87" s="2645">
        <v>225</v>
      </c>
      <c r="Y87" s="2646" t="s">
        <v>210</v>
      </c>
    </row>
    <row r="88" spans="1:25">
      <c r="B88" s="1992" t="s">
        <v>585</v>
      </c>
      <c r="C88" s="884">
        <v>6300</v>
      </c>
      <c r="D88" s="2898">
        <v>21</v>
      </c>
      <c r="E88" s="2897">
        <v>2019</v>
      </c>
      <c r="F88" s="883">
        <v>5853</v>
      </c>
      <c r="G88" s="2689" t="s">
        <v>547</v>
      </c>
      <c r="I88" s="1712" t="s">
        <v>950</v>
      </c>
      <c r="J88" s="879"/>
      <c r="K88" s="1488"/>
      <c r="L88" s="1726"/>
      <c r="M88" s="1727"/>
      <c r="O88" s="1992">
        <v>67</v>
      </c>
      <c r="P88" s="2643">
        <v>2020</v>
      </c>
      <c r="Q88" s="2644" t="s">
        <v>957</v>
      </c>
      <c r="R88" s="2645">
        <v>225</v>
      </c>
      <c r="S88" s="2646" t="s">
        <v>959</v>
      </c>
      <c r="U88" s="1992">
        <v>129</v>
      </c>
      <c r="V88" s="2644">
        <v>2021</v>
      </c>
      <c r="W88" s="2644" t="s">
        <v>1206</v>
      </c>
      <c r="X88" s="2645">
        <v>225</v>
      </c>
      <c r="Y88" s="2646" t="s">
        <v>210</v>
      </c>
    </row>
    <row r="89" spans="1:25" ht="13.5" thickBot="1">
      <c r="B89" s="2663" t="s">
        <v>26</v>
      </c>
      <c r="C89" s="2682">
        <f>SUM(C85:C88)</f>
        <v>25800</v>
      </c>
      <c r="D89" s="2664"/>
      <c r="E89" s="2664"/>
      <c r="F89" s="2665">
        <f>SUM(F85:F88)</f>
        <v>20183</v>
      </c>
      <c r="G89" s="2666"/>
      <c r="I89" s="1037" t="str">
        <f>I84</f>
        <v xml:space="preserve">Merlot </v>
      </c>
      <c r="J89" s="2674">
        <v>0.4</v>
      </c>
      <c r="K89" s="1492"/>
      <c r="L89" s="1760">
        <f>J89*L87</f>
        <v>90</v>
      </c>
      <c r="M89" s="1467" t="str">
        <f>I89</f>
        <v xml:space="preserve">Merlot </v>
      </c>
      <c r="O89" s="1992">
        <v>68</v>
      </c>
      <c r="P89" s="2643">
        <v>2020</v>
      </c>
      <c r="Q89" s="2644" t="s">
        <v>957</v>
      </c>
      <c r="R89" s="2645">
        <v>225</v>
      </c>
      <c r="S89" s="2646" t="s">
        <v>959</v>
      </c>
      <c r="U89" s="1992">
        <v>130</v>
      </c>
      <c r="V89" s="2644">
        <v>2021</v>
      </c>
      <c r="W89" s="2644" t="s">
        <v>1206</v>
      </c>
      <c r="X89" s="2645">
        <v>225</v>
      </c>
      <c r="Y89" s="2646" t="s">
        <v>210</v>
      </c>
    </row>
    <row r="90" spans="1:25">
      <c r="B90" s="1037"/>
      <c r="C90" s="882"/>
      <c r="D90" s="1461"/>
      <c r="E90" s="1461"/>
      <c r="F90" s="1461"/>
      <c r="G90" s="1467"/>
      <c r="I90" s="1037" t="str">
        <f>I85</f>
        <v xml:space="preserve">Mavrud </v>
      </c>
      <c r="J90" s="2677">
        <v>0.6</v>
      </c>
      <c r="K90" s="1492"/>
      <c r="L90" s="2536">
        <f>J90*L87</f>
        <v>135</v>
      </c>
      <c r="M90" s="1467" t="str">
        <f>I90</f>
        <v xml:space="preserve">Mavrud </v>
      </c>
      <c r="O90" s="1992">
        <v>69</v>
      </c>
      <c r="P90" s="2643">
        <v>2020</v>
      </c>
      <c r="Q90" s="2644" t="s">
        <v>957</v>
      </c>
      <c r="R90" s="2645">
        <v>225</v>
      </c>
      <c r="S90" s="2646" t="s">
        <v>959</v>
      </c>
      <c r="U90" s="1992">
        <v>131</v>
      </c>
      <c r="V90" s="2644">
        <v>2021</v>
      </c>
      <c r="W90" s="2644" t="s">
        <v>1206</v>
      </c>
      <c r="X90" s="2645">
        <v>225</v>
      </c>
      <c r="Y90" s="2646" t="s">
        <v>210</v>
      </c>
    </row>
    <row r="91" spans="1:25" ht="13.5" thickBot="1">
      <c r="B91" s="2669">
        <v>2020</v>
      </c>
      <c r="C91" s="2686"/>
      <c r="D91" s="1461"/>
      <c r="E91" s="1461"/>
      <c r="F91" s="1461"/>
      <c r="G91" s="1467"/>
      <c r="I91" s="1523"/>
      <c r="J91" s="878">
        <f>SUM(J89:J90)</f>
        <v>1</v>
      </c>
      <c r="K91" s="2678"/>
      <c r="L91" s="2679">
        <f>SUM(L89:L90)</f>
        <v>225</v>
      </c>
      <c r="M91" s="2680"/>
      <c r="O91" s="1992">
        <v>70</v>
      </c>
      <c r="P91" s="2643">
        <v>2020</v>
      </c>
      <c r="Q91" s="2644" t="s">
        <v>957</v>
      </c>
      <c r="R91" s="2645">
        <v>225</v>
      </c>
      <c r="S91" s="2646" t="s">
        <v>959</v>
      </c>
      <c r="U91" s="1992">
        <v>132</v>
      </c>
      <c r="V91" s="2644">
        <v>2021</v>
      </c>
      <c r="W91" s="2644" t="s">
        <v>1206</v>
      </c>
      <c r="X91" s="2645">
        <v>225</v>
      </c>
      <c r="Y91" s="2646" t="s">
        <v>210</v>
      </c>
    </row>
    <row r="92" spans="1:25" ht="13.5" thickBot="1">
      <c r="B92" s="2637" t="s">
        <v>106</v>
      </c>
      <c r="C92" s="885" t="s">
        <v>349</v>
      </c>
      <c r="D92" s="2638" t="s">
        <v>351</v>
      </c>
      <c r="E92" s="2638" t="s">
        <v>954</v>
      </c>
      <c r="F92" s="2638" t="s">
        <v>350</v>
      </c>
      <c r="G92" s="2639" t="s">
        <v>953</v>
      </c>
      <c r="I92" s="1992">
        <v>13</v>
      </c>
      <c r="J92" s="882"/>
      <c r="K92" s="881">
        <v>2019</v>
      </c>
      <c r="L92" s="880">
        <v>225</v>
      </c>
      <c r="M92" s="2681" t="s">
        <v>952</v>
      </c>
      <c r="O92" s="1992">
        <v>71</v>
      </c>
      <c r="P92" s="2643">
        <v>2020</v>
      </c>
      <c r="Q92" s="2644" t="s">
        <v>957</v>
      </c>
      <c r="R92" s="2645">
        <v>225</v>
      </c>
      <c r="S92" s="2646" t="s">
        <v>958</v>
      </c>
      <c r="U92" s="1992">
        <v>133</v>
      </c>
      <c r="V92" s="2644">
        <v>2021</v>
      </c>
      <c r="W92" s="2644" t="s">
        <v>1206</v>
      </c>
      <c r="X92" s="2645">
        <v>225</v>
      </c>
      <c r="Y92" s="2646" t="s">
        <v>210</v>
      </c>
    </row>
    <row r="93" spans="1:25">
      <c r="B93" s="2691" t="s">
        <v>585</v>
      </c>
      <c r="C93" s="884">
        <v>10300</v>
      </c>
      <c r="D93" s="2898">
        <v>4</v>
      </c>
      <c r="E93" s="2897">
        <v>2020</v>
      </c>
      <c r="F93" s="883">
        <v>10300</v>
      </c>
      <c r="G93" s="2689" t="s">
        <v>1204</v>
      </c>
      <c r="I93" s="1712" t="s">
        <v>950</v>
      </c>
      <c r="J93" s="879"/>
      <c r="K93" s="1488"/>
      <c r="L93" s="1726"/>
      <c r="M93" s="1727"/>
      <c r="O93" s="1992">
        <v>72</v>
      </c>
      <c r="P93" s="2643">
        <v>2020</v>
      </c>
      <c r="Q93" s="2644" t="s">
        <v>957</v>
      </c>
      <c r="R93" s="2645">
        <v>225</v>
      </c>
      <c r="S93" s="2646" t="s">
        <v>210</v>
      </c>
      <c r="U93" s="1992">
        <v>134</v>
      </c>
      <c r="V93" s="2644">
        <v>2021</v>
      </c>
      <c r="W93" s="2644" t="s">
        <v>1206</v>
      </c>
      <c r="X93" s="2645">
        <v>225</v>
      </c>
      <c r="Y93" s="2646" t="s">
        <v>210</v>
      </c>
    </row>
    <row r="94" spans="1:25">
      <c r="A94" s="2688"/>
      <c r="B94" s="1037"/>
      <c r="C94" s="882">
        <v>5500</v>
      </c>
      <c r="D94" s="2898">
        <v>10</v>
      </c>
      <c r="E94" s="2897">
        <v>2020</v>
      </c>
      <c r="F94" s="883">
        <v>5300</v>
      </c>
      <c r="G94" s="2689" t="s">
        <v>1204</v>
      </c>
      <c r="I94" s="1037" t="str">
        <f>I89</f>
        <v xml:space="preserve">Merlot </v>
      </c>
      <c r="J94" s="2674">
        <v>0.4</v>
      </c>
      <c r="K94" s="1492"/>
      <c r="L94" s="1760">
        <f>J94*L92</f>
        <v>90</v>
      </c>
      <c r="M94" s="1467" t="str">
        <f>I94</f>
        <v xml:space="preserve">Merlot </v>
      </c>
      <c r="O94" s="1992">
        <v>73</v>
      </c>
      <c r="P94" s="2643">
        <v>2020</v>
      </c>
      <c r="Q94" s="2644" t="s">
        <v>957</v>
      </c>
      <c r="R94" s="2645">
        <v>225</v>
      </c>
      <c r="S94" s="2646" t="s">
        <v>210</v>
      </c>
      <c r="U94" s="1992">
        <v>135</v>
      </c>
      <c r="V94" s="2644">
        <v>2021</v>
      </c>
      <c r="W94" s="2644" t="s">
        <v>1206</v>
      </c>
      <c r="X94" s="2645">
        <v>225</v>
      </c>
      <c r="Y94" s="2646" t="s">
        <v>210</v>
      </c>
    </row>
    <row r="95" spans="1:25" ht="13.5" thickBot="1">
      <c r="B95" s="2687" t="s">
        <v>351</v>
      </c>
      <c r="C95" s="884">
        <v>1000</v>
      </c>
      <c r="D95" s="2898">
        <v>20</v>
      </c>
      <c r="E95" s="2897">
        <v>2020</v>
      </c>
      <c r="F95" s="883">
        <v>425</v>
      </c>
      <c r="G95" s="2689" t="s">
        <v>203</v>
      </c>
      <c r="I95" s="1037" t="str">
        <f>I90</f>
        <v xml:space="preserve">Mavrud </v>
      </c>
      <c r="J95" s="2677">
        <v>0.6</v>
      </c>
      <c r="K95" s="1492"/>
      <c r="L95" s="2536">
        <f>J95*L92</f>
        <v>135</v>
      </c>
      <c r="M95" s="1467" t="str">
        <f>I95</f>
        <v xml:space="preserve">Mavrud </v>
      </c>
      <c r="O95" s="2663" t="s">
        <v>26</v>
      </c>
      <c r="P95" s="2664"/>
      <c r="Q95" s="2664"/>
      <c r="R95" s="2665">
        <f>SUM(R33:R94)</f>
        <v>13950</v>
      </c>
      <c r="S95" s="2666"/>
      <c r="U95" s="1992">
        <v>136</v>
      </c>
      <c r="V95" s="2644">
        <v>2021</v>
      </c>
      <c r="W95" s="2644" t="s">
        <v>1206</v>
      </c>
      <c r="X95" s="2645">
        <v>225</v>
      </c>
      <c r="Y95" s="2646" t="s">
        <v>210</v>
      </c>
    </row>
    <row r="96" spans="1:25" ht="13.5" thickBot="1">
      <c r="B96" s="2663" t="s">
        <v>26</v>
      </c>
      <c r="C96" s="2682">
        <f>SUM(C93:C95)</f>
        <v>16800</v>
      </c>
      <c r="D96" s="2664"/>
      <c r="E96" s="2664"/>
      <c r="F96" s="2665">
        <f>SUM(F93:F95)</f>
        <v>16025</v>
      </c>
      <c r="G96" s="2666"/>
      <c r="I96" s="1523"/>
      <c r="J96" s="878">
        <f>SUM(J94:J95)</f>
        <v>1</v>
      </c>
      <c r="K96" s="2678"/>
      <c r="L96" s="2679">
        <f>SUM(L94:L95)</f>
        <v>225</v>
      </c>
      <c r="M96" s="2680"/>
      <c r="O96" s="1037"/>
      <c r="S96" s="1467"/>
      <c r="U96" s="1992">
        <v>137</v>
      </c>
      <c r="V96" s="2644">
        <v>2021</v>
      </c>
      <c r="W96" s="2644" t="s">
        <v>1206</v>
      </c>
      <c r="X96" s="2645">
        <v>225</v>
      </c>
      <c r="Y96" s="2646" t="s">
        <v>210</v>
      </c>
    </row>
    <row r="97" spans="1:25" ht="13.5" thickBot="1">
      <c r="B97" s="1037"/>
      <c r="C97" s="882"/>
      <c r="D97" s="1461"/>
      <c r="E97" s="1461"/>
      <c r="F97" s="1461"/>
      <c r="G97" s="1467"/>
      <c r="I97" s="1992">
        <v>14</v>
      </c>
      <c r="J97" s="882"/>
      <c r="K97" s="881">
        <v>2019</v>
      </c>
      <c r="L97" s="880">
        <v>225</v>
      </c>
      <c r="M97" s="2681" t="s">
        <v>952</v>
      </c>
      <c r="O97" s="2637" t="s">
        <v>202</v>
      </c>
      <c r="P97" s="885"/>
      <c r="Q97" s="2638" t="s">
        <v>956</v>
      </c>
      <c r="R97" s="2638" t="s">
        <v>955</v>
      </c>
      <c r="S97" s="2639" t="s">
        <v>953</v>
      </c>
      <c r="U97" s="1992">
        <v>138</v>
      </c>
      <c r="V97" s="2644">
        <v>2021</v>
      </c>
      <c r="W97" s="2644" t="s">
        <v>1206</v>
      </c>
      <c r="X97" s="2645">
        <v>225</v>
      </c>
      <c r="Y97" s="2646" t="s">
        <v>210</v>
      </c>
    </row>
    <row r="98" spans="1:25" ht="13.5" thickBot="1">
      <c r="B98" s="2669">
        <v>2021</v>
      </c>
      <c r="C98" s="2686"/>
      <c r="D98" s="1461"/>
      <c r="E98" s="1461"/>
      <c r="F98" s="1461"/>
      <c r="G98" s="1467"/>
      <c r="I98" s="1712" t="s">
        <v>950</v>
      </c>
      <c r="J98" s="879"/>
      <c r="K98" s="1488"/>
      <c r="L98" s="1726"/>
      <c r="M98" s="1727"/>
      <c r="O98" s="1992">
        <f>O92</f>
        <v>71</v>
      </c>
      <c r="P98" s="882"/>
      <c r="Q98" s="887">
        <f>P92</f>
        <v>2020</v>
      </c>
      <c r="R98" s="886">
        <v>225</v>
      </c>
      <c r="S98" s="2668" t="str">
        <f>S92</f>
        <v>Merlot X Cabernet Franc</v>
      </c>
      <c r="U98" s="1992">
        <v>139</v>
      </c>
      <c r="V98" s="2644">
        <v>2021</v>
      </c>
      <c r="W98" s="2644" t="s">
        <v>1206</v>
      </c>
      <c r="X98" s="2645">
        <v>225</v>
      </c>
      <c r="Y98" s="2646" t="s">
        <v>210</v>
      </c>
    </row>
    <row r="99" spans="1:25">
      <c r="B99" s="2637" t="s">
        <v>106</v>
      </c>
      <c r="C99" s="885" t="s">
        <v>349</v>
      </c>
      <c r="D99" s="2638" t="s">
        <v>351</v>
      </c>
      <c r="E99" s="2638" t="s">
        <v>954</v>
      </c>
      <c r="F99" s="2638" t="s">
        <v>350</v>
      </c>
      <c r="G99" s="2639" t="s">
        <v>953</v>
      </c>
      <c r="I99" s="1037" t="str">
        <f>I94</f>
        <v xml:space="preserve">Merlot </v>
      </c>
      <c r="J99" s="2674">
        <v>0.4</v>
      </c>
      <c r="K99" s="1492"/>
      <c r="L99" s="1760">
        <f>J99*L97</f>
        <v>90</v>
      </c>
      <c r="M99" s="1467" t="str">
        <f>I99</f>
        <v xml:space="preserve">Merlot </v>
      </c>
      <c r="O99" s="1712" t="s">
        <v>950</v>
      </c>
      <c r="P99" s="879"/>
      <c r="Q99" s="1488"/>
      <c r="R99" s="1726"/>
      <c r="S99" s="1727"/>
      <c r="U99" s="1992">
        <v>140</v>
      </c>
      <c r="V99" s="2644">
        <v>2021</v>
      </c>
      <c r="W99" s="2644" t="s">
        <v>1206</v>
      </c>
      <c r="X99" s="2645">
        <v>225</v>
      </c>
      <c r="Y99" s="2646" t="s">
        <v>210</v>
      </c>
    </row>
    <row r="100" spans="1:25">
      <c r="A100" s="882"/>
      <c r="B100" s="2687" t="s">
        <v>351</v>
      </c>
      <c r="C100" s="884">
        <v>5500</v>
      </c>
      <c r="D100" s="2898">
        <v>11</v>
      </c>
      <c r="E100" s="2897">
        <v>2021</v>
      </c>
      <c r="F100" s="883">
        <v>3950</v>
      </c>
      <c r="G100" s="2689" t="s">
        <v>549</v>
      </c>
      <c r="I100" s="1037" t="str">
        <f>I95</f>
        <v xml:space="preserve">Mavrud </v>
      </c>
      <c r="J100" s="2677">
        <v>0.6</v>
      </c>
      <c r="K100" s="1492"/>
      <c r="L100" s="2536">
        <f>J100*L97</f>
        <v>135</v>
      </c>
      <c r="M100" s="1467" t="str">
        <f>I100</f>
        <v xml:space="preserve">Mavrud </v>
      </c>
      <c r="O100" s="1037" t="str">
        <f>I99</f>
        <v xml:space="preserve">Merlot </v>
      </c>
      <c r="P100" s="2674">
        <v>0.6</v>
      </c>
      <c r="Q100" s="1492"/>
      <c r="R100" s="1760">
        <f>P100*R98</f>
        <v>135</v>
      </c>
      <c r="S100" s="1467" t="str">
        <f>O100</f>
        <v xml:space="preserve">Merlot </v>
      </c>
      <c r="U100" s="1992">
        <v>141</v>
      </c>
      <c r="V100" s="2644">
        <v>2021</v>
      </c>
      <c r="W100" s="2644" t="s">
        <v>1206</v>
      </c>
      <c r="X100" s="2645">
        <v>225</v>
      </c>
      <c r="Y100" s="2646" t="s">
        <v>210</v>
      </c>
    </row>
    <row r="101" spans="1:25" ht="13.5" thickBot="1">
      <c r="B101" s="2663" t="s">
        <v>26</v>
      </c>
      <c r="C101" s="2682">
        <f>SUM(C100)</f>
        <v>5500</v>
      </c>
      <c r="D101" s="2664"/>
      <c r="E101" s="2664"/>
      <c r="F101" s="2665">
        <f>SUM(F100)</f>
        <v>3950</v>
      </c>
      <c r="G101" s="2666"/>
      <c r="I101" s="1523"/>
      <c r="J101" s="878">
        <f>SUM(J99:J100)</f>
        <v>1</v>
      </c>
      <c r="K101" s="2678"/>
      <c r="L101" s="2679">
        <f>SUM(L99:L100)</f>
        <v>225</v>
      </c>
      <c r="M101" s="2680"/>
      <c r="O101" s="1037" t="str">
        <f>C41</f>
        <v xml:space="preserve">Cabernet Franc </v>
      </c>
      <c r="P101" s="2677">
        <v>0.4</v>
      </c>
      <c r="Q101" s="1492"/>
      <c r="R101" s="2536">
        <f>P101*R98</f>
        <v>90</v>
      </c>
      <c r="S101" s="1467" t="str">
        <f>O101</f>
        <v xml:space="preserve">Cabernet Franc </v>
      </c>
      <c r="U101" s="1992">
        <v>142</v>
      </c>
      <c r="V101" s="2644">
        <v>2021</v>
      </c>
      <c r="W101" s="2644" t="s">
        <v>1206</v>
      </c>
      <c r="X101" s="2645">
        <v>225</v>
      </c>
      <c r="Y101" s="2646" t="s">
        <v>210</v>
      </c>
    </row>
    <row r="102" spans="1:25" ht="13.5" thickBot="1">
      <c r="B102" s="2688"/>
      <c r="C102" s="2688"/>
      <c r="D102" s="2688"/>
      <c r="E102" s="2688"/>
      <c r="F102" s="2688"/>
      <c r="G102" s="2688"/>
      <c r="I102" s="1992">
        <v>15</v>
      </c>
      <c r="J102" s="882"/>
      <c r="K102" s="881">
        <v>2019</v>
      </c>
      <c r="L102" s="880">
        <v>225</v>
      </c>
      <c r="M102" s="2681" t="s">
        <v>952</v>
      </c>
      <c r="O102" s="1523"/>
      <c r="P102" s="878">
        <f>SUM(P100:P101)</f>
        <v>1</v>
      </c>
      <c r="Q102" s="2678"/>
      <c r="R102" s="2679">
        <f>SUM(R100:R101)</f>
        <v>225</v>
      </c>
      <c r="S102" s="2680"/>
      <c r="U102" s="1992">
        <v>143</v>
      </c>
      <c r="V102" s="2644">
        <v>2021</v>
      </c>
      <c r="W102" s="2644" t="s">
        <v>1206</v>
      </c>
      <c r="X102" s="2645">
        <v>225</v>
      </c>
      <c r="Y102" s="2646" t="s">
        <v>210</v>
      </c>
    </row>
    <row r="103" spans="1:25">
      <c r="B103" s="2637" t="s">
        <v>106</v>
      </c>
      <c r="C103" s="885" t="s">
        <v>349</v>
      </c>
      <c r="D103" s="2638" t="s">
        <v>351</v>
      </c>
      <c r="E103" s="2638" t="s">
        <v>954</v>
      </c>
      <c r="F103" s="2638" t="s">
        <v>350</v>
      </c>
      <c r="G103" s="2639" t="s">
        <v>953</v>
      </c>
      <c r="I103" s="1712" t="s">
        <v>950</v>
      </c>
      <c r="J103" s="879"/>
      <c r="K103" s="1488"/>
      <c r="L103" s="1726"/>
      <c r="M103" s="1727"/>
      <c r="O103" s="1526" t="s">
        <v>951</v>
      </c>
      <c r="P103" s="1726"/>
      <c r="Q103" s="1726"/>
      <c r="R103" s="1726"/>
      <c r="S103" s="1727"/>
      <c r="U103" s="1992">
        <v>144</v>
      </c>
      <c r="V103" s="2644">
        <v>2021</v>
      </c>
      <c r="W103" s="2644" t="s">
        <v>1206</v>
      </c>
      <c r="X103" s="2645">
        <v>225</v>
      </c>
      <c r="Y103" s="2646" t="s">
        <v>210</v>
      </c>
    </row>
    <row r="104" spans="1:25" ht="13.5" thickBot="1">
      <c r="B104" s="2687" t="s">
        <v>351</v>
      </c>
      <c r="C104" s="884">
        <v>10300</v>
      </c>
      <c r="D104" s="2896">
        <f>D85</f>
        <v>5</v>
      </c>
      <c r="E104" s="2897">
        <v>2019</v>
      </c>
      <c r="F104" s="883">
        <f>F85</f>
        <v>10300</v>
      </c>
      <c r="G104" s="2689" t="str">
        <f>G85</f>
        <v>Merlot / Cabernet Sauvignon / Cabernet Franc</v>
      </c>
      <c r="I104" s="1037" t="str">
        <f>I99</f>
        <v xml:space="preserve">Merlot </v>
      </c>
      <c r="J104" s="2674">
        <v>0.4</v>
      </c>
      <c r="K104" s="1492"/>
      <c r="L104" s="1760">
        <f>J104*L102</f>
        <v>90</v>
      </c>
      <c r="M104" s="1467" t="str">
        <f>I104</f>
        <v xml:space="preserve">Merlot </v>
      </c>
      <c r="O104" s="2693" t="str">
        <f>S33</f>
        <v>Merlot</v>
      </c>
      <c r="R104" s="1287">
        <f>SUMIF(S33:S94,O104,R33:R94)</f>
        <v>6300</v>
      </c>
      <c r="S104" s="1467"/>
      <c r="U104" s="1992">
        <v>145</v>
      </c>
      <c r="V104" s="2644">
        <v>2021</v>
      </c>
      <c r="W104" s="2644" t="s">
        <v>1206</v>
      </c>
      <c r="X104" s="2645">
        <v>225</v>
      </c>
      <c r="Y104" s="2646" t="s">
        <v>210</v>
      </c>
    </row>
    <row r="105" spans="1:25">
      <c r="B105" s="1712" t="s">
        <v>950</v>
      </c>
      <c r="C105" s="9"/>
      <c r="D105" s="1712"/>
      <c r="E105" s="1726"/>
      <c r="F105" s="1726"/>
      <c r="G105" s="1727"/>
      <c r="I105" s="1037" t="str">
        <f>I100</f>
        <v xml:space="preserve">Mavrud </v>
      </c>
      <c r="J105" s="2677">
        <v>0.6</v>
      </c>
      <c r="K105" s="1492"/>
      <c r="L105" s="2536">
        <f>J105*L102</f>
        <v>135</v>
      </c>
      <c r="M105" s="1467" t="str">
        <f>I105</f>
        <v xml:space="preserve">Mavrud </v>
      </c>
      <c r="O105" s="1037" t="str">
        <f>S41</f>
        <v>Cabernet Sauvignon</v>
      </c>
      <c r="R105" s="1287">
        <f>SUMIF(S33:S94,O105,R33:R94)</f>
        <v>4275</v>
      </c>
      <c r="S105" s="1467"/>
      <c r="U105" s="1992">
        <v>146</v>
      </c>
      <c r="V105" s="2644">
        <v>2021</v>
      </c>
      <c r="W105" s="2644" t="s">
        <v>1206</v>
      </c>
      <c r="X105" s="2645">
        <v>225</v>
      </c>
      <c r="Y105" s="2646" t="s">
        <v>210</v>
      </c>
    </row>
    <row r="106" spans="1:25" ht="13.5" thickBot="1">
      <c r="B106" s="1037" t="s">
        <v>210</v>
      </c>
      <c r="C106" s="2692">
        <v>0.97</v>
      </c>
      <c r="D106" s="1037"/>
      <c r="E106" s="1461"/>
      <c r="F106" s="2728">
        <f>C106*F104</f>
        <v>9991</v>
      </c>
      <c r="G106" s="1467" t="str">
        <f>B106</f>
        <v>Merlot</v>
      </c>
      <c r="I106" s="1523"/>
      <c r="J106" s="878">
        <f>SUM(J104:J105)</f>
        <v>1</v>
      </c>
      <c r="K106" s="2678"/>
      <c r="L106" s="2679">
        <f>SUM(L104:L105)</f>
        <v>225</v>
      </c>
      <c r="M106" s="2680"/>
      <c r="O106" s="1523" t="str">
        <f>S36</f>
        <v>Cabernet Franc</v>
      </c>
      <c r="P106" s="1524"/>
      <c r="Q106" s="1524"/>
      <c r="R106" s="1524">
        <f>SUMIF(S33:S94,O106,R33:R94)</f>
        <v>3150</v>
      </c>
      <c r="S106" s="2680"/>
      <c r="U106" s="1992">
        <v>147</v>
      </c>
      <c r="V106" s="2644">
        <v>2021</v>
      </c>
      <c r="W106" s="2644" t="s">
        <v>1206</v>
      </c>
      <c r="X106" s="2645">
        <v>225</v>
      </c>
      <c r="Y106" s="2646" t="s">
        <v>210</v>
      </c>
    </row>
    <row r="107" spans="1:25">
      <c r="B107" s="1037" t="s">
        <v>211</v>
      </c>
      <c r="C107" s="2692">
        <v>0.02</v>
      </c>
      <c r="D107" s="1037"/>
      <c r="E107" s="1461"/>
      <c r="F107" s="2728">
        <f>C107*F104</f>
        <v>206</v>
      </c>
      <c r="G107" s="1467" t="str">
        <f>B107</f>
        <v>Mavrud</v>
      </c>
      <c r="I107" s="1037"/>
      <c r="M107" s="1467"/>
      <c r="O107" s="1526" t="s">
        <v>651</v>
      </c>
      <c r="P107" s="1726"/>
      <c r="Q107" s="1726"/>
      <c r="R107" s="1726"/>
      <c r="S107" s="1727"/>
      <c r="U107" s="1992">
        <v>148</v>
      </c>
      <c r="V107" s="2644">
        <v>2021</v>
      </c>
      <c r="W107" s="2644" t="s">
        <v>1206</v>
      </c>
      <c r="X107" s="2645">
        <v>225</v>
      </c>
      <c r="Y107" s="2646" t="s">
        <v>210</v>
      </c>
    </row>
    <row r="108" spans="1:25">
      <c r="B108" s="1037" t="str">
        <f>C36</f>
        <v xml:space="preserve">Cabernet Sauvignon </v>
      </c>
      <c r="C108" s="2694">
        <v>0.01</v>
      </c>
      <c r="D108" s="1037"/>
      <c r="E108" s="1461"/>
      <c r="F108" s="2536">
        <f>C108*F104</f>
        <v>103</v>
      </c>
      <c r="G108" s="1467" t="str">
        <f>B108</f>
        <v xml:space="preserve">Cabernet Sauvignon </v>
      </c>
      <c r="I108" s="1037"/>
      <c r="M108" s="1467"/>
      <c r="O108" s="1037" t="str">
        <f>'Inv. start wine'!G93</f>
        <v>Merlot / Cabernet Sauvignon / Cabernet Franc</v>
      </c>
      <c r="R108" s="1760">
        <f>'Inv. start wine'!F93</f>
        <v>10300</v>
      </c>
      <c r="S108" s="1467"/>
      <c r="U108" s="1992">
        <v>149</v>
      </c>
      <c r="V108" s="2644">
        <v>2021</v>
      </c>
      <c r="W108" s="2644" t="s">
        <v>1206</v>
      </c>
      <c r="X108" s="2645">
        <v>225</v>
      </c>
      <c r="Y108" s="2646" t="s">
        <v>210</v>
      </c>
    </row>
    <row r="109" spans="1:25" ht="13.5" thickBot="1">
      <c r="B109" s="1523"/>
      <c r="C109" s="2895">
        <f>SUM(C106:C108)</f>
        <v>1</v>
      </c>
      <c r="D109" s="1523"/>
      <c r="E109" s="1524"/>
      <c r="F109" s="2679">
        <f>SUM(F106:F108)</f>
        <v>10300</v>
      </c>
      <c r="G109" s="2894"/>
      <c r="I109" s="1523"/>
      <c r="J109" s="1524"/>
      <c r="K109" s="1524"/>
      <c r="L109" s="1524"/>
      <c r="M109" s="2680"/>
      <c r="N109" s="1524"/>
      <c r="O109" s="1523" t="str">
        <f>'Inv. start wine'!G95</f>
        <v xml:space="preserve">Cabernet Franc </v>
      </c>
      <c r="P109" s="1524"/>
      <c r="Q109" s="1524"/>
      <c r="R109" s="2679">
        <f>'Inv. start wine'!F95</f>
        <v>425</v>
      </c>
      <c r="S109" s="2680"/>
      <c r="U109" s="1992">
        <v>150</v>
      </c>
      <c r="V109" s="2644">
        <v>2021</v>
      </c>
      <c r="W109" s="2644" t="s">
        <v>1206</v>
      </c>
      <c r="X109" s="2645">
        <v>225</v>
      </c>
      <c r="Y109" s="2646" t="s">
        <v>210</v>
      </c>
    </row>
    <row r="110" spans="1:25" ht="13.5" thickBot="1">
      <c r="B110" s="2695" t="s">
        <v>351</v>
      </c>
      <c r="C110" s="876">
        <v>5500</v>
      </c>
      <c r="D110" s="2696">
        <f>D86</f>
        <v>12</v>
      </c>
      <c r="E110" s="2697">
        <v>2019</v>
      </c>
      <c r="F110" s="877">
        <f>F86</f>
        <v>3400</v>
      </c>
      <c r="G110" s="2698" t="str">
        <f>G86</f>
        <v>Merlot / Mavrud / Cabernet Sauvignon / Cabernet Franc</v>
      </c>
      <c r="S110" s="1467"/>
      <c r="U110" s="1992">
        <v>151</v>
      </c>
      <c r="V110" s="2644">
        <v>2021</v>
      </c>
      <c r="W110" s="2644" t="s">
        <v>1206</v>
      </c>
      <c r="X110" s="2645">
        <v>225</v>
      </c>
      <c r="Y110" s="2646" t="s">
        <v>210</v>
      </c>
    </row>
    <row r="111" spans="1:25">
      <c r="B111" s="1712" t="s">
        <v>950</v>
      </c>
      <c r="C111" s="9"/>
      <c r="D111" s="1712"/>
      <c r="E111" s="1726"/>
      <c r="F111" s="1726"/>
      <c r="G111" s="1727"/>
      <c r="S111" s="1467"/>
      <c r="U111" s="1992">
        <v>152</v>
      </c>
      <c r="V111" s="2644">
        <v>2021</v>
      </c>
      <c r="W111" s="2644" t="s">
        <v>1206</v>
      </c>
      <c r="X111" s="2645">
        <v>225</v>
      </c>
      <c r="Y111" s="2646" t="s">
        <v>210</v>
      </c>
    </row>
    <row r="112" spans="1:25">
      <c r="B112" s="1037" t="s">
        <v>210</v>
      </c>
      <c r="C112" s="2692">
        <v>0.56000000000000005</v>
      </c>
      <c r="D112" s="1461"/>
      <c r="E112" s="1461"/>
      <c r="F112" s="2728">
        <f>C112*$F$110</f>
        <v>1904.0000000000002</v>
      </c>
      <c r="G112" s="1467" t="str">
        <f>B112</f>
        <v>Merlot</v>
      </c>
      <c r="S112" s="1467"/>
      <c r="U112" s="1992">
        <v>153</v>
      </c>
      <c r="V112" s="2644">
        <v>2021</v>
      </c>
      <c r="W112" s="2644" t="s">
        <v>1206</v>
      </c>
      <c r="X112" s="2645">
        <v>225</v>
      </c>
      <c r="Y112" s="2646" t="s">
        <v>210</v>
      </c>
    </row>
    <row r="113" spans="2:25">
      <c r="B113" s="1037" t="s">
        <v>211</v>
      </c>
      <c r="C113" s="2692">
        <v>0.27</v>
      </c>
      <c r="D113" s="1461"/>
      <c r="E113" s="1461"/>
      <c r="F113" s="2728">
        <f>C113*$F$110</f>
        <v>918.00000000000011</v>
      </c>
      <c r="G113" s="1467" t="str">
        <f>B113</f>
        <v>Mavrud</v>
      </c>
      <c r="S113" s="1467"/>
      <c r="U113" s="1992">
        <v>154</v>
      </c>
      <c r="V113" s="2644">
        <v>2021</v>
      </c>
      <c r="W113" s="2644" t="s">
        <v>1206</v>
      </c>
      <c r="X113" s="2645">
        <v>225</v>
      </c>
      <c r="Y113" s="2646" t="s">
        <v>210</v>
      </c>
    </row>
    <row r="114" spans="2:25">
      <c r="B114" s="1037" t="str">
        <f>B108</f>
        <v xml:space="preserve">Cabernet Sauvignon </v>
      </c>
      <c r="C114" s="2692">
        <v>0.13</v>
      </c>
      <c r="D114" s="1037"/>
      <c r="E114" s="1461"/>
      <c r="F114" s="2728">
        <f>C114*$F$110</f>
        <v>442</v>
      </c>
      <c r="G114" s="1467" t="str">
        <f>B114</f>
        <v xml:space="preserve">Cabernet Sauvignon </v>
      </c>
      <c r="S114" s="1467"/>
      <c r="U114" s="1992">
        <v>155</v>
      </c>
      <c r="V114" s="2644">
        <v>2021</v>
      </c>
      <c r="W114" s="2644" t="s">
        <v>1206</v>
      </c>
      <c r="X114" s="2645">
        <v>225</v>
      </c>
      <c r="Y114" s="2646" t="s">
        <v>210</v>
      </c>
    </row>
    <row r="115" spans="2:25">
      <c r="B115" s="1037" t="str">
        <f>C37</f>
        <v xml:space="preserve">Cabernet Franc </v>
      </c>
      <c r="C115" s="2694">
        <v>0.04</v>
      </c>
      <c r="D115" s="1037"/>
      <c r="E115" s="1461"/>
      <c r="F115" s="2536">
        <f>C115*F110</f>
        <v>136</v>
      </c>
      <c r="G115" s="1467" t="str">
        <f>B115</f>
        <v xml:space="preserve">Cabernet Franc </v>
      </c>
      <c r="S115" s="1467"/>
      <c r="U115" s="1992">
        <v>156</v>
      </c>
      <c r="V115" s="2644">
        <v>2021</v>
      </c>
      <c r="W115" s="2644" t="s">
        <v>1206</v>
      </c>
      <c r="X115" s="2645">
        <v>225</v>
      </c>
      <c r="Y115" s="2646" t="s">
        <v>210</v>
      </c>
    </row>
    <row r="116" spans="2:25" ht="13.5" thickBot="1">
      <c r="B116" s="1523"/>
      <c r="C116" s="2895">
        <f>SUM(C112:C115)</f>
        <v>1</v>
      </c>
      <c r="D116" s="1523"/>
      <c r="E116" s="1524"/>
      <c r="F116" s="2679">
        <f>SUM(F112:F115)</f>
        <v>3400.0000000000005</v>
      </c>
      <c r="G116" s="2894"/>
      <c r="S116" s="1467"/>
      <c r="U116" s="1992">
        <v>157</v>
      </c>
      <c r="V116" s="2644">
        <v>2021</v>
      </c>
      <c r="W116" s="2644" t="s">
        <v>1206</v>
      </c>
      <c r="X116" s="2645">
        <v>225</v>
      </c>
      <c r="Y116" s="2646" t="s">
        <v>210</v>
      </c>
    </row>
    <row r="117" spans="2:25" ht="13.5" thickBot="1">
      <c r="B117" s="2699" t="s">
        <v>351</v>
      </c>
      <c r="C117" s="876">
        <f>C87</f>
        <v>1000</v>
      </c>
      <c r="D117" s="2696">
        <f>D87</f>
        <v>19</v>
      </c>
      <c r="E117" s="2697">
        <v>2019</v>
      </c>
      <c r="F117" s="875">
        <f>F87</f>
        <v>630</v>
      </c>
      <c r="G117" s="2698" t="str">
        <f>G87</f>
        <v xml:space="preserve">Cabernet Sauvignon / Cabernet Franc </v>
      </c>
      <c r="S117" s="1467"/>
      <c r="U117" s="2663" t="s">
        <v>26</v>
      </c>
      <c r="V117" s="2664"/>
      <c r="W117" s="2664"/>
      <c r="X117" s="2665">
        <f>SUM(X33:X116)</f>
        <v>18900</v>
      </c>
      <c r="Y117" s="2666"/>
    </row>
    <row r="118" spans="2:25" ht="13.5" thickBot="1">
      <c r="B118" s="1712" t="s">
        <v>950</v>
      </c>
      <c r="C118" s="9"/>
      <c r="D118" s="1712"/>
      <c r="E118" s="1726"/>
      <c r="F118" s="1726"/>
      <c r="G118" s="1727"/>
      <c r="S118" s="1467"/>
      <c r="U118" s="1037"/>
      <c r="Y118" s="1467"/>
    </row>
    <row r="119" spans="2:25">
      <c r="B119" s="1037" t="str">
        <f>B114</f>
        <v xml:space="preserve">Cabernet Sauvignon </v>
      </c>
      <c r="C119" s="2692">
        <v>0.65</v>
      </c>
      <c r="D119" s="1037"/>
      <c r="E119" s="1461"/>
      <c r="F119" s="2728">
        <f>C119*F117</f>
        <v>409.5</v>
      </c>
      <c r="G119" s="1467" t="str">
        <f>B119</f>
        <v xml:space="preserve">Cabernet Sauvignon </v>
      </c>
      <c r="S119" s="1467"/>
      <c r="U119" s="2637" t="s">
        <v>202</v>
      </c>
      <c r="V119" s="885"/>
      <c r="W119" s="2638" t="s">
        <v>956</v>
      </c>
      <c r="X119" s="2638" t="s">
        <v>955</v>
      </c>
      <c r="Y119" s="2639" t="s">
        <v>953</v>
      </c>
    </row>
    <row r="120" spans="2:25" ht="13.5" thickBot="1">
      <c r="B120" s="1037" t="str">
        <f>B115</f>
        <v xml:space="preserve">Cabernet Franc </v>
      </c>
      <c r="C120" s="2694">
        <v>0.35</v>
      </c>
      <c r="D120" s="1037"/>
      <c r="E120" s="1461"/>
      <c r="F120" s="2536">
        <f>C120*F117</f>
        <v>220.5</v>
      </c>
      <c r="G120" s="1467" t="str">
        <f>B120</f>
        <v xml:space="preserve">Cabernet Franc </v>
      </c>
      <c r="S120" s="1467"/>
      <c r="U120" s="1992">
        <v>102</v>
      </c>
      <c r="V120" s="882"/>
      <c r="W120" s="887">
        <f>V92</f>
        <v>2021</v>
      </c>
      <c r="X120" s="886">
        <v>225</v>
      </c>
      <c r="Y120" s="2668" t="str">
        <f>Y92</f>
        <v>Merlot</v>
      </c>
    </row>
    <row r="121" spans="2:25" ht="13.5" thickBot="1">
      <c r="B121" s="1523"/>
      <c r="C121" s="2895">
        <f>SUM(C119:C120)</f>
        <v>1</v>
      </c>
      <c r="D121" s="1523"/>
      <c r="E121" s="1524"/>
      <c r="F121" s="2679">
        <f>SUM(F119:F120)</f>
        <v>630</v>
      </c>
      <c r="G121" s="2894"/>
      <c r="M121" s="1461"/>
      <c r="N121" s="1461"/>
      <c r="O121" s="1461"/>
      <c r="P121" s="1461"/>
      <c r="Q121" s="1461"/>
      <c r="R121" s="1461"/>
      <c r="S121" s="1467"/>
      <c r="U121" s="1712" t="s">
        <v>950</v>
      </c>
      <c r="V121" s="879"/>
      <c r="W121" s="1488"/>
      <c r="X121" s="1726"/>
      <c r="Y121" s="1727"/>
    </row>
    <row r="122" spans="2:25" ht="13.5" thickBot="1">
      <c r="B122" s="2699" t="s">
        <v>351</v>
      </c>
      <c r="C122" s="876">
        <f>C88</f>
        <v>6300</v>
      </c>
      <c r="D122" s="2696">
        <f>D88</f>
        <v>21</v>
      </c>
      <c r="E122" s="2697">
        <v>2019</v>
      </c>
      <c r="F122" s="875">
        <f>F88</f>
        <v>5853</v>
      </c>
      <c r="G122" s="2698" t="str">
        <f>G88</f>
        <v xml:space="preserve">Cabernet Sauvignon / Cabernet Franc </v>
      </c>
      <c r="M122" s="1461"/>
      <c r="N122" s="1461"/>
      <c r="O122" s="1461"/>
      <c r="P122" s="1461"/>
      <c r="Q122" s="1461"/>
      <c r="R122" s="1461"/>
      <c r="S122" s="1467"/>
      <c r="U122" s="1037" t="str">
        <f>O105</f>
        <v>Cabernet Sauvignon</v>
      </c>
      <c r="V122" s="2674">
        <f>125/X120</f>
        <v>0.55555555555555558</v>
      </c>
      <c r="W122" s="1492"/>
      <c r="X122" s="1760">
        <f>V122*X120</f>
        <v>125</v>
      </c>
      <c r="Y122" s="1467" t="str">
        <f>U122</f>
        <v>Cabernet Sauvignon</v>
      </c>
    </row>
    <row r="123" spans="2:25">
      <c r="B123" s="1712" t="s">
        <v>950</v>
      </c>
      <c r="C123" s="9"/>
      <c r="D123" s="1712"/>
      <c r="E123" s="1726"/>
      <c r="F123" s="1726"/>
      <c r="G123" s="1727"/>
      <c r="M123" s="1461"/>
      <c r="N123" s="1461"/>
      <c r="O123" s="1461"/>
      <c r="P123" s="1461"/>
      <c r="Q123" s="1461"/>
      <c r="R123" s="1461"/>
      <c r="S123" s="1467"/>
      <c r="U123" s="1037" t="str">
        <f>O106</f>
        <v>Cabernet Franc</v>
      </c>
      <c r="V123" s="2677">
        <f>1-V122</f>
        <v>0.44444444444444442</v>
      </c>
      <c r="W123" s="1492"/>
      <c r="X123" s="2536">
        <f>V123*X120</f>
        <v>100</v>
      </c>
      <c r="Y123" s="1467" t="str">
        <f>U123</f>
        <v>Cabernet Franc</v>
      </c>
    </row>
    <row r="124" spans="2:25" ht="13.5" thickBot="1">
      <c r="B124" s="1037" t="str">
        <f>B119</f>
        <v xml:space="preserve">Cabernet Sauvignon </v>
      </c>
      <c r="C124" s="2692">
        <v>0.65</v>
      </c>
      <c r="D124" s="1037"/>
      <c r="E124" s="1461"/>
      <c r="F124" s="2728">
        <f>C124*F122</f>
        <v>3804.4500000000003</v>
      </c>
      <c r="G124" s="1467" t="str">
        <f>B124</f>
        <v xml:space="preserve">Cabernet Sauvignon </v>
      </c>
      <c r="M124" s="1461"/>
      <c r="N124" s="1461"/>
      <c r="O124" s="1461"/>
      <c r="P124" s="1461"/>
      <c r="Q124" s="1461"/>
      <c r="R124" s="1461"/>
      <c r="S124" s="1467"/>
      <c r="U124" s="1523"/>
      <c r="V124" s="878">
        <f>SUM(V122:V123)</f>
        <v>1</v>
      </c>
      <c r="W124" s="2678"/>
      <c r="X124" s="2679">
        <f>SUM(X122:X123)</f>
        <v>225</v>
      </c>
      <c r="Y124" s="2680"/>
    </row>
    <row r="125" spans="2:25">
      <c r="B125" s="1037" t="str">
        <f>B120</f>
        <v xml:space="preserve">Cabernet Franc </v>
      </c>
      <c r="C125" s="2694">
        <v>0.35</v>
      </c>
      <c r="D125" s="1037"/>
      <c r="E125" s="1461"/>
      <c r="F125" s="2536">
        <f>C125*F122</f>
        <v>2048.5499999999997</v>
      </c>
      <c r="G125" s="1467" t="str">
        <f>B125</f>
        <v xml:space="preserve">Cabernet Franc </v>
      </c>
      <c r="M125" s="1461"/>
      <c r="N125" s="1461"/>
      <c r="O125" s="1461"/>
      <c r="P125" s="1461"/>
      <c r="Q125" s="1461"/>
      <c r="R125" s="1461"/>
      <c r="S125" s="1467"/>
    </row>
    <row r="126" spans="2:25" ht="13.5" thickBot="1">
      <c r="B126" s="1523"/>
      <c r="C126" s="2895">
        <f>SUM(C124:C125)</f>
        <v>1</v>
      </c>
      <c r="D126" s="1523"/>
      <c r="E126" s="1524"/>
      <c r="F126" s="2679">
        <f>SUM(F124:F125)</f>
        <v>5853</v>
      </c>
      <c r="G126" s="2894"/>
      <c r="M126" s="1461"/>
      <c r="N126" s="1461"/>
      <c r="O126" s="1461"/>
      <c r="P126" s="1461"/>
      <c r="Q126" s="1461"/>
      <c r="R126" s="1461"/>
      <c r="S126" s="1467"/>
    </row>
    <row r="127" spans="2:25" ht="13.5" thickBot="1">
      <c r="B127" s="2699" t="s">
        <v>351</v>
      </c>
      <c r="C127" s="876">
        <f>C93</f>
        <v>10300</v>
      </c>
      <c r="D127" s="2696">
        <f>D93</f>
        <v>4</v>
      </c>
      <c r="E127" s="2697">
        <f>E93</f>
        <v>2020</v>
      </c>
      <c r="F127" s="875">
        <f>F93</f>
        <v>10300</v>
      </c>
      <c r="G127" s="2698" t="str">
        <f>G93</f>
        <v>Merlot / Cabernet Sauvignon / Cabernet Franc</v>
      </c>
      <c r="M127" s="1461"/>
      <c r="N127" s="1461"/>
      <c r="O127" s="1461"/>
      <c r="P127" s="1461"/>
      <c r="Q127" s="1461"/>
      <c r="R127" s="1461"/>
      <c r="S127" s="1467"/>
    </row>
    <row r="128" spans="2:25">
      <c r="B128" s="1712" t="s">
        <v>950</v>
      </c>
      <c r="C128" s="9"/>
      <c r="D128" s="1712"/>
      <c r="E128" s="1726"/>
      <c r="F128" s="1726"/>
      <c r="G128" s="1727"/>
      <c r="M128" s="1461"/>
      <c r="N128" s="1461"/>
      <c r="O128" s="1461"/>
      <c r="P128" s="1461"/>
      <c r="Q128" s="1461"/>
      <c r="R128" s="1461"/>
      <c r="S128" s="1467"/>
    </row>
    <row r="129" spans="2:19">
      <c r="B129" s="1037" t="s">
        <v>210</v>
      </c>
      <c r="C129" s="2692">
        <v>0.97</v>
      </c>
      <c r="D129" s="1461"/>
      <c r="E129" s="1461"/>
      <c r="F129" s="2728">
        <f>C129*F127</f>
        <v>9991</v>
      </c>
      <c r="G129" s="1467" t="str">
        <f>B129</f>
        <v>Merlot</v>
      </c>
      <c r="M129" s="1461"/>
      <c r="N129" s="1461"/>
      <c r="O129" s="1461"/>
      <c r="P129" s="1461"/>
      <c r="Q129" s="1461"/>
      <c r="R129" s="1461"/>
      <c r="S129" s="1467"/>
    </row>
    <row r="130" spans="2:19">
      <c r="B130" s="1037" t="str">
        <f>B124</f>
        <v xml:space="preserve">Cabernet Sauvignon </v>
      </c>
      <c r="C130" s="2692">
        <v>0.02</v>
      </c>
      <c r="D130" s="1037"/>
      <c r="E130" s="1461"/>
      <c r="F130" s="2728">
        <f>C130*F127</f>
        <v>206</v>
      </c>
      <c r="G130" s="1467" t="str">
        <f>B130</f>
        <v xml:space="preserve">Cabernet Sauvignon </v>
      </c>
      <c r="M130" s="1461"/>
      <c r="N130" s="1461"/>
      <c r="O130" s="1461"/>
      <c r="P130" s="1461"/>
      <c r="Q130" s="1461"/>
      <c r="R130" s="1461"/>
      <c r="S130" s="1467"/>
    </row>
    <row r="131" spans="2:19">
      <c r="B131" s="1037" t="str">
        <f>B125</f>
        <v xml:space="preserve">Cabernet Franc </v>
      </c>
      <c r="C131" s="2694">
        <v>0.01</v>
      </c>
      <c r="D131" s="1037"/>
      <c r="E131" s="1461"/>
      <c r="F131" s="2536">
        <f>C131*F127</f>
        <v>103</v>
      </c>
      <c r="G131" s="1467" t="str">
        <f>B131</f>
        <v xml:space="preserve">Cabernet Franc </v>
      </c>
      <c r="M131" s="1461"/>
      <c r="N131" s="1461"/>
      <c r="O131" s="1461"/>
      <c r="P131" s="1461"/>
      <c r="Q131" s="1461"/>
      <c r="R131" s="1461"/>
      <c r="S131" s="1467"/>
    </row>
    <row r="132" spans="2:19" ht="13.5" thickBot="1">
      <c r="B132" s="1523"/>
      <c r="C132" s="2895">
        <f>SUM(C129:C131)</f>
        <v>1</v>
      </c>
      <c r="D132" s="1523"/>
      <c r="E132" s="1524"/>
      <c r="F132" s="2679">
        <f>SUM(F129:F131)</f>
        <v>10300</v>
      </c>
      <c r="G132" s="2894"/>
      <c r="M132" s="1461"/>
    </row>
    <row r="133" spans="2:19" ht="13.5" thickBot="1">
      <c r="B133" s="2699" t="s">
        <v>351</v>
      </c>
      <c r="C133" s="876">
        <f>C94</f>
        <v>5500</v>
      </c>
      <c r="D133" s="2696">
        <f>D94</f>
        <v>10</v>
      </c>
      <c r="E133" s="2697">
        <f>E94</f>
        <v>2020</v>
      </c>
      <c r="F133" s="875">
        <f>F94</f>
        <v>5300</v>
      </c>
      <c r="G133" s="2698" t="str">
        <f>G94</f>
        <v>Merlot / Cabernet Sauvignon / Cabernet Franc</v>
      </c>
      <c r="M133" s="1461"/>
    </row>
    <row r="134" spans="2:19">
      <c r="B134" s="1712" t="s">
        <v>950</v>
      </c>
      <c r="C134" s="9"/>
      <c r="D134" s="1712"/>
      <c r="E134" s="1726"/>
      <c r="F134" s="1726"/>
      <c r="G134" s="1727"/>
      <c r="M134" s="1461"/>
    </row>
    <row r="135" spans="2:19">
      <c r="B135" s="1037" t="str">
        <f>B129</f>
        <v>Merlot</v>
      </c>
      <c r="C135" s="2692">
        <v>0.95</v>
      </c>
      <c r="D135" s="1037"/>
      <c r="E135" s="1461"/>
      <c r="F135" s="2728">
        <f>C135*F133</f>
        <v>5035</v>
      </c>
      <c r="G135" s="1467" t="str">
        <f>B135</f>
        <v>Merlot</v>
      </c>
      <c r="H135" s="1461"/>
      <c r="M135" s="1461"/>
    </row>
    <row r="136" spans="2:19">
      <c r="B136" s="1037" t="str">
        <f>B130</f>
        <v xml:space="preserve">Cabernet Sauvignon </v>
      </c>
      <c r="C136" s="2692">
        <v>0.03</v>
      </c>
      <c r="D136" s="1037"/>
      <c r="E136" s="1461"/>
      <c r="F136" s="2728">
        <f>C136*F133</f>
        <v>159</v>
      </c>
      <c r="G136" s="1467" t="str">
        <f>B136</f>
        <v xml:space="preserve">Cabernet Sauvignon </v>
      </c>
      <c r="H136" s="1461"/>
      <c r="M136" s="1461"/>
    </row>
    <row r="137" spans="2:19">
      <c r="B137" s="1037" t="str">
        <f>B131</f>
        <v xml:space="preserve">Cabernet Franc </v>
      </c>
      <c r="C137" s="2694">
        <v>0.02</v>
      </c>
      <c r="D137" s="1037"/>
      <c r="E137" s="1461"/>
      <c r="F137" s="2536">
        <f>C137*F133</f>
        <v>106</v>
      </c>
      <c r="G137" s="1467" t="str">
        <f>B137</f>
        <v xml:space="preserve">Cabernet Franc </v>
      </c>
      <c r="H137" s="1461"/>
      <c r="M137" s="1461"/>
    </row>
    <row r="138" spans="2:19" ht="13.5" thickBot="1">
      <c r="B138" s="1523"/>
      <c r="C138" s="2895">
        <f>SUM(C135:C137)</f>
        <v>1</v>
      </c>
      <c r="D138" s="1523"/>
      <c r="E138" s="1524"/>
      <c r="F138" s="2679">
        <f>SUM(F135:F137)</f>
        <v>5300</v>
      </c>
      <c r="G138" s="2894"/>
      <c r="H138" s="1461"/>
      <c r="M138" s="1461"/>
    </row>
    <row r="139" spans="2:19" ht="13.5" thickBot="1">
      <c r="C139" s="1287"/>
      <c r="H139" s="1461"/>
    </row>
    <row r="140" spans="2:19" ht="13.5" thickBot="1">
      <c r="B140" s="1526" t="s">
        <v>949</v>
      </c>
      <c r="C140" s="879"/>
      <c r="D140" s="1726"/>
      <c r="E140" s="1726"/>
      <c r="F140" s="1726"/>
      <c r="G140" s="1726"/>
      <c r="H140" s="1726"/>
      <c r="I140" s="1726"/>
      <c r="J140" s="1726"/>
      <c r="K140" s="1726"/>
      <c r="L140" s="1726"/>
      <c r="M140" s="1727"/>
    </row>
    <row r="141" spans="2:19" ht="13.5" thickBot="1">
      <c r="B141" s="1037"/>
      <c r="C141" s="882"/>
      <c r="D141" s="1461"/>
      <c r="E141" s="1461"/>
      <c r="F141" s="1461"/>
      <c r="G141" s="1461"/>
      <c r="H141" s="1461"/>
      <c r="I141" s="1757" t="s">
        <v>1167</v>
      </c>
      <c r="J141" s="1758"/>
      <c r="K141" s="1758"/>
      <c r="L141" s="1758"/>
      <c r="M141" s="1759"/>
    </row>
    <row r="142" spans="2:19" ht="13.5" thickBot="1">
      <c r="B142" s="1757" t="s">
        <v>1166</v>
      </c>
      <c r="C142" s="2729"/>
      <c r="D142" s="1758"/>
      <c r="E142" s="1758"/>
      <c r="F142" s="1758"/>
      <c r="G142" s="1759"/>
      <c r="H142" s="1461"/>
      <c r="I142" s="1290" t="s">
        <v>264</v>
      </c>
      <c r="J142" s="1461"/>
      <c r="K142" s="1461"/>
      <c r="L142" s="1461"/>
      <c r="M142" s="1467"/>
    </row>
    <row r="143" spans="2:19">
      <c r="B143" s="1290" t="s">
        <v>264</v>
      </c>
      <c r="C143" s="882"/>
      <c r="D143" s="1461"/>
      <c r="E143" s="1461"/>
      <c r="F143" s="1461"/>
      <c r="G143" s="1467"/>
      <c r="H143" s="1461"/>
      <c r="I143" s="1037" t="s">
        <v>200</v>
      </c>
      <c r="J143" s="1139">
        <f>R33+R34+R35+R55+R61+R62+R63+R64+T65+T66+T67+T68+T69+T70+T71+R72+R73+R74+R75+R76+R77+R78+R79+R84+R85+R86</f>
        <v>4275</v>
      </c>
      <c r="K143" s="1461"/>
      <c r="L143" s="1461"/>
      <c r="M143" s="1467"/>
    </row>
    <row r="144" spans="2:19">
      <c r="B144" s="1037" t="s">
        <v>210</v>
      </c>
      <c r="C144" s="882">
        <f>L50+L56+L62+L68+L74+L79+L84+L89+L94+L99+L104</f>
        <v>1215</v>
      </c>
      <c r="D144" s="1461"/>
      <c r="E144" s="1461"/>
      <c r="F144" s="1461"/>
      <c r="G144" s="1467"/>
      <c r="H144" s="1461"/>
      <c r="I144" s="1037" t="s">
        <v>199</v>
      </c>
      <c r="J144" s="1139">
        <f>R41+R42+R43+R44+T45+T46+T47+T48+T49+T50+R51+R52+R53+R54+R56+R57+R58+R59+R60</f>
        <v>2925</v>
      </c>
      <c r="K144" s="1461"/>
      <c r="L144" s="1461"/>
      <c r="M144" s="1467"/>
    </row>
    <row r="145" spans="2:13">
      <c r="B145" s="1037" t="s">
        <v>211</v>
      </c>
      <c r="C145" s="882">
        <f>L49+L55+L61+L67+L73+L80+L85+L90+L95+L100+L105</f>
        <v>1147.5</v>
      </c>
      <c r="D145" s="1461"/>
      <c r="E145" s="1461"/>
      <c r="F145" s="1461"/>
      <c r="G145" s="1467"/>
      <c r="H145" s="1461"/>
      <c r="I145" s="1037" t="s">
        <v>203</v>
      </c>
      <c r="J145" s="2000">
        <f>+R83+R82+R81+R80+R40+R39+R38+R37+R36</f>
        <v>2025</v>
      </c>
      <c r="K145" s="1461"/>
      <c r="L145" s="1461"/>
      <c r="M145" s="1467"/>
    </row>
    <row r="146" spans="2:13">
      <c r="B146" s="1037" t="s">
        <v>199</v>
      </c>
      <c r="C146" s="882">
        <f>L51+L57+L63+L69+L75</f>
        <v>112.5</v>
      </c>
      <c r="D146" s="1461"/>
      <c r="E146" s="1461"/>
      <c r="F146" s="1461"/>
      <c r="G146" s="1467"/>
      <c r="H146" s="1461"/>
      <c r="I146" s="1037"/>
      <c r="J146" s="2026">
        <f>SUM(J143:J145)</f>
        <v>9225</v>
      </c>
      <c r="K146" s="1461"/>
      <c r="L146" s="1461"/>
      <c r="M146" s="1467"/>
    </row>
    <row r="147" spans="2:13">
      <c r="B147" s="1037" t="s">
        <v>203</v>
      </c>
      <c r="C147" s="1762">
        <v>0</v>
      </c>
      <c r="D147" s="1461"/>
      <c r="E147" s="1461"/>
      <c r="F147" s="1461"/>
      <c r="G147" s="1467"/>
      <c r="H147" s="1461"/>
      <c r="I147" s="1037"/>
      <c r="J147" s="1139"/>
      <c r="K147" s="1461"/>
      <c r="L147" s="1461"/>
      <c r="M147" s="1467"/>
    </row>
    <row r="148" spans="2:13">
      <c r="B148" s="1037"/>
      <c r="C148" s="2012">
        <v>2475</v>
      </c>
      <c r="D148" s="1461"/>
      <c r="E148" s="1461"/>
      <c r="F148" s="1461"/>
      <c r="G148" s="1467"/>
      <c r="H148" s="1461"/>
      <c r="I148" s="1290" t="s">
        <v>624</v>
      </c>
      <c r="J148" s="1139"/>
      <c r="K148" s="1461"/>
      <c r="L148" s="1461"/>
      <c r="M148" s="1467"/>
    </row>
    <row r="149" spans="2:13">
      <c r="B149" s="1037"/>
      <c r="C149" s="882"/>
      <c r="D149" s="1461"/>
      <c r="E149" s="1461"/>
      <c r="F149" s="1461"/>
      <c r="G149" s="1467"/>
      <c r="H149" s="1461"/>
      <c r="I149" s="1037" t="s">
        <v>200</v>
      </c>
      <c r="J149" s="1139">
        <v>0</v>
      </c>
      <c r="K149" s="1461"/>
      <c r="L149" s="1461"/>
      <c r="M149" s="1467"/>
    </row>
    <row r="150" spans="2:13">
      <c r="B150" s="1290" t="s">
        <v>624</v>
      </c>
      <c r="C150" s="882"/>
      <c r="D150" s="1461"/>
      <c r="E150" s="1461"/>
      <c r="F150" s="1461"/>
      <c r="G150" s="1467"/>
      <c r="H150" s="1461"/>
      <c r="I150" s="1037" t="s">
        <v>199</v>
      </c>
      <c r="J150" s="1139">
        <v>0</v>
      </c>
      <c r="K150" s="1461"/>
      <c r="L150" s="1461"/>
      <c r="M150" s="1467"/>
    </row>
    <row r="151" spans="2:13">
      <c r="B151" s="1037" t="s">
        <v>210</v>
      </c>
      <c r="C151" s="882">
        <f>F106+F112</f>
        <v>11895</v>
      </c>
      <c r="D151" s="1461"/>
      <c r="E151" s="1461"/>
      <c r="F151" s="1461"/>
      <c r="G151" s="1467"/>
      <c r="H151" s="1461"/>
      <c r="I151" s="1037" t="s">
        <v>203</v>
      </c>
      <c r="J151" s="2000">
        <v>0</v>
      </c>
      <c r="K151" s="1461"/>
      <c r="L151" s="1461"/>
      <c r="M151" s="1467"/>
    </row>
    <row r="152" spans="2:13">
      <c r="B152" s="1037" t="s">
        <v>211</v>
      </c>
      <c r="C152" s="882">
        <f>F107+F113</f>
        <v>1124</v>
      </c>
      <c r="D152" s="1461"/>
      <c r="E152" s="1461"/>
      <c r="F152" s="1461"/>
      <c r="G152" s="1467"/>
      <c r="H152" s="1461"/>
      <c r="I152" s="1037"/>
      <c r="J152" s="2026">
        <f>SUM(J149:J151)</f>
        <v>0</v>
      </c>
      <c r="K152" s="1461"/>
      <c r="L152" s="1461"/>
      <c r="M152" s="1467"/>
    </row>
    <row r="153" spans="2:13">
      <c r="B153" s="1037" t="s">
        <v>199</v>
      </c>
      <c r="C153" s="882">
        <f>F108+F114+F119+F124</f>
        <v>4758.9500000000007</v>
      </c>
      <c r="D153" s="1461"/>
      <c r="E153" s="1461"/>
      <c r="F153" s="1461"/>
      <c r="G153" s="1467"/>
      <c r="H153" s="1461"/>
      <c r="I153" s="1037"/>
      <c r="J153" s="1139"/>
      <c r="K153" s="1461"/>
      <c r="L153" s="1461"/>
      <c r="M153" s="1467"/>
    </row>
    <row r="154" spans="2:13">
      <c r="B154" s="1037" t="s">
        <v>203</v>
      </c>
      <c r="C154" s="1762">
        <f>F115+F120+F125</f>
        <v>2405.0499999999997</v>
      </c>
      <c r="D154" s="1461"/>
      <c r="E154" s="1461"/>
      <c r="F154" s="1461"/>
      <c r="G154" s="1467"/>
      <c r="H154" s="1461"/>
      <c r="I154" s="1037" t="s">
        <v>26</v>
      </c>
      <c r="J154" s="1139"/>
      <c r="K154" s="1461"/>
      <c r="L154" s="1461"/>
      <c r="M154" s="1467"/>
    </row>
    <row r="155" spans="2:13">
      <c r="B155" s="1037"/>
      <c r="C155" s="2012">
        <f>SUM(C151:C154)</f>
        <v>20183</v>
      </c>
      <c r="D155" s="2728"/>
      <c r="E155" s="1461"/>
      <c r="F155" s="1461"/>
      <c r="G155" s="1467"/>
      <c r="H155" s="1461"/>
      <c r="I155" s="1037" t="s">
        <v>200</v>
      </c>
      <c r="J155" s="1139">
        <f>J143+J149</f>
        <v>4275</v>
      </c>
      <c r="K155" s="1461"/>
      <c r="L155" s="1461"/>
      <c r="M155" s="1467"/>
    </row>
    <row r="156" spans="2:13">
      <c r="B156" s="1037"/>
      <c r="C156" s="882"/>
      <c r="D156" s="1461"/>
      <c r="E156" s="1461"/>
      <c r="F156" s="1461"/>
      <c r="G156" s="1467"/>
      <c r="H156" s="1461"/>
      <c r="I156" s="1037" t="s">
        <v>199</v>
      </c>
      <c r="J156" s="1139">
        <f>J144+J150</f>
        <v>2925</v>
      </c>
      <c r="K156" s="1461"/>
      <c r="L156" s="1461"/>
      <c r="M156" s="1467"/>
    </row>
    <row r="157" spans="2:13">
      <c r="B157" s="1290" t="s">
        <v>26</v>
      </c>
      <c r="C157" s="882"/>
      <c r="D157" s="1461"/>
      <c r="E157" s="1461"/>
      <c r="F157" s="1461"/>
      <c r="G157" s="1467"/>
      <c r="H157" s="1461"/>
      <c r="I157" s="1037" t="s">
        <v>203</v>
      </c>
      <c r="J157" s="2000">
        <f>J145+J151</f>
        <v>2025</v>
      </c>
      <c r="K157" s="1461"/>
      <c r="L157" s="1461"/>
      <c r="M157" s="1467"/>
    </row>
    <row r="158" spans="2:13">
      <c r="B158" s="1037" t="s">
        <v>210</v>
      </c>
      <c r="C158" s="882">
        <f>C144+C151</f>
        <v>13110</v>
      </c>
      <c r="D158" s="1461"/>
      <c r="E158" s="1461"/>
      <c r="F158" s="1461"/>
      <c r="G158" s="1467"/>
      <c r="H158" s="1461"/>
      <c r="I158" s="1037"/>
      <c r="J158" s="2026">
        <f>SUM(J155:J157)</f>
        <v>9225</v>
      </c>
      <c r="K158" s="1461"/>
      <c r="L158" s="1461"/>
      <c r="M158" s="1467"/>
    </row>
    <row r="159" spans="2:13">
      <c r="B159" s="1037" t="s">
        <v>211</v>
      </c>
      <c r="C159" s="882">
        <f>C145+C152</f>
        <v>2271.5</v>
      </c>
      <c r="D159" s="1461"/>
      <c r="E159" s="1461"/>
      <c r="F159" s="1461"/>
      <c r="G159" s="1467"/>
      <c r="H159" s="1461"/>
      <c r="I159" s="1037"/>
      <c r="J159" s="1139"/>
      <c r="K159" s="1461"/>
      <c r="L159" s="1461"/>
      <c r="M159" s="1467"/>
    </row>
    <row r="160" spans="2:13">
      <c r="B160" s="1037" t="s">
        <v>199</v>
      </c>
      <c r="C160" s="882">
        <f>C146+C153</f>
        <v>4871.4500000000007</v>
      </c>
      <c r="D160" s="1461"/>
      <c r="E160" s="1461"/>
      <c r="F160" s="1461"/>
      <c r="G160" s="1467"/>
      <c r="H160" s="1461"/>
      <c r="I160" s="1037" t="s">
        <v>1168</v>
      </c>
      <c r="J160" s="1139"/>
      <c r="K160" s="1461"/>
      <c r="L160" s="1461"/>
      <c r="M160" s="1467"/>
    </row>
    <row r="161" spans="2:13">
      <c r="B161" s="1037" t="s">
        <v>203</v>
      </c>
      <c r="C161" s="1762">
        <f>C147+C154</f>
        <v>2405.0499999999997</v>
      </c>
      <c r="D161" s="1461"/>
      <c r="E161" s="1461"/>
      <c r="F161" s="1461"/>
      <c r="G161" s="1467"/>
      <c r="H161" s="1461"/>
      <c r="I161" s="1037" t="s">
        <v>200</v>
      </c>
      <c r="J161" s="1139">
        <f>J158*K161</f>
        <v>5996.25</v>
      </c>
      <c r="K161" s="2740">
        <f>L167</f>
        <v>0.65</v>
      </c>
      <c r="L161" s="1461"/>
      <c r="M161" s="1467"/>
    </row>
    <row r="162" spans="2:13">
      <c r="B162" s="1037"/>
      <c r="C162" s="2012">
        <f>SUM(C158:C161)</f>
        <v>22658</v>
      </c>
      <c r="D162" s="1461"/>
      <c r="E162" s="1461"/>
      <c r="F162" s="1461"/>
      <c r="G162" s="1467"/>
      <c r="H162" s="1461"/>
      <c r="I162" s="1037" t="s">
        <v>199</v>
      </c>
      <c r="J162" s="1139">
        <f>J158*K162</f>
        <v>1383.75</v>
      </c>
      <c r="K162" s="2740">
        <f>L168</f>
        <v>0.15</v>
      </c>
      <c r="L162" s="1461"/>
      <c r="M162" s="1467"/>
    </row>
    <row r="163" spans="2:13">
      <c r="B163" s="1037"/>
      <c r="C163" s="882"/>
      <c r="D163" s="1461"/>
      <c r="E163" s="1461"/>
      <c r="F163" s="1461"/>
      <c r="G163" s="1467"/>
      <c r="H163" s="1461"/>
      <c r="I163" s="1037" t="s">
        <v>203</v>
      </c>
      <c r="J163" s="2000">
        <f>J158*K163</f>
        <v>1845</v>
      </c>
      <c r="K163" s="2740">
        <f>L169</f>
        <v>0.2</v>
      </c>
      <c r="L163" s="1461"/>
      <c r="M163" s="1467"/>
    </row>
    <row r="164" spans="2:13">
      <c r="B164" s="1290" t="s">
        <v>1168</v>
      </c>
      <c r="C164" s="882"/>
      <c r="D164" s="1461"/>
      <c r="E164" s="1461"/>
      <c r="F164" s="1461"/>
      <c r="G164" s="1467"/>
      <c r="H164" s="1461"/>
      <c r="I164" s="1037"/>
      <c r="J164" s="2026">
        <f>SUM(J161:J163)</f>
        <v>9225</v>
      </c>
      <c r="K164" s="1461"/>
      <c r="L164" s="1461"/>
      <c r="M164" s="1467"/>
    </row>
    <row r="165" spans="2:13">
      <c r="B165" s="1037" t="s">
        <v>210</v>
      </c>
      <c r="C165" s="882">
        <f>$C$162*D165</f>
        <v>11329</v>
      </c>
      <c r="D165" s="2732">
        <f>E172</f>
        <v>0.5</v>
      </c>
      <c r="E165" s="1461"/>
      <c r="F165" s="1461"/>
      <c r="G165" s="1467"/>
      <c r="H165" s="1461"/>
      <c r="I165" s="1037"/>
      <c r="J165" s="1139"/>
      <c r="K165" s="1461"/>
      <c r="L165" s="1461"/>
      <c r="M165" s="1467"/>
    </row>
    <row r="166" spans="2:13">
      <c r="B166" s="1037" t="s">
        <v>211</v>
      </c>
      <c r="C166" s="882">
        <f>$C$162*D166</f>
        <v>3398.7</v>
      </c>
      <c r="D166" s="2732">
        <f>E173</f>
        <v>0.15</v>
      </c>
      <c r="E166" s="1461"/>
      <c r="F166" s="1461"/>
      <c r="G166" s="1467"/>
      <c r="H166" s="1461"/>
      <c r="I166" s="1037" t="s">
        <v>26</v>
      </c>
      <c r="J166" s="2745" t="s">
        <v>26</v>
      </c>
      <c r="K166" s="2743" t="s">
        <v>1169</v>
      </c>
      <c r="L166" s="2743" t="s">
        <v>1170</v>
      </c>
      <c r="M166" s="2744" t="s">
        <v>774</v>
      </c>
    </row>
    <row r="167" spans="2:13">
      <c r="B167" s="1037" t="s">
        <v>199</v>
      </c>
      <c r="C167" s="882">
        <f>$C$162*D167</f>
        <v>4531.6000000000004</v>
      </c>
      <c r="D167" s="2732">
        <f>E174</f>
        <v>0.2</v>
      </c>
      <c r="E167" s="1461"/>
      <c r="F167" s="1461"/>
      <c r="G167" s="1467"/>
      <c r="H167" s="1461"/>
      <c r="I167" s="1037" t="s">
        <v>200</v>
      </c>
      <c r="J167" s="1139">
        <f>J155</f>
        <v>4275</v>
      </c>
      <c r="K167" s="2733">
        <v>0.72858599592114204</v>
      </c>
      <c r="L167" s="2735">
        <f>D39</f>
        <v>0.65</v>
      </c>
      <c r="M167" s="2736">
        <f>K167-L167</f>
        <v>7.8585995921142016E-2</v>
      </c>
    </row>
    <row r="168" spans="2:13">
      <c r="B168" s="1037" t="s">
        <v>203</v>
      </c>
      <c r="C168" s="1762">
        <f>$C$162*D168</f>
        <v>3398.7</v>
      </c>
      <c r="D168" s="2732">
        <f>E175</f>
        <v>0.15</v>
      </c>
      <c r="E168" s="1461"/>
      <c r="F168" s="1461"/>
      <c r="G168" s="1467"/>
      <c r="H168" s="1461"/>
      <c r="I168" s="1037" t="s">
        <v>199</v>
      </c>
      <c r="J168" s="1139">
        <f>J156</f>
        <v>2925</v>
      </c>
      <c r="K168" s="2733">
        <v>0.14530931339225017</v>
      </c>
      <c r="L168" s="2735">
        <f>D40</f>
        <v>0.15</v>
      </c>
      <c r="M168" s="2736">
        <f>K168-L168</f>
        <v>-4.6906866077498222E-3</v>
      </c>
    </row>
    <row r="169" spans="2:13">
      <c r="B169" s="1037"/>
      <c r="C169" s="2012">
        <f>SUM(C165:C168)</f>
        <v>22658.000000000004</v>
      </c>
      <c r="D169" s="1461"/>
      <c r="E169" s="1461"/>
      <c r="F169" s="1461"/>
      <c r="G169" s="1467"/>
      <c r="H169" s="1461"/>
      <c r="I169" s="1037" t="s">
        <v>203</v>
      </c>
      <c r="J169" s="2000">
        <f>J157</f>
        <v>2025</v>
      </c>
      <c r="K169" s="2734">
        <v>0.12610469068660776</v>
      </c>
      <c r="L169" s="2737">
        <f>D41</f>
        <v>0.2</v>
      </c>
      <c r="M169" s="2738">
        <f>K169-L169</f>
        <v>-7.3895309313392249E-2</v>
      </c>
    </row>
    <row r="170" spans="2:13">
      <c r="B170" s="1037"/>
      <c r="C170" s="882"/>
      <c r="D170" s="1461"/>
      <c r="E170" s="1461"/>
      <c r="F170" s="1461"/>
      <c r="G170" s="1467"/>
      <c r="H170" s="1461"/>
      <c r="I170" s="1037" t="s">
        <v>235</v>
      </c>
      <c r="J170" s="1139">
        <f>SUM(J167:J169)</f>
        <v>9225</v>
      </c>
      <c r="K170" s="2733">
        <f>SUM(K167:K169)</f>
        <v>1</v>
      </c>
      <c r="L170" s="2735">
        <f>SUM(L167:L169)</f>
        <v>1</v>
      </c>
      <c r="M170" s="2736">
        <f>SUM(M167:M169)</f>
        <v>0</v>
      </c>
    </row>
    <row r="171" spans="2:13">
      <c r="B171" s="1290" t="s">
        <v>26</v>
      </c>
      <c r="C171" s="2730" t="s">
        <v>26</v>
      </c>
      <c r="D171" s="2731" t="s">
        <v>1169</v>
      </c>
      <c r="E171" s="2731" t="s">
        <v>1170</v>
      </c>
      <c r="F171" s="2731" t="s">
        <v>774</v>
      </c>
      <c r="G171" s="1467"/>
      <c r="H171" s="1461"/>
      <c r="I171" s="1037" t="s">
        <v>1171</v>
      </c>
      <c r="J171" s="2741">
        <v>0.75</v>
      </c>
      <c r="K171" s="1461"/>
      <c r="L171" s="1461"/>
      <c r="M171" s="1467"/>
    </row>
    <row r="172" spans="2:13">
      <c r="B172" s="1037" t="s">
        <v>210</v>
      </c>
      <c r="C172" s="882">
        <f>C158</f>
        <v>13110</v>
      </c>
      <c r="D172" s="2733">
        <f>C172/$C$176</f>
        <v>0.57860358372318832</v>
      </c>
      <c r="E172" s="2733">
        <f>D35</f>
        <v>0.5</v>
      </c>
      <c r="F172" s="2733">
        <f>D172-E172</f>
        <v>7.8603583723188319E-2</v>
      </c>
      <c r="G172" s="1467"/>
      <c r="H172" s="1461"/>
      <c r="I172" s="1037" t="s">
        <v>241</v>
      </c>
      <c r="J172" s="1139">
        <f>J170/J171</f>
        <v>12300</v>
      </c>
      <c r="K172" s="1461"/>
      <c r="L172" s="1461"/>
      <c r="M172" s="1467"/>
    </row>
    <row r="173" spans="2:13" ht="13.5" thickBot="1">
      <c r="B173" s="1037" t="s">
        <v>211</v>
      </c>
      <c r="C173" s="882">
        <f>C159</f>
        <v>2271.5</v>
      </c>
      <c r="D173" s="2733">
        <f>C173/$C$176</f>
        <v>0.10025156677553182</v>
      </c>
      <c r="E173" s="2733">
        <f>D36</f>
        <v>0.15</v>
      </c>
      <c r="F173" s="2733">
        <f>D173-E173</f>
        <v>-4.9748433224468175E-2</v>
      </c>
      <c r="G173" s="1467"/>
      <c r="H173" s="1461"/>
      <c r="I173" s="1523" t="s">
        <v>346</v>
      </c>
      <c r="J173" s="2679">
        <f>J170-J164</f>
        <v>0</v>
      </c>
      <c r="K173" s="1524"/>
      <c r="L173" s="1524"/>
      <c r="M173" s="2680"/>
    </row>
    <row r="174" spans="2:13" ht="13.5" thickBot="1">
      <c r="B174" s="1037" t="s">
        <v>199</v>
      </c>
      <c r="C174" s="882">
        <f>C160</f>
        <v>4871.4500000000007</v>
      </c>
      <c r="D174" s="2733">
        <f>C174/$C$176</f>
        <v>0.21499911730955956</v>
      </c>
      <c r="E174" s="2733">
        <f>D37</f>
        <v>0.2</v>
      </c>
      <c r="F174" s="2733">
        <f>D174-E174</f>
        <v>1.4999117309559551E-2</v>
      </c>
      <c r="G174" s="1467"/>
      <c r="H174" s="1461"/>
      <c r="I174" s="1461"/>
      <c r="J174" s="1461"/>
      <c r="K174" s="1461"/>
      <c r="L174" s="1461"/>
      <c r="M174" s="1467"/>
    </row>
    <row r="175" spans="2:13" ht="13.5" thickBot="1">
      <c r="B175" s="1037" t="s">
        <v>203</v>
      </c>
      <c r="C175" s="1762">
        <f>C161</f>
        <v>2405.0499999999997</v>
      </c>
      <c r="D175" s="2734">
        <f>C175/$C$176</f>
        <v>0.10614573219172035</v>
      </c>
      <c r="E175" s="2734">
        <f>D38</f>
        <v>0.15</v>
      </c>
      <c r="F175" s="2734">
        <f>D175-E175</f>
        <v>-4.385426780827964E-2</v>
      </c>
      <c r="G175" s="1467"/>
      <c r="H175" s="1461"/>
      <c r="I175" s="1757" t="s">
        <v>1172</v>
      </c>
      <c r="J175" s="1758"/>
      <c r="K175" s="1758"/>
      <c r="L175" s="1758"/>
      <c r="M175" s="1759"/>
    </row>
    <row r="176" spans="2:13">
      <c r="B176" s="1037" t="s">
        <v>235</v>
      </c>
      <c r="C176" s="2170">
        <f>SUM(C172:C175)</f>
        <v>22658</v>
      </c>
      <c r="D176" s="2733">
        <f>SUM(D172:D175)</f>
        <v>1</v>
      </c>
      <c r="E176" s="2733">
        <f>SUM(E172:E175)</f>
        <v>1</v>
      </c>
      <c r="F176" s="2733">
        <f>SUM(F172:F175)</f>
        <v>5.5511151231257827E-17</v>
      </c>
      <c r="G176" s="1467"/>
      <c r="H176" s="1461"/>
      <c r="I176" s="1037" t="s">
        <v>264</v>
      </c>
      <c r="J176" s="1447" t="s">
        <v>429</v>
      </c>
      <c r="K176" s="1447" t="s">
        <v>948</v>
      </c>
      <c r="L176" s="1447" t="s">
        <v>429</v>
      </c>
      <c r="M176" s="1467"/>
    </row>
    <row r="177" spans="2:13">
      <c r="B177" s="1037" t="s">
        <v>1171</v>
      </c>
      <c r="C177" s="2739">
        <v>0.75</v>
      </c>
      <c r="D177" s="1461"/>
      <c r="E177" s="1461"/>
      <c r="F177" s="1461"/>
      <c r="G177" s="1467"/>
      <c r="H177" s="1461"/>
      <c r="I177" s="1037" t="s">
        <v>200</v>
      </c>
      <c r="J177" s="2728">
        <f>X62+X63+X76+X77+X78+X79+X80+X81+X82+X83+SUM(X84:X116)</f>
        <v>9675</v>
      </c>
      <c r="K177" s="2728">
        <f>J191</f>
        <v>9675</v>
      </c>
      <c r="L177" s="2728">
        <f>J177-K177</f>
        <v>0</v>
      </c>
      <c r="M177" s="1467"/>
    </row>
    <row r="178" spans="2:13">
      <c r="B178" s="1037" t="s">
        <v>241</v>
      </c>
      <c r="C178" s="882">
        <f>C176/C177</f>
        <v>30210.666666666668</v>
      </c>
      <c r="D178" s="1461"/>
      <c r="E178" s="1461"/>
      <c r="F178" s="1461"/>
      <c r="G178" s="1467"/>
      <c r="H178" s="1461"/>
      <c r="I178" s="1037" t="s">
        <v>211</v>
      </c>
      <c r="J178" s="2728">
        <f>X33+X34+X35+X36+X37+X38+X39+X40+X41+X42+X43+X44+X45+X46</f>
        <v>3150</v>
      </c>
      <c r="K178" s="2728">
        <f>J192</f>
        <v>3150</v>
      </c>
      <c r="L178" s="2728"/>
      <c r="M178" s="1467"/>
    </row>
    <row r="179" spans="2:13" ht="13.5" thickBot="1">
      <c r="B179" s="1523" t="s">
        <v>346</v>
      </c>
      <c r="C179" s="2700">
        <f>C176-C169</f>
        <v>0</v>
      </c>
      <c r="D179" s="1524"/>
      <c r="E179" s="1524"/>
      <c r="F179" s="1524"/>
      <c r="G179" s="2680"/>
      <c r="H179" s="1461"/>
      <c r="I179" s="1037" t="s">
        <v>199</v>
      </c>
      <c r="J179" s="2728">
        <f>X47+X48+X49+X50+X51+X52+X53+X54+X55+X56+X57+X58+X59+X60+X122</f>
        <v>3275</v>
      </c>
      <c r="K179" s="2728">
        <f>J193</f>
        <v>3275</v>
      </c>
      <c r="L179" s="2728">
        <f>J179-K179</f>
        <v>0</v>
      </c>
      <c r="M179" s="1467"/>
    </row>
    <row r="180" spans="2:13" ht="13.5" thickBot="1">
      <c r="B180" s="1037"/>
      <c r="C180" s="882"/>
      <c r="D180" s="1461"/>
      <c r="E180" s="1461"/>
      <c r="F180" s="1461"/>
      <c r="G180" s="1461"/>
      <c r="H180" s="1461"/>
      <c r="I180" s="1037" t="s">
        <v>203</v>
      </c>
      <c r="J180" s="2536">
        <f>X64+X65+X66+X67+X68+X69+X70+X71+X72+X73+X74+X75+X123</f>
        <v>2800</v>
      </c>
      <c r="K180" s="2536">
        <f>J194</f>
        <v>2800</v>
      </c>
      <c r="L180" s="2536">
        <f>J180-K180</f>
        <v>0</v>
      </c>
      <c r="M180" s="1467"/>
    </row>
    <row r="181" spans="2:13" ht="13.5" thickBot="1">
      <c r="B181" s="1757" t="s">
        <v>1208</v>
      </c>
      <c r="C181" s="2768"/>
      <c r="D181" s="2769"/>
      <c r="E181" s="1758"/>
      <c r="F181" s="1758"/>
      <c r="G181" s="1759"/>
      <c r="H181" s="1461"/>
      <c r="I181" s="1037"/>
      <c r="J181" s="2728">
        <f>SUM(J177:J180)</f>
        <v>18900</v>
      </c>
      <c r="K181" s="2728">
        <f>SUM(K177:K180)</f>
        <v>18900</v>
      </c>
      <c r="L181" s="2728">
        <f>SUM(L177:L180)</f>
        <v>0</v>
      </c>
      <c r="M181" s="1467"/>
    </row>
    <row r="182" spans="2:13">
      <c r="B182" s="1526" t="s">
        <v>264</v>
      </c>
      <c r="C182" s="879"/>
      <c r="D182" s="1726"/>
      <c r="E182" s="1726"/>
      <c r="F182" s="1726"/>
      <c r="G182" s="1727"/>
      <c r="H182" s="1461"/>
      <c r="I182" s="1037"/>
      <c r="J182" s="1461"/>
      <c r="K182" s="1461"/>
      <c r="L182" s="1461"/>
      <c r="M182" s="1467"/>
    </row>
    <row r="183" spans="2:13">
      <c r="B183" s="1037" t="s">
        <v>200</v>
      </c>
      <c r="C183" s="882">
        <f>R65+R66+R67+R68+R70+R69+R71+R93+R94+R100</f>
        <v>2160</v>
      </c>
      <c r="D183" s="1461"/>
      <c r="E183" s="1461"/>
      <c r="F183" s="1461"/>
      <c r="G183" s="1467"/>
      <c r="H183" s="1461"/>
      <c r="I183" s="1037" t="s">
        <v>1168</v>
      </c>
      <c r="J183" s="1461"/>
      <c r="K183" s="1461"/>
      <c r="L183" s="1461"/>
      <c r="M183" s="1467"/>
    </row>
    <row r="184" spans="2:13">
      <c r="B184" s="1037" t="s">
        <v>199</v>
      </c>
      <c r="C184" s="882">
        <f>R45+R46+R47+R48+R49+R50</f>
        <v>1350</v>
      </c>
      <c r="D184" s="1461"/>
      <c r="E184" s="1461"/>
      <c r="F184" s="1461"/>
      <c r="G184" s="1467"/>
      <c r="H184" s="1461"/>
      <c r="I184" s="1037" t="s">
        <v>200</v>
      </c>
      <c r="J184" s="2728">
        <f>J181*K184</f>
        <v>9828</v>
      </c>
      <c r="K184" s="2740">
        <f>'Prod info'!D11</f>
        <v>0.52</v>
      </c>
      <c r="L184" s="1461"/>
      <c r="M184" s="1467"/>
    </row>
    <row r="185" spans="2:13">
      <c r="B185" s="1037" t="s">
        <v>203</v>
      </c>
      <c r="C185" s="1762">
        <f>R101+R87+R88+R89+R90+R91</f>
        <v>1215</v>
      </c>
      <c r="D185" s="1461"/>
      <c r="E185" s="1461"/>
      <c r="F185" s="1461"/>
      <c r="G185" s="1467"/>
      <c r="H185" s="1461"/>
      <c r="I185" s="1037" t="s">
        <v>211</v>
      </c>
      <c r="J185" s="2728">
        <f>J181*K185</f>
        <v>3024</v>
      </c>
      <c r="K185" s="2740">
        <f>'Prod info'!D12</f>
        <v>0.16</v>
      </c>
      <c r="L185" s="1461"/>
      <c r="M185" s="1467"/>
    </row>
    <row r="186" spans="2:13">
      <c r="B186" s="1037"/>
      <c r="C186" s="2012">
        <f>SUM(C183:C185)</f>
        <v>4725</v>
      </c>
      <c r="D186" s="1461"/>
      <c r="E186" s="1461"/>
      <c r="F186" s="1461"/>
      <c r="G186" s="1467"/>
      <c r="H186" s="1461"/>
      <c r="I186" s="1037" t="s">
        <v>199</v>
      </c>
      <c r="J186" s="2728">
        <f>J181*K186</f>
        <v>3213.0000000000005</v>
      </c>
      <c r="K186" s="2740">
        <f>'Prod info'!D13</f>
        <v>0.17</v>
      </c>
      <c r="L186" s="1461"/>
      <c r="M186" s="1467"/>
    </row>
    <row r="187" spans="2:13">
      <c r="B187" s="1037"/>
      <c r="C187" s="1461"/>
      <c r="D187" s="1461"/>
      <c r="E187" s="1461"/>
      <c r="F187" s="1461"/>
      <c r="G187" s="1467"/>
      <c r="H187" s="1461"/>
      <c r="I187" s="1037" t="s">
        <v>203</v>
      </c>
      <c r="J187" s="2536">
        <f>J181*K187</f>
        <v>2835</v>
      </c>
      <c r="K187" s="2740">
        <f>'Prod info'!D14</f>
        <v>0.15</v>
      </c>
      <c r="L187" s="1461"/>
      <c r="M187" s="1467"/>
    </row>
    <row r="188" spans="2:13">
      <c r="B188" s="1037"/>
      <c r="C188" s="1461"/>
      <c r="D188" s="1461"/>
      <c r="E188" s="1461"/>
      <c r="F188" s="1461"/>
      <c r="G188" s="1467"/>
      <c r="H188" s="1461"/>
      <c r="I188" s="1037"/>
      <c r="J188" s="2728">
        <f>SUM(J184:J187)</f>
        <v>18900</v>
      </c>
      <c r="K188" s="1461"/>
      <c r="L188" s="1461"/>
      <c r="M188" s="1467"/>
    </row>
    <row r="189" spans="2:13">
      <c r="B189" s="1290" t="s">
        <v>624</v>
      </c>
      <c r="C189" s="882"/>
      <c r="D189" s="1461"/>
      <c r="E189" s="1461"/>
      <c r="F189" s="1461"/>
      <c r="G189" s="1467"/>
      <c r="H189" s="1461"/>
      <c r="I189" s="1037"/>
      <c r="J189" s="1461"/>
      <c r="K189" s="1461"/>
      <c r="L189" s="1461"/>
      <c r="M189" s="1467"/>
    </row>
    <row r="190" spans="2:13">
      <c r="B190" s="1037" t="s">
        <v>200</v>
      </c>
      <c r="C190" s="882">
        <f>F129+F135</f>
        <v>15026</v>
      </c>
      <c r="D190" s="1461"/>
      <c r="E190" s="1461"/>
      <c r="F190" s="1461"/>
      <c r="G190" s="1467"/>
      <c r="H190" s="1461"/>
      <c r="I190" s="1037" t="s">
        <v>26</v>
      </c>
      <c r="J190" s="2743" t="s">
        <v>26</v>
      </c>
      <c r="K190" s="2743" t="s">
        <v>1169</v>
      </c>
      <c r="L190" s="2743" t="s">
        <v>1170</v>
      </c>
      <c r="M190" s="2744" t="s">
        <v>774</v>
      </c>
    </row>
    <row r="191" spans="2:13">
      <c r="B191" s="1037" t="s">
        <v>199</v>
      </c>
      <c r="C191" s="882">
        <f>F130+F136</f>
        <v>365</v>
      </c>
      <c r="D191" s="1461"/>
      <c r="E191" s="1461"/>
      <c r="F191" s="1461"/>
      <c r="G191" s="1467"/>
      <c r="H191" s="1461"/>
      <c r="I191" s="1037" t="s">
        <v>210</v>
      </c>
      <c r="J191" s="1139">
        <f>J177</f>
        <v>9675</v>
      </c>
      <c r="K191" s="2733">
        <f>J191/$J$195</f>
        <v>0.51190476190476186</v>
      </c>
      <c r="L191" s="2735">
        <f>K184</f>
        <v>0.52</v>
      </c>
      <c r="M191" s="2736">
        <f>K191-L191</f>
        <v>-8.0952380952381553E-3</v>
      </c>
    </row>
    <row r="192" spans="2:13">
      <c r="B192" s="1037" t="s">
        <v>203</v>
      </c>
      <c r="C192" s="1762">
        <f>F131+F137+F95</f>
        <v>634</v>
      </c>
      <c r="D192" s="1461"/>
      <c r="E192" s="1461"/>
      <c r="F192" s="1461"/>
      <c r="G192" s="1467"/>
      <c r="H192" s="1461"/>
      <c r="I192" s="1037" t="s">
        <v>211</v>
      </c>
      <c r="J192" s="1139">
        <f>J178</f>
        <v>3150</v>
      </c>
      <c r="K192" s="2733">
        <f>J192/$J$195</f>
        <v>0.16666666666666666</v>
      </c>
      <c r="L192" s="2735">
        <f>K185</f>
        <v>0.16</v>
      </c>
      <c r="M192" s="2736">
        <f>K192-L192</f>
        <v>6.6666666666666541E-3</v>
      </c>
    </row>
    <row r="193" spans="2:13">
      <c r="B193" s="1037"/>
      <c r="C193" s="2012">
        <f>SUM(C190:C192)</f>
        <v>16025</v>
      </c>
      <c r="D193" s="1461"/>
      <c r="E193" s="1461"/>
      <c r="F193" s="1461"/>
      <c r="G193" s="1467"/>
      <c r="H193" s="1461"/>
      <c r="I193" s="1037" t="s">
        <v>199</v>
      </c>
      <c r="J193" s="1139">
        <f>J179</f>
        <v>3275</v>
      </c>
      <c r="K193" s="2733">
        <f>J193/$J$195</f>
        <v>0.17328042328042328</v>
      </c>
      <c r="L193" s="2735">
        <f>K186</f>
        <v>0.17</v>
      </c>
      <c r="M193" s="2736">
        <f>K193-L193</f>
        <v>3.2804232804232725E-3</v>
      </c>
    </row>
    <row r="194" spans="2:13">
      <c r="B194" s="1037"/>
      <c r="C194" s="882"/>
      <c r="D194" s="1461"/>
      <c r="E194" s="1461"/>
      <c r="F194" s="1461"/>
      <c r="G194" s="1467"/>
      <c r="H194" s="1461"/>
      <c r="I194" s="1037" t="s">
        <v>203</v>
      </c>
      <c r="J194" s="2000">
        <f>J180</f>
        <v>2800</v>
      </c>
      <c r="K194" s="2734">
        <f>J194/$J$195</f>
        <v>0.14814814814814814</v>
      </c>
      <c r="L194" s="2737">
        <f>K187</f>
        <v>0.15</v>
      </c>
      <c r="M194" s="2738">
        <f>K194-L194</f>
        <v>-1.8518518518518545E-3</v>
      </c>
    </row>
    <row r="195" spans="2:13">
      <c r="B195" s="1037" t="s">
        <v>26</v>
      </c>
      <c r="C195" s="882"/>
      <c r="D195" s="1461"/>
      <c r="E195" s="1461"/>
      <c r="F195" s="1461"/>
      <c r="G195" s="1467"/>
      <c r="H195" s="1461"/>
      <c r="I195" s="1037" t="s">
        <v>235</v>
      </c>
      <c r="J195" s="1139">
        <f>SUM(J191:J194)</f>
        <v>18900</v>
      </c>
      <c r="K195" s="2733">
        <f>SUM(K191:K194)</f>
        <v>0.99999999999999989</v>
      </c>
      <c r="L195" s="2735">
        <f>SUM(L191:L194)</f>
        <v>1</v>
      </c>
      <c r="M195" s="2736">
        <f>SUM(M191:M194)</f>
        <v>-8.3266726846886741E-17</v>
      </c>
    </row>
    <row r="196" spans="2:13">
      <c r="B196" s="1037" t="s">
        <v>200</v>
      </c>
      <c r="C196" s="882">
        <f>C183+C190</f>
        <v>17186</v>
      </c>
      <c r="D196" s="1461"/>
      <c r="E196" s="1461"/>
      <c r="F196" s="1461"/>
      <c r="G196" s="1467"/>
      <c r="H196" s="1461"/>
      <c r="I196" s="1037" t="s">
        <v>1171</v>
      </c>
      <c r="J196" s="2170">
        <v>0.75</v>
      </c>
      <c r="K196" s="2733"/>
      <c r="L196" s="2735"/>
      <c r="M196" s="2736"/>
    </row>
    <row r="197" spans="2:13" ht="13.5" thickBot="1">
      <c r="B197" s="1037" t="s">
        <v>199</v>
      </c>
      <c r="C197" s="882">
        <f>C184+C191</f>
        <v>1715</v>
      </c>
      <c r="D197" s="1461"/>
      <c r="E197" s="1461"/>
      <c r="F197" s="1461"/>
      <c r="G197" s="1467"/>
      <c r="H197" s="1461"/>
      <c r="I197" s="1523" t="s">
        <v>241</v>
      </c>
      <c r="J197" s="2747">
        <f>J195/J196</f>
        <v>25200</v>
      </c>
      <c r="K197" s="1524"/>
      <c r="L197" s="1524"/>
      <c r="M197" s="2680"/>
    </row>
    <row r="198" spans="2:13" ht="13.5" thickBot="1">
      <c r="B198" s="1037" t="s">
        <v>203</v>
      </c>
      <c r="C198" s="1762">
        <f>C185+C192</f>
        <v>1849</v>
      </c>
      <c r="D198" s="1461"/>
      <c r="E198" s="1461"/>
      <c r="F198" s="1461"/>
      <c r="G198" s="1467"/>
      <c r="H198" s="1461"/>
      <c r="I198" s="1461"/>
      <c r="J198" s="1461"/>
      <c r="K198" s="1461"/>
      <c r="L198" s="1461"/>
      <c r="M198" s="1467"/>
    </row>
    <row r="199" spans="2:13" ht="13.5" thickBot="1">
      <c r="B199" s="1037"/>
      <c r="C199" s="2012">
        <f>SUM(C196:C198)</f>
        <v>20750</v>
      </c>
      <c r="D199" s="1461"/>
      <c r="E199" s="1461"/>
      <c r="F199" s="1461"/>
      <c r="G199" s="1467"/>
      <c r="H199" s="1461"/>
      <c r="I199" s="1757" t="s">
        <v>1176</v>
      </c>
      <c r="J199" s="1758"/>
      <c r="K199" s="1758"/>
      <c r="L199" s="1758"/>
      <c r="M199" s="1759"/>
    </row>
    <row r="200" spans="2:13">
      <c r="B200" s="1037"/>
      <c r="C200" s="882"/>
      <c r="D200" s="1461"/>
      <c r="E200" s="1461"/>
      <c r="F200" s="1461"/>
      <c r="G200" s="1467"/>
      <c r="H200" s="1461"/>
      <c r="I200" s="1712" t="s">
        <v>198</v>
      </c>
      <c r="J200" s="2751">
        <f>F100</f>
        <v>3950</v>
      </c>
      <c r="K200" s="1726"/>
      <c r="L200" s="1726"/>
      <c r="M200" s="1727"/>
    </row>
    <row r="201" spans="2:13">
      <c r="B201" s="1037" t="s">
        <v>1168</v>
      </c>
      <c r="C201" s="882"/>
      <c r="D201" s="1461"/>
      <c r="E201" s="1461"/>
      <c r="F201" s="1461"/>
      <c r="G201" s="1467"/>
      <c r="H201" s="1461"/>
      <c r="I201" s="1037" t="str">
        <f>I196</f>
        <v>Bottle size</v>
      </c>
      <c r="J201" s="2746">
        <f>J196</f>
        <v>0.75</v>
      </c>
      <c r="K201" s="1461"/>
      <c r="L201" s="1461"/>
      <c r="M201" s="1467"/>
    </row>
    <row r="202" spans="2:13" ht="13.5" thickBot="1">
      <c r="B202" s="1037" t="s">
        <v>200</v>
      </c>
      <c r="C202" s="882">
        <f>$C$199*D202</f>
        <v>10375</v>
      </c>
      <c r="D202" s="2740">
        <f>D165</f>
        <v>0.5</v>
      </c>
      <c r="E202" s="1461"/>
      <c r="F202" s="1461"/>
      <c r="G202" s="1467"/>
      <c r="H202" s="1461"/>
      <c r="I202" s="1523" t="str">
        <f>I197</f>
        <v>Bottles</v>
      </c>
      <c r="J202" s="2747">
        <f>J200/J201</f>
        <v>5266.666666666667</v>
      </c>
      <c r="K202" s="1524"/>
      <c r="L202" s="1524"/>
      <c r="M202" s="2680"/>
    </row>
    <row r="203" spans="2:13">
      <c r="B203" s="1037" t="str">
        <f>B210</f>
        <v>Mavrud</v>
      </c>
      <c r="C203" s="882">
        <f>$C$199*D203</f>
        <v>3112.5</v>
      </c>
      <c r="D203" s="2740">
        <f>D166</f>
        <v>0.15</v>
      </c>
      <c r="E203" s="1461"/>
      <c r="F203" s="1461"/>
      <c r="G203" s="1467"/>
      <c r="H203" s="1461"/>
      <c r="I203" s="1461"/>
      <c r="J203" s="1461"/>
      <c r="K203" s="1461"/>
      <c r="L203" s="1461"/>
      <c r="M203" s="1467"/>
    </row>
    <row r="204" spans="2:13">
      <c r="B204" s="1037" t="s">
        <v>199</v>
      </c>
      <c r="C204" s="882">
        <f>$C$199*D204</f>
        <v>4150</v>
      </c>
      <c r="D204" s="2740">
        <f>D167</f>
        <v>0.2</v>
      </c>
      <c r="E204" s="1461"/>
      <c r="F204" s="1461"/>
      <c r="G204" s="1467"/>
      <c r="H204" s="1461"/>
      <c r="I204" s="1461"/>
      <c r="J204" s="1461"/>
      <c r="K204" s="1461"/>
      <c r="L204" s="1461"/>
      <c r="M204" s="1467"/>
    </row>
    <row r="205" spans="2:13">
      <c r="B205" s="1037" t="s">
        <v>203</v>
      </c>
      <c r="C205" s="1762">
        <f>$C$199*D205</f>
        <v>3112.5</v>
      </c>
      <c r="D205" s="2740">
        <f>D168</f>
        <v>0.15</v>
      </c>
      <c r="E205" s="1461"/>
      <c r="F205" s="1461"/>
      <c r="G205" s="1467"/>
      <c r="H205" s="1461"/>
      <c r="I205" s="1461"/>
      <c r="J205" s="1461"/>
      <c r="K205" s="1461"/>
      <c r="L205" s="1461"/>
      <c r="M205" s="1467"/>
    </row>
    <row r="206" spans="2:13">
      <c r="B206" s="1037"/>
      <c r="C206" s="2012">
        <f>SUM(C202:C205)</f>
        <v>20750</v>
      </c>
      <c r="D206" s="1461"/>
      <c r="E206" s="1461"/>
      <c r="F206" s="1461"/>
      <c r="G206" s="1467"/>
      <c r="H206" s="1461"/>
      <c r="I206" s="1461"/>
      <c r="J206" s="1461"/>
      <c r="K206" s="1461"/>
      <c r="L206" s="1461"/>
      <c r="M206" s="1467"/>
    </row>
    <row r="207" spans="2:13">
      <c r="B207" s="1037"/>
      <c r="C207" s="882"/>
      <c r="D207" s="1461"/>
      <c r="E207" s="1461"/>
      <c r="F207" s="1461"/>
      <c r="G207" s="1467"/>
      <c r="H207" s="1461"/>
      <c r="I207" s="1461"/>
      <c r="J207" s="1461"/>
      <c r="K207" s="1461"/>
      <c r="L207" s="1461"/>
      <c r="M207" s="1467"/>
    </row>
    <row r="208" spans="2:13" ht="13.5" thickBot="1">
      <c r="B208" s="1037" t="s">
        <v>26</v>
      </c>
      <c r="C208" s="897" t="s">
        <v>26</v>
      </c>
      <c r="D208" s="1447" t="s">
        <v>1169</v>
      </c>
      <c r="E208" s="1447" t="s">
        <v>1170</v>
      </c>
      <c r="F208" s="1447" t="s">
        <v>774</v>
      </c>
      <c r="G208" s="1467"/>
      <c r="H208" s="1461"/>
      <c r="I208" s="1461"/>
      <c r="J208" s="1461"/>
      <c r="K208" s="1461"/>
      <c r="L208" s="1461"/>
      <c r="M208" s="1467"/>
    </row>
    <row r="209" spans="2:13">
      <c r="B209" s="1037" t="s">
        <v>200</v>
      </c>
      <c r="C209" s="882">
        <f>C196</f>
        <v>17186</v>
      </c>
      <c r="D209" s="2733">
        <f>C209/C213</f>
        <v>0.82824096385542167</v>
      </c>
      <c r="E209" s="2732">
        <f>E172</f>
        <v>0.5</v>
      </c>
      <c r="F209" s="2733">
        <f>D209-E209</f>
        <v>0.32824096385542167</v>
      </c>
      <c r="G209" s="1467"/>
      <c r="H209" s="1461"/>
      <c r="I209" s="1526" t="s">
        <v>1173</v>
      </c>
      <c r="J209" s="1726"/>
      <c r="K209" s="1726"/>
      <c r="L209" s="1726"/>
      <c r="M209" s="1727"/>
    </row>
    <row r="210" spans="2:13">
      <c r="B210" s="1037" t="str">
        <f>B173</f>
        <v>Mavrud</v>
      </c>
      <c r="C210" s="882"/>
      <c r="D210" s="2733"/>
      <c r="E210" s="2732">
        <f>E173</f>
        <v>0.15</v>
      </c>
      <c r="F210" s="2733">
        <f>D210-E210</f>
        <v>-0.15</v>
      </c>
      <c r="G210" s="1467"/>
      <c r="H210" s="1461"/>
      <c r="I210" s="1037"/>
      <c r="J210" s="2743" t="s">
        <v>235</v>
      </c>
      <c r="K210" s="2743" t="s">
        <v>1174</v>
      </c>
      <c r="L210" s="2743" t="s">
        <v>264</v>
      </c>
      <c r="M210" s="1467"/>
    </row>
    <row r="211" spans="2:13">
      <c r="B211" s="1037" t="s">
        <v>199</v>
      </c>
      <c r="C211" s="882">
        <f>C197</f>
        <v>1715</v>
      </c>
      <c r="D211" s="2733">
        <f>C211/C213</f>
        <v>8.2650602409638549E-2</v>
      </c>
      <c r="E211" s="2732">
        <f>E174</f>
        <v>0.2</v>
      </c>
      <c r="F211" s="2733">
        <f>D211-E211</f>
        <v>-0.11734939759036146</v>
      </c>
      <c r="G211" s="1467"/>
      <c r="H211" s="1461"/>
      <c r="I211" s="1037" t="s">
        <v>210</v>
      </c>
      <c r="J211" s="2170">
        <f>C151+C190</f>
        <v>26921</v>
      </c>
      <c r="K211" s="2170">
        <v>225</v>
      </c>
      <c r="L211" s="2748">
        <f>J211/K211</f>
        <v>119.64888888888889</v>
      </c>
      <c r="M211" s="1467"/>
    </row>
    <row r="212" spans="2:13">
      <c r="B212" s="1037" t="s">
        <v>203</v>
      </c>
      <c r="C212" s="1762">
        <f>C198</f>
        <v>1849</v>
      </c>
      <c r="D212" s="2734">
        <f>C212/C213</f>
        <v>8.9108433734939763E-2</v>
      </c>
      <c r="E212" s="2771">
        <f>E175</f>
        <v>0.15</v>
      </c>
      <c r="F212" s="2734">
        <f>D212-E212</f>
        <v>-6.0891566265060232E-2</v>
      </c>
      <c r="G212" s="1467"/>
      <c r="H212" s="1461"/>
      <c r="I212" s="1037" t="s">
        <v>204</v>
      </c>
      <c r="J212" s="2170">
        <f>C152</f>
        <v>1124</v>
      </c>
      <c r="K212" s="2170">
        <v>225</v>
      </c>
      <c r="L212" s="2748">
        <f>J212/K212</f>
        <v>4.9955555555555557</v>
      </c>
      <c r="M212" s="1467"/>
    </row>
    <row r="213" spans="2:13">
      <c r="B213" s="1037" t="s">
        <v>235</v>
      </c>
      <c r="C213" s="882">
        <f>SUM(C209:C212)</f>
        <v>20750</v>
      </c>
      <c r="D213" s="2733">
        <f>SUM(D209:D212)</f>
        <v>1</v>
      </c>
      <c r="E213" s="2733">
        <f>SUM(E209:E212)</f>
        <v>1</v>
      </c>
      <c r="F213" s="2733">
        <f>SUM(F209:F212)</f>
        <v>0</v>
      </c>
      <c r="G213" s="1467"/>
      <c r="H213" s="1461"/>
      <c r="I213" s="1037" t="s">
        <v>199</v>
      </c>
      <c r="J213" s="2170">
        <f>C153+C191</f>
        <v>5123.9500000000007</v>
      </c>
      <c r="K213" s="2170">
        <v>225</v>
      </c>
      <c r="L213" s="2748">
        <f>J213/K213</f>
        <v>22.773111111111113</v>
      </c>
      <c r="M213" s="1467"/>
    </row>
    <row r="214" spans="2:13">
      <c r="B214" s="1037" t="s">
        <v>1171</v>
      </c>
      <c r="C214" s="2739">
        <v>0.75</v>
      </c>
      <c r="D214" s="1461"/>
      <c r="E214" s="1461"/>
      <c r="F214" s="1461"/>
      <c r="G214" s="1467"/>
      <c r="H214" s="1461"/>
      <c r="I214" s="1037" t="s">
        <v>203</v>
      </c>
      <c r="J214" s="2742">
        <f>C154+C192</f>
        <v>3039.0499999999997</v>
      </c>
      <c r="K214" s="2742">
        <v>225</v>
      </c>
      <c r="L214" s="2749">
        <f>J214/K214</f>
        <v>13.506888888888888</v>
      </c>
      <c r="M214" s="1467"/>
    </row>
    <row r="215" spans="2:13">
      <c r="B215" s="1037" t="s">
        <v>241</v>
      </c>
      <c r="C215" s="882">
        <f>C213/C214</f>
        <v>27666.666666666668</v>
      </c>
      <c r="D215" s="1461"/>
      <c r="E215" s="1461"/>
      <c r="F215" s="1461"/>
      <c r="G215" s="1467"/>
      <c r="H215" s="1461"/>
      <c r="I215" s="1037"/>
      <c r="J215" s="2170">
        <f>SUM(J211:J214)</f>
        <v>36208</v>
      </c>
      <c r="K215" s="1461"/>
      <c r="L215" s="2748">
        <f>SUM(L211:L214)</f>
        <v>160.92444444444445</v>
      </c>
      <c r="M215" s="1467"/>
    </row>
    <row r="216" spans="2:13" ht="13.5" thickBot="1">
      <c r="B216" s="1523" t="s">
        <v>346</v>
      </c>
      <c r="C216" s="2700">
        <v>0</v>
      </c>
      <c r="D216" s="1524"/>
      <c r="E216" s="1524"/>
      <c r="F216" s="1524"/>
      <c r="G216" s="2680"/>
      <c r="H216" s="1461"/>
      <c r="I216" s="1523"/>
      <c r="J216" s="1524"/>
      <c r="K216" s="2678" t="s">
        <v>1175</v>
      </c>
      <c r="L216" s="2750">
        <f>CEILING(L215,1)</f>
        <v>161</v>
      </c>
      <c r="M216" s="2680"/>
    </row>
    <row r="217" spans="2:13">
      <c r="C217" s="1287"/>
      <c r="H217" s="1461"/>
    </row>
    <row r="218" spans="2:13">
      <c r="C218" s="1287"/>
      <c r="H218" s="1461"/>
    </row>
    <row r="219" spans="2:13">
      <c r="C219" s="1287"/>
      <c r="H219" s="1461"/>
    </row>
    <row r="220" spans="2:13">
      <c r="C220" s="1287"/>
      <c r="H220" s="1461"/>
    </row>
    <row r="221" spans="2:13">
      <c r="C221" s="1287"/>
      <c r="H221" s="1461"/>
    </row>
    <row r="222" spans="2:13">
      <c r="C222" s="1287"/>
      <c r="H222" s="1461"/>
    </row>
    <row r="223" spans="2:13">
      <c r="B223" s="1037"/>
      <c r="C223" s="882"/>
      <c r="D223" s="1461"/>
      <c r="E223" s="1461"/>
      <c r="F223" s="1461"/>
      <c r="G223" s="1461"/>
      <c r="H223" s="1461"/>
    </row>
    <row r="224" spans="2:13">
      <c r="B224" s="1037"/>
      <c r="C224" s="882"/>
      <c r="D224" s="1461"/>
      <c r="E224" s="1461"/>
      <c r="F224" s="1461"/>
      <c r="G224" s="1461"/>
      <c r="H224" s="1461"/>
    </row>
    <row r="225" spans="2:8">
      <c r="B225" s="1037"/>
      <c r="C225" s="882"/>
      <c r="D225" s="1461"/>
      <c r="E225" s="1461"/>
      <c r="F225" s="1461"/>
      <c r="G225" s="1461"/>
      <c r="H225" s="1461"/>
    </row>
    <row r="226" spans="2:8">
      <c r="B226" s="1037"/>
      <c r="C226" s="882"/>
      <c r="D226" s="1461"/>
      <c r="E226" s="1461"/>
      <c r="F226" s="1461"/>
      <c r="G226" s="1461"/>
      <c r="H226" s="1461"/>
    </row>
    <row r="227" spans="2:8">
      <c r="B227" s="1037"/>
      <c r="C227" s="882"/>
      <c r="D227" s="1461"/>
      <c r="E227" s="1461"/>
      <c r="F227" s="1461"/>
      <c r="G227" s="1461"/>
      <c r="H227" s="1461"/>
    </row>
    <row r="228" spans="2:8">
      <c r="B228" s="1037"/>
      <c r="C228" s="882"/>
      <c r="D228" s="1461"/>
      <c r="E228" s="1461"/>
      <c r="F228" s="1461"/>
      <c r="G228" s="1461"/>
      <c r="H228" s="1461"/>
    </row>
    <row r="229" spans="2:8">
      <c r="B229" s="1037"/>
      <c r="C229" s="882"/>
      <c r="D229" s="1461"/>
      <c r="E229" s="1461"/>
      <c r="F229" s="1461"/>
      <c r="G229" s="1461"/>
      <c r="H229" s="1461"/>
    </row>
    <row r="230" spans="2:8">
      <c r="B230" s="1037"/>
      <c r="C230" s="882"/>
      <c r="D230" s="1461"/>
      <c r="E230" s="1461"/>
      <c r="F230" s="1461"/>
      <c r="G230" s="1461"/>
      <c r="H230" s="1461"/>
    </row>
    <row r="231" spans="2:8">
      <c r="B231" s="1037"/>
      <c r="C231" s="882"/>
      <c r="D231" s="1461"/>
      <c r="E231" s="1461"/>
      <c r="F231" s="1461"/>
      <c r="G231" s="1461"/>
    </row>
    <row r="232" spans="2:8" ht="13.5" thickBot="1">
      <c r="B232" s="1523"/>
      <c r="C232" s="2700"/>
      <c r="D232" s="1524"/>
      <c r="E232" s="1524"/>
      <c r="F232" s="1524"/>
      <c r="G232" s="1524"/>
    </row>
    <row r="233" spans="2:8" ht="13.5" thickBot="1">
      <c r="H233" s="1524"/>
    </row>
  </sheetData>
  <sheetProtection password="CD53" sheet="1" objects="1" scenarios="1" selectLockedCells="1"/>
  <dataValidations count="1">
    <dataValidation type="list" allowBlank="1" showInputMessage="1" showErrorMessage="1" sqref="G32:G33 G35 G39 G42">
      <formula1>"Barrel,Bottle"</formula1>
    </dataValidation>
  </dataValidations>
  <pageMargins left="0.7" right="0.7" top="0.75" bottom="0.75" header="0.3" footer="0.3"/>
  <pageSetup paperSize="9" scale="1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theme="2" tint="-0.249977111117893"/>
  </sheetPr>
  <dimension ref="B2:BQ159"/>
  <sheetViews>
    <sheetView topLeftCell="E1" zoomScale="60" zoomScaleNormal="60" workbookViewId="0">
      <selection activeCell="W13" sqref="W13"/>
    </sheetView>
  </sheetViews>
  <sheetFormatPr defaultRowHeight="12.75"/>
  <cols>
    <col min="1" max="1" width="2.7109375" style="730" customWidth="1"/>
    <col min="2" max="2" width="35.140625" style="730" customWidth="1"/>
    <col min="3" max="3" width="9" style="730" customWidth="1"/>
    <col min="4" max="4" width="15.140625" style="730" bestFit="1" customWidth="1"/>
    <col min="5" max="5" width="17.5703125" style="730" bestFit="1" customWidth="1"/>
    <col min="6" max="6" width="18" style="730" bestFit="1" customWidth="1"/>
    <col min="7" max="7" width="19.28515625" style="730" customWidth="1"/>
    <col min="8" max="8" width="15.85546875" style="730" customWidth="1"/>
    <col min="9" max="9" width="16.42578125" style="730" customWidth="1"/>
    <col min="10" max="10" width="18.28515625" style="730" bestFit="1" customWidth="1"/>
    <col min="11" max="11" width="1.85546875" style="730" customWidth="1"/>
    <col min="12" max="12" width="19" style="730" customWidth="1"/>
    <col min="13" max="13" width="6.28515625" style="730" customWidth="1"/>
    <col min="14" max="14" width="5" style="730" customWidth="1"/>
    <col min="15" max="15" width="14.7109375" style="730" customWidth="1"/>
    <col min="16" max="17" width="10.42578125" style="730" customWidth="1"/>
    <col min="18" max="18" width="11.28515625" style="730" customWidth="1"/>
    <col min="19" max="19" width="10.42578125" style="730" customWidth="1"/>
    <col min="20" max="20" width="10.140625" style="730" customWidth="1"/>
    <col min="21" max="21" width="10.7109375" style="730" customWidth="1"/>
    <col min="22" max="22" width="2.7109375" style="730" customWidth="1"/>
    <col min="23" max="23" width="19" style="730" customWidth="1"/>
    <col min="24" max="24" width="5.140625" style="730" customWidth="1"/>
    <col min="25" max="25" width="6.5703125" style="730" customWidth="1"/>
    <col min="26" max="26" width="14.7109375" style="730" bestFit="1" customWidth="1"/>
    <col min="27" max="32" width="12.5703125" style="730" bestFit="1" customWidth="1"/>
    <col min="33" max="33" width="2.7109375" style="730" customWidth="1"/>
    <col min="34" max="34" width="19" style="730" customWidth="1"/>
    <col min="35" max="35" width="5.140625" style="730" customWidth="1"/>
    <col min="36" max="36" width="6.5703125" style="730" customWidth="1"/>
    <col min="37" max="37" width="11.85546875" style="730" customWidth="1"/>
    <col min="38" max="43" width="12.5703125" style="730" bestFit="1" customWidth="1"/>
    <col min="44" max="44" width="2.28515625" style="730" customWidth="1"/>
    <col min="45" max="45" width="19" style="730" customWidth="1"/>
    <col min="46" max="46" width="5.140625" style="730" customWidth="1"/>
    <col min="47" max="47" width="6.5703125" style="730" customWidth="1"/>
    <col min="48" max="48" width="11.140625" style="730" customWidth="1"/>
    <col min="49" max="49" width="12.85546875" style="730" customWidth="1"/>
    <col min="50" max="50" width="11.140625" style="730" customWidth="1"/>
    <col min="51" max="51" width="13.28515625" style="730" customWidth="1"/>
    <col min="52" max="52" width="12.28515625" style="730" customWidth="1"/>
    <col min="53" max="53" width="11.85546875" style="730" customWidth="1"/>
    <col min="54" max="54" width="12" style="730" customWidth="1"/>
    <col min="55" max="55" width="2.28515625" style="730" customWidth="1"/>
    <col min="56" max="56" width="19" style="730" bestFit="1" customWidth="1"/>
    <col min="57" max="57" width="5.140625" style="730" bestFit="1" customWidth="1"/>
    <col min="58" max="58" width="6.5703125" style="730" customWidth="1"/>
    <col min="59" max="59" width="11.140625" style="730" customWidth="1"/>
    <col min="60" max="61" width="11.140625" style="730" bestFit="1" customWidth="1"/>
    <col min="62" max="62" width="13.28515625" style="730" bestFit="1" customWidth="1"/>
    <col min="63" max="63" width="12.28515625" style="730" bestFit="1" customWidth="1"/>
    <col min="64" max="64" width="11.85546875" style="730" bestFit="1" customWidth="1"/>
    <col min="65" max="65" width="12" style="730" bestFit="1" customWidth="1"/>
    <col min="66" max="16384" width="9.140625" style="730"/>
  </cols>
  <sheetData>
    <row r="2" spans="2:69" ht="13.5" thickBot="1"/>
    <row r="3" spans="2:69" ht="13.5" thickBot="1">
      <c r="B3" s="5" t="str">
        <f>Opex!B176</f>
        <v>Bottling</v>
      </c>
      <c r="C3" s="821" t="s">
        <v>882</v>
      </c>
      <c r="D3" s="791"/>
      <c r="E3" s="792"/>
      <c r="F3" s="792"/>
      <c r="G3" s="227"/>
      <c r="H3" s="227"/>
      <c r="I3" s="227"/>
      <c r="J3" s="164"/>
      <c r="L3" s="759" t="str">
        <f>'Prod info'!N268</f>
        <v>White</v>
      </c>
      <c r="M3" s="742"/>
      <c r="N3" s="742"/>
      <c r="O3" s="742">
        <f>EN!D3</f>
        <v>2023</v>
      </c>
      <c r="P3" s="742">
        <f>EN!E3</f>
        <v>2024</v>
      </c>
      <c r="Q3" s="742">
        <f>EN!F3</f>
        <v>2025</v>
      </c>
      <c r="R3" s="742">
        <f>EN!G3</f>
        <v>2026</v>
      </c>
      <c r="S3" s="742">
        <f>EN!H3</f>
        <v>2027</v>
      </c>
      <c r="T3" s="742">
        <f>EN!I3</f>
        <v>2028</v>
      </c>
      <c r="U3" s="760">
        <f>EN!J3</f>
        <v>2029</v>
      </c>
      <c r="W3" s="759" t="str">
        <f>'Prod info'!N269</f>
        <v>Rose</v>
      </c>
      <c r="X3" s="742"/>
      <c r="Y3" s="742"/>
      <c r="Z3" s="742">
        <f>EN!O3</f>
        <v>2023</v>
      </c>
      <c r="AA3" s="742">
        <f>EN!P3</f>
        <v>2024</v>
      </c>
      <c r="AB3" s="742">
        <f>EN!Q3</f>
        <v>2025</v>
      </c>
      <c r="AC3" s="742">
        <f>EN!R3</f>
        <v>2026</v>
      </c>
      <c r="AD3" s="742">
        <f>EN!S3</f>
        <v>2027</v>
      </c>
      <c r="AE3" s="742">
        <f>EN!T3</f>
        <v>2028</v>
      </c>
      <c r="AF3" s="760">
        <f>EN!U3</f>
        <v>2029</v>
      </c>
      <c r="AH3" s="759" t="str">
        <f>'Prod info'!N279</f>
        <v>Classic</v>
      </c>
      <c r="AI3" s="742"/>
      <c r="AJ3" s="742"/>
      <c r="AK3" s="742">
        <f>Z3</f>
        <v>2023</v>
      </c>
      <c r="AL3" s="742">
        <f t="shared" ref="AL3:AQ3" si="0">AA3</f>
        <v>2024</v>
      </c>
      <c r="AM3" s="742">
        <f t="shared" si="0"/>
        <v>2025</v>
      </c>
      <c r="AN3" s="742">
        <f t="shared" si="0"/>
        <v>2026</v>
      </c>
      <c r="AO3" s="742">
        <f t="shared" si="0"/>
        <v>2027</v>
      </c>
      <c r="AP3" s="742">
        <f t="shared" si="0"/>
        <v>2028</v>
      </c>
      <c r="AQ3" s="760">
        <f t="shared" si="0"/>
        <v>2029</v>
      </c>
      <c r="AS3" s="759" t="str">
        <f>'Prod info'!N280</f>
        <v>Premium</v>
      </c>
      <c r="AT3" s="742"/>
      <c r="AU3" s="742"/>
      <c r="AV3" s="742">
        <f t="shared" ref="AV3:BB3" si="1">AK3</f>
        <v>2023</v>
      </c>
      <c r="AW3" s="742">
        <f t="shared" si="1"/>
        <v>2024</v>
      </c>
      <c r="AX3" s="742">
        <f t="shared" si="1"/>
        <v>2025</v>
      </c>
      <c r="AY3" s="742">
        <f t="shared" si="1"/>
        <v>2026</v>
      </c>
      <c r="AZ3" s="742">
        <f t="shared" si="1"/>
        <v>2027</v>
      </c>
      <c r="BA3" s="742">
        <f t="shared" si="1"/>
        <v>2028</v>
      </c>
      <c r="BB3" s="760">
        <f t="shared" si="1"/>
        <v>2029</v>
      </c>
      <c r="BD3" s="759" t="str">
        <f>'Prod info'!N281</f>
        <v>Selection individuelle</v>
      </c>
      <c r="BE3" s="742"/>
      <c r="BF3" s="742"/>
      <c r="BG3" s="742">
        <f t="shared" ref="BG3:BM3" si="2">AV3</f>
        <v>2023</v>
      </c>
      <c r="BH3" s="742">
        <f t="shared" si="2"/>
        <v>2024</v>
      </c>
      <c r="BI3" s="742">
        <f t="shared" si="2"/>
        <v>2025</v>
      </c>
      <c r="BJ3" s="742">
        <f t="shared" si="2"/>
        <v>2026</v>
      </c>
      <c r="BK3" s="742">
        <f t="shared" si="2"/>
        <v>2027</v>
      </c>
      <c r="BL3" s="742">
        <f t="shared" si="2"/>
        <v>2028</v>
      </c>
      <c r="BM3" s="760">
        <f t="shared" si="2"/>
        <v>2029</v>
      </c>
    </row>
    <row r="4" spans="2:69">
      <c r="B4" s="213"/>
      <c r="C4" s="265" t="str">
        <f>Opex!D177</f>
        <v>White</v>
      </c>
      <c r="D4" s="250" t="str">
        <f>Opex!E177</f>
        <v>Rose</v>
      </c>
      <c r="E4" s="265" t="str">
        <f>Opex!F177</f>
        <v>Classic</v>
      </c>
      <c r="F4" s="265" t="str">
        <f>Opex!G177</f>
        <v>Premium</v>
      </c>
      <c r="G4" s="265" t="str">
        <f>Opex!H177</f>
        <v>Selection individuelle</v>
      </c>
      <c r="H4" s="78"/>
      <c r="I4" s="78"/>
      <c r="J4" s="80"/>
      <c r="L4" s="741"/>
      <c r="M4" s="742"/>
      <c r="N4" s="742"/>
      <c r="O4" s="742"/>
      <c r="P4" s="742"/>
      <c r="Q4" s="742"/>
      <c r="R4" s="742"/>
      <c r="S4" s="742"/>
      <c r="T4" s="742"/>
      <c r="U4" s="760"/>
      <c r="W4" s="493"/>
      <c r="AF4" s="761"/>
      <c r="AH4" s="493"/>
      <c r="AQ4" s="761"/>
      <c r="AS4" s="493"/>
      <c r="BB4" s="761"/>
      <c r="BD4" s="493"/>
      <c r="BM4" s="761"/>
    </row>
    <row r="5" spans="2:69">
      <c r="B5" s="213" t="str">
        <f>Opex!B178</f>
        <v>Bottles</v>
      </c>
      <c r="C5" s="677">
        <f>Opex!D178</f>
        <v>0.6797062186693118</v>
      </c>
      <c r="D5" s="678">
        <f>Opex!E178</f>
        <v>0.6797062186693118</v>
      </c>
      <c r="E5" s="531">
        <f>Opex!F178</f>
        <v>0.87069306194301133</v>
      </c>
      <c r="F5" s="531">
        <f>Opex!G178</f>
        <v>0.99089230562983488</v>
      </c>
      <c r="G5" s="531">
        <f>Opex!H178</f>
        <v>1.5104073462417491</v>
      </c>
      <c r="H5" s="78"/>
      <c r="I5" s="78"/>
      <c r="J5" s="80"/>
      <c r="L5" s="493" t="s">
        <v>789</v>
      </c>
      <c r="O5" s="115">
        <f>SUM('Inv. wine'!C133:C143)/'Inv. wine'!$D$3</f>
        <v>2342</v>
      </c>
      <c r="P5" s="115">
        <f>SUM('Inv. wine'!D133:D143)/'Inv. wine'!$D$3</f>
        <v>2266</v>
      </c>
      <c r="Q5" s="115">
        <f>SUM('Inv. wine'!E133:E143)/'Inv. wine'!$D$3</f>
        <v>3739</v>
      </c>
      <c r="R5" s="115">
        <f>SUM('Inv. wine'!F133:F143)/'Inv. wine'!$D$3</f>
        <v>4394</v>
      </c>
      <c r="S5" s="115">
        <f>SUM('Inv. wine'!G133:G143)/'Inv. wine'!$D$3</f>
        <v>4416</v>
      </c>
      <c r="T5" s="115">
        <f>SUM('Inv. wine'!H133:H143)/'Inv. wine'!$D$3</f>
        <v>4416</v>
      </c>
      <c r="U5" s="508">
        <f>SUM('Inv. wine'!I133:I143)/'Inv. wine'!$D$3</f>
        <v>4416</v>
      </c>
      <c r="W5" s="493" t="s">
        <v>789</v>
      </c>
      <c r="Z5" s="115">
        <f>SUM('Inv. wine'!L133:L143)/'Inv. wine'!$D$3</f>
        <v>5266.666666666667</v>
      </c>
      <c r="AA5" s="115">
        <f>SUM('Inv. wine'!M133:M143)/'Inv. wine'!$D$3</f>
        <v>0</v>
      </c>
      <c r="AB5" s="115">
        <f>SUM('Inv. wine'!N133:N143)/'Inv. wine'!$D$3</f>
        <v>0</v>
      </c>
      <c r="AC5" s="115">
        <f>SUM('Inv. wine'!O133:O143)/'Inv. wine'!$D$3</f>
        <v>0</v>
      </c>
      <c r="AD5" s="115">
        <f>SUM('Inv. wine'!P133:P143)/'Inv. wine'!$D$3</f>
        <v>0</v>
      </c>
      <c r="AE5" s="115">
        <f>SUM('Inv. wine'!Q133:Q143)/'Inv. wine'!$D$3</f>
        <v>0</v>
      </c>
      <c r="AF5" s="508">
        <f>SUM('Inv. wine'!R133:R143)/'Inv. wine'!$D$3</f>
        <v>0</v>
      </c>
      <c r="AH5" s="493" t="s">
        <v>789</v>
      </c>
      <c r="AK5" s="115">
        <f>SUM('Inv. wine'!U132:U143)/'Inv. wine'!$D$3</f>
        <v>21582</v>
      </c>
      <c r="AL5" s="115">
        <f>SUM('Inv. wine'!V132:V143)/'Inv. wine'!$D$3</f>
        <v>57877.333333333336</v>
      </c>
      <c r="AM5" s="115">
        <f>SUM('Inv. wine'!W132:W143)/'Inv. wine'!$D$3</f>
        <v>0</v>
      </c>
      <c r="AN5" s="115">
        <f>SUM('Inv. wine'!X132:X143)/'Inv. wine'!$D$3</f>
        <v>0</v>
      </c>
      <c r="AO5" s="115">
        <f>SUM('Inv. wine'!Y132:Y143)/'Inv. wine'!$D$3</f>
        <v>0</v>
      </c>
      <c r="AP5" s="115">
        <f>SUM('Inv. wine'!Z132:Z143)/'Inv. wine'!$D$3</f>
        <v>0</v>
      </c>
      <c r="AQ5" s="508">
        <f>SUM('Inv. wine'!AA132:AA143)/'Inv. wine'!$D$3</f>
        <v>0</v>
      </c>
      <c r="AS5" s="493" t="s">
        <v>789</v>
      </c>
      <c r="AV5" s="115">
        <f>SUM('Inv. wine'!AD132:AD143)/'Inv. wine'!$D$3</f>
        <v>21930</v>
      </c>
      <c r="AW5" s="115">
        <f ca="1">SUM('Inv. wine'!AE132:AE143)/'Inv. wine'!$D$3</f>
        <v>37500</v>
      </c>
      <c r="AX5" s="115">
        <f ca="1">SUM('Inv. wine'!AF132:AF143)/'Inv. wine'!$D$3</f>
        <v>41761.333333333336</v>
      </c>
      <c r="AY5" s="115">
        <f ca="1">SUM('Inv. wine'!AG132:AG143)/'Inv. wine'!$D$3</f>
        <v>60490.666666666664</v>
      </c>
      <c r="AZ5" s="115">
        <f ca="1">SUM('Inv. wine'!AH132:AH143)/'Inv. wine'!$D$3</f>
        <v>70328</v>
      </c>
      <c r="BA5" s="115">
        <f ca="1">SUM('Inv. wine'!AI132:AI143)/'Inv. wine'!$D$3</f>
        <v>70394.666666666672</v>
      </c>
      <c r="BB5" s="508">
        <f ca="1">SUM('Inv. wine'!AJ132:AJ143)/'Inv. wine'!$D$3</f>
        <v>70394.666666666672</v>
      </c>
      <c r="BD5" s="493" t="s">
        <v>789</v>
      </c>
      <c r="BG5" s="115">
        <f>SUM('Inv. wine'!AM132:AM143)/'Inv. wine'!$D$3</f>
        <v>3644.6666666666665</v>
      </c>
      <c r="BH5" s="115">
        <f>SUM('Inv. wine'!AN132:AN143)/'Inv. wine'!$D$3</f>
        <v>0</v>
      </c>
      <c r="BI5" s="115">
        <f>SUM('Inv. wine'!AO132:AO143)/'Inv. wine'!$D$3</f>
        <v>0</v>
      </c>
      <c r="BJ5" s="115">
        <f>SUM('Inv. wine'!AP132:AP143)/'Inv. wine'!$D$3</f>
        <v>5700</v>
      </c>
      <c r="BK5" s="115">
        <f>SUM('Inv. wine'!AQ132:AQ143)/'Inv. wine'!$D$3</f>
        <v>7500</v>
      </c>
      <c r="BL5" s="115">
        <f>SUM('Inv. wine'!AR132:AR143)/'Inv. wine'!$D$3</f>
        <v>8700</v>
      </c>
      <c r="BM5" s="508">
        <f>SUM('Inv. wine'!AS132:AS143)/'Inv. wine'!$D$3</f>
        <v>8700</v>
      </c>
      <c r="BQ5" s="732"/>
    </row>
    <row r="6" spans="2:69">
      <c r="B6" s="213" t="str">
        <f>Opex!B179</f>
        <v>Cork</v>
      </c>
      <c r="C6" s="677">
        <f>Opex!D179</f>
        <v>6.101030682625791E-2</v>
      </c>
      <c r="D6" s="678">
        <f>Opex!E179</f>
        <v>6.101030682625791E-2</v>
      </c>
      <c r="E6" s="531">
        <f>Opex!F179</f>
        <v>0.33874538117404884</v>
      </c>
      <c r="F6" s="531">
        <f>Opex!G179</f>
        <v>0.33874538117404884</v>
      </c>
      <c r="G6" s="531">
        <f>Opex!H179</f>
        <v>0.33874538117404884</v>
      </c>
      <c r="H6" s="78"/>
      <c r="I6" s="78"/>
      <c r="J6" s="80"/>
      <c r="L6" s="493" t="s">
        <v>812</v>
      </c>
      <c r="O6" s="628">
        <v>2342</v>
      </c>
      <c r="P6" s="114"/>
      <c r="Q6" s="114"/>
      <c r="R6" s="114"/>
      <c r="S6" s="114"/>
      <c r="T6" s="114"/>
      <c r="U6" s="561"/>
      <c r="W6" s="493" t="s">
        <v>812</v>
      </c>
      <c r="Z6" s="628"/>
      <c r="AA6" s="114"/>
      <c r="AB6" s="114"/>
      <c r="AC6" s="114"/>
      <c r="AD6" s="114"/>
      <c r="AE6" s="114"/>
      <c r="AF6" s="561"/>
      <c r="AH6" s="493" t="s">
        <v>812</v>
      </c>
      <c r="AK6" s="628">
        <f>'Inv. start wine'!F52</f>
        <v>21582</v>
      </c>
      <c r="AL6" s="114"/>
      <c r="AM6" s="114"/>
      <c r="AN6" s="114"/>
      <c r="AO6" s="114"/>
      <c r="AP6" s="114"/>
      <c r="AQ6" s="561"/>
      <c r="AS6" s="493" t="s">
        <v>812</v>
      </c>
      <c r="AV6" s="628">
        <f>'Inv. start wine'!F53+'Inv. start wine'!F61</f>
        <v>21930</v>
      </c>
      <c r="AW6" s="114"/>
      <c r="AX6" s="114"/>
      <c r="AY6" s="114"/>
      <c r="AZ6" s="114"/>
      <c r="BA6" s="114"/>
      <c r="BB6" s="561"/>
      <c r="BD6" s="493" t="s">
        <v>812</v>
      </c>
      <c r="BG6" s="628">
        <f>'Inv. start wine'!F54+'Inv. start wine'!F62</f>
        <v>3644.6666666666665</v>
      </c>
      <c r="BH6" s="114"/>
      <c r="BI6" s="114"/>
      <c r="BJ6" s="114"/>
      <c r="BK6" s="114"/>
      <c r="BL6" s="114"/>
      <c r="BM6" s="561"/>
    </row>
    <row r="7" spans="2:69">
      <c r="B7" s="213" t="str">
        <f>Opex!B180</f>
        <v>Labels</v>
      </c>
      <c r="C7" s="677">
        <f>Opex!D180</f>
        <v>0.23783963018258236</v>
      </c>
      <c r="D7" s="678">
        <f>Opex!E180</f>
        <v>0.23783963018258236</v>
      </c>
      <c r="E7" s="531">
        <f>Opex!F180</f>
        <v>0.13112724000000001</v>
      </c>
      <c r="F7" s="531">
        <f>Opex!G180</f>
        <v>0.13112724000000001</v>
      </c>
      <c r="G7" s="531">
        <f>Opex!H180</f>
        <v>0.13112724000000001</v>
      </c>
      <c r="H7" s="78"/>
      <c r="I7" s="78"/>
      <c r="J7" s="80"/>
      <c r="L7" s="493" t="s">
        <v>789</v>
      </c>
      <c r="O7" s="732">
        <f>O5-O6</f>
        <v>0</v>
      </c>
      <c r="P7" s="732">
        <f t="shared" ref="P7:U7" si="3">P5-P6</f>
        <v>2266</v>
      </c>
      <c r="Q7" s="732">
        <f t="shared" si="3"/>
        <v>3739</v>
      </c>
      <c r="R7" s="732">
        <f t="shared" si="3"/>
        <v>4394</v>
      </c>
      <c r="S7" s="732">
        <f t="shared" si="3"/>
        <v>4416</v>
      </c>
      <c r="T7" s="732">
        <f t="shared" si="3"/>
        <v>4416</v>
      </c>
      <c r="U7" s="762">
        <f t="shared" si="3"/>
        <v>4416</v>
      </c>
      <c r="W7" s="493" t="s">
        <v>789</v>
      </c>
      <c r="Z7" s="732">
        <f t="shared" ref="Z7:AE7" si="4">Z5-Z6</f>
        <v>5266.666666666667</v>
      </c>
      <c r="AA7" s="732">
        <f t="shared" si="4"/>
        <v>0</v>
      </c>
      <c r="AB7" s="732">
        <f t="shared" si="4"/>
        <v>0</v>
      </c>
      <c r="AC7" s="732">
        <f t="shared" si="4"/>
        <v>0</v>
      </c>
      <c r="AD7" s="732">
        <f t="shared" si="4"/>
        <v>0</v>
      </c>
      <c r="AE7" s="732">
        <f t="shared" si="4"/>
        <v>0</v>
      </c>
      <c r="AF7" s="762">
        <f>AF5-AF6</f>
        <v>0</v>
      </c>
      <c r="AH7" s="493" t="s">
        <v>789</v>
      </c>
      <c r="AK7" s="732">
        <f>AK5-AK6</f>
        <v>0</v>
      </c>
      <c r="AL7" s="732">
        <f t="shared" ref="AL7:AQ7" si="5">AL5-AL6</f>
        <v>57877.333333333336</v>
      </c>
      <c r="AM7" s="732">
        <f t="shared" si="5"/>
        <v>0</v>
      </c>
      <c r="AN7" s="732">
        <f t="shared" si="5"/>
        <v>0</v>
      </c>
      <c r="AO7" s="732">
        <f t="shared" si="5"/>
        <v>0</v>
      </c>
      <c r="AP7" s="732">
        <f t="shared" si="5"/>
        <v>0</v>
      </c>
      <c r="AQ7" s="762">
        <f t="shared" si="5"/>
        <v>0</v>
      </c>
      <c r="AS7" s="493" t="s">
        <v>789</v>
      </c>
      <c r="AV7" s="732">
        <f t="shared" ref="AV7:BB7" si="6">AV5-AV6</f>
        <v>0</v>
      </c>
      <c r="AW7" s="732">
        <f t="shared" ca="1" si="6"/>
        <v>37500</v>
      </c>
      <c r="AX7" s="732">
        <f t="shared" ca="1" si="6"/>
        <v>41761.333333333336</v>
      </c>
      <c r="AY7" s="732">
        <f t="shared" ca="1" si="6"/>
        <v>60490.666666666664</v>
      </c>
      <c r="AZ7" s="732">
        <f t="shared" ca="1" si="6"/>
        <v>70328</v>
      </c>
      <c r="BA7" s="732">
        <f t="shared" ca="1" si="6"/>
        <v>70394.666666666672</v>
      </c>
      <c r="BB7" s="762">
        <f t="shared" ca="1" si="6"/>
        <v>70394.666666666672</v>
      </c>
      <c r="BD7" s="493" t="s">
        <v>789</v>
      </c>
      <c r="BG7" s="732">
        <f t="shared" ref="BG7:BM7" si="7">BG5-BG6</f>
        <v>0</v>
      </c>
      <c r="BH7" s="732">
        <f t="shared" si="7"/>
        <v>0</v>
      </c>
      <c r="BI7" s="732">
        <f t="shared" si="7"/>
        <v>0</v>
      </c>
      <c r="BJ7" s="732">
        <f t="shared" si="7"/>
        <v>5700</v>
      </c>
      <c r="BK7" s="732">
        <f t="shared" si="7"/>
        <v>7500</v>
      </c>
      <c r="BL7" s="732">
        <f t="shared" si="7"/>
        <v>8700</v>
      </c>
      <c r="BM7" s="762">
        <f t="shared" si="7"/>
        <v>8700</v>
      </c>
    </row>
    <row r="8" spans="2:69">
      <c r="B8" s="213" t="str">
        <f>Opex!B181</f>
        <v>Capsules</v>
      </c>
      <c r="C8" s="677">
        <f>Opex!D181</f>
        <v>0.13559708302868859</v>
      </c>
      <c r="D8" s="678">
        <f>Opex!E181</f>
        <v>0.13559708302868859</v>
      </c>
      <c r="E8" s="531">
        <f>Opex!F181</f>
        <v>0.13112724000000001</v>
      </c>
      <c r="F8" s="531">
        <f>Opex!G181</f>
        <v>0.13112724000000001</v>
      </c>
      <c r="G8" s="531">
        <f>Opex!H181</f>
        <v>0.13112724000000001</v>
      </c>
      <c r="H8" s="78"/>
      <c r="I8" s="78"/>
      <c r="J8" s="80"/>
      <c r="L8" s="493" t="s">
        <v>778</v>
      </c>
      <c r="O8" s="732">
        <f>O7*'Prod info'!$C$207</f>
        <v>0</v>
      </c>
      <c r="P8" s="732">
        <f>P7*'Prod info'!$C$207</f>
        <v>1699.5</v>
      </c>
      <c r="Q8" s="732">
        <f>Q7*'Prod info'!$C$207</f>
        <v>2804.25</v>
      </c>
      <c r="R8" s="732">
        <f>R7*'Prod info'!$C$207</f>
        <v>3295.5</v>
      </c>
      <c r="S8" s="732">
        <f>S7*'Prod info'!$C$207</f>
        <v>3312</v>
      </c>
      <c r="T8" s="732">
        <f>T7*'Prod info'!$C$207</f>
        <v>3312</v>
      </c>
      <c r="U8" s="762">
        <f>U7*'Prod info'!$C$207</f>
        <v>3312</v>
      </c>
      <c r="W8" s="493" t="s">
        <v>778</v>
      </c>
      <c r="Z8" s="732">
        <f>Z7*'Prod info'!$C$207</f>
        <v>3950</v>
      </c>
      <c r="AA8" s="732">
        <f>AA7*'Prod info'!$C$207</f>
        <v>0</v>
      </c>
      <c r="AB8" s="732">
        <f>AB7*'Prod info'!$C$207</f>
        <v>0</v>
      </c>
      <c r="AC8" s="732">
        <f>AC7*'Prod info'!$C$207</f>
        <v>0</v>
      </c>
      <c r="AD8" s="732">
        <f>AD7*'Prod info'!$C$207</f>
        <v>0</v>
      </c>
      <c r="AE8" s="732">
        <f>AE7*'Prod info'!$C$207</f>
        <v>0</v>
      </c>
      <c r="AF8" s="762">
        <f>AF7*'Prod info'!$C$207</f>
        <v>0</v>
      </c>
      <c r="AH8" s="493" t="s">
        <v>778</v>
      </c>
      <c r="AK8" s="732">
        <f>AK7*'Prod info'!$C$207</f>
        <v>0</v>
      </c>
      <c r="AL8" s="732">
        <f>AL7*'Prod info'!$C$207</f>
        <v>43408</v>
      </c>
      <c r="AM8" s="732">
        <f>AM7*'Prod info'!$C$207</f>
        <v>0</v>
      </c>
      <c r="AN8" s="732">
        <f>AN7*'Prod info'!$C$207</f>
        <v>0</v>
      </c>
      <c r="AO8" s="732">
        <f>AO7*'Prod info'!$C$207</f>
        <v>0</v>
      </c>
      <c r="AP8" s="732">
        <f>AP7*'Prod info'!$C$207</f>
        <v>0</v>
      </c>
      <c r="AQ8" s="762">
        <f>AQ7*'Prod info'!$C$207</f>
        <v>0</v>
      </c>
      <c r="AS8" s="493" t="s">
        <v>778</v>
      </c>
      <c r="AV8" s="732">
        <f>AV7*'Prod info'!$C$207</f>
        <v>0</v>
      </c>
      <c r="AW8" s="732">
        <f ca="1">AW7*'Prod info'!$C$207</f>
        <v>28125</v>
      </c>
      <c r="AX8" s="732">
        <f ca="1">AX7*'Prod info'!$C$207</f>
        <v>31321</v>
      </c>
      <c r="AY8" s="732">
        <f ca="1">AY7*'Prod info'!$C$207</f>
        <v>45368</v>
      </c>
      <c r="AZ8" s="732">
        <f ca="1">AZ7*'Prod info'!$C$207</f>
        <v>52746</v>
      </c>
      <c r="BA8" s="732">
        <f ca="1">BA7*'Prod info'!$C$207</f>
        <v>52796</v>
      </c>
      <c r="BB8" s="762">
        <f ca="1">BB7*'Prod info'!$C$207</f>
        <v>52796</v>
      </c>
      <c r="BD8" s="493" t="s">
        <v>778</v>
      </c>
      <c r="BG8" s="732">
        <f>BG7*'Prod info'!$C$207</f>
        <v>0</v>
      </c>
      <c r="BH8" s="732">
        <f>BH7*'Prod info'!$C$207</f>
        <v>0</v>
      </c>
      <c r="BI8" s="732">
        <f>BI7*'Prod info'!$C$207</f>
        <v>0</v>
      </c>
      <c r="BJ8" s="732">
        <f>BJ7*'Prod info'!$C$207</f>
        <v>4275</v>
      </c>
      <c r="BK8" s="732">
        <f>BK7*'Prod info'!$C$207</f>
        <v>5625</v>
      </c>
      <c r="BL8" s="732">
        <f>BL7*'Prod info'!$C$207</f>
        <v>6525</v>
      </c>
      <c r="BM8" s="762">
        <f>BM7*'Prod info'!$C$207</f>
        <v>6525</v>
      </c>
    </row>
    <row r="9" spans="2:69">
      <c r="B9" s="213" t="str">
        <f>Opex!B182</f>
        <v>Carton boxes</v>
      </c>
      <c r="C9" s="677">
        <f>Opex!D182</f>
        <v>0.19556261628566901</v>
      </c>
      <c r="D9" s="678">
        <f>Opex!E182</f>
        <v>0.19556261628566901</v>
      </c>
      <c r="E9" s="531">
        <f>Opex!F182</f>
        <v>0.16761073303917007</v>
      </c>
      <c r="F9" s="531">
        <f>Opex!G182</f>
        <v>0.16761073303917007</v>
      </c>
      <c r="G9" s="531">
        <f>Opex!H182</f>
        <v>0.16761073303917007</v>
      </c>
      <c r="H9" s="78"/>
      <c r="I9" s="78"/>
      <c r="J9" s="80"/>
      <c r="L9" s="493"/>
      <c r="U9" s="761"/>
      <c r="W9" s="493"/>
      <c r="AF9" s="761"/>
      <c r="AH9" s="493"/>
      <c r="AQ9" s="761"/>
      <c r="AS9" s="493"/>
      <c r="BB9" s="761"/>
      <c r="BD9" s="493"/>
      <c r="BM9" s="761"/>
    </row>
    <row r="10" spans="2:69">
      <c r="B10" s="213" t="str">
        <f>Opex!B183</f>
        <v>Folio</v>
      </c>
      <c r="C10" s="677">
        <f>Opex!D183</f>
        <v>1.3995496208770702E-2</v>
      </c>
      <c r="D10" s="678">
        <f>Opex!E183</f>
        <v>1.3995496208770702E-2</v>
      </c>
      <c r="E10" s="531">
        <f>Opex!F183</f>
        <v>7.7603769397135737E-3</v>
      </c>
      <c r="F10" s="531">
        <f>Opex!G183</f>
        <v>9.3118936252128259E-3</v>
      </c>
      <c r="G10" s="531">
        <f>Opex!H183</f>
        <v>1.8623228547982189E-2</v>
      </c>
      <c r="J10" s="761"/>
      <c r="L10" s="493" t="s">
        <v>815</v>
      </c>
      <c r="O10" s="115">
        <f>O28+O49+O70+O91+O112+O133+O155</f>
        <v>0</v>
      </c>
      <c r="P10" s="115">
        <f t="shared" ref="P10:U10" si="8">P28+P49+P70+P91+P112+P133+P155</f>
        <v>3361.8941290710823</v>
      </c>
      <c r="Q10" s="115">
        <f t="shared" si="8"/>
        <v>5635.5162588126859</v>
      </c>
      <c r="R10" s="115">
        <f t="shared" si="8"/>
        <v>6760.0913950453869</v>
      </c>
      <c r="S10" s="115">
        <f t="shared" si="8"/>
        <v>6927.6146900216172</v>
      </c>
      <c r="T10" s="115">
        <f t="shared" si="8"/>
        <v>7065.8893765000157</v>
      </c>
      <c r="U10" s="508">
        <f t="shared" si="8"/>
        <v>7207.5555097847655</v>
      </c>
      <c r="W10" s="493" t="s">
        <v>815</v>
      </c>
      <c r="Z10" s="115">
        <f t="shared" ref="Z10:AF10" si="9">Z28+Z49+Z70+Z91+Z112+Z133+Z155</f>
        <v>7533.9650834292233</v>
      </c>
      <c r="AA10" s="115">
        <f t="shared" si="9"/>
        <v>0</v>
      </c>
      <c r="AB10" s="115">
        <f t="shared" si="9"/>
        <v>0</v>
      </c>
      <c r="AC10" s="115">
        <f t="shared" si="9"/>
        <v>0</v>
      </c>
      <c r="AD10" s="115">
        <f t="shared" si="9"/>
        <v>0</v>
      </c>
      <c r="AE10" s="115">
        <f t="shared" si="9"/>
        <v>0</v>
      </c>
      <c r="AF10" s="508">
        <f t="shared" si="9"/>
        <v>0</v>
      </c>
      <c r="AH10" s="493" t="s">
        <v>815</v>
      </c>
      <c r="AK10" s="115">
        <f>AK28+AK49+AK70+AK91+AK112+AK133+AK155</f>
        <v>0</v>
      </c>
      <c r="AL10" s="115">
        <f t="shared" ref="AL10:AQ10" si="10">AL28+AL49+AL70+AL91+AL112+AL133+AL155</f>
        <v>105919.05806659699</v>
      </c>
      <c r="AM10" s="115">
        <f t="shared" si="10"/>
        <v>0</v>
      </c>
      <c r="AN10" s="115">
        <f t="shared" si="10"/>
        <v>0</v>
      </c>
      <c r="AO10" s="115">
        <f t="shared" si="10"/>
        <v>0</v>
      </c>
      <c r="AP10" s="115">
        <f t="shared" si="10"/>
        <v>0</v>
      </c>
      <c r="AQ10" s="508">
        <f t="shared" si="10"/>
        <v>0</v>
      </c>
      <c r="AS10" s="493" t="s">
        <v>815</v>
      </c>
      <c r="AV10" s="115">
        <f>AV28+AV49+AV70+AV91+AV112+AV133+AV155</f>
        <v>0</v>
      </c>
      <c r="AW10" s="115">
        <f t="shared" ref="AW10:BB10" ca="1" si="11">AW28+AW49+AW70+AW91+AW112+AW133+AW155</f>
        <v>73432.258245905701</v>
      </c>
      <c r="AX10" s="115">
        <f t="shared" ca="1" si="11"/>
        <v>83454.451736143412</v>
      </c>
      <c r="AY10" s="115">
        <f t="shared" ca="1" si="11"/>
        <v>123354.6611764315</v>
      </c>
      <c r="AZ10" s="115">
        <f t="shared" ca="1" si="11"/>
        <v>146222.06830855759</v>
      </c>
      <c r="BA10" s="115">
        <f t="shared" ca="1" si="11"/>
        <v>149252.37817330522</v>
      </c>
      <c r="BB10" s="508">
        <f t="shared" ca="1" si="11"/>
        <v>152240.49395629214</v>
      </c>
      <c r="BD10" s="493" t="s">
        <v>815</v>
      </c>
      <c r="BG10" s="115">
        <f>BG28+BG49+BG70+BG91+BG112+BG133+BG155</f>
        <v>0</v>
      </c>
      <c r="BH10" s="115">
        <f t="shared" ref="BH10:BM10" si="12">BH28+BH49+BH70+BH91+BH112+BH133+BH155</f>
        <v>0</v>
      </c>
      <c r="BI10" s="115">
        <f t="shared" si="12"/>
        <v>0</v>
      </c>
      <c r="BJ10" s="115">
        <f t="shared" si="12"/>
        <v>15049.106492672847</v>
      </c>
      <c r="BK10" s="115">
        <f t="shared" si="12"/>
        <v>20159.454265294968</v>
      </c>
      <c r="BL10" s="115">
        <f t="shared" si="12"/>
        <v>23852.983856368395</v>
      </c>
      <c r="BM10" s="508">
        <f t="shared" si="12"/>
        <v>24324.164665075696</v>
      </c>
    </row>
    <row r="11" spans="2:69" ht="13.5" thickBot="1">
      <c r="B11" s="8"/>
      <c r="C11" s="266">
        <f>Opex!D184</f>
        <v>1.3237113512012804</v>
      </c>
      <c r="D11" s="266">
        <f>Opex!E184</f>
        <v>1.3237113512012804</v>
      </c>
      <c r="E11" s="266">
        <f>Opex!F184</f>
        <v>1.6470640330959441</v>
      </c>
      <c r="F11" s="266">
        <f>Opex!G184</f>
        <v>1.7688147934682668</v>
      </c>
      <c r="G11" s="266">
        <f>Opex!H184</f>
        <v>2.2976411690029503</v>
      </c>
      <c r="H11" s="938"/>
      <c r="J11" s="761"/>
      <c r="L11" s="746" t="s">
        <v>881</v>
      </c>
      <c r="M11" s="768"/>
      <c r="N11" s="768"/>
      <c r="O11" s="819">
        <f t="shared" ref="O11:U11" si="13">IF(O10=0,0,O10/O8)</f>
        <v>0</v>
      </c>
      <c r="P11" s="819">
        <f t="shared" si="13"/>
        <v>1.978166595511081</v>
      </c>
      <c r="Q11" s="819">
        <f t="shared" si="13"/>
        <v>2.0096340407640851</v>
      </c>
      <c r="R11" s="819">
        <f t="shared" si="13"/>
        <v>2.0513097845684682</v>
      </c>
      <c r="S11" s="819">
        <f t="shared" si="13"/>
        <v>2.0916711020596672</v>
      </c>
      <c r="T11" s="819">
        <f t="shared" si="13"/>
        <v>2.1334207054649807</v>
      </c>
      <c r="U11" s="543">
        <f t="shared" si="13"/>
        <v>2.1761942964325982</v>
      </c>
      <c r="W11" s="746" t="s">
        <v>881</v>
      </c>
      <c r="X11" s="768"/>
      <c r="Y11" s="768"/>
      <c r="Z11" s="819">
        <f t="shared" ref="Z11:AE11" si="14">IF(Z10=0,0,Z10/Z8)</f>
        <v>1.9073329325137274</v>
      </c>
      <c r="AA11" s="819">
        <f t="shared" si="14"/>
        <v>0</v>
      </c>
      <c r="AB11" s="819">
        <f t="shared" si="14"/>
        <v>0</v>
      </c>
      <c r="AC11" s="819">
        <f t="shared" si="14"/>
        <v>0</v>
      </c>
      <c r="AD11" s="819">
        <f t="shared" si="14"/>
        <v>0</v>
      </c>
      <c r="AE11" s="819">
        <f t="shared" si="14"/>
        <v>0</v>
      </c>
      <c r="AF11" s="543">
        <f>IF(AF10=0,0,AF10/AF8)</f>
        <v>0</v>
      </c>
      <c r="AH11" s="746" t="s">
        <v>881</v>
      </c>
      <c r="AI11" s="768"/>
      <c r="AJ11" s="768"/>
      <c r="AK11" s="819">
        <f>IF(AK10=0,0,AK10/AK8)</f>
        <v>0</v>
      </c>
      <c r="AL11" s="819">
        <f t="shared" ref="AL11:AQ11" si="15">IF(AL10=0,0,AL10/AL8)</f>
        <v>2.4400815072474424</v>
      </c>
      <c r="AM11" s="819">
        <f t="shared" si="15"/>
        <v>0</v>
      </c>
      <c r="AN11" s="819">
        <f t="shared" si="15"/>
        <v>0</v>
      </c>
      <c r="AO11" s="819">
        <f t="shared" si="15"/>
        <v>0</v>
      </c>
      <c r="AP11" s="819">
        <f t="shared" si="15"/>
        <v>0</v>
      </c>
      <c r="AQ11" s="543">
        <f t="shared" si="15"/>
        <v>0</v>
      </c>
      <c r="AS11" s="746" t="s">
        <v>881</v>
      </c>
      <c r="AT11" s="768"/>
      <c r="AU11" s="768"/>
      <c r="AV11" s="819">
        <f t="shared" ref="AV11:BB11" si="16">IF(AV10=0,0,AV10/AV8)</f>
        <v>0</v>
      </c>
      <c r="AW11" s="819">
        <f t="shared" ca="1" si="16"/>
        <v>2.6109247376322027</v>
      </c>
      <c r="AX11" s="819">
        <f t="shared" ca="1" si="16"/>
        <v>2.6644887371457942</v>
      </c>
      <c r="AY11" s="819">
        <f t="shared" ca="1" si="16"/>
        <v>2.7189794828167764</v>
      </c>
      <c r="AZ11" s="819">
        <f t="shared" ca="1" si="16"/>
        <v>2.7721925512561634</v>
      </c>
      <c r="BA11" s="819">
        <f t="shared" ca="1" si="16"/>
        <v>2.8269637505361245</v>
      </c>
      <c r="BB11" s="543">
        <f t="shared" ca="1" si="16"/>
        <v>2.8835611401676666</v>
      </c>
      <c r="BD11" s="746" t="s">
        <v>881</v>
      </c>
      <c r="BE11" s="768"/>
      <c r="BF11" s="768"/>
      <c r="BG11" s="819">
        <f>IF(BG10=0,0,BG10/BG8)</f>
        <v>0</v>
      </c>
      <c r="BH11" s="855">
        <f t="shared" ref="BH11:BM11" si="17">IF(BH10=0,0,BH10/BH8)</f>
        <v>0</v>
      </c>
      <c r="BI11" s="819">
        <f t="shared" si="17"/>
        <v>0</v>
      </c>
      <c r="BJ11" s="819">
        <f t="shared" si="17"/>
        <v>3.5202588286954026</v>
      </c>
      <c r="BK11" s="819">
        <f t="shared" si="17"/>
        <v>3.5839029804968829</v>
      </c>
      <c r="BL11" s="819">
        <f t="shared" si="17"/>
        <v>3.65562970978826</v>
      </c>
      <c r="BM11" s="543">
        <f t="shared" si="17"/>
        <v>3.7278413279809497</v>
      </c>
    </row>
    <row r="12" spans="2:69">
      <c r="B12" s="8"/>
      <c r="C12" s="536"/>
      <c r="D12" s="536"/>
      <c r="E12" s="536"/>
      <c r="F12" s="536"/>
      <c r="G12" s="536"/>
      <c r="J12" s="761"/>
      <c r="L12" s="759" t="str">
        <f>B5</f>
        <v>Bottles</v>
      </c>
      <c r="M12" s="742"/>
      <c r="N12" s="742"/>
      <c r="O12" s="742"/>
      <c r="P12" s="742"/>
      <c r="Q12" s="742"/>
      <c r="R12" s="742"/>
      <c r="S12" s="742"/>
      <c r="T12" s="742"/>
      <c r="U12" s="760"/>
      <c r="W12" s="759" t="str">
        <f>L12</f>
        <v>Bottles</v>
      </c>
      <c r="X12" s="742"/>
      <c r="Y12" s="742"/>
      <c r="Z12" s="742"/>
      <c r="AA12" s="742"/>
      <c r="AB12" s="742"/>
      <c r="AC12" s="742"/>
      <c r="AD12" s="742"/>
      <c r="AE12" s="742"/>
      <c r="AF12" s="760"/>
      <c r="AH12" s="759" t="str">
        <f>W12</f>
        <v>Bottles</v>
      </c>
      <c r="AI12" s="742"/>
      <c r="AJ12" s="742"/>
      <c r="AK12" s="742"/>
      <c r="AL12" s="742"/>
      <c r="AM12" s="742"/>
      <c r="AN12" s="742"/>
      <c r="AO12" s="742"/>
      <c r="AP12" s="742"/>
      <c r="AQ12" s="760"/>
      <c r="AS12" s="759" t="str">
        <f>AH12</f>
        <v>Bottles</v>
      </c>
      <c r="AT12" s="742"/>
      <c r="AU12" s="742"/>
      <c r="AV12" s="742"/>
      <c r="AW12" s="742"/>
      <c r="AX12" s="742"/>
      <c r="AY12" s="742"/>
      <c r="AZ12" s="742"/>
      <c r="BA12" s="742"/>
      <c r="BB12" s="760"/>
      <c r="BD12" s="759" t="str">
        <f>AS12</f>
        <v>Bottles</v>
      </c>
      <c r="BE12" s="742"/>
      <c r="BF12" s="742"/>
      <c r="BG12" s="742"/>
      <c r="BH12" s="742"/>
      <c r="BI12" s="742"/>
      <c r="BJ12" s="742"/>
      <c r="BK12" s="742"/>
      <c r="BL12" s="742"/>
      <c r="BM12" s="760"/>
    </row>
    <row r="13" spans="2:69">
      <c r="B13" s="225" t="str">
        <f>Opex!B186</f>
        <v>Pallets</v>
      </c>
      <c r="C13" s="537">
        <f>Opex!D186</f>
        <v>16.158245948522403</v>
      </c>
      <c r="D13" s="754">
        <f>Opex!E186</f>
        <v>16.95</v>
      </c>
      <c r="E13" s="754">
        <f>Opex!F186</f>
        <v>17.543249999999997</v>
      </c>
      <c r="F13" s="754">
        <f>Opex!G186</f>
        <v>17.894114999999996</v>
      </c>
      <c r="G13" s="754">
        <f>Opex!H186</f>
        <v>18.251997299999996</v>
      </c>
      <c r="H13" s="754">
        <f>Opex!I186</f>
        <v>18.617037245999995</v>
      </c>
      <c r="I13" s="754">
        <f>Opex!J186</f>
        <v>18.989377990919994</v>
      </c>
      <c r="J13" s="820">
        <f>Opex!K186</f>
        <v>19.369165550738394</v>
      </c>
      <c r="L13" s="493" t="s">
        <v>813</v>
      </c>
      <c r="M13" s="756">
        <v>0.1</v>
      </c>
      <c r="U13" s="761"/>
      <c r="W13" s="493" t="s">
        <v>813</v>
      </c>
      <c r="X13" s="756">
        <v>0.1</v>
      </c>
      <c r="AF13" s="761"/>
      <c r="AH13" s="493" t="s">
        <v>813</v>
      </c>
      <c r="AI13" s="756">
        <v>0.1</v>
      </c>
      <c r="AK13" s="738"/>
      <c r="AQ13" s="761"/>
      <c r="AS13" s="493" t="s">
        <v>813</v>
      </c>
      <c r="AT13" s="756">
        <v>0.1</v>
      </c>
      <c r="BB13" s="761"/>
      <c r="BD13" s="493" t="s">
        <v>813</v>
      </c>
      <c r="BE13" s="756">
        <v>0.1</v>
      </c>
      <c r="BM13" s="761"/>
    </row>
    <row r="14" spans="2:69">
      <c r="B14" s="493"/>
      <c r="J14" s="761"/>
      <c r="L14" s="493"/>
      <c r="U14" s="761"/>
      <c r="W14" s="493"/>
      <c r="AF14" s="761"/>
      <c r="AH14" s="493"/>
      <c r="AQ14" s="761"/>
      <c r="AS14" s="493"/>
      <c r="BB14" s="761"/>
      <c r="BD14" s="493"/>
      <c r="BM14" s="761"/>
    </row>
    <row r="15" spans="2:69">
      <c r="B15" s="229" t="str">
        <f>Opex!B193</f>
        <v>Cost price bottling per bottle</v>
      </c>
      <c r="D15" s="250">
        <f>Opex!E193</f>
        <v>2023</v>
      </c>
      <c r="E15" s="250">
        <f>Opex!F193</f>
        <v>2024</v>
      </c>
      <c r="F15" s="250">
        <f>Opex!G193</f>
        <v>2025</v>
      </c>
      <c r="G15" s="250">
        <f>Opex!H193</f>
        <v>2026</v>
      </c>
      <c r="H15" s="250">
        <f>Opex!I193</f>
        <v>2027</v>
      </c>
      <c r="I15" s="250">
        <f>Opex!J193</f>
        <v>2028</v>
      </c>
      <c r="J15" s="251">
        <f>Opex!K193</f>
        <v>2029</v>
      </c>
      <c r="L15" s="743" t="s">
        <v>814</v>
      </c>
      <c r="O15" s="115">
        <f>O7</f>
        <v>0</v>
      </c>
      <c r="P15" s="115">
        <f t="shared" ref="P15:U15" si="18">ROUND(P7,0)</f>
        <v>2266</v>
      </c>
      <c r="Q15" s="115">
        <f t="shared" si="18"/>
        <v>3739</v>
      </c>
      <c r="R15" s="115">
        <f t="shared" si="18"/>
        <v>4394</v>
      </c>
      <c r="S15" s="115">
        <f t="shared" si="18"/>
        <v>4416</v>
      </c>
      <c r="T15" s="115">
        <f t="shared" si="18"/>
        <v>4416</v>
      </c>
      <c r="U15" s="508">
        <f t="shared" si="18"/>
        <v>4416</v>
      </c>
      <c r="W15" s="743" t="s">
        <v>814</v>
      </c>
      <c r="Z15" s="115">
        <f t="shared" ref="Z15:AF15" si="19">ROUND(Z7,0)</f>
        <v>5267</v>
      </c>
      <c r="AA15" s="115">
        <f t="shared" si="19"/>
        <v>0</v>
      </c>
      <c r="AB15" s="115">
        <f t="shared" si="19"/>
        <v>0</v>
      </c>
      <c r="AC15" s="115">
        <f t="shared" si="19"/>
        <v>0</v>
      </c>
      <c r="AD15" s="115">
        <f t="shared" si="19"/>
        <v>0</v>
      </c>
      <c r="AE15" s="115">
        <f t="shared" si="19"/>
        <v>0</v>
      </c>
      <c r="AF15" s="508">
        <f t="shared" si="19"/>
        <v>0</v>
      </c>
      <c r="AH15" s="743" t="s">
        <v>814</v>
      </c>
      <c r="AK15" s="115">
        <f t="shared" ref="AK15:AQ15" si="20">ROUND(AK7,0)</f>
        <v>0</v>
      </c>
      <c r="AL15" s="115">
        <f t="shared" si="20"/>
        <v>57877</v>
      </c>
      <c r="AM15" s="115">
        <f t="shared" si="20"/>
        <v>0</v>
      </c>
      <c r="AN15" s="115">
        <f t="shared" si="20"/>
        <v>0</v>
      </c>
      <c r="AO15" s="115">
        <f t="shared" si="20"/>
        <v>0</v>
      </c>
      <c r="AP15" s="115">
        <f t="shared" si="20"/>
        <v>0</v>
      </c>
      <c r="AQ15" s="508">
        <f t="shared" si="20"/>
        <v>0</v>
      </c>
      <c r="AS15" s="743" t="s">
        <v>814</v>
      </c>
      <c r="AV15" s="115">
        <f t="shared" ref="AV15:BB15" si="21">ROUND(AV7,0)</f>
        <v>0</v>
      </c>
      <c r="AW15" s="115">
        <f t="shared" ca="1" si="21"/>
        <v>37500</v>
      </c>
      <c r="AX15" s="115">
        <f t="shared" ca="1" si="21"/>
        <v>41761</v>
      </c>
      <c r="AY15" s="115">
        <f t="shared" ca="1" si="21"/>
        <v>60491</v>
      </c>
      <c r="AZ15" s="115">
        <f t="shared" ca="1" si="21"/>
        <v>70328</v>
      </c>
      <c r="BA15" s="115">
        <f t="shared" ca="1" si="21"/>
        <v>70395</v>
      </c>
      <c r="BB15" s="508">
        <f t="shared" ca="1" si="21"/>
        <v>70395</v>
      </c>
      <c r="BD15" s="743" t="s">
        <v>814</v>
      </c>
      <c r="BG15" s="115">
        <f t="shared" ref="BG15:BM15" si="22">ROUND(BG7,0)</f>
        <v>0</v>
      </c>
      <c r="BH15" s="115">
        <f t="shared" si="22"/>
        <v>0</v>
      </c>
      <c r="BI15" s="115">
        <f t="shared" si="22"/>
        <v>0</v>
      </c>
      <c r="BJ15" s="115">
        <f t="shared" si="22"/>
        <v>5700</v>
      </c>
      <c r="BK15" s="115">
        <f t="shared" si="22"/>
        <v>7500</v>
      </c>
      <c r="BL15" s="115">
        <f t="shared" si="22"/>
        <v>8700</v>
      </c>
      <c r="BM15" s="508">
        <f t="shared" si="22"/>
        <v>8700</v>
      </c>
    </row>
    <row r="16" spans="2:69">
      <c r="B16" s="267" t="str">
        <f>Opex!B194</f>
        <v>White</v>
      </c>
      <c r="D16" s="233">
        <f>O11</f>
        <v>0</v>
      </c>
      <c r="E16" s="233">
        <f t="shared" ref="E16:J16" si="23">P11</f>
        <v>1.978166595511081</v>
      </c>
      <c r="F16" s="233">
        <f t="shared" si="23"/>
        <v>2.0096340407640851</v>
      </c>
      <c r="G16" s="233">
        <f t="shared" si="23"/>
        <v>2.0513097845684682</v>
      </c>
      <c r="H16" s="233">
        <f t="shared" si="23"/>
        <v>2.0916711020596672</v>
      </c>
      <c r="I16" s="233">
        <f t="shared" si="23"/>
        <v>2.1334207054649807</v>
      </c>
      <c r="J16" s="234">
        <f t="shared" si="23"/>
        <v>2.1761942964325982</v>
      </c>
      <c r="L16" s="493" t="s">
        <v>664</v>
      </c>
      <c r="O16" s="115">
        <f>'Inv. start'!L16</f>
        <v>0</v>
      </c>
      <c r="P16" s="732">
        <f t="shared" ref="P16:U16" si="24">O18</f>
        <v>0</v>
      </c>
      <c r="Q16" s="732">
        <f t="shared" si="24"/>
        <v>227</v>
      </c>
      <c r="R16" s="732">
        <f t="shared" si="24"/>
        <v>351</v>
      </c>
      <c r="S16" s="732">
        <f t="shared" si="24"/>
        <v>404</v>
      </c>
      <c r="T16" s="732">
        <f t="shared" si="24"/>
        <v>401</v>
      </c>
      <c r="U16" s="762">
        <f t="shared" si="24"/>
        <v>402</v>
      </c>
      <c r="W16" s="493" t="s">
        <v>664</v>
      </c>
      <c r="Z16" s="115">
        <f>'Inv. start'!V16</f>
        <v>0</v>
      </c>
      <c r="AA16" s="732">
        <f t="shared" ref="AA16:AF16" si="25">Z18</f>
        <v>527</v>
      </c>
      <c r="AB16" s="732">
        <f t="shared" si="25"/>
        <v>527</v>
      </c>
      <c r="AC16" s="732">
        <f t="shared" si="25"/>
        <v>527</v>
      </c>
      <c r="AD16" s="732">
        <f t="shared" si="25"/>
        <v>527</v>
      </c>
      <c r="AE16" s="732">
        <f t="shared" si="25"/>
        <v>527</v>
      </c>
      <c r="AF16" s="762">
        <f t="shared" si="25"/>
        <v>527</v>
      </c>
      <c r="AH16" s="493" t="s">
        <v>664</v>
      </c>
      <c r="AK16" s="115">
        <f>'Inv. start'!L18</f>
        <v>0</v>
      </c>
      <c r="AL16" s="732">
        <f t="shared" ref="AL16:AQ16" si="26">AK18</f>
        <v>0</v>
      </c>
      <c r="AM16" s="732">
        <f t="shared" si="26"/>
        <v>5788</v>
      </c>
      <c r="AN16" s="732">
        <f t="shared" si="26"/>
        <v>5788</v>
      </c>
      <c r="AO16" s="732">
        <f t="shared" si="26"/>
        <v>5788</v>
      </c>
      <c r="AP16" s="732">
        <f t="shared" si="26"/>
        <v>5788</v>
      </c>
      <c r="AQ16" s="762">
        <f t="shared" si="26"/>
        <v>5788</v>
      </c>
      <c r="AS16" s="493" t="s">
        <v>664</v>
      </c>
      <c r="AV16" s="115">
        <f>'Inv. start'!L19</f>
        <v>3276</v>
      </c>
      <c r="AW16" s="732">
        <f t="shared" ref="AW16:BB16" si="27">AV18</f>
        <v>3276</v>
      </c>
      <c r="AX16" s="732">
        <f t="shared" ca="1" si="27"/>
        <v>3422</v>
      </c>
      <c r="AY16" s="732">
        <f t="shared" ca="1" si="27"/>
        <v>3834</v>
      </c>
      <c r="AZ16" s="732">
        <f t="shared" ca="1" si="27"/>
        <v>5666</v>
      </c>
      <c r="BA16" s="732">
        <f t="shared" ca="1" si="27"/>
        <v>6466</v>
      </c>
      <c r="BB16" s="762">
        <f t="shared" ca="1" si="27"/>
        <v>6393</v>
      </c>
      <c r="BD16" s="493" t="s">
        <v>664</v>
      </c>
      <c r="BG16" s="115">
        <f>'Inv. start'!L20</f>
        <v>0</v>
      </c>
      <c r="BH16" s="732">
        <f t="shared" ref="BH16:BM16" si="28">BG18</f>
        <v>0</v>
      </c>
      <c r="BI16" s="732">
        <f t="shared" si="28"/>
        <v>0</v>
      </c>
      <c r="BJ16" s="732">
        <f t="shared" si="28"/>
        <v>0</v>
      </c>
      <c r="BK16" s="732">
        <f t="shared" si="28"/>
        <v>570</v>
      </c>
      <c r="BL16" s="732">
        <f t="shared" si="28"/>
        <v>693</v>
      </c>
      <c r="BM16" s="762">
        <f t="shared" si="28"/>
        <v>801</v>
      </c>
    </row>
    <row r="17" spans="2:65">
      <c r="B17" s="8" t="str">
        <f>Opex!B195</f>
        <v>Rose</v>
      </c>
      <c r="D17" s="233">
        <f>Z11</f>
        <v>1.9073329325137274</v>
      </c>
      <c r="E17" s="233">
        <f t="shared" ref="E17:J17" si="29">AA11</f>
        <v>0</v>
      </c>
      <c r="F17" s="233">
        <f t="shared" si="29"/>
        <v>0</v>
      </c>
      <c r="G17" s="233">
        <f t="shared" si="29"/>
        <v>0</v>
      </c>
      <c r="H17" s="233">
        <f t="shared" si="29"/>
        <v>0</v>
      </c>
      <c r="I17" s="233">
        <f t="shared" si="29"/>
        <v>0</v>
      </c>
      <c r="J17" s="234">
        <f t="shared" si="29"/>
        <v>0</v>
      </c>
      <c r="L17" s="493" t="s">
        <v>615</v>
      </c>
      <c r="O17" s="114">
        <f t="shared" ref="O17:U17" si="30">ROUND(IF(O16-O15&lt;0,-(O16-O15)*(1+$M$13)),0)</f>
        <v>0</v>
      </c>
      <c r="P17" s="114">
        <f t="shared" si="30"/>
        <v>2493</v>
      </c>
      <c r="Q17" s="114">
        <f t="shared" si="30"/>
        <v>3863</v>
      </c>
      <c r="R17" s="114">
        <f t="shared" si="30"/>
        <v>4447</v>
      </c>
      <c r="S17" s="114">
        <f t="shared" si="30"/>
        <v>4413</v>
      </c>
      <c r="T17" s="114">
        <f t="shared" si="30"/>
        <v>4417</v>
      </c>
      <c r="U17" s="561">
        <f t="shared" si="30"/>
        <v>4415</v>
      </c>
      <c r="W17" s="493" t="s">
        <v>615</v>
      </c>
      <c r="Z17" s="114">
        <f t="shared" ref="Z17:AF17" si="31">ROUND(IF(Z16-Z15&lt;0,-(Z16-Z15)*(1+$M$13)),0)</f>
        <v>5794</v>
      </c>
      <c r="AA17" s="114">
        <f t="shared" si="31"/>
        <v>0</v>
      </c>
      <c r="AB17" s="114">
        <f t="shared" si="31"/>
        <v>0</v>
      </c>
      <c r="AC17" s="114">
        <f t="shared" si="31"/>
        <v>0</v>
      </c>
      <c r="AD17" s="114">
        <f t="shared" si="31"/>
        <v>0</v>
      </c>
      <c r="AE17" s="114">
        <f t="shared" si="31"/>
        <v>0</v>
      </c>
      <c r="AF17" s="561">
        <f t="shared" si="31"/>
        <v>0</v>
      </c>
      <c r="AH17" s="493" t="s">
        <v>615</v>
      </c>
      <c r="AK17" s="114">
        <f>ROUND(IF(AK16-AK15&lt;0,-(AK16-AK15)*(1+$AI$13)),0)</f>
        <v>0</v>
      </c>
      <c r="AL17" s="114">
        <f t="shared" ref="AL17:AQ17" si="32">ROUND(IF(AL16-AL15&lt;0,-(AL16-AL15)*(1+$AI$13)),0)</f>
        <v>63665</v>
      </c>
      <c r="AM17" s="114">
        <f t="shared" si="32"/>
        <v>0</v>
      </c>
      <c r="AN17" s="114">
        <f t="shared" si="32"/>
        <v>0</v>
      </c>
      <c r="AO17" s="114">
        <f t="shared" si="32"/>
        <v>0</v>
      </c>
      <c r="AP17" s="114">
        <f t="shared" si="32"/>
        <v>0</v>
      </c>
      <c r="AQ17" s="561">
        <f t="shared" si="32"/>
        <v>0</v>
      </c>
      <c r="AS17" s="493" t="s">
        <v>615</v>
      </c>
      <c r="AV17" s="114">
        <f>ROUND(IF(AV16-AV15&lt;0,-(AV16-AV15)*(1+$AT$13)),0)</f>
        <v>0</v>
      </c>
      <c r="AW17" s="114">
        <f t="shared" ref="AW17:BB17" ca="1" si="33">ROUND(IF(AW16-AW15&lt;0,-(AW16-AW15)*(1+$AT$13)),0)</f>
        <v>37646</v>
      </c>
      <c r="AX17" s="114">
        <f t="shared" ca="1" si="33"/>
        <v>42173</v>
      </c>
      <c r="AY17" s="114">
        <f t="shared" ca="1" si="33"/>
        <v>62323</v>
      </c>
      <c r="AZ17" s="114">
        <f t="shared" ca="1" si="33"/>
        <v>71128</v>
      </c>
      <c r="BA17" s="114">
        <f t="shared" ca="1" si="33"/>
        <v>70322</v>
      </c>
      <c r="BB17" s="561">
        <f t="shared" ca="1" si="33"/>
        <v>70402</v>
      </c>
      <c r="BD17" s="493" t="s">
        <v>615</v>
      </c>
      <c r="BG17" s="114">
        <f>ROUND(IF(BG16-BG15&lt;0,-(BG16-BG15)*(1+$BE$13)),0)</f>
        <v>0</v>
      </c>
      <c r="BH17" s="114">
        <f t="shared" ref="BH17:BM17" si="34">ROUND(IF(BH16-BH15&lt;0,-(BH16-BH15)*(1+$BE$13)),0)</f>
        <v>0</v>
      </c>
      <c r="BI17" s="114">
        <f t="shared" si="34"/>
        <v>0</v>
      </c>
      <c r="BJ17" s="114">
        <f t="shared" si="34"/>
        <v>6270</v>
      </c>
      <c r="BK17" s="114">
        <f t="shared" si="34"/>
        <v>7623</v>
      </c>
      <c r="BL17" s="114">
        <f t="shared" si="34"/>
        <v>8808</v>
      </c>
      <c r="BM17" s="561">
        <f t="shared" si="34"/>
        <v>8689</v>
      </c>
    </row>
    <row r="18" spans="2:65">
      <c r="B18" s="267" t="str">
        <f>Opex!B196</f>
        <v>Classic</v>
      </c>
      <c r="D18" s="233">
        <f>AK11</f>
        <v>0</v>
      </c>
      <c r="E18" s="233">
        <f t="shared" ref="E18:J18" si="35">AL11</f>
        <v>2.4400815072474424</v>
      </c>
      <c r="F18" s="233">
        <f t="shared" si="35"/>
        <v>0</v>
      </c>
      <c r="G18" s="233">
        <f t="shared" si="35"/>
        <v>0</v>
      </c>
      <c r="H18" s="233">
        <f t="shared" si="35"/>
        <v>0</v>
      </c>
      <c r="I18" s="233">
        <f t="shared" si="35"/>
        <v>0</v>
      </c>
      <c r="J18" s="234">
        <f t="shared" si="35"/>
        <v>0</v>
      </c>
      <c r="L18" s="493" t="s">
        <v>816</v>
      </c>
      <c r="O18" s="734">
        <f>O16+O17-O15</f>
        <v>0</v>
      </c>
      <c r="P18" s="734">
        <f t="shared" ref="P18:U18" si="36">P16+P17-P15</f>
        <v>227</v>
      </c>
      <c r="Q18" s="734">
        <f t="shared" si="36"/>
        <v>351</v>
      </c>
      <c r="R18" s="734">
        <f>R16+R17-R15</f>
        <v>404</v>
      </c>
      <c r="S18" s="734">
        <f t="shared" si="36"/>
        <v>401</v>
      </c>
      <c r="T18" s="734">
        <f t="shared" si="36"/>
        <v>402</v>
      </c>
      <c r="U18" s="763">
        <f t="shared" si="36"/>
        <v>401</v>
      </c>
      <c r="W18" s="493" t="s">
        <v>816</v>
      </c>
      <c r="Z18" s="734">
        <f t="shared" ref="Z18:AF18" si="37">Z16+Z17-Z15</f>
        <v>527</v>
      </c>
      <c r="AA18" s="734">
        <f t="shared" si="37"/>
        <v>527</v>
      </c>
      <c r="AB18" s="734">
        <f t="shared" si="37"/>
        <v>527</v>
      </c>
      <c r="AC18" s="734">
        <f t="shared" si="37"/>
        <v>527</v>
      </c>
      <c r="AD18" s="734">
        <f t="shared" si="37"/>
        <v>527</v>
      </c>
      <c r="AE18" s="734">
        <f t="shared" si="37"/>
        <v>527</v>
      </c>
      <c r="AF18" s="763">
        <f t="shared" si="37"/>
        <v>527</v>
      </c>
      <c r="AH18" s="493" t="s">
        <v>816</v>
      </c>
      <c r="AK18" s="734">
        <f t="shared" ref="AK18:AQ18" si="38">AK16+AK17-AK15</f>
        <v>0</v>
      </c>
      <c r="AL18" s="734">
        <f t="shared" si="38"/>
        <v>5788</v>
      </c>
      <c r="AM18" s="734">
        <f t="shared" si="38"/>
        <v>5788</v>
      </c>
      <c r="AN18" s="734">
        <f t="shared" si="38"/>
        <v>5788</v>
      </c>
      <c r="AO18" s="734">
        <f t="shared" si="38"/>
        <v>5788</v>
      </c>
      <c r="AP18" s="734">
        <f t="shared" si="38"/>
        <v>5788</v>
      </c>
      <c r="AQ18" s="763">
        <f t="shared" si="38"/>
        <v>5788</v>
      </c>
      <c r="AS18" s="493" t="s">
        <v>816</v>
      </c>
      <c r="AV18" s="734">
        <f t="shared" ref="AV18:BB18" si="39">AV16+AV17-AV15</f>
        <v>3276</v>
      </c>
      <c r="AW18" s="734">
        <f t="shared" ca="1" si="39"/>
        <v>3422</v>
      </c>
      <c r="AX18" s="734">
        <f t="shared" ca="1" si="39"/>
        <v>3834</v>
      </c>
      <c r="AY18" s="734">
        <f t="shared" ca="1" si="39"/>
        <v>5666</v>
      </c>
      <c r="AZ18" s="734">
        <f t="shared" ca="1" si="39"/>
        <v>6466</v>
      </c>
      <c r="BA18" s="734">
        <f t="shared" ca="1" si="39"/>
        <v>6393</v>
      </c>
      <c r="BB18" s="763">
        <f t="shared" ca="1" si="39"/>
        <v>6400</v>
      </c>
      <c r="BD18" s="493" t="s">
        <v>816</v>
      </c>
      <c r="BG18" s="734">
        <f t="shared" ref="BG18:BM18" si="40">BG16+BG17-BG15</f>
        <v>0</v>
      </c>
      <c r="BH18" s="734">
        <f t="shared" si="40"/>
        <v>0</v>
      </c>
      <c r="BI18" s="734">
        <f t="shared" si="40"/>
        <v>0</v>
      </c>
      <c r="BJ18" s="734">
        <f t="shared" si="40"/>
        <v>570</v>
      </c>
      <c r="BK18" s="734">
        <f t="shared" si="40"/>
        <v>693</v>
      </c>
      <c r="BL18" s="734">
        <f t="shared" si="40"/>
        <v>801</v>
      </c>
      <c r="BM18" s="763">
        <f t="shared" si="40"/>
        <v>790</v>
      </c>
    </row>
    <row r="19" spans="2:65">
      <c r="B19" s="267" t="str">
        <f>Opex!B197</f>
        <v>Premium</v>
      </c>
      <c r="D19" s="233">
        <f>AV11</f>
        <v>0</v>
      </c>
      <c r="E19" s="233">
        <f t="shared" ref="E19:J19" ca="1" si="41">AW11</f>
        <v>2.6109247376322027</v>
      </c>
      <c r="F19" s="233">
        <f t="shared" ca="1" si="41"/>
        <v>2.6644887371457942</v>
      </c>
      <c r="G19" s="233">
        <f t="shared" ca="1" si="41"/>
        <v>2.7189794828167764</v>
      </c>
      <c r="H19" s="233">
        <f t="shared" ca="1" si="41"/>
        <v>2.7721925512561634</v>
      </c>
      <c r="I19" s="233">
        <f t="shared" ca="1" si="41"/>
        <v>2.8269637505361245</v>
      </c>
      <c r="J19" s="234">
        <f t="shared" ca="1" si="41"/>
        <v>2.8835611401676666</v>
      </c>
      <c r="L19" s="493"/>
      <c r="U19" s="761"/>
      <c r="W19" s="493"/>
      <c r="AF19" s="761"/>
      <c r="AH19" s="493"/>
      <c r="AQ19" s="761"/>
      <c r="AS19" s="493"/>
      <c r="BB19" s="761"/>
      <c r="BD19" s="493"/>
      <c r="BM19" s="761"/>
    </row>
    <row r="20" spans="2:65">
      <c r="B20" s="267" t="str">
        <f>Opex!B198</f>
        <v>Selection individuelle</v>
      </c>
      <c r="D20" s="233">
        <f>BG11</f>
        <v>0</v>
      </c>
      <c r="E20" s="233">
        <f t="shared" ref="E20:J20" si="42">BH11</f>
        <v>0</v>
      </c>
      <c r="F20" s="233">
        <f t="shared" si="42"/>
        <v>0</v>
      </c>
      <c r="G20" s="233">
        <f t="shared" si="42"/>
        <v>3.5202588286954026</v>
      </c>
      <c r="H20" s="233">
        <f t="shared" si="42"/>
        <v>3.5839029804968829</v>
      </c>
      <c r="I20" s="233">
        <f t="shared" si="42"/>
        <v>3.65562970978826</v>
      </c>
      <c r="J20" s="234">
        <f t="shared" si="42"/>
        <v>3.7278413279809497</v>
      </c>
      <c r="L20" s="493" t="s">
        <v>312</v>
      </c>
      <c r="O20" s="757">
        <f>IF(O17&gt;0,$C$5*Opex!D29,O31)</f>
        <v>0.6797062186693118</v>
      </c>
      <c r="P20" s="757">
        <f>IF(P17&gt;0,$C$5*Opex!E29,P31)</f>
        <v>0.73796723720255175</v>
      </c>
      <c r="Q20" s="757">
        <f>IF(Q17&gt;0,$C$5*Opex!F29,Q31)</f>
        <v>0.75272658194660269</v>
      </c>
      <c r="R20" s="757">
        <f>IF(R17&gt;0,$C$5*Opex!G29,R31)</f>
        <v>0.76778111358553469</v>
      </c>
      <c r="S20" s="757">
        <f>IF(S17&gt;0,$C$5*Opex!H29,S31)</f>
        <v>0.78313673585724541</v>
      </c>
      <c r="T20" s="757">
        <f>IF(T17&gt;0,$C$5*Opex!I29,T31)</f>
        <v>0.79879947057439027</v>
      </c>
      <c r="U20" s="764">
        <f>IF(U17&gt;0,$C$5*Opex!J29,U31)</f>
        <v>0.81477545998587808</v>
      </c>
      <c r="W20" s="493" t="s">
        <v>312</v>
      </c>
      <c r="Z20" s="757">
        <f>IF(Z17&gt;0,$D$5*Opex!D29,Z31)</f>
        <v>0.71301182338410807</v>
      </c>
      <c r="AA20" s="757">
        <f>IF(AA17&gt;0,$D$5*Opex!E29,AA31)</f>
        <v>0.71301182338410807</v>
      </c>
      <c r="AB20" s="757">
        <f>IF(AB17&gt;0,$D$5*Opex!F29,AB31)</f>
        <v>0.71301182338410807</v>
      </c>
      <c r="AC20" s="757">
        <f>IF(AC17&gt;0,$D$5*Opex!G29,AC31)</f>
        <v>0.71301182338410807</v>
      </c>
      <c r="AD20" s="757">
        <f>IF(AD17&gt;0,$D$5*Opex!H29,AD31)</f>
        <v>0.71301182338410807</v>
      </c>
      <c r="AE20" s="757">
        <f>IF(AE17&gt;0,$D$5*Opex!I29,AE31)</f>
        <v>0.71301182338410807</v>
      </c>
      <c r="AF20" s="764">
        <f>IF(AF17&gt;0,$D$5*Opex!J29,AF31)</f>
        <v>0.71301182338410807</v>
      </c>
      <c r="AH20" s="493" t="s">
        <v>312</v>
      </c>
      <c r="AK20" s="757">
        <f>IF(AK17&gt;0,$E$5*Opex!D29,AK31)</f>
        <v>0.87069306194301133</v>
      </c>
      <c r="AL20" s="757">
        <f>IF(AL17&gt;0,$E$5*Opex!E29,AL31)</f>
        <v>0.94532451774745629</v>
      </c>
      <c r="AM20" s="757">
        <f>IF(AM17&gt;0,$E$5*Opex!F29,AM31)</f>
        <v>0.94532451774745629</v>
      </c>
      <c r="AN20" s="757">
        <f>IF(AN17&gt;0,$E$5*Opex!G29,AN31)</f>
        <v>0.94532451774745629</v>
      </c>
      <c r="AO20" s="757">
        <f>IF(AO17&gt;0,$E$5*Opex!H29,AO31)</f>
        <v>0.94532451774745629</v>
      </c>
      <c r="AP20" s="757">
        <f>IF(AP17&gt;0,$E$5*Opex!I29,AP31)</f>
        <v>0.94532451774745629</v>
      </c>
      <c r="AQ20" s="764">
        <f>IF(AQ17&gt;0,$E$5*Opex!J29,AQ31)</f>
        <v>0.94532451774745629</v>
      </c>
      <c r="AS20" s="493" t="s">
        <v>312</v>
      </c>
      <c r="AV20" s="812">
        <f>IF(AV17&gt;0,$F$5*Opex!D29,AV31)</f>
        <v>1.0394460286056968</v>
      </c>
      <c r="AW20" s="812">
        <f ca="1">IF(AW17&gt;0,$F$5*Opex!E29,AW31)</f>
        <v>1.0758266396068958</v>
      </c>
      <c r="AX20" s="812">
        <f ca="1">IF(AX17&gt;0,$F$5*Opex!F29,AX31)</f>
        <v>1.0973431723990339</v>
      </c>
      <c r="AY20" s="812">
        <f ca="1">IF(AY17&gt;0,$F$5*Opex!G29,AY31)</f>
        <v>1.1192900358470144</v>
      </c>
      <c r="AZ20" s="812">
        <f ca="1">IF(AZ17&gt;0,$F$5*Opex!H29,AZ31)</f>
        <v>1.1416758365639548</v>
      </c>
      <c r="BA20" s="812">
        <f ca="1">IF(BA17&gt;0,$F$5*Opex!I29,BA31)</f>
        <v>1.1645093532952338</v>
      </c>
      <c r="BB20" s="818">
        <f ca="1">IF(BB17&gt;0,$F$5*Opex!J29,BB31)</f>
        <v>1.1877995403611383</v>
      </c>
      <c r="BD20" s="493" t="s">
        <v>312</v>
      </c>
      <c r="BG20" s="812">
        <f>IF(BG17&gt;0,$G$5*Opex!D29,BG31)</f>
        <v>1.5104073462417491</v>
      </c>
      <c r="BH20" s="812">
        <f>IF(BH17&gt;0,$G$5*Opex!E29,BH31)</f>
        <v>1.5104073462417491</v>
      </c>
      <c r="BI20" s="812">
        <f>IF(BI17&gt;0,$G$5*Opex!F29,BI31)</f>
        <v>1.5104073462417491</v>
      </c>
      <c r="BJ20" s="812">
        <f>IF(BJ17&gt;0,$G$5*Opex!G29,BJ31)</f>
        <v>1.7061227371666245</v>
      </c>
      <c r="BK20" s="812">
        <f>IF(BK17&gt;0,$G$5*Opex!H29,BK31)</f>
        <v>1.7402451919099569</v>
      </c>
      <c r="BL20" s="812">
        <f>IF(BL17&gt;0,$G$5*Opex!I29,BL31)</f>
        <v>1.7750500957481561</v>
      </c>
      <c r="BM20" s="818">
        <f>IF(BM17&gt;0,$G$5*Opex!J29,BM31)</f>
        <v>1.8105510976631189</v>
      </c>
    </row>
    <row r="21" spans="2:65">
      <c r="B21" s="493"/>
      <c r="J21" s="761"/>
      <c r="L21" s="743" t="s">
        <v>85</v>
      </c>
      <c r="O21" s="562">
        <f t="shared" ref="O21:T21" si="43">O17*O20</f>
        <v>0</v>
      </c>
      <c r="P21" s="562">
        <f t="shared" si="43"/>
        <v>1839.7523223459616</v>
      </c>
      <c r="Q21" s="562">
        <f t="shared" si="43"/>
        <v>2907.7827860597263</v>
      </c>
      <c r="R21" s="562">
        <f t="shared" si="43"/>
        <v>3414.3226121148728</v>
      </c>
      <c r="S21" s="562">
        <f t="shared" si="43"/>
        <v>3455.9824153380241</v>
      </c>
      <c r="T21" s="562">
        <f t="shared" si="43"/>
        <v>3528.2972615270819</v>
      </c>
      <c r="U21" s="563">
        <f>U17*U20</f>
        <v>3597.2336558376519</v>
      </c>
      <c r="W21" s="743" t="s">
        <v>85</v>
      </c>
      <c r="Z21" s="562">
        <f t="shared" ref="Z21:AF21" si="44">Z17*Z20</f>
        <v>4131.1905046875218</v>
      </c>
      <c r="AA21" s="562">
        <f t="shared" si="44"/>
        <v>0</v>
      </c>
      <c r="AB21" s="562">
        <f t="shared" si="44"/>
        <v>0</v>
      </c>
      <c r="AC21" s="562">
        <f t="shared" si="44"/>
        <v>0</v>
      </c>
      <c r="AD21" s="562">
        <f t="shared" si="44"/>
        <v>0</v>
      </c>
      <c r="AE21" s="562">
        <f t="shared" si="44"/>
        <v>0</v>
      </c>
      <c r="AF21" s="563">
        <f t="shared" si="44"/>
        <v>0</v>
      </c>
      <c r="AH21" s="743" t="s">
        <v>85</v>
      </c>
      <c r="AK21" s="562">
        <f t="shared" ref="AK21:AQ21" si="45">AK17*AK20</f>
        <v>0</v>
      </c>
      <c r="AL21" s="562">
        <f t="shared" si="45"/>
        <v>60184.085422391807</v>
      </c>
      <c r="AM21" s="562">
        <f t="shared" si="45"/>
        <v>0</v>
      </c>
      <c r="AN21" s="562">
        <f t="shared" si="45"/>
        <v>0</v>
      </c>
      <c r="AO21" s="562">
        <f t="shared" si="45"/>
        <v>0</v>
      </c>
      <c r="AP21" s="562">
        <f t="shared" si="45"/>
        <v>0</v>
      </c>
      <c r="AQ21" s="563">
        <f t="shared" si="45"/>
        <v>0</v>
      </c>
      <c r="AS21" s="743" t="s">
        <v>85</v>
      </c>
      <c r="AV21" s="562">
        <f t="shared" ref="AV21:BB21" si="46">AV17*AV20</f>
        <v>0</v>
      </c>
      <c r="AW21" s="562">
        <f ca="1">AW17*AW20</f>
        <v>40500.5696746412</v>
      </c>
      <c r="AX21" s="562">
        <f t="shared" ca="1" si="46"/>
        <v>46278.253609584455</v>
      </c>
      <c r="AY21" s="562">
        <f t="shared" ca="1" si="46"/>
        <v>69757.51290409347</v>
      </c>
      <c r="AZ21" s="562">
        <f t="shared" ca="1" si="46"/>
        <v>81205.11890312098</v>
      </c>
      <c r="BA21" s="562">
        <f t="shared" ca="1" si="46"/>
        <v>81890.626742427427</v>
      </c>
      <c r="BB21" s="563">
        <f t="shared" ca="1" si="46"/>
        <v>83623.463240504861</v>
      </c>
      <c r="BD21" s="743" t="s">
        <v>85</v>
      </c>
      <c r="BG21" s="562">
        <f>BG17*BG20</f>
        <v>0</v>
      </c>
      <c r="BH21" s="562">
        <f t="shared" ref="BH21:BM21" si="47">BH17*BH20</f>
        <v>0</v>
      </c>
      <c r="BI21" s="562">
        <f t="shared" si="47"/>
        <v>0</v>
      </c>
      <c r="BJ21" s="562">
        <f t="shared" si="47"/>
        <v>10697.389562034736</v>
      </c>
      <c r="BK21" s="562">
        <f t="shared" si="47"/>
        <v>13265.889097929601</v>
      </c>
      <c r="BL21" s="562">
        <f t="shared" si="47"/>
        <v>15634.641243349759</v>
      </c>
      <c r="BM21" s="563">
        <f t="shared" si="47"/>
        <v>15731.87848759484</v>
      </c>
    </row>
    <row r="22" spans="2:65">
      <c r="B22" s="743" t="s">
        <v>819</v>
      </c>
      <c r="J22" s="761"/>
      <c r="L22" s="743"/>
      <c r="O22" s="562"/>
      <c r="P22" s="562"/>
      <c r="Q22" s="562"/>
      <c r="R22" s="562"/>
      <c r="S22" s="562"/>
      <c r="T22" s="562"/>
      <c r="U22" s="563"/>
      <c r="W22" s="743"/>
      <c r="Z22" s="562"/>
      <c r="AA22" s="562"/>
      <c r="AB22" s="562"/>
      <c r="AC22" s="562"/>
      <c r="AD22" s="562"/>
      <c r="AE22" s="562"/>
      <c r="AF22" s="563"/>
      <c r="AH22" s="743"/>
      <c r="AK22" s="562"/>
      <c r="AL22" s="562"/>
      <c r="AM22" s="562"/>
      <c r="AN22" s="562"/>
      <c r="AO22" s="562"/>
      <c r="AP22" s="562"/>
      <c r="AQ22" s="563"/>
      <c r="AS22" s="743"/>
      <c r="AV22" s="562"/>
      <c r="AW22" s="562"/>
      <c r="AX22" s="562"/>
      <c r="AY22" s="562"/>
      <c r="AZ22" s="562"/>
      <c r="BA22" s="562"/>
      <c r="BB22" s="563"/>
      <c r="BD22" s="743"/>
      <c r="BG22" s="562"/>
      <c r="BH22" s="562"/>
      <c r="BI22" s="562"/>
      <c r="BJ22" s="562"/>
      <c r="BK22" s="562"/>
      <c r="BL22" s="562"/>
      <c r="BM22" s="563"/>
    </row>
    <row r="23" spans="2:65">
      <c r="B23" s="743" t="s">
        <v>196</v>
      </c>
      <c r="J23" s="761"/>
      <c r="L23" s="493" t="s">
        <v>880</v>
      </c>
      <c r="O23" s="732">
        <f>O16*O20</f>
        <v>0</v>
      </c>
      <c r="P23" s="732">
        <f t="shared" ref="P23:U23" si="48">O26</f>
        <v>0</v>
      </c>
      <c r="Q23" s="732">
        <f t="shared" si="48"/>
        <v>167.51856284497924</v>
      </c>
      <c r="R23" s="732">
        <f t="shared" si="48"/>
        <v>264.20703026325754</v>
      </c>
      <c r="S23" s="732">
        <f t="shared" si="48"/>
        <v>310.18356988855601</v>
      </c>
      <c r="T23" s="732">
        <f t="shared" si="48"/>
        <v>314.0378310787554</v>
      </c>
      <c r="U23" s="762">
        <f t="shared" si="48"/>
        <v>321.11738717090486</v>
      </c>
      <c r="W23" s="493" t="s">
        <v>880</v>
      </c>
      <c r="Z23" s="115">
        <f>Z16*Z20</f>
        <v>0</v>
      </c>
      <c r="AA23" s="115">
        <f t="shared" ref="AA23:AF23" si="49">Z26</f>
        <v>375.75723092342497</v>
      </c>
      <c r="AB23" s="115">
        <f t="shared" si="49"/>
        <v>375.75723092342497</v>
      </c>
      <c r="AC23" s="115">
        <f t="shared" si="49"/>
        <v>375.75723092342497</v>
      </c>
      <c r="AD23" s="115">
        <f t="shared" si="49"/>
        <v>375.75723092342497</v>
      </c>
      <c r="AE23" s="115">
        <f t="shared" si="49"/>
        <v>375.75723092342497</v>
      </c>
      <c r="AF23" s="508">
        <f t="shared" si="49"/>
        <v>375.75723092342497</v>
      </c>
      <c r="AG23" s="731"/>
      <c r="AH23" s="813" t="s">
        <v>880</v>
      </c>
      <c r="AI23" s="115"/>
      <c r="AJ23" s="115"/>
      <c r="AK23" s="115">
        <f>AK16*AK20</f>
        <v>0</v>
      </c>
      <c r="AL23" s="115">
        <f t="shared" ref="AL23:AQ23" si="50">AK26</f>
        <v>0</v>
      </c>
      <c r="AM23" s="115">
        <f t="shared" si="50"/>
        <v>5471.5383087222772</v>
      </c>
      <c r="AN23" s="115">
        <f t="shared" si="50"/>
        <v>5471.5383087222772</v>
      </c>
      <c r="AO23" s="115">
        <f t="shared" si="50"/>
        <v>5471.5383087222772</v>
      </c>
      <c r="AP23" s="115">
        <f t="shared" si="50"/>
        <v>5471.5383087222772</v>
      </c>
      <c r="AQ23" s="508">
        <f t="shared" si="50"/>
        <v>5471.5383087222772</v>
      </c>
      <c r="AR23" s="731"/>
      <c r="AS23" s="813" t="s">
        <v>880</v>
      </c>
      <c r="AT23" s="115"/>
      <c r="AU23" s="115"/>
      <c r="AV23" s="115">
        <f>AV16*AV20</f>
        <v>3405.2251897122628</v>
      </c>
      <c r="AW23" s="115">
        <f t="shared" ref="AW23:BB23" si="51">AV26</f>
        <v>3405.2251897122628</v>
      </c>
      <c r="AX23" s="115">
        <f t="shared" ca="1" si="51"/>
        <v>3681.4787607347976</v>
      </c>
      <c r="AY23" s="115">
        <f t="shared" ca="1" si="51"/>
        <v>4207.2137229778964</v>
      </c>
      <c r="AZ23" s="115">
        <f t="shared" ca="1" si="51"/>
        <v>6341.8973431091836</v>
      </c>
      <c r="BA23" s="115">
        <f t="shared" ca="1" si="51"/>
        <v>7382.0759592225313</v>
      </c>
      <c r="BB23" s="508">
        <f t="shared" ca="1" si="51"/>
        <v>7444.7082956164295</v>
      </c>
      <c r="BD23" s="493" t="s">
        <v>880</v>
      </c>
      <c r="BG23" s="732">
        <f>BG16*BG20</f>
        <v>0</v>
      </c>
      <c r="BH23" s="732">
        <f t="shared" ref="BH23:BM23" si="52">BG26</f>
        <v>0</v>
      </c>
      <c r="BI23" s="732">
        <f t="shared" si="52"/>
        <v>0</v>
      </c>
      <c r="BJ23" s="732">
        <f t="shared" si="52"/>
        <v>0</v>
      </c>
      <c r="BK23" s="732">
        <f t="shared" si="52"/>
        <v>972.48996018497598</v>
      </c>
      <c r="BL23" s="732">
        <f t="shared" si="52"/>
        <v>1205.9899179936001</v>
      </c>
      <c r="BM23" s="762">
        <f t="shared" si="52"/>
        <v>1421.815126694273</v>
      </c>
    </row>
    <row r="24" spans="2:65">
      <c r="B24" s="493" t="str">
        <f t="shared" ref="B24:B29" si="53">B5</f>
        <v>Bottles</v>
      </c>
      <c r="D24" s="732">
        <f>O21</f>
        <v>0</v>
      </c>
      <c r="E24" s="732">
        <f t="shared" ref="E24:J24" si="54">P21</f>
        <v>1839.7523223459616</v>
      </c>
      <c r="F24" s="732">
        <f t="shared" si="54"/>
        <v>2907.7827860597263</v>
      </c>
      <c r="G24" s="732">
        <f t="shared" si="54"/>
        <v>3414.3226121148728</v>
      </c>
      <c r="H24" s="732">
        <f t="shared" si="54"/>
        <v>3455.9824153380241</v>
      </c>
      <c r="I24" s="732">
        <f t="shared" si="54"/>
        <v>3528.2972615270819</v>
      </c>
      <c r="J24" s="762">
        <f t="shared" si="54"/>
        <v>3597.2336558376519</v>
      </c>
      <c r="L24" s="493" t="s">
        <v>877</v>
      </c>
      <c r="O24" s="115">
        <f t="shared" ref="O24:U24" si="55">-(O25+O23-O26)</f>
        <v>0</v>
      </c>
      <c r="P24" s="115">
        <f t="shared" si="55"/>
        <v>-1672.2337595009824</v>
      </c>
      <c r="Q24" s="115">
        <f t="shared" si="55"/>
        <v>-2811.0943186414484</v>
      </c>
      <c r="R24" s="115">
        <f t="shared" si="55"/>
        <v>-3368.346072489574</v>
      </c>
      <c r="S24" s="115">
        <f t="shared" si="55"/>
        <v>-3452.1281541478247</v>
      </c>
      <c r="T24" s="115">
        <f t="shared" si="55"/>
        <v>-3521.2177054349327</v>
      </c>
      <c r="U24" s="508">
        <f t="shared" si="55"/>
        <v>-3591.6260835542193</v>
      </c>
      <c r="W24" s="493" t="s">
        <v>877</v>
      </c>
      <c r="Z24" s="115">
        <f t="shared" ref="Z24:AF24" si="56">-(Z25+Z23-Z26)</f>
        <v>-3755.4332737640966</v>
      </c>
      <c r="AA24" s="115">
        <f t="shared" si="56"/>
        <v>0</v>
      </c>
      <c r="AB24" s="115">
        <f t="shared" si="56"/>
        <v>0</v>
      </c>
      <c r="AC24" s="115">
        <f t="shared" si="56"/>
        <v>0</v>
      </c>
      <c r="AD24" s="115">
        <f t="shared" si="56"/>
        <v>0</v>
      </c>
      <c r="AE24" s="115">
        <f t="shared" si="56"/>
        <v>0</v>
      </c>
      <c r="AF24" s="508">
        <f t="shared" si="56"/>
        <v>0</v>
      </c>
      <c r="AG24" s="731"/>
      <c r="AH24" s="813" t="s">
        <v>877</v>
      </c>
      <c r="AI24" s="115"/>
      <c r="AJ24" s="115"/>
      <c r="AK24" s="115">
        <f t="shared" ref="AK24:AQ24" si="57">-(AK25+AK23-AK26)</f>
        <v>0</v>
      </c>
      <c r="AL24" s="115">
        <f t="shared" si="57"/>
        <v>-54712.547113669527</v>
      </c>
      <c r="AM24" s="115">
        <f t="shared" si="57"/>
        <v>0</v>
      </c>
      <c r="AN24" s="115">
        <f t="shared" si="57"/>
        <v>0</v>
      </c>
      <c r="AO24" s="115">
        <f t="shared" si="57"/>
        <v>0</v>
      </c>
      <c r="AP24" s="115">
        <f t="shared" si="57"/>
        <v>0</v>
      </c>
      <c r="AQ24" s="508">
        <f t="shared" si="57"/>
        <v>0</v>
      </c>
      <c r="AR24" s="731"/>
      <c r="AS24" s="813" t="s">
        <v>877</v>
      </c>
      <c r="AT24" s="115"/>
      <c r="AU24" s="115"/>
      <c r="AV24" s="115">
        <f t="shared" ref="AV24:BB24" si="58">-(AV25+AV23-AV26)</f>
        <v>0</v>
      </c>
      <c r="AW24" s="115">
        <f t="shared" ca="1" si="58"/>
        <v>-40224.316103618665</v>
      </c>
      <c r="AX24" s="115">
        <f t="shared" ca="1" si="58"/>
        <v>-45752.518647341356</v>
      </c>
      <c r="AY24" s="115">
        <f t="shared" ca="1" si="58"/>
        <v>-67622.829283962172</v>
      </c>
      <c r="AZ24" s="115">
        <f t="shared" ca="1" si="58"/>
        <v>-80164.94028700763</v>
      </c>
      <c r="BA24" s="115">
        <f t="shared" ca="1" si="58"/>
        <v>-81827.99440603354</v>
      </c>
      <c r="BB24" s="508">
        <f t="shared" ca="1" si="58"/>
        <v>-83466.254477809998</v>
      </c>
      <c r="BD24" s="493" t="s">
        <v>877</v>
      </c>
      <c r="BG24" s="115">
        <f t="shared" ref="BG24:BM24" si="59">-(BG25+BG23-BG26)</f>
        <v>0</v>
      </c>
      <c r="BH24" s="115">
        <f t="shared" si="59"/>
        <v>0</v>
      </c>
      <c r="BI24" s="115">
        <f t="shared" si="59"/>
        <v>0</v>
      </c>
      <c r="BJ24" s="115">
        <f t="shared" si="59"/>
        <v>-9724.8996018497601</v>
      </c>
      <c r="BK24" s="115">
        <f t="shared" si="59"/>
        <v>-13032.389140120977</v>
      </c>
      <c r="BL24" s="115">
        <f t="shared" si="59"/>
        <v>-15418.816034649084</v>
      </c>
      <c r="BM24" s="508">
        <f t="shared" si="59"/>
        <v>-15723.358247135249</v>
      </c>
    </row>
    <row r="25" spans="2:65">
      <c r="B25" s="493" t="str">
        <f t="shared" si="53"/>
        <v>Cork</v>
      </c>
      <c r="D25" s="732">
        <f>O42</f>
        <v>0</v>
      </c>
      <c r="E25" s="732">
        <f t="shared" ref="E25:J25" si="60">P42</f>
        <v>165.13583455274537</v>
      </c>
      <c r="F25" s="732">
        <f t="shared" si="60"/>
        <v>261.00205513630186</v>
      </c>
      <c r="G25" s="732">
        <f t="shared" si="60"/>
        <v>306.46897798989306</v>
      </c>
      <c r="H25" s="732">
        <f t="shared" si="60"/>
        <v>310.20835436626624</v>
      </c>
      <c r="I25" s="732">
        <f t="shared" si="60"/>
        <v>316.69932183560257</v>
      </c>
      <c r="J25" s="762">
        <f t="shared" si="60"/>
        <v>322.88704007748896</v>
      </c>
      <c r="L25" s="493" t="s">
        <v>878</v>
      </c>
      <c r="O25" s="730">
        <f t="shared" ref="O25:U25" si="61">O17*O20</f>
        <v>0</v>
      </c>
      <c r="P25" s="730">
        <f t="shared" si="61"/>
        <v>1839.7523223459616</v>
      </c>
      <c r="Q25" s="730">
        <f t="shared" si="61"/>
        <v>2907.7827860597263</v>
      </c>
      <c r="R25" s="730">
        <f t="shared" si="61"/>
        <v>3414.3226121148728</v>
      </c>
      <c r="S25" s="730">
        <f t="shared" si="61"/>
        <v>3455.9824153380241</v>
      </c>
      <c r="T25" s="730">
        <f t="shared" si="61"/>
        <v>3528.2972615270819</v>
      </c>
      <c r="U25" s="822">
        <f t="shared" si="61"/>
        <v>3597.2336558376519</v>
      </c>
      <c r="W25" s="493" t="s">
        <v>878</v>
      </c>
      <c r="Z25" s="115">
        <f t="shared" ref="Z25:AF25" si="62">Z17*Z20</f>
        <v>4131.1905046875218</v>
      </c>
      <c r="AA25" s="115">
        <f t="shared" si="62"/>
        <v>0</v>
      </c>
      <c r="AB25" s="115">
        <f t="shared" si="62"/>
        <v>0</v>
      </c>
      <c r="AC25" s="115">
        <f t="shared" si="62"/>
        <v>0</v>
      </c>
      <c r="AD25" s="115">
        <f t="shared" si="62"/>
        <v>0</v>
      </c>
      <c r="AE25" s="115">
        <f t="shared" si="62"/>
        <v>0</v>
      </c>
      <c r="AF25" s="508">
        <f t="shared" si="62"/>
        <v>0</v>
      </c>
      <c r="AG25" s="731"/>
      <c r="AH25" s="813" t="s">
        <v>878</v>
      </c>
      <c r="AI25" s="115"/>
      <c r="AJ25" s="115"/>
      <c r="AK25" s="115">
        <f t="shared" ref="AK25:AQ25" si="63">AK17*AK20</f>
        <v>0</v>
      </c>
      <c r="AL25" s="115">
        <f t="shared" si="63"/>
        <v>60184.085422391807</v>
      </c>
      <c r="AM25" s="115">
        <f t="shared" si="63"/>
        <v>0</v>
      </c>
      <c r="AN25" s="115">
        <f t="shared" si="63"/>
        <v>0</v>
      </c>
      <c r="AO25" s="115">
        <f t="shared" si="63"/>
        <v>0</v>
      </c>
      <c r="AP25" s="115">
        <f t="shared" si="63"/>
        <v>0</v>
      </c>
      <c r="AQ25" s="508">
        <f t="shared" si="63"/>
        <v>0</v>
      </c>
      <c r="AR25" s="731"/>
      <c r="AS25" s="813" t="s">
        <v>878</v>
      </c>
      <c r="AT25" s="115"/>
      <c r="AU25" s="115"/>
      <c r="AV25" s="115">
        <f t="shared" ref="AV25:BB25" si="64">AV17*AV20</f>
        <v>0</v>
      </c>
      <c r="AW25" s="115">
        <f t="shared" ca="1" si="64"/>
        <v>40500.5696746412</v>
      </c>
      <c r="AX25" s="115">
        <f t="shared" ca="1" si="64"/>
        <v>46278.253609584455</v>
      </c>
      <c r="AY25" s="115">
        <f t="shared" ca="1" si="64"/>
        <v>69757.51290409347</v>
      </c>
      <c r="AZ25" s="115">
        <f t="shared" ca="1" si="64"/>
        <v>81205.11890312098</v>
      </c>
      <c r="BA25" s="115">
        <f t="shared" ca="1" si="64"/>
        <v>81890.626742427427</v>
      </c>
      <c r="BB25" s="508">
        <f t="shared" ca="1" si="64"/>
        <v>83623.463240504861</v>
      </c>
      <c r="BD25" s="493" t="s">
        <v>878</v>
      </c>
      <c r="BG25" s="464">
        <f t="shared" ref="BG25:BM25" si="65">BG17*BG20</f>
        <v>0</v>
      </c>
      <c r="BH25" s="464">
        <f t="shared" si="65"/>
        <v>0</v>
      </c>
      <c r="BI25" s="464">
        <f t="shared" si="65"/>
        <v>0</v>
      </c>
      <c r="BJ25" s="464">
        <f t="shared" si="65"/>
        <v>10697.389562034736</v>
      </c>
      <c r="BK25" s="464">
        <f>BK17*BK20</f>
        <v>13265.889097929601</v>
      </c>
      <c r="BL25" s="464">
        <f t="shared" si="65"/>
        <v>15634.641243349759</v>
      </c>
      <c r="BM25" s="468">
        <f t="shared" si="65"/>
        <v>15731.87848759484</v>
      </c>
    </row>
    <row r="26" spans="2:65">
      <c r="B26" s="493" t="str">
        <f t="shared" si="53"/>
        <v>Labels</v>
      </c>
      <c r="D26" s="732">
        <f>O63</f>
        <v>0</v>
      </c>
      <c r="E26" s="732">
        <f t="shared" ref="E26:J26" si="66">P63</f>
        <v>643.75755283062017</v>
      </c>
      <c r="F26" s="732">
        <f t="shared" si="66"/>
        <v>1017.4777918637701</v>
      </c>
      <c r="G26" s="732">
        <f t="shared" si="66"/>
        <v>1194.7238455155448</v>
      </c>
      <c r="H26" s="732">
        <f t="shared" si="66"/>
        <v>1209.3012495761864</v>
      </c>
      <c r="I26" s="732">
        <f t="shared" si="66"/>
        <v>1234.6053233096704</v>
      </c>
      <c r="J26" s="762">
        <f t="shared" si="66"/>
        <v>1258.7272249174641</v>
      </c>
      <c r="L26" s="743" t="s">
        <v>879</v>
      </c>
      <c r="O26" s="732">
        <f t="shared" ref="O26:U26" si="67">O32</f>
        <v>0</v>
      </c>
      <c r="P26" s="732">
        <f>P32</f>
        <v>167.51856284497924</v>
      </c>
      <c r="Q26" s="732">
        <f t="shared" si="67"/>
        <v>264.20703026325754</v>
      </c>
      <c r="R26" s="732">
        <f t="shared" si="67"/>
        <v>310.18356988855601</v>
      </c>
      <c r="S26" s="732">
        <f t="shared" si="67"/>
        <v>314.0378310787554</v>
      </c>
      <c r="T26" s="732">
        <f t="shared" si="67"/>
        <v>321.11738717090486</v>
      </c>
      <c r="U26" s="762">
        <f t="shared" si="67"/>
        <v>326.72495945433712</v>
      </c>
      <c r="W26" s="743" t="s">
        <v>879</v>
      </c>
      <c r="Z26" s="115">
        <f t="shared" ref="Z26:AF26" si="68">Z32</f>
        <v>375.75723092342497</v>
      </c>
      <c r="AA26" s="115">
        <f t="shared" si="68"/>
        <v>375.75723092342497</v>
      </c>
      <c r="AB26" s="115">
        <f t="shared" si="68"/>
        <v>375.75723092342497</v>
      </c>
      <c r="AC26" s="115">
        <f t="shared" si="68"/>
        <v>375.75723092342497</v>
      </c>
      <c r="AD26" s="115">
        <f t="shared" si="68"/>
        <v>375.75723092342497</v>
      </c>
      <c r="AE26" s="115">
        <f t="shared" si="68"/>
        <v>375.75723092342497</v>
      </c>
      <c r="AF26" s="508">
        <f t="shared" si="68"/>
        <v>375.75723092342497</v>
      </c>
      <c r="AG26" s="731"/>
      <c r="AH26" s="814" t="s">
        <v>879</v>
      </c>
      <c r="AI26" s="115"/>
      <c r="AJ26" s="115"/>
      <c r="AK26" s="115">
        <f t="shared" ref="AK26:AQ26" si="69">AK32</f>
        <v>0</v>
      </c>
      <c r="AL26" s="115">
        <f t="shared" si="69"/>
        <v>5471.5383087222772</v>
      </c>
      <c r="AM26" s="115">
        <f t="shared" si="69"/>
        <v>5471.5383087222772</v>
      </c>
      <c r="AN26" s="115">
        <f t="shared" si="69"/>
        <v>5471.5383087222772</v>
      </c>
      <c r="AO26" s="115">
        <f t="shared" si="69"/>
        <v>5471.5383087222772</v>
      </c>
      <c r="AP26" s="115">
        <f t="shared" si="69"/>
        <v>5471.5383087222772</v>
      </c>
      <c r="AQ26" s="508">
        <f t="shared" si="69"/>
        <v>5471.5383087222772</v>
      </c>
      <c r="AR26" s="731"/>
      <c r="AS26" s="814" t="s">
        <v>879</v>
      </c>
      <c r="AT26" s="115"/>
      <c r="AU26" s="115"/>
      <c r="AV26" s="115">
        <f t="shared" ref="AV26:BB26" si="70">AV32</f>
        <v>3405.2251897122628</v>
      </c>
      <c r="AW26" s="115">
        <f t="shared" ca="1" si="70"/>
        <v>3681.4787607347976</v>
      </c>
      <c r="AX26" s="115">
        <f t="shared" ca="1" si="70"/>
        <v>4207.2137229778964</v>
      </c>
      <c r="AY26" s="115">
        <f t="shared" ca="1" si="70"/>
        <v>6341.8973431091836</v>
      </c>
      <c r="AZ26" s="115">
        <f t="shared" ca="1" si="70"/>
        <v>7382.0759592225313</v>
      </c>
      <c r="BA26" s="115">
        <f t="shared" ca="1" si="70"/>
        <v>7444.7082956164295</v>
      </c>
      <c r="BB26" s="508">
        <f t="shared" ca="1" si="70"/>
        <v>7601.9170583112855</v>
      </c>
      <c r="BD26" s="743" t="s">
        <v>879</v>
      </c>
      <c r="BG26" s="732">
        <f t="shared" ref="BG26:BM26" si="71">BG32</f>
        <v>0</v>
      </c>
      <c r="BH26" s="732">
        <f t="shared" si="71"/>
        <v>0</v>
      </c>
      <c r="BI26" s="732">
        <f t="shared" si="71"/>
        <v>0</v>
      </c>
      <c r="BJ26" s="732">
        <f t="shared" si="71"/>
        <v>972.48996018497598</v>
      </c>
      <c r="BK26" s="732">
        <f t="shared" si="71"/>
        <v>1205.9899179936001</v>
      </c>
      <c r="BL26" s="732">
        <f t="shared" si="71"/>
        <v>1421.815126694273</v>
      </c>
      <c r="BM26" s="762">
        <f t="shared" si="71"/>
        <v>1430.3353671538639</v>
      </c>
    </row>
    <row r="27" spans="2:65">
      <c r="B27" s="493" t="str">
        <f t="shared" si="53"/>
        <v>Capsules</v>
      </c>
      <c r="D27" s="732">
        <f>O84</f>
        <v>0</v>
      </c>
      <c r="E27" s="732">
        <f t="shared" ref="E27:J27" si="72">P84</f>
        <v>367.01892899222804</v>
      </c>
      <c r="F27" s="732">
        <f t="shared" si="72"/>
        <v>580.08423792656095</v>
      </c>
      <c r="G27" s="732">
        <f t="shared" si="72"/>
        <v>681.13572305995456</v>
      </c>
      <c r="H27" s="732">
        <f t="shared" si="72"/>
        <v>689.44658978656423</v>
      </c>
      <c r="I27" s="732">
        <f t="shared" si="72"/>
        <v>703.8729433104462</v>
      </c>
      <c r="J27" s="762">
        <f t="shared" si="72"/>
        <v>717.62531709529833</v>
      </c>
      <c r="L27" s="743"/>
      <c r="O27" s="562"/>
      <c r="P27" s="562"/>
      <c r="Q27" s="562"/>
      <c r="R27" s="562"/>
      <c r="S27" s="562"/>
      <c r="T27" s="562"/>
      <c r="U27" s="563"/>
      <c r="W27" s="743"/>
      <c r="Z27" s="562"/>
      <c r="AA27" s="562"/>
      <c r="AB27" s="562"/>
      <c r="AC27" s="562"/>
      <c r="AD27" s="562"/>
      <c r="AE27" s="562"/>
      <c r="AF27" s="563"/>
      <c r="AH27" s="743"/>
      <c r="AK27" s="562"/>
      <c r="AL27" s="562"/>
      <c r="AM27" s="562"/>
      <c r="AN27" s="562"/>
      <c r="AO27" s="562"/>
      <c r="AP27" s="562"/>
      <c r="AQ27" s="563"/>
      <c r="AS27" s="743"/>
      <c r="AV27" s="562"/>
      <c r="AW27" s="562"/>
      <c r="AX27" s="562"/>
      <c r="AY27" s="562"/>
      <c r="AZ27" s="562"/>
      <c r="BA27" s="562"/>
      <c r="BB27" s="563"/>
      <c r="BD27" s="743"/>
      <c r="BG27" s="562"/>
      <c r="BH27" s="562"/>
      <c r="BI27" s="562"/>
      <c r="BJ27" s="562"/>
      <c r="BK27" s="562"/>
      <c r="BL27" s="562"/>
      <c r="BM27" s="563"/>
    </row>
    <row r="28" spans="2:65">
      <c r="B28" s="493" t="str">
        <f t="shared" si="53"/>
        <v>Carton boxes</v>
      </c>
      <c r="D28" s="732">
        <f>O105</f>
        <v>0</v>
      </c>
      <c r="E28" s="732">
        <f t="shared" ref="E28:J28" si="73">P105</f>
        <v>529.32688798990353</v>
      </c>
      <c r="F28" s="732">
        <f t="shared" si="73"/>
        <v>836.61675237508916</v>
      </c>
      <c r="G28" s="732">
        <f t="shared" si="73"/>
        <v>982.35656012639436</v>
      </c>
      <c r="H28" s="732">
        <f t="shared" si="73"/>
        <v>994.34276812110056</v>
      </c>
      <c r="I28" s="732">
        <f t="shared" si="73"/>
        <v>1015.1489342684612</v>
      </c>
      <c r="J28" s="762">
        <f t="shared" si="73"/>
        <v>1034.9830644535116</v>
      </c>
      <c r="L28" s="743" t="s">
        <v>876</v>
      </c>
      <c r="O28" s="115">
        <f>-O24</f>
        <v>0</v>
      </c>
      <c r="P28" s="115">
        <f t="shared" ref="P28:U28" si="74">-P24</f>
        <v>1672.2337595009824</v>
      </c>
      <c r="Q28" s="115">
        <f t="shared" si="74"/>
        <v>2811.0943186414484</v>
      </c>
      <c r="R28" s="115">
        <f t="shared" si="74"/>
        <v>3368.346072489574</v>
      </c>
      <c r="S28" s="115">
        <f t="shared" si="74"/>
        <v>3452.1281541478247</v>
      </c>
      <c r="T28" s="115">
        <f t="shared" si="74"/>
        <v>3521.2177054349327</v>
      </c>
      <c r="U28" s="508">
        <f t="shared" si="74"/>
        <v>3591.6260835542193</v>
      </c>
      <c r="W28" s="743" t="s">
        <v>876</v>
      </c>
      <c r="Z28" s="115">
        <f>-Z24</f>
        <v>3755.4332737640966</v>
      </c>
      <c r="AA28" s="115">
        <f t="shared" ref="AA28:AF28" si="75">-AA24</f>
        <v>0</v>
      </c>
      <c r="AB28" s="115">
        <f t="shared" si="75"/>
        <v>0</v>
      </c>
      <c r="AC28" s="115">
        <f t="shared" si="75"/>
        <v>0</v>
      </c>
      <c r="AD28" s="115">
        <f t="shared" si="75"/>
        <v>0</v>
      </c>
      <c r="AE28" s="115">
        <f t="shared" si="75"/>
        <v>0</v>
      </c>
      <c r="AF28" s="508">
        <f t="shared" si="75"/>
        <v>0</v>
      </c>
      <c r="AH28" s="743" t="s">
        <v>876</v>
      </c>
      <c r="AK28" s="115">
        <f>-AK24</f>
        <v>0</v>
      </c>
      <c r="AL28" s="115">
        <f t="shared" ref="AL28:AQ28" si="76">-AL24</f>
        <v>54712.547113669527</v>
      </c>
      <c r="AM28" s="115">
        <f t="shared" si="76"/>
        <v>0</v>
      </c>
      <c r="AN28" s="115">
        <f t="shared" si="76"/>
        <v>0</v>
      </c>
      <c r="AO28" s="115">
        <f t="shared" si="76"/>
        <v>0</v>
      </c>
      <c r="AP28" s="115">
        <f t="shared" si="76"/>
        <v>0</v>
      </c>
      <c r="AQ28" s="508">
        <f t="shared" si="76"/>
        <v>0</v>
      </c>
      <c r="AS28" s="743" t="s">
        <v>876</v>
      </c>
      <c r="AV28" s="115">
        <f>-AV24</f>
        <v>0</v>
      </c>
      <c r="AW28" s="115">
        <f t="shared" ref="AW28:BB28" ca="1" si="77">-AW24</f>
        <v>40224.316103618665</v>
      </c>
      <c r="AX28" s="115">
        <f t="shared" ca="1" si="77"/>
        <v>45752.518647341356</v>
      </c>
      <c r="AY28" s="115">
        <f t="shared" ca="1" si="77"/>
        <v>67622.829283962172</v>
      </c>
      <c r="AZ28" s="115">
        <f t="shared" ca="1" si="77"/>
        <v>80164.94028700763</v>
      </c>
      <c r="BA28" s="115">
        <f t="shared" ca="1" si="77"/>
        <v>81827.99440603354</v>
      </c>
      <c r="BB28" s="508">
        <f t="shared" ca="1" si="77"/>
        <v>83466.254477809998</v>
      </c>
      <c r="BD28" s="743" t="s">
        <v>876</v>
      </c>
      <c r="BG28" s="115">
        <f>-BG24</f>
        <v>0</v>
      </c>
      <c r="BH28" s="115">
        <f t="shared" ref="BH28:BM28" si="78">-BH24</f>
        <v>0</v>
      </c>
      <c r="BI28" s="115">
        <f t="shared" si="78"/>
        <v>0</v>
      </c>
      <c r="BJ28" s="115">
        <f t="shared" si="78"/>
        <v>9724.8996018497601</v>
      </c>
      <c r="BK28" s="115">
        <f t="shared" si="78"/>
        <v>13032.389140120977</v>
      </c>
      <c r="BL28" s="115">
        <f t="shared" si="78"/>
        <v>15418.816034649084</v>
      </c>
      <c r="BM28" s="508">
        <f t="shared" si="78"/>
        <v>15723.358247135249</v>
      </c>
    </row>
    <row r="29" spans="2:65">
      <c r="B29" s="493" t="str">
        <f t="shared" si="53"/>
        <v>Folio</v>
      </c>
      <c r="D29" s="738">
        <f>O126</f>
        <v>0</v>
      </c>
      <c r="E29" s="738">
        <f t="shared" ref="E29:J29" si="79">P126</f>
        <v>41.315531732184596</v>
      </c>
      <c r="F29" s="738">
        <f t="shared" si="79"/>
        <v>61.112645992057352</v>
      </c>
      <c r="G29" s="738">
        <f t="shared" si="79"/>
        <v>70.887569546272601</v>
      </c>
      <c r="H29" s="738">
        <f t="shared" si="79"/>
        <v>70.999181107601032</v>
      </c>
      <c r="I29" s="738">
        <f t="shared" si="79"/>
        <v>72.665880030899146</v>
      </c>
      <c r="J29" s="770">
        <f t="shared" si="79"/>
        <v>74.085644350561267</v>
      </c>
      <c r="L29" s="743" t="s">
        <v>284</v>
      </c>
      <c r="O29" s="758">
        <f>IF(O15=0,O31,O28/O15)</f>
        <v>0.6797062186693118</v>
      </c>
      <c r="P29" s="758">
        <f t="shared" ref="P29:U29" si="80">P28/P15</f>
        <v>0.73796723720255175</v>
      </c>
      <c r="Q29" s="758">
        <f t="shared" si="80"/>
        <v>0.75183052116647453</v>
      </c>
      <c r="R29" s="758">
        <f t="shared" si="80"/>
        <v>0.76657853265579745</v>
      </c>
      <c r="S29" s="758">
        <f t="shared" si="80"/>
        <v>0.78173191896463423</v>
      </c>
      <c r="T29" s="758">
        <f t="shared" si="80"/>
        <v>0.79737719778870753</v>
      </c>
      <c r="U29" s="463">
        <f t="shared" si="80"/>
        <v>0.81332112399325618</v>
      </c>
      <c r="W29" s="743" t="s">
        <v>284</v>
      </c>
      <c r="Z29" s="758">
        <f t="shared" ref="Z29:AF29" si="81">IF(Z15=0,0,Z28/Z15)</f>
        <v>0.71301182338410796</v>
      </c>
      <c r="AA29" s="758">
        <f t="shared" si="81"/>
        <v>0</v>
      </c>
      <c r="AB29" s="758">
        <f t="shared" si="81"/>
        <v>0</v>
      </c>
      <c r="AC29" s="758">
        <f t="shared" si="81"/>
        <v>0</v>
      </c>
      <c r="AD29" s="758">
        <f t="shared" si="81"/>
        <v>0</v>
      </c>
      <c r="AE29" s="758">
        <f t="shared" si="81"/>
        <v>0</v>
      </c>
      <c r="AF29" s="463">
        <f t="shared" si="81"/>
        <v>0</v>
      </c>
      <c r="AH29" s="743" t="s">
        <v>284</v>
      </c>
      <c r="AJ29" s="758"/>
      <c r="AK29" s="758">
        <f t="shared" ref="AK29:AQ29" si="82">IF(AK15=0,0,AK28/AK15)</f>
        <v>0</v>
      </c>
      <c r="AL29" s="758">
        <f t="shared" si="82"/>
        <v>0.94532451774745629</v>
      </c>
      <c r="AM29" s="758">
        <f t="shared" si="82"/>
        <v>0</v>
      </c>
      <c r="AN29" s="758">
        <f t="shared" si="82"/>
        <v>0</v>
      </c>
      <c r="AO29" s="758">
        <f t="shared" si="82"/>
        <v>0</v>
      </c>
      <c r="AP29" s="758">
        <f t="shared" si="82"/>
        <v>0</v>
      </c>
      <c r="AQ29" s="463">
        <f t="shared" si="82"/>
        <v>0</v>
      </c>
      <c r="AS29" s="743" t="s">
        <v>284</v>
      </c>
      <c r="AV29" s="758">
        <f t="shared" ref="AV29:BB29" si="83">IF(AV15=0,AV31,AV28/AV15)</f>
        <v>1.0394460286056968</v>
      </c>
      <c r="AW29" s="758">
        <f t="shared" ca="1" si="83"/>
        <v>1.0726484294298311</v>
      </c>
      <c r="AX29" s="758">
        <f t="shared" ca="1" si="83"/>
        <v>1.0955800542932725</v>
      </c>
      <c r="AY29" s="758">
        <f t="shared" ca="1" si="83"/>
        <v>1.1178990144643364</v>
      </c>
      <c r="AZ29" s="758">
        <f t="shared" ca="1" si="83"/>
        <v>1.1398723166734108</v>
      </c>
      <c r="BA29" s="758">
        <f t="shared" ca="1" si="83"/>
        <v>1.16241202366693</v>
      </c>
      <c r="BB29" s="463">
        <f t="shared" ca="1" si="83"/>
        <v>1.1856844161916329</v>
      </c>
      <c r="BD29" s="743" t="s">
        <v>284</v>
      </c>
      <c r="BG29" s="758">
        <f t="shared" ref="BG29:BM29" si="84">IF(BG15=0,BG31,BG28/BG15)</f>
        <v>1.5104073462417491</v>
      </c>
      <c r="BH29" s="758">
        <f t="shared" si="84"/>
        <v>1.5104073462417491</v>
      </c>
      <c r="BI29" s="758">
        <f t="shared" si="84"/>
        <v>1.5104073462417491</v>
      </c>
      <c r="BJ29" s="758">
        <f t="shared" si="84"/>
        <v>1.7061227371666245</v>
      </c>
      <c r="BK29" s="758">
        <f t="shared" si="84"/>
        <v>1.7376518853494636</v>
      </c>
      <c r="BL29" s="758">
        <f t="shared" si="84"/>
        <v>1.7722777051320786</v>
      </c>
      <c r="BM29" s="463">
        <f t="shared" si="84"/>
        <v>1.8072825571419826</v>
      </c>
    </row>
    <row r="30" spans="2:65">
      <c r="B30" s="493" t="str">
        <f>L138</f>
        <v>Pellets</v>
      </c>
      <c r="D30" s="733">
        <f>O148</f>
        <v>0</v>
      </c>
      <c r="E30" s="733">
        <f t="shared" ref="E30:J30" si="85">P148</f>
        <v>105.25949999999997</v>
      </c>
      <c r="F30" s="733">
        <f t="shared" si="85"/>
        <v>178.94114999999996</v>
      </c>
      <c r="G30" s="733">
        <f t="shared" si="85"/>
        <v>182.51997299999996</v>
      </c>
      <c r="H30" s="733">
        <f t="shared" si="85"/>
        <v>223.40444695199994</v>
      </c>
      <c r="I30" s="733">
        <f t="shared" si="85"/>
        <v>189.89377990919994</v>
      </c>
      <c r="J30" s="771">
        <f t="shared" si="85"/>
        <v>232.42998660886073</v>
      </c>
      <c r="L30" s="743"/>
      <c r="O30" s="562"/>
      <c r="P30" s="562"/>
      <c r="Q30" s="562"/>
      <c r="R30" s="562"/>
      <c r="S30" s="562"/>
      <c r="T30" s="562"/>
      <c r="U30" s="563"/>
      <c r="W30" s="743"/>
      <c r="Z30" s="562"/>
      <c r="AA30" s="562"/>
      <c r="AB30" s="562"/>
      <c r="AC30" s="562"/>
      <c r="AD30" s="562"/>
      <c r="AE30" s="562"/>
      <c r="AF30" s="563"/>
      <c r="AH30" s="743"/>
      <c r="AK30" s="562"/>
      <c r="AL30" s="562"/>
      <c r="AM30" s="562"/>
      <c r="AN30" s="562"/>
      <c r="AO30" s="562"/>
      <c r="AP30" s="562"/>
      <c r="AQ30" s="563"/>
      <c r="AS30" s="743"/>
      <c r="AV30" s="562"/>
      <c r="AW30" s="562"/>
      <c r="AX30" s="562"/>
      <c r="AY30" s="562"/>
      <c r="AZ30" s="562"/>
      <c r="BA30" s="562"/>
      <c r="BB30" s="563"/>
      <c r="BD30" s="743"/>
      <c r="BG30" s="562"/>
      <c r="BH30" s="562"/>
      <c r="BI30" s="562"/>
      <c r="BJ30" s="562"/>
      <c r="BK30" s="562"/>
      <c r="BL30" s="562"/>
      <c r="BM30" s="563"/>
    </row>
    <row r="31" spans="2:65">
      <c r="B31" s="743" t="s">
        <v>26</v>
      </c>
      <c r="D31" s="772">
        <f>SUM(D24:D30)</f>
        <v>0</v>
      </c>
      <c r="E31" s="772">
        <f t="shared" ref="E31:J31" si="86">SUM(E24:E30)</f>
        <v>3691.5665584436433</v>
      </c>
      <c r="F31" s="772">
        <f t="shared" si="86"/>
        <v>5843.0174193535049</v>
      </c>
      <c r="G31" s="772">
        <f t="shared" si="86"/>
        <v>6832.4152613529332</v>
      </c>
      <c r="H31" s="772">
        <f t="shared" si="86"/>
        <v>6953.6850052477421</v>
      </c>
      <c r="I31" s="772">
        <f t="shared" si="86"/>
        <v>7061.1834441913606</v>
      </c>
      <c r="J31" s="773">
        <f t="shared" si="86"/>
        <v>7237.9719333408366</v>
      </c>
      <c r="L31" s="743" t="s">
        <v>847</v>
      </c>
      <c r="O31" s="810">
        <f>IF(O17=0,'Inv. start'!$K$16,'Inv. mat'!O20)</f>
        <v>0.6797062186693118</v>
      </c>
      <c r="P31" s="737">
        <f t="shared" ref="P31:U31" si="87">IF(P17=0,O31,P20)</f>
        <v>0.73796723720255175</v>
      </c>
      <c r="Q31" s="737">
        <f t="shared" si="87"/>
        <v>0.75272658194660269</v>
      </c>
      <c r="R31" s="737">
        <f t="shared" si="87"/>
        <v>0.76778111358553469</v>
      </c>
      <c r="S31" s="737">
        <f t="shared" si="87"/>
        <v>0.78313673585724541</v>
      </c>
      <c r="T31" s="737">
        <f t="shared" si="87"/>
        <v>0.79879947057439027</v>
      </c>
      <c r="U31" s="815">
        <f t="shared" si="87"/>
        <v>0.81477545998587808</v>
      </c>
      <c r="W31" s="743" t="str">
        <f>L31</f>
        <v>Cost price of the inventory</v>
      </c>
      <c r="Z31" s="464">
        <f>IF(Z17=0,'Inv. start'!$K$17,'Inv. mat'!Z20)</f>
        <v>0.71301182338410807</v>
      </c>
      <c r="AA31" s="464">
        <f t="shared" ref="AA31:AF31" si="88">IF(AA17=0,Z31,AA20)</f>
        <v>0.71301182338410807</v>
      </c>
      <c r="AB31" s="464">
        <f t="shared" si="88"/>
        <v>0.71301182338410807</v>
      </c>
      <c r="AC31" s="464">
        <f t="shared" si="88"/>
        <v>0.71301182338410807</v>
      </c>
      <c r="AD31" s="464">
        <f t="shared" si="88"/>
        <v>0.71301182338410807</v>
      </c>
      <c r="AE31" s="464">
        <f t="shared" si="88"/>
        <v>0.71301182338410807</v>
      </c>
      <c r="AF31" s="468">
        <f t="shared" si="88"/>
        <v>0.71301182338410807</v>
      </c>
      <c r="AH31" s="743" t="str">
        <f>W31</f>
        <v>Cost price of the inventory</v>
      </c>
      <c r="AK31" s="737">
        <f>IF(AK17=0,'Inv. start'!$K$18,'Inv. mat'!AK20)</f>
        <v>0.87069306194301133</v>
      </c>
      <c r="AL31" s="737">
        <f t="shared" ref="AL31:AQ31" si="89">IF(AL17=0,AK31,AL20)</f>
        <v>0.94532451774745629</v>
      </c>
      <c r="AM31" s="737">
        <f t="shared" si="89"/>
        <v>0.94532451774745629</v>
      </c>
      <c r="AN31" s="737">
        <f t="shared" si="89"/>
        <v>0.94532451774745629</v>
      </c>
      <c r="AO31" s="737">
        <f t="shared" si="89"/>
        <v>0.94532451774745629</v>
      </c>
      <c r="AP31" s="737">
        <f t="shared" si="89"/>
        <v>0.94532451774745629</v>
      </c>
      <c r="AQ31" s="815">
        <f t="shared" si="89"/>
        <v>0.94532451774745629</v>
      </c>
      <c r="AS31" s="743" t="str">
        <f>AH31</f>
        <v>Cost price of the inventory</v>
      </c>
      <c r="AV31" s="464">
        <f>IF(AV17=0,'Inv. start'!$K$19,'Inv. mat'!AV20)</f>
        <v>1.0394460286056968</v>
      </c>
      <c r="AW31" s="737">
        <f t="shared" ref="AW31:BB31" ca="1" si="90">IF(AW17=0,AV31,AW20)</f>
        <v>1.0758266396068958</v>
      </c>
      <c r="AX31" s="737">
        <f t="shared" ca="1" si="90"/>
        <v>1.0973431723990339</v>
      </c>
      <c r="AY31" s="737">
        <f t="shared" ca="1" si="90"/>
        <v>1.1192900358470144</v>
      </c>
      <c r="AZ31" s="737">
        <f t="shared" ca="1" si="90"/>
        <v>1.1416758365639548</v>
      </c>
      <c r="BA31" s="737">
        <f t="shared" ca="1" si="90"/>
        <v>1.1645093532952338</v>
      </c>
      <c r="BB31" s="815">
        <f t="shared" ca="1" si="90"/>
        <v>1.1877995403611383</v>
      </c>
      <c r="BD31" s="743" t="str">
        <f>AS31</f>
        <v>Cost price of the inventory</v>
      </c>
      <c r="BG31" s="464">
        <f>IF(BG17=0,'Inv. start'!K20,'Inv. mat'!BG20)</f>
        <v>1.5104073462417491</v>
      </c>
      <c r="BH31" s="737">
        <f t="shared" ref="BH31:BM31" si="91">IF(BH17=0,BG31,BH20)</f>
        <v>1.5104073462417491</v>
      </c>
      <c r="BI31" s="737">
        <f t="shared" si="91"/>
        <v>1.5104073462417491</v>
      </c>
      <c r="BJ31" s="737">
        <f t="shared" si="91"/>
        <v>1.7061227371666245</v>
      </c>
      <c r="BK31" s="737">
        <f t="shared" si="91"/>
        <v>1.7402451919099569</v>
      </c>
      <c r="BL31" s="737">
        <f t="shared" si="91"/>
        <v>1.7750500957481561</v>
      </c>
      <c r="BM31" s="815">
        <f t="shared" si="91"/>
        <v>1.8105510976631189</v>
      </c>
    </row>
    <row r="32" spans="2:65">
      <c r="B32" s="493"/>
      <c r="J32" s="761"/>
      <c r="L32" s="493"/>
      <c r="O32" s="794">
        <f t="shared" ref="O32:U32" si="92">O18*O31</f>
        <v>0</v>
      </c>
      <c r="P32" s="794">
        <f>P18*P31</f>
        <v>167.51856284497924</v>
      </c>
      <c r="Q32" s="794">
        <f t="shared" si="92"/>
        <v>264.20703026325754</v>
      </c>
      <c r="R32" s="794">
        <f>R18*R31</f>
        <v>310.18356988855601</v>
      </c>
      <c r="S32" s="794">
        <f t="shared" si="92"/>
        <v>314.0378310787554</v>
      </c>
      <c r="T32" s="794">
        <f t="shared" si="92"/>
        <v>321.11738717090486</v>
      </c>
      <c r="U32" s="796">
        <f t="shared" si="92"/>
        <v>326.72495945433712</v>
      </c>
      <c r="W32" s="493"/>
      <c r="Z32" s="794">
        <f>Z18*Z31</f>
        <v>375.75723092342497</v>
      </c>
      <c r="AA32" s="794">
        <f t="shared" ref="AA32:AF32" si="93">AA18*AA31</f>
        <v>375.75723092342497</v>
      </c>
      <c r="AB32" s="794">
        <f t="shared" si="93"/>
        <v>375.75723092342497</v>
      </c>
      <c r="AC32" s="794">
        <f>AC18*AC31</f>
        <v>375.75723092342497</v>
      </c>
      <c r="AD32" s="794">
        <f t="shared" si="93"/>
        <v>375.75723092342497</v>
      </c>
      <c r="AE32" s="794">
        <f>AE18*AE31</f>
        <v>375.75723092342497</v>
      </c>
      <c r="AF32" s="797">
        <f t="shared" si="93"/>
        <v>375.75723092342497</v>
      </c>
      <c r="AH32" s="493"/>
      <c r="AK32" s="794">
        <f t="shared" ref="AK32:AQ32" si="94">AK18*AK31</f>
        <v>0</v>
      </c>
      <c r="AL32" s="794">
        <f t="shared" si="94"/>
        <v>5471.5383087222772</v>
      </c>
      <c r="AM32" s="794">
        <f t="shared" si="94"/>
        <v>5471.5383087222772</v>
      </c>
      <c r="AN32" s="794">
        <f t="shared" si="94"/>
        <v>5471.5383087222772</v>
      </c>
      <c r="AO32" s="794">
        <f t="shared" si="94"/>
        <v>5471.5383087222772</v>
      </c>
      <c r="AP32" s="794">
        <f t="shared" si="94"/>
        <v>5471.5383087222772</v>
      </c>
      <c r="AQ32" s="796">
        <f t="shared" si="94"/>
        <v>5471.5383087222772</v>
      </c>
      <c r="AS32" s="493"/>
      <c r="AV32" s="794">
        <f t="shared" ref="AV32:BB32" si="95">AV18*AV31</f>
        <v>3405.2251897122628</v>
      </c>
      <c r="AW32" s="794">
        <f t="shared" ca="1" si="95"/>
        <v>3681.4787607347976</v>
      </c>
      <c r="AX32" s="794">
        <f t="shared" ca="1" si="95"/>
        <v>4207.2137229778964</v>
      </c>
      <c r="AY32" s="794">
        <f t="shared" ca="1" si="95"/>
        <v>6341.8973431091836</v>
      </c>
      <c r="AZ32" s="794">
        <f t="shared" ca="1" si="95"/>
        <v>7382.0759592225313</v>
      </c>
      <c r="BA32" s="794">
        <f t="shared" ca="1" si="95"/>
        <v>7444.7082956164295</v>
      </c>
      <c r="BB32" s="796">
        <f t="shared" ca="1" si="95"/>
        <v>7601.9170583112855</v>
      </c>
      <c r="BD32" s="493"/>
      <c r="BG32" s="794">
        <f t="shared" ref="BG32:BM32" si="96">BG18*BG31</f>
        <v>0</v>
      </c>
      <c r="BH32" s="794">
        <f t="shared" si="96"/>
        <v>0</v>
      </c>
      <c r="BI32" s="794">
        <f t="shared" si="96"/>
        <v>0</v>
      </c>
      <c r="BJ32" s="794">
        <f t="shared" si="96"/>
        <v>972.48996018497598</v>
      </c>
      <c r="BK32" s="794">
        <f t="shared" si="96"/>
        <v>1205.9899179936001</v>
      </c>
      <c r="BL32" s="794">
        <f t="shared" si="96"/>
        <v>1421.815126694273</v>
      </c>
      <c r="BM32" s="796">
        <f t="shared" si="96"/>
        <v>1430.3353671538639</v>
      </c>
    </row>
    <row r="33" spans="2:65">
      <c r="B33" s="743" t="str">
        <f>B17</f>
        <v>Rose</v>
      </c>
      <c r="J33" s="761"/>
      <c r="L33" s="766" t="str">
        <f>B6</f>
        <v>Cork</v>
      </c>
      <c r="M33" s="735"/>
      <c r="N33" s="735"/>
      <c r="O33" s="735"/>
      <c r="P33" s="735"/>
      <c r="Q33" s="735"/>
      <c r="R33" s="735"/>
      <c r="S33" s="735"/>
      <c r="T33" s="735"/>
      <c r="U33" s="767"/>
      <c r="W33" s="766" t="str">
        <f>L33</f>
        <v>Cork</v>
      </c>
      <c r="X33" s="735"/>
      <c r="Y33" s="735"/>
      <c r="Z33" s="735"/>
      <c r="AA33" s="735"/>
      <c r="AB33" s="735"/>
      <c r="AC33" s="735"/>
      <c r="AD33" s="735"/>
      <c r="AE33" s="735"/>
      <c r="AF33" s="767"/>
      <c r="AH33" s="766" t="str">
        <f>W33</f>
        <v>Cork</v>
      </c>
      <c r="AI33" s="735"/>
      <c r="AJ33" s="735"/>
      <c r="AK33" s="735"/>
      <c r="AL33" s="735"/>
      <c r="AM33" s="735"/>
      <c r="AN33" s="735"/>
      <c r="AO33" s="735"/>
      <c r="AP33" s="735"/>
      <c r="AQ33" s="767"/>
      <c r="AS33" s="766" t="str">
        <f>AH33</f>
        <v>Cork</v>
      </c>
      <c r="AT33" s="735"/>
      <c r="AU33" s="735"/>
      <c r="AV33" s="735"/>
      <c r="AW33" s="735"/>
      <c r="AX33" s="735"/>
      <c r="AY33" s="735"/>
      <c r="AZ33" s="735"/>
      <c r="BA33" s="735"/>
      <c r="BB33" s="767"/>
      <c r="BD33" s="766" t="str">
        <f>AS33</f>
        <v>Cork</v>
      </c>
      <c r="BE33" s="735"/>
      <c r="BF33" s="735"/>
      <c r="BG33" s="735"/>
      <c r="BH33" s="735"/>
      <c r="BI33" s="735"/>
      <c r="BJ33" s="735"/>
      <c r="BK33" s="735"/>
      <c r="BL33" s="735"/>
      <c r="BM33" s="767"/>
    </row>
    <row r="34" spans="2:65">
      <c r="B34" s="493" t="str">
        <f t="shared" ref="B34:B41" si="97">B24</f>
        <v>Bottles</v>
      </c>
      <c r="D34" s="732">
        <f t="shared" ref="D34:J34" si="98">Z21</f>
        <v>4131.1905046875218</v>
      </c>
      <c r="E34" s="732">
        <f t="shared" si="98"/>
        <v>0</v>
      </c>
      <c r="F34" s="732">
        <f t="shared" si="98"/>
        <v>0</v>
      </c>
      <c r="G34" s="732">
        <f t="shared" si="98"/>
        <v>0</v>
      </c>
      <c r="H34" s="732">
        <f t="shared" si="98"/>
        <v>0</v>
      </c>
      <c r="I34" s="732">
        <f t="shared" si="98"/>
        <v>0</v>
      </c>
      <c r="J34" s="762">
        <f t="shared" si="98"/>
        <v>0</v>
      </c>
      <c r="L34" s="493" t="str">
        <f>L13</f>
        <v>Margin new purchse</v>
      </c>
      <c r="M34" s="756">
        <v>0.1</v>
      </c>
      <c r="U34" s="761"/>
      <c r="W34" s="493" t="str">
        <f>W13</f>
        <v>Margin new purchse</v>
      </c>
      <c r="X34" s="756">
        <f>X13</f>
        <v>0.1</v>
      </c>
      <c r="Z34" s="464"/>
      <c r="AF34" s="761"/>
      <c r="AH34" s="493" t="str">
        <f>AH13</f>
        <v>Margin new purchse</v>
      </c>
      <c r="AI34" s="756">
        <f>AI13</f>
        <v>0.1</v>
      </c>
      <c r="AK34" s="464"/>
      <c r="AQ34" s="761"/>
      <c r="AS34" s="493" t="str">
        <f>AS13</f>
        <v>Margin new purchse</v>
      </c>
      <c r="AT34" s="756">
        <f>AT13</f>
        <v>0.1</v>
      </c>
      <c r="AV34" s="464"/>
      <c r="BB34" s="761"/>
      <c r="BD34" s="493" t="str">
        <f>BD13</f>
        <v>Margin new purchse</v>
      </c>
      <c r="BE34" s="756">
        <f>BE13</f>
        <v>0.1</v>
      </c>
      <c r="BG34" s="464"/>
      <c r="BM34" s="761"/>
    </row>
    <row r="35" spans="2:65">
      <c r="B35" s="493" t="str">
        <f t="shared" si="97"/>
        <v>Cork</v>
      </c>
      <c r="D35" s="732">
        <f>Z42</f>
        <v>370.81490992115391</v>
      </c>
      <c r="E35" s="732">
        <f t="shared" ref="E35:J35" si="99">AA42</f>
        <v>0</v>
      </c>
      <c r="F35" s="732">
        <f t="shared" si="99"/>
        <v>0</v>
      </c>
      <c r="G35" s="732">
        <f t="shared" si="99"/>
        <v>0</v>
      </c>
      <c r="H35" s="732">
        <f t="shared" si="99"/>
        <v>0</v>
      </c>
      <c r="I35" s="732">
        <f t="shared" si="99"/>
        <v>0</v>
      </c>
      <c r="J35" s="762">
        <f t="shared" si="99"/>
        <v>0</v>
      </c>
      <c r="L35" s="493"/>
      <c r="U35" s="761"/>
      <c r="W35" s="493"/>
      <c r="AF35" s="761"/>
      <c r="AH35" s="493"/>
      <c r="AQ35" s="761"/>
      <c r="AS35" s="493"/>
      <c r="BB35" s="761"/>
      <c r="BD35" s="493"/>
      <c r="BM35" s="761"/>
    </row>
    <row r="36" spans="2:65">
      <c r="B36" s="493" t="str">
        <f t="shared" si="97"/>
        <v>Labels</v>
      </c>
      <c r="D36" s="732">
        <f>Z63</f>
        <v>1445.5669153244985</v>
      </c>
      <c r="E36" s="732">
        <f t="shared" ref="E36:J36" si="100">AA63</f>
        <v>0</v>
      </c>
      <c r="F36" s="732">
        <f t="shared" si="100"/>
        <v>0</v>
      </c>
      <c r="G36" s="732">
        <f t="shared" si="100"/>
        <v>0</v>
      </c>
      <c r="H36" s="732">
        <f t="shared" si="100"/>
        <v>0</v>
      </c>
      <c r="I36" s="732">
        <f t="shared" si="100"/>
        <v>0</v>
      </c>
      <c r="J36" s="762">
        <f t="shared" si="100"/>
        <v>0</v>
      </c>
      <c r="L36" s="743" t="s">
        <v>814</v>
      </c>
      <c r="O36" s="115">
        <f t="shared" ref="O36:U36" si="101">O15</f>
        <v>0</v>
      </c>
      <c r="P36" s="115">
        <f>P15</f>
        <v>2266</v>
      </c>
      <c r="Q36" s="115">
        <f t="shared" si="101"/>
        <v>3739</v>
      </c>
      <c r="R36" s="115">
        <f t="shared" si="101"/>
        <v>4394</v>
      </c>
      <c r="S36" s="115">
        <f t="shared" si="101"/>
        <v>4416</v>
      </c>
      <c r="T36" s="115">
        <f t="shared" si="101"/>
        <v>4416</v>
      </c>
      <c r="U36" s="508">
        <f t="shared" si="101"/>
        <v>4416</v>
      </c>
      <c r="W36" s="743" t="s">
        <v>814</v>
      </c>
      <c r="Z36" s="115">
        <f t="shared" ref="Z36:AF36" si="102">Z15</f>
        <v>5267</v>
      </c>
      <c r="AA36" s="115">
        <f t="shared" si="102"/>
        <v>0</v>
      </c>
      <c r="AB36" s="115">
        <f t="shared" si="102"/>
        <v>0</v>
      </c>
      <c r="AC36" s="115">
        <f t="shared" si="102"/>
        <v>0</v>
      </c>
      <c r="AD36" s="115">
        <f t="shared" si="102"/>
        <v>0</v>
      </c>
      <c r="AE36" s="115">
        <f t="shared" si="102"/>
        <v>0</v>
      </c>
      <c r="AF36" s="508">
        <f t="shared" si="102"/>
        <v>0</v>
      </c>
      <c r="AH36" s="743" t="s">
        <v>814</v>
      </c>
      <c r="AK36" s="115">
        <f t="shared" ref="AK36:AQ36" si="103">AK15</f>
        <v>0</v>
      </c>
      <c r="AL36" s="115">
        <f t="shared" si="103"/>
        <v>57877</v>
      </c>
      <c r="AM36" s="115">
        <f t="shared" si="103"/>
        <v>0</v>
      </c>
      <c r="AN36" s="115">
        <f t="shared" si="103"/>
        <v>0</v>
      </c>
      <c r="AO36" s="115">
        <f t="shared" si="103"/>
        <v>0</v>
      </c>
      <c r="AP36" s="115">
        <f t="shared" si="103"/>
        <v>0</v>
      </c>
      <c r="AQ36" s="508">
        <f t="shared" si="103"/>
        <v>0</v>
      </c>
      <c r="AS36" s="743" t="s">
        <v>814</v>
      </c>
      <c r="AV36" s="115">
        <f t="shared" ref="AV36:BB36" si="104">AV15</f>
        <v>0</v>
      </c>
      <c r="AW36" s="115">
        <f t="shared" ca="1" si="104"/>
        <v>37500</v>
      </c>
      <c r="AX36" s="115">
        <f t="shared" ca="1" si="104"/>
        <v>41761</v>
      </c>
      <c r="AY36" s="115">
        <f t="shared" ca="1" si="104"/>
        <v>60491</v>
      </c>
      <c r="AZ36" s="115">
        <f t="shared" ca="1" si="104"/>
        <v>70328</v>
      </c>
      <c r="BA36" s="115">
        <f t="shared" ca="1" si="104"/>
        <v>70395</v>
      </c>
      <c r="BB36" s="508">
        <f t="shared" ca="1" si="104"/>
        <v>70395</v>
      </c>
      <c r="BD36" s="743" t="s">
        <v>814</v>
      </c>
      <c r="BG36" s="115">
        <f t="shared" ref="BG36:BM36" si="105">BG15</f>
        <v>0</v>
      </c>
      <c r="BH36" s="115">
        <f t="shared" si="105"/>
        <v>0</v>
      </c>
      <c r="BI36" s="115">
        <f t="shared" si="105"/>
        <v>0</v>
      </c>
      <c r="BJ36" s="115">
        <f t="shared" si="105"/>
        <v>5700</v>
      </c>
      <c r="BK36" s="115">
        <f t="shared" si="105"/>
        <v>7500</v>
      </c>
      <c r="BL36" s="115">
        <f t="shared" si="105"/>
        <v>8700</v>
      </c>
      <c r="BM36" s="508">
        <f t="shared" si="105"/>
        <v>8700</v>
      </c>
    </row>
    <row r="37" spans="2:65">
      <c r="B37" s="493" t="str">
        <f t="shared" si="97"/>
        <v>Capsules</v>
      </c>
      <c r="D37" s="732">
        <f>Z84</f>
        <v>824.14632452256456</v>
      </c>
      <c r="E37" s="732">
        <f t="shared" ref="E37:J37" si="106">AA84</f>
        <v>0</v>
      </c>
      <c r="F37" s="732">
        <f t="shared" si="106"/>
        <v>0</v>
      </c>
      <c r="G37" s="732">
        <f t="shared" si="106"/>
        <v>0</v>
      </c>
      <c r="H37" s="732">
        <f t="shared" si="106"/>
        <v>0</v>
      </c>
      <c r="I37" s="732">
        <f t="shared" si="106"/>
        <v>0</v>
      </c>
      <c r="J37" s="762">
        <f t="shared" si="106"/>
        <v>0</v>
      </c>
      <c r="L37" s="493" t="s">
        <v>664</v>
      </c>
      <c r="O37" s="732">
        <f>'Inv. start'!M32</f>
        <v>0</v>
      </c>
      <c r="P37" s="732">
        <f t="shared" ref="P37:U37" si="107">O39</f>
        <v>0</v>
      </c>
      <c r="Q37" s="732">
        <f t="shared" si="107"/>
        <v>227</v>
      </c>
      <c r="R37" s="732">
        <f t="shared" si="107"/>
        <v>351</v>
      </c>
      <c r="S37" s="732">
        <f t="shared" si="107"/>
        <v>404</v>
      </c>
      <c r="T37" s="732">
        <f t="shared" si="107"/>
        <v>401</v>
      </c>
      <c r="U37" s="762">
        <f t="shared" si="107"/>
        <v>402</v>
      </c>
      <c r="W37" s="493" t="s">
        <v>664</v>
      </c>
      <c r="Z37" s="732">
        <f>'Inv. start'!M33</f>
        <v>0</v>
      </c>
      <c r="AA37" s="732">
        <f t="shared" ref="AA37:AF37" si="108">Z39</f>
        <v>527</v>
      </c>
      <c r="AB37" s="732">
        <f t="shared" si="108"/>
        <v>527</v>
      </c>
      <c r="AC37" s="732">
        <f t="shared" si="108"/>
        <v>527</v>
      </c>
      <c r="AD37" s="732">
        <f t="shared" si="108"/>
        <v>527</v>
      </c>
      <c r="AE37" s="732">
        <f t="shared" si="108"/>
        <v>527</v>
      </c>
      <c r="AF37" s="762">
        <f t="shared" si="108"/>
        <v>527</v>
      </c>
      <c r="AH37" s="493" t="s">
        <v>664</v>
      </c>
      <c r="AK37" s="732">
        <f>'Inv. start'!M34</f>
        <v>0</v>
      </c>
      <c r="AL37" s="732">
        <f t="shared" ref="AL37:AQ37" si="109">AK39</f>
        <v>0</v>
      </c>
      <c r="AM37" s="732">
        <f t="shared" si="109"/>
        <v>5788</v>
      </c>
      <c r="AN37" s="732">
        <f t="shared" si="109"/>
        <v>5788</v>
      </c>
      <c r="AO37" s="732">
        <f t="shared" si="109"/>
        <v>5788</v>
      </c>
      <c r="AP37" s="732">
        <f t="shared" si="109"/>
        <v>5788</v>
      </c>
      <c r="AQ37" s="762">
        <f t="shared" si="109"/>
        <v>5788</v>
      </c>
      <c r="AS37" s="493" t="s">
        <v>664</v>
      </c>
      <c r="AV37" s="732">
        <f>'Inv. start'!L35</f>
        <v>3500</v>
      </c>
      <c r="AW37" s="732">
        <f t="shared" ref="AW37:BB37" si="110">AV39</f>
        <v>3500</v>
      </c>
      <c r="AX37" s="732">
        <f t="shared" ca="1" si="110"/>
        <v>3400</v>
      </c>
      <c r="AY37" s="732">
        <f t="shared" ca="1" si="110"/>
        <v>3836</v>
      </c>
      <c r="AZ37" s="732">
        <f t="shared" ca="1" si="110"/>
        <v>5666</v>
      </c>
      <c r="BA37" s="732">
        <f t="shared" ca="1" si="110"/>
        <v>6466</v>
      </c>
      <c r="BB37" s="762">
        <f t="shared" ca="1" si="110"/>
        <v>6393</v>
      </c>
      <c r="BD37" s="493" t="s">
        <v>664</v>
      </c>
      <c r="BG37" s="732">
        <f>'Inv. start'!M36</f>
        <v>0</v>
      </c>
      <c r="BH37" s="732">
        <f t="shared" ref="BH37:BM37" si="111">BG39</f>
        <v>0</v>
      </c>
      <c r="BI37" s="732">
        <f t="shared" si="111"/>
        <v>0</v>
      </c>
      <c r="BJ37" s="732">
        <f t="shared" si="111"/>
        <v>0</v>
      </c>
      <c r="BK37" s="732">
        <f t="shared" si="111"/>
        <v>570</v>
      </c>
      <c r="BL37" s="732">
        <f t="shared" si="111"/>
        <v>693</v>
      </c>
      <c r="BM37" s="762">
        <f t="shared" si="111"/>
        <v>801</v>
      </c>
    </row>
    <row r="38" spans="2:65">
      <c r="B38" s="493" t="str">
        <f t="shared" si="97"/>
        <v>Carton boxes</v>
      </c>
      <c r="D38" s="732">
        <f>Z105</f>
        <v>1188.6111988983653</v>
      </c>
      <c r="E38" s="732">
        <f t="shared" ref="E38:J38" si="112">AA105</f>
        <v>0</v>
      </c>
      <c r="F38" s="732">
        <f t="shared" si="112"/>
        <v>0</v>
      </c>
      <c r="G38" s="732">
        <f t="shared" si="112"/>
        <v>0</v>
      </c>
      <c r="H38" s="732">
        <f t="shared" si="112"/>
        <v>0</v>
      </c>
      <c r="I38" s="732">
        <f t="shared" si="112"/>
        <v>0</v>
      </c>
      <c r="J38" s="762">
        <f t="shared" si="112"/>
        <v>0</v>
      </c>
      <c r="L38" s="493" t="s">
        <v>615</v>
      </c>
      <c r="O38" s="114">
        <f t="shared" ref="O38:U38" si="113">ROUND(IF(O37-O36&lt;0,-(O37-O36)*(1+$M$34)),0)</f>
        <v>0</v>
      </c>
      <c r="P38" s="114">
        <f t="shared" si="113"/>
        <v>2493</v>
      </c>
      <c r="Q38" s="114">
        <f t="shared" si="113"/>
        <v>3863</v>
      </c>
      <c r="R38" s="114">
        <f t="shared" si="113"/>
        <v>4447</v>
      </c>
      <c r="S38" s="114">
        <f t="shared" si="113"/>
        <v>4413</v>
      </c>
      <c r="T38" s="114">
        <f t="shared" si="113"/>
        <v>4417</v>
      </c>
      <c r="U38" s="561">
        <f t="shared" si="113"/>
        <v>4415</v>
      </c>
      <c r="W38" s="493" t="s">
        <v>615</v>
      </c>
      <c r="Z38" s="114">
        <f>ROUND(IF(Z37-Z36&lt;0,-(Z37-Z36)*(1+$X$34)),0)</f>
        <v>5794</v>
      </c>
      <c r="AA38" s="114">
        <f t="shared" ref="AA38:AF38" si="114">ROUND(IF(AA37-AA36&lt;0,-(AA37-AA36)*(1+$X$34)),0)</f>
        <v>0</v>
      </c>
      <c r="AB38" s="114">
        <f t="shared" si="114"/>
        <v>0</v>
      </c>
      <c r="AC38" s="114">
        <f t="shared" si="114"/>
        <v>0</v>
      </c>
      <c r="AD38" s="114">
        <f t="shared" si="114"/>
        <v>0</v>
      </c>
      <c r="AE38" s="114">
        <f t="shared" si="114"/>
        <v>0</v>
      </c>
      <c r="AF38" s="561">
        <f t="shared" si="114"/>
        <v>0</v>
      </c>
      <c r="AH38" s="493" t="s">
        <v>615</v>
      </c>
      <c r="AK38" s="114">
        <f>ROUND(IF(AK37-AK36&lt;0,-(AK37-AK36)*(1+$AI$34)),0)</f>
        <v>0</v>
      </c>
      <c r="AL38" s="114">
        <f t="shared" ref="AL38:AQ38" si="115">ROUND(IF(AL37-AL36&lt;0,-(AL37-AL36)*(1+$AI$34)),0)</f>
        <v>63665</v>
      </c>
      <c r="AM38" s="114">
        <f t="shared" si="115"/>
        <v>0</v>
      </c>
      <c r="AN38" s="114">
        <f t="shared" si="115"/>
        <v>0</v>
      </c>
      <c r="AO38" s="114">
        <f t="shared" si="115"/>
        <v>0</v>
      </c>
      <c r="AP38" s="114">
        <f t="shared" si="115"/>
        <v>0</v>
      </c>
      <c r="AQ38" s="561">
        <f t="shared" si="115"/>
        <v>0</v>
      </c>
      <c r="AS38" s="493" t="s">
        <v>615</v>
      </c>
      <c r="AV38" s="114">
        <f>ROUND(IF(AV37-AV36&lt;0,-(AV37-AV36)*(1+$AT$34)),0)</f>
        <v>0</v>
      </c>
      <c r="AW38" s="114">
        <f t="shared" ref="AW38:BB38" ca="1" si="116">ROUND(IF(AW37-AW36&lt;0,-(AW37-AW36)*(1+$AT$34)),0)</f>
        <v>37400</v>
      </c>
      <c r="AX38" s="114">
        <f t="shared" ca="1" si="116"/>
        <v>42197</v>
      </c>
      <c r="AY38" s="114">
        <f t="shared" ca="1" si="116"/>
        <v>62321</v>
      </c>
      <c r="AZ38" s="114">
        <f t="shared" ca="1" si="116"/>
        <v>71128</v>
      </c>
      <c r="BA38" s="114">
        <f t="shared" ca="1" si="116"/>
        <v>70322</v>
      </c>
      <c r="BB38" s="561">
        <f t="shared" ca="1" si="116"/>
        <v>70402</v>
      </c>
      <c r="BD38" s="493" t="s">
        <v>615</v>
      </c>
      <c r="BG38" s="114">
        <f>ROUND(IF(BG37-BG36&lt;0,-(BG37-BG36)*(1+$BE$34)),0)</f>
        <v>0</v>
      </c>
      <c r="BH38" s="114">
        <f t="shared" ref="BH38:BM38" si="117">ROUND(IF(BH37-BH36&lt;0,-(BH37-BH36)*(1+$BE$34)),0)</f>
        <v>0</v>
      </c>
      <c r="BI38" s="114">
        <f t="shared" si="117"/>
        <v>0</v>
      </c>
      <c r="BJ38" s="114">
        <f t="shared" si="117"/>
        <v>6270</v>
      </c>
      <c r="BK38" s="114">
        <f t="shared" si="117"/>
        <v>7623</v>
      </c>
      <c r="BL38" s="114">
        <f t="shared" si="117"/>
        <v>8808</v>
      </c>
      <c r="BM38" s="561">
        <f t="shared" si="117"/>
        <v>8689</v>
      </c>
    </row>
    <row r="39" spans="2:65">
      <c r="B39" s="493" t="str">
        <f t="shared" si="97"/>
        <v>Folio</v>
      </c>
      <c r="D39" s="738">
        <f>Z126</f>
        <v>92.785661305362936</v>
      </c>
      <c r="E39" s="738">
        <f t="shared" ref="E39:J39" si="118">AA126</f>
        <v>0</v>
      </c>
      <c r="F39" s="738">
        <f t="shared" si="118"/>
        <v>0</v>
      </c>
      <c r="G39" s="738">
        <f t="shared" si="118"/>
        <v>0</v>
      </c>
      <c r="H39" s="738">
        <f t="shared" si="118"/>
        <v>0</v>
      </c>
      <c r="I39" s="738">
        <f t="shared" si="118"/>
        <v>0</v>
      </c>
      <c r="J39" s="770">
        <f t="shared" si="118"/>
        <v>0</v>
      </c>
      <c r="L39" s="493" t="s">
        <v>816</v>
      </c>
      <c r="O39" s="734">
        <f t="shared" ref="O39:U39" si="119">O37+O38-O36</f>
        <v>0</v>
      </c>
      <c r="P39" s="734">
        <f t="shared" si="119"/>
        <v>227</v>
      </c>
      <c r="Q39" s="734">
        <f t="shared" si="119"/>
        <v>351</v>
      </c>
      <c r="R39" s="734">
        <f t="shared" si="119"/>
        <v>404</v>
      </c>
      <c r="S39" s="734">
        <f t="shared" si="119"/>
        <v>401</v>
      </c>
      <c r="T39" s="734">
        <f t="shared" si="119"/>
        <v>402</v>
      </c>
      <c r="U39" s="763">
        <f t="shared" si="119"/>
        <v>401</v>
      </c>
      <c r="V39" s="731"/>
      <c r="W39" s="493" t="s">
        <v>816</v>
      </c>
      <c r="Z39" s="734">
        <f t="shared" ref="Z39:AF39" si="120">Z37+Z38-Z36</f>
        <v>527</v>
      </c>
      <c r="AA39" s="734">
        <f t="shared" si="120"/>
        <v>527</v>
      </c>
      <c r="AB39" s="734">
        <f t="shared" si="120"/>
        <v>527</v>
      </c>
      <c r="AC39" s="734">
        <f t="shared" si="120"/>
        <v>527</v>
      </c>
      <c r="AD39" s="734">
        <f t="shared" si="120"/>
        <v>527</v>
      </c>
      <c r="AE39" s="734">
        <f t="shared" si="120"/>
        <v>527</v>
      </c>
      <c r="AF39" s="763">
        <f t="shared" si="120"/>
        <v>527</v>
      </c>
      <c r="AH39" s="493" t="s">
        <v>816</v>
      </c>
      <c r="AK39" s="734">
        <f t="shared" ref="AK39:AQ39" si="121">AK37+AK38-AK36</f>
        <v>0</v>
      </c>
      <c r="AL39" s="734">
        <f t="shared" si="121"/>
        <v>5788</v>
      </c>
      <c r="AM39" s="734">
        <f t="shared" si="121"/>
        <v>5788</v>
      </c>
      <c r="AN39" s="734">
        <f t="shared" si="121"/>
        <v>5788</v>
      </c>
      <c r="AO39" s="734">
        <f t="shared" si="121"/>
        <v>5788</v>
      </c>
      <c r="AP39" s="734">
        <f t="shared" si="121"/>
        <v>5788</v>
      </c>
      <c r="AQ39" s="763">
        <f t="shared" si="121"/>
        <v>5788</v>
      </c>
      <c r="AS39" s="493" t="s">
        <v>816</v>
      </c>
      <c r="AV39" s="734">
        <f t="shared" ref="AV39:BB39" si="122">AV37+AV38-AV36</f>
        <v>3500</v>
      </c>
      <c r="AW39" s="734">
        <f t="shared" ca="1" si="122"/>
        <v>3400</v>
      </c>
      <c r="AX39" s="734">
        <f t="shared" ca="1" si="122"/>
        <v>3836</v>
      </c>
      <c r="AY39" s="734">
        <f t="shared" ca="1" si="122"/>
        <v>5666</v>
      </c>
      <c r="AZ39" s="734">
        <f t="shared" ca="1" si="122"/>
        <v>6466</v>
      </c>
      <c r="BA39" s="734">
        <f t="shared" ca="1" si="122"/>
        <v>6393</v>
      </c>
      <c r="BB39" s="763">
        <f t="shared" ca="1" si="122"/>
        <v>6400</v>
      </c>
      <c r="BD39" s="493" t="s">
        <v>816</v>
      </c>
      <c r="BG39" s="734">
        <f t="shared" ref="BG39:BM39" si="123">BG37+BG38-BG36</f>
        <v>0</v>
      </c>
      <c r="BH39" s="734">
        <f t="shared" si="123"/>
        <v>0</v>
      </c>
      <c r="BI39" s="734">
        <f t="shared" si="123"/>
        <v>0</v>
      </c>
      <c r="BJ39" s="734">
        <f t="shared" si="123"/>
        <v>570</v>
      </c>
      <c r="BK39" s="734">
        <f t="shared" si="123"/>
        <v>693</v>
      </c>
      <c r="BL39" s="734">
        <f t="shared" si="123"/>
        <v>801</v>
      </c>
      <c r="BM39" s="763">
        <f t="shared" si="123"/>
        <v>790</v>
      </c>
    </row>
    <row r="40" spans="2:65">
      <c r="B40" s="493" t="str">
        <f t="shared" si="97"/>
        <v>Pellets</v>
      </c>
      <c r="D40" s="733">
        <f>Z148</f>
        <v>237.29999999999998</v>
      </c>
      <c r="E40" s="733">
        <f t="shared" ref="E40:J40" si="124">AA148</f>
        <v>0</v>
      </c>
      <c r="F40" s="733">
        <f t="shared" si="124"/>
        <v>0</v>
      </c>
      <c r="G40" s="733">
        <f t="shared" si="124"/>
        <v>0</v>
      </c>
      <c r="H40" s="733">
        <f t="shared" si="124"/>
        <v>0</v>
      </c>
      <c r="I40" s="733">
        <f t="shared" si="124"/>
        <v>0</v>
      </c>
      <c r="J40" s="771">
        <f t="shared" si="124"/>
        <v>0</v>
      </c>
      <c r="L40" s="493"/>
      <c r="U40" s="761"/>
      <c r="W40" s="493"/>
      <c r="AF40" s="761"/>
      <c r="AH40" s="493"/>
      <c r="AQ40" s="761"/>
      <c r="AS40" s="493"/>
      <c r="BB40" s="761"/>
      <c r="BD40" s="493"/>
      <c r="BM40" s="761"/>
    </row>
    <row r="41" spans="2:65">
      <c r="B41" s="743" t="str">
        <f t="shared" si="97"/>
        <v>Total</v>
      </c>
      <c r="D41" s="772">
        <f t="shared" ref="D41:J41" si="125">SUM(D34:D40)</f>
        <v>8290.4155146594658</v>
      </c>
      <c r="E41" s="772">
        <f t="shared" si="125"/>
        <v>0</v>
      </c>
      <c r="F41" s="772">
        <f t="shared" si="125"/>
        <v>0</v>
      </c>
      <c r="G41" s="772">
        <f t="shared" si="125"/>
        <v>0</v>
      </c>
      <c r="H41" s="772">
        <f t="shared" si="125"/>
        <v>0</v>
      </c>
      <c r="I41" s="772">
        <f t="shared" si="125"/>
        <v>0</v>
      </c>
      <c r="J41" s="773">
        <f t="shared" si="125"/>
        <v>0</v>
      </c>
      <c r="L41" s="493" t="s">
        <v>312</v>
      </c>
      <c r="O41" s="757">
        <f>IF(O38&gt;0,$C$6*Opex!D29,O52)</f>
        <v>0.35534390485157719</v>
      </c>
      <c r="P41" s="757">
        <f>IF(P38&gt;0,$C$6*Opex!E29,P52)</f>
        <v>6.6239805275870589E-2</v>
      </c>
      <c r="Q41" s="757">
        <f>IF(Q38&gt;0,$C$6*Opex!F29,Q52)</f>
        <v>6.7564601381388006E-2</v>
      </c>
      <c r="R41" s="757">
        <f>IF(R38&gt;0,$C$6*Opex!G29,R52)</f>
        <v>6.8915893409015758E-2</v>
      </c>
      <c r="S41" s="757">
        <f>IF(S38&gt;0,$C$6*Opex!H29,S52)</f>
        <v>7.0294211277196067E-2</v>
      </c>
      <c r="T41" s="757">
        <f>IF(T38&gt;0,$C$6*Opex!I29,T52)</f>
        <v>7.1700095502739994E-2</v>
      </c>
      <c r="U41" s="764">
        <f>IF(U38&gt;0,$C$6*Opex!J29,U52)</f>
        <v>7.313409741279478E-2</v>
      </c>
      <c r="W41" s="493" t="s">
        <v>312</v>
      </c>
      <c r="Z41" s="757">
        <f>IF(Z38&gt;0,$D$6*Opex!D29,Z52)</f>
        <v>6.3999811860744549E-2</v>
      </c>
      <c r="AA41" s="757">
        <f>IF(AA38&gt;0,$D$6*Opex!E29,AA52)</f>
        <v>6.3999811860744549E-2</v>
      </c>
      <c r="AB41" s="757">
        <f>IF(AB38&gt;0,$D$6*Opex!F29,AB52)</f>
        <v>6.3999811860744549E-2</v>
      </c>
      <c r="AC41" s="757">
        <f>IF(AC38&gt;0,$D$6*Opex!G29,AC52)</f>
        <v>6.3999811860744549E-2</v>
      </c>
      <c r="AD41" s="757">
        <f>IF(AD38&gt;0,$D$6*Opex!H29,AD52)</f>
        <v>6.3999811860744549E-2</v>
      </c>
      <c r="AE41" s="757">
        <f>IF(AE38&gt;0,$D$6*Opex!I29,AE52)</f>
        <v>6.3999811860744549E-2</v>
      </c>
      <c r="AF41" s="764">
        <f>IF(AF38&gt;0,$D$6*Opex!J29,AF52)</f>
        <v>6.3999811860744549E-2</v>
      </c>
      <c r="AH41" s="493" t="s">
        <v>312</v>
      </c>
      <c r="AK41" s="757">
        <f>IF(AK38&gt;0,$E$6*Opex!D29,AK52)</f>
        <v>0.35534390485157719</v>
      </c>
      <c r="AL41" s="757">
        <f>IF(AL38&gt;0,$E$6*Opex!E29,AL52)</f>
        <v>0.36778094152138235</v>
      </c>
      <c r="AM41" s="757">
        <f>IF(AM38&gt;0,$E$6*Opex!F29,AM52)</f>
        <v>0.36778094152138235</v>
      </c>
      <c r="AN41" s="757">
        <f>IF(AN38&gt;0,$E$6*Opex!G29,AN52)</f>
        <v>0.36778094152138235</v>
      </c>
      <c r="AO41" s="757">
        <f>IF(AO38&gt;0,$E$6*Opex!H29,AO52)</f>
        <v>0.36778094152138235</v>
      </c>
      <c r="AP41" s="757">
        <f>IF(AP38&gt;0,$E$6*Opex!I29,AP52)</f>
        <v>0.36778094152138235</v>
      </c>
      <c r="AQ41" s="764">
        <f>IF(AQ38&gt;0,$E$6*Opex!J29,AQ52)</f>
        <v>0.36778094152138235</v>
      </c>
      <c r="AS41" s="493" t="s">
        <v>312</v>
      </c>
      <c r="AV41" s="757">
        <f>IF(AV38&gt;0,'Inv. mat'!$F$6*Opex!D29,AV52)</f>
        <v>0.35534390485157719</v>
      </c>
      <c r="AW41" s="757">
        <f ca="1">IF(AW38&gt;0,$F$6*Opex!E29,AW52)</f>
        <v>0.36778094152138235</v>
      </c>
      <c r="AX41" s="757">
        <f ca="1">IF(AX38&gt;0,$F$6*Opex!F29,AX52)</f>
        <v>0.37513656035180998</v>
      </c>
      <c r="AY41" s="757">
        <f ca="1">IF(AY38&gt;0,$F$6*Opex!G29,AY52)</f>
        <v>0.38263929155884618</v>
      </c>
      <c r="AZ41" s="757">
        <f ca="1">IF(AZ38&gt;0,$F$6*Opex!H29,AZ52)</f>
        <v>0.39029207739002308</v>
      </c>
      <c r="BA41" s="757">
        <f ca="1">IF(BA38&gt;0,$F$6*Opex!I29,BA52)</f>
        <v>0.39809791893782354</v>
      </c>
      <c r="BB41" s="764">
        <f ca="1">IF(BB38&gt;0,$F$6*Opex!J29,BB52)</f>
        <v>0.40605987731658</v>
      </c>
      <c r="BD41" s="493" t="s">
        <v>312</v>
      </c>
      <c r="BG41" s="757">
        <f>IF(BG38&gt;0,$G$6*Opex!D29,BG52)</f>
        <v>0.35534390485157719</v>
      </c>
      <c r="BH41" s="757">
        <f>IF(BH38&gt;0,$G$6*Opex!E29,BH52)</f>
        <v>0.35534390485157719</v>
      </c>
      <c r="BI41" s="757">
        <f>IF(BI38&gt;0,$G$6*Opex!F29,BI52)</f>
        <v>0.35534390485157719</v>
      </c>
      <c r="BJ41" s="757">
        <f>IF(BJ38&gt;0,$G$6*Opex!G29,BJ52)</f>
        <v>0.38263929155884618</v>
      </c>
      <c r="BK41" s="757">
        <f>IF(BK38&gt;0,$G$6*Opex!H29,BK52)</f>
        <v>0.39029207739002308</v>
      </c>
      <c r="BL41" s="757">
        <f>IF(BL38&gt;0,$G$6*Opex!I29,BL52)</f>
        <v>0.39809791893782354</v>
      </c>
      <c r="BM41" s="764">
        <f>IF(BM38&gt;0,$G$6*Opex!J29,BM52)</f>
        <v>0.40605987731658</v>
      </c>
    </row>
    <row r="42" spans="2:65">
      <c r="B42" s="493"/>
      <c r="J42" s="761"/>
      <c r="L42" s="743" t="s">
        <v>85</v>
      </c>
      <c r="O42" s="562">
        <f t="shared" ref="O42:U42" si="126">O38*O41</f>
        <v>0</v>
      </c>
      <c r="P42" s="562">
        <f t="shared" si="126"/>
        <v>165.13583455274537</v>
      </c>
      <c r="Q42" s="562">
        <f t="shared" si="126"/>
        <v>261.00205513630186</v>
      </c>
      <c r="R42" s="562">
        <f t="shared" si="126"/>
        <v>306.46897798989306</v>
      </c>
      <c r="S42" s="562">
        <f t="shared" si="126"/>
        <v>310.20835436626624</v>
      </c>
      <c r="T42" s="562">
        <f t="shared" si="126"/>
        <v>316.69932183560257</v>
      </c>
      <c r="U42" s="563">
        <f t="shared" si="126"/>
        <v>322.88704007748896</v>
      </c>
      <c r="W42" s="743" t="s">
        <v>85</v>
      </c>
      <c r="Z42" s="562">
        <f t="shared" ref="Z42:AF42" si="127">Z38*Z41</f>
        <v>370.81490992115391</v>
      </c>
      <c r="AA42" s="562">
        <f t="shared" si="127"/>
        <v>0</v>
      </c>
      <c r="AB42" s="562">
        <f t="shared" si="127"/>
        <v>0</v>
      </c>
      <c r="AC42" s="562">
        <f t="shared" si="127"/>
        <v>0</v>
      </c>
      <c r="AD42" s="562">
        <f t="shared" si="127"/>
        <v>0</v>
      </c>
      <c r="AE42" s="562">
        <f t="shared" si="127"/>
        <v>0</v>
      </c>
      <c r="AF42" s="563">
        <f t="shared" si="127"/>
        <v>0</v>
      </c>
      <c r="AH42" s="743" t="s">
        <v>85</v>
      </c>
      <c r="AK42" s="562">
        <f t="shared" ref="AK42:AQ42" si="128">AK38*AK41</f>
        <v>0</v>
      </c>
      <c r="AL42" s="562">
        <f t="shared" si="128"/>
        <v>23414.773641958807</v>
      </c>
      <c r="AM42" s="562">
        <f t="shared" si="128"/>
        <v>0</v>
      </c>
      <c r="AN42" s="562">
        <f t="shared" si="128"/>
        <v>0</v>
      </c>
      <c r="AO42" s="562">
        <f t="shared" si="128"/>
        <v>0</v>
      </c>
      <c r="AP42" s="562">
        <f t="shared" si="128"/>
        <v>0</v>
      </c>
      <c r="AQ42" s="563">
        <f t="shared" si="128"/>
        <v>0</v>
      </c>
      <c r="AS42" s="743" t="s">
        <v>85</v>
      </c>
      <c r="AV42" s="562">
        <f t="shared" ref="AV42:BB42" si="129">AV38*AV41</f>
        <v>0</v>
      </c>
      <c r="AW42" s="562">
        <f t="shared" ca="1" si="129"/>
        <v>13755.0072128997</v>
      </c>
      <c r="AX42" s="562">
        <f t="shared" ca="1" si="129"/>
        <v>15829.637437165326</v>
      </c>
      <c r="AY42" s="562">
        <f t="shared" ca="1" si="129"/>
        <v>23846.463289238854</v>
      </c>
      <c r="AZ42" s="562">
        <f t="shared" ca="1" si="129"/>
        <v>27760.694880597563</v>
      </c>
      <c r="BA42" s="562">
        <f t="shared" ca="1" si="129"/>
        <v>27995.041855545627</v>
      </c>
      <c r="BB42" s="563">
        <f t="shared" ca="1" si="129"/>
        <v>28587.427482841864</v>
      </c>
      <c r="BD42" s="743" t="s">
        <v>85</v>
      </c>
      <c r="BG42" s="562">
        <f t="shared" ref="BG42:BM42" si="130">BG38*BG41</f>
        <v>0</v>
      </c>
      <c r="BH42" s="562">
        <f t="shared" si="130"/>
        <v>0</v>
      </c>
      <c r="BI42" s="562">
        <f t="shared" si="130"/>
        <v>0</v>
      </c>
      <c r="BJ42" s="562">
        <f t="shared" si="130"/>
        <v>2399.1483580739655</v>
      </c>
      <c r="BK42" s="562">
        <f t="shared" si="130"/>
        <v>2975.1965059441459</v>
      </c>
      <c r="BL42" s="562">
        <f t="shared" si="130"/>
        <v>3506.4464700043495</v>
      </c>
      <c r="BM42" s="563">
        <f t="shared" si="130"/>
        <v>3528.2542740037634</v>
      </c>
    </row>
    <row r="43" spans="2:65">
      <c r="B43" s="769" t="str">
        <f>B18</f>
        <v>Classic</v>
      </c>
      <c r="J43" s="761"/>
      <c r="L43" s="743"/>
      <c r="O43" s="562"/>
      <c r="P43" s="562"/>
      <c r="Q43" s="562"/>
      <c r="R43" s="562"/>
      <c r="S43" s="562"/>
      <c r="T43" s="562"/>
      <c r="U43" s="563"/>
      <c r="W43" s="743"/>
      <c r="Z43" s="562"/>
      <c r="AA43" s="562"/>
      <c r="AB43" s="562"/>
      <c r="AC43" s="562"/>
      <c r="AD43" s="562"/>
      <c r="AE43" s="562"/>
      <c r="AF43" s="563"/>
      <c r="AH43" s="743"/>
      <c r="AK43" s="562"/>
      <c r="AL43" s="562"/>
      <c r="AM43" s="562"/>
      <c r="AN43" s="562"/>
      <c r="AO43" s="562"/>
      <c r="AP43" s="562"/>
      <c r="AQ43" s="563"/>
      <c r="AS43" s="743"/>
      <c r="AV43" s="562"/>
      <c r="AW43" s="562"/>
      <c r="AX43" s="562"/>
      <c r="AY43" s="562"/>
      <c r="AZ43" s="562"/>
      <c r="BA43" s="562"/>
      <c r="BB43" s="563"/>
      <c r="BD43" s="743"/>
      <c r="BG43" s="562"/>
      <c r="BH43" s="562"/>
      <c r="BI43" s="562"/>
      <c r="BJ43" s="562"/>
      <c r="BK43" s="562"/>
      <c r="BL43" s="562"/>
      <c r="BM43" s="563"/>
    </row>
    <row r="44" spans="2:65">
      <c r="B44" s="493" t="str">
        <f t="shared" ref="B44:B50" si="131">B24</f>
        <v>Bottles</v>
      </c>
      <c r="D44" s="732">
        <f>AK21</f>
        <v>0</v>
      </c>
      <c r="E44" s="732">
        <f t="shared" ref="E44:J44" si="132">AL21</f>
        <v>60184.085422391807</v>
      </c>
      <c r="F44" s="732">
        <f t="shared" si="132"/>
        <v>0</v>
      </c>
      <c r="G44" s="732">
        <f t="shared" si="132"/>
        <v>0</v>
      </c>
      <c r="H44" s="732">
        <f t="shared" si="132"/>
        <v>0</v>
      </c>
      <c r="I44" s="732">
        <f t="shared" si="132"/>
        <v>0</v>
      </c>
      <c r="J44" s="762">
        <f t="shared" si="132"/>
        <v>0</v>
      </c>
      <c r="L44" s="493" t="s">
        <v>880</v>
      </c>
      <c r="O44" s="732">
        <f>O41*O37</f>
        <v>0</v>
      </c>
      <c r="P44" s="732">
        <f t="shared" ref="P44:U44" si="133">O47</f>
        <v>0</v>
      </c>
      <c r="Q44" s="732">
        <f t="shared" si="133"/>
        <v>15.036435797622623</v>
      </c>
      <c r="R44" s="732">
        <f t="shared" si="133"/>
        <v>23.715175084867191</v>
      </c>
      <c r="S44" s="732">
        <f t="shared" si="133"/>
        <v>27.842020937242367</v>
      </c>
      <c r="T44" s="732">
        <f t="shared" si="133"/>
        <v>28.187978722155624</v>
      </c>
      <c r="U44" s="762">
        <f t="shared" si="133"/>
        <v>28.823438392101476</v>
      </c>
      <c r="W44" s="493" t="s">
        <v>880</v>
      </c>
      <c r="Z44" s="732">
        <f>Z41*Z37</f>
        <v>0</v>
      </c>
      <c r="AA44" s="732">
        <f t="shared" ref="AA44:AF44" si="134">Z47</f>
        <v>33.727900850612379</v>
      </c>
      <c r="AB44" s="732">
        <f t="shared" si="134"/>
        <v>33.727900850612379</v>
      </c>
      <c r="AC44" s="732">
        <f t="shared" si="134"/>
        <v>33.727900850612379</v>
      </c>
      <c r="AD44" s="732">
        <f t="shared" si="134"/>
        <v>33.727900850612379</v>
      </c>
      <c r="AE44" s="732">
        <f t="shared" si="134"/>
        <v>33.727900850612379</v>
      </c>
      <c r="AF44" s="762">
        <f t="shared" si="134"/>
        <v>33.727900850612379</v>
      </c>
      <c r="AG44" s="731"/>
      <c r="AH44" s="493" t="s">
        <v>880</v>
      </c>
      <c r="AK44" s="732">
        <f>AK41*AK37</f>
        <v>0</v>
      </c>
      <c r="AL44" s="732">
        <f t="shared" ref="AL44:AQ44" si="135">AK47</f>
        <v>0</v>
      </c>
      <c r="AM44" s="732">
        <f t="shared" si="135"/>
        <v>2128.7160895257612</v>
      </c>
      <c r="AN44" s="732">
        <f t="shared" si="135"/>
        <v>2128.7160895257612</v>
      </c>
      <c r="AO44" s="732">
        <f t="shared" si="135"/>
        <v>2128.7160895257612</v>
      </c>
      <c r="AP44" s="732">
        <f t="shared" si="135"/>
        <v>2128.7160895257612</v>
      </c>
      <c r="AQ44" s="762">
        <f t="shared" si="135"/>
        <v>2128.7160895257612</v>
      </c>
      <c r="AR44" s="731"/>
      <c r="AS44" s="493" t="s">
        <v>880</v>
      </c>
      <c r="AV44" s="732">
        <f>AV41*AV37</f>
        <v>1243.7036669805202</v>
      </c>
      <c r="AW44" s="732">
        <f t="shared" ref="AW44:BB44" si="136">AV47</f>
        <v>1243.7036669805202</v>
      </c>
      <c r="AX44" s="732">
        <f t="shared" ca="1" si="136"/>
        <v>1250.4552011727001</v>
      </c>
      <c r="AY44" s="732">
        <f t="shared" ca="1" si="136"/>
        <v>1439.023845509543</v>
      </c>
      <c r="AZ44" s="732">
        <f t="shared" ca="1" si="136"/>
        <v>2168.0342259724225</v>
      </c>
      <c r="BA44" s="732">
        <f t="shared" ca="1" si="136"/>
        <v>2523.6285724038894</v>
      </c>
      <c r="BB44" s="762">
        <f t="shared" ca="1" si="136"/>
        <v>2545.0399957695058</v>
      </c>
      <c r="BD44" s="493" t="s">
        <v>880</v>
      </c>
      <c r="BG44" s="732">
        <f>BG41*BG37</f>
        <v>0</v>
      </c>
      <c r="BH44" s="732">
        <f t="shared" ref="BH44:BM44" si="137">BG47</f>
        <v>0</v>
      </c>
      <c r="BI44" s="732">
        <f t="shared" si="137"/>
        <v>0</v>
      </c>
      <c r="BJ44" s="732">
        <f t="shared" si="137"/>
        <v>0</v>
      </c>
      <c r="BK44" s="732">
        <f t="shared" si="137"/>
        <v>218.10439618854232</v>
      </c>
      <c r="BL44" s="732">
        <f t="shared" si="137"/>
        <v>270.47240963128598</v>
      </c>
      <c r="BM44" s="762">
        <f t="shared" si="137"/>
        <v>318.87643306919665</v>
      </c>
    </row>
    <row r="45" spans="2:65">
      <c r="B45" s="493" t="str">
        <f t="shared" si="131"/>
        <v>Cork</v>
      </c>
      <c r="D45" s="732">
        <f>AK42</f>
        <v>0</v>
      </c>
      <c r="E45" s="732">
        <f t="shared" ref="E45:J45" si="138">AL42</f>
        <v>23414.773641958807</v>
      </c>
      <c r="F45" s="732">
        <f t="shared" si="138"/>
        <v>0</v>
      </c>
      <c r="G45" s="732">
        <f t="shared" si="138"/>
        <v>0</v>
      </c>
      <c r="H45" s="732">
        <f t="shared" si="138"/>
        <v>0</v>
      </c>
      <c r="I45" s="732">
        <f t="shared" si="138"/>
        <v>0</v>
      </c>
      <c r="J45" s="762">
        <f t="shared" si="138"/>
        <v>0</v>
      </c>
      <c r="L45" s="493" t="s">
        <v>877</v>
      </c>
      <c r="O45" s="115">
        <f t="shared" ref="O45:U45" si="139">-(O46+O44-O47)</f>
        <v>0</v>
      </c>
      <c r="P45" s="115">
        <f t="shared" si="139"/>
        <v>-150.09939875512273</v>
      </c>
      <c r="Q45" s="115">
        <f t="shared" si="139"/>
        <v>-252.32331584905731</v>
      </c>
      <c r="R45" s="115">
        <f t="shared" si="139"/>
        <v>-302.34213213751792</v>
      </c>
      <c r="S45" s="115">
        <f t="shared" si="139"/>
        <v>-309.86239658135298</v>
      </c>
      <c r="T45" s="115">
        <f t="shared" si="139"/>
        <v>-316.0638621656567</v>
      </c>
      <c r="U45" s="508">
        <f t="shared" si="139"/>
        <v>-322.38370540705972</v>
      </c>
      <c r="W45" s="493" t="s">
        <v>877</v>
      </c>
      <c r="Z45" s="115">
        <f t="shared" ref="Z45:AF45" si="140">-(Z46+Z44-Z47)</f>
        <v>-337.08700907054151</v>
      </c>
      <c r="AA45" s="115">
        <f t="shared" si="140"/>
        <v>0</v>
      </c>
      <c r="AB45" s="115">
        <f t="shared" si="140"/>
        <v>0</v>
      </c>
      <c r="AC45" s="115">
        <f t="shared" si="140"/>
        <v>0</v>
      </c>
      <c r="AD45" s="115">
        <f t="shared" si="140"/>
        <v>0</v>
      </c>
      <c r="AE45" s="115">
        <f t="shared" si="140"/>
        <v>0</v>
      </c>
      <c r="AF45" s="508">
        <f t="shared" si="140"/>
        <v>0</v>
      </c>
      <c r="AG45" s="731"/>
      <c r="AH45" s="493" t="s">
        <v>877</v>
      </c>
      <c r="AK45" s="115">
        <f t="shared" ref="AK45:AQ45" si="141">-(AK46+AK44-AK47)</f>
        <v>0</v>
      </c>
      <c r="AL45" s="115">
        <f t="shared" si="141"/>
        <v>-21286.057552433045</v>
      </c>
      <c r="AM45" s="115">
        <f t="shared" si="141"/>
        <v>0</v>
      </c>
      <c r="AN45" s="115">
        <f t="shared" si="141"/>
        <v>0</v>
      </c>
      <c r="AO45" s="115">
        <f t="shared" si="141"/>
        <v>0</v>
      </c>
      <c r="AP45" s="115">
        <f t="shared" si="141"/>
        <v>0</v>
      </c>
      <c r="AQ45" s="508">
        <f t="shared" si="141"/>
        <v>0</v>
      </c>
      <c r="AR45" s="731"/>
      <c r="AS45" s="493" t="s">
        <v>877</v>
      </c>
      <c r="AV45" s="115">
        <f t="shared" ref="AV45:BB45" si="142">-(AV46+AV44-AV47)</f>
        <v>0</v>
      </c>
      <c r="AW45" s="115">
        <f t="shared" ca="1" si="142"/>
        <v>-13748.255678707519</v>
      </c>
      <c r="AX45" s="115">
        <f t="shared" ca="1" si="142"/>
        <v>-15641.068792828482</v>
      </c>
      <c r="AY45" s="115">
        <f t="shared" ca="1" si="142"/>
        <v>-23117.452908775973</v>
      </c>
      <c r="AZ45" s="115">
        <f t="shared" ca="1" si="142"/>
        <v>-27405.100534166097</v>
      </c>
      <c r="BA45" s="115">
        <f t="shared" ca="1" si="142"/>
        <v>-27973.630432180013</v>
      </c>
      <c r="BB45" s="508">
        <f t="shared" ca="1" si="142"/>
        <v>-28533.684263785257</v>
      </c>
      <c r="BD45" s="493" t="s">
        <v>877</v>
      </c>
      <c r="BG45" s="115">
        <f t="shared" ref="BG45:BM45" si="143">-(BG46+BG44-BG47)</f>
        <v>0</v>
      </c>
      <c r="BH45" s="115">
        <f t="shared" si="143"/>
        <v>0</v>
      </c>
      <c r="BI45" s="115">
        <f t="shared" si="143"/>
        <v>0</v>
      </c>
      <c r="BJ45" s="115">
        <f t="shared" si="143"/>
        <v>-2181.043961885423</v>
      </c>
      <c r="BK45" s="115">
        <f t="shared" si="143"/>
        <v>-2922.8284925014023</v>
      </c>
      <c r="BL45" s="115">
        <f t="shared" si="143"/>
        <v>-3458.0424465664391</v>
      </c>
      <c r="BM45" s="508">
        <f t="shared" si="143"/>
        <v>-3526.3434039928616</v>
      </c>
    </row>
    <row r="46" spans="2:65">
      <c r="B46" s="493" t="str">
        <f t="shared" si="131"/>
        <v>Labels</v>
      </c>
      <c r="D46" s="732">
        <f>AK63</f>
        <v>0</v>
      </c>
      <c r="E46" s="732">
        <f t="shared" ref="E46:J46" si="144">AL63</f>
        <v>9063.783046291237</v>
      </c>
      <c r="F46" s="732">
        <f t="shared" si="144"/>
        <v>0</v>
      </c>
      <c r="G46" s="732">
        <f t="shared" si="144"/>
        <v>0</v>
      </c>
      <c r="H46" s="732">
        <f t="shared" si="144"/>
        <v>0</v>
      </c>
      <c r="I46" s="732">
        <f t="shared" si="144"/>
        <v>0</v>
      </c>
      <c r="J46" s="762">
        <f t="shared" si="144"/>
        <v>0</v>
      </c>
      <c r="L46" s="493" t="s">
        <v>878</v>
      </c>
      <c r="O46" s="816">
        <f>O38*O41</f>
        <v>0</v>
      </c>
      <c r="P46" s="816">
        <f t="shared" ref="P46:U46" si="145">P38*P41</f>
        <v>165.13583455274537</v>
      </c>
      <c r="Q46" s="816">
        <f t="shared" si="145"/>
        <v>261.00205513630186</v>
      </c>
      <c r="R46" s="816">
        <f t="shared" si="145"/>
        <v>306.46897798989306</v>
      </c>
      <c r="S46" s="816">
        <f t="shared" si="145"/>
        <v>310.20835436626624</v>
      </c>
      <c r="T46" s="816">
        <f t="shared" si="145"/>
        <v>316.69932183560257</v>
      </c>
      <c r="U46" s="817">
        <f t="shared" si="145"/>
        <v>322.88704007748896</v>
      </c>
      <c r="W46" s="493" t="s">
        <v>878</v>
      </c>
      <c r="Z46" s="816">
        <f>Z38*Z41</f>
        <v>370.81490992115391</v>
      </c>
      <c r="AA46" s="816">
        <f t="shared" ref="AA46:AF46" si="146">AA38*AA41</f>
        <v>0</v>
      </c>
      <c r="AB46" s="816">
        <f t="shared" si="146"/>
        <v>0</v>
      </c>
      <c r="AC46" s="816">
        <f t="shared" si="146"/>
        <v>0</v>
      </c>
      <c r="AD46" s="816">
        <f t="shared" si="146"/>
        <v>0</v>
      </c>
      <c r="AE46" s="816">
        <f t="shared" si="146"/>
        <v>0</v>
      </c>
      <c r="AF46" s="817">
        <f t="shared" si="146"/>
        <v>0</v>
      </c>
      <c r="AG46" s="731"/>
      <c r="AH46" s="493" t="s">
        <v>878</v>
      </c>
      <c r="AK46" s="816">
        <f>AK38*AK41</f>
        <v>0</v>
      </c>
      <c r="AL46" s="816">
        <f t="shared" ref="AL46:AQ46" si="147">AL38*AL41</f>
        <v>23414.773641958807</v>
      </c>
      <c r="AM46" s="816">
        <f t="shared" si="147"/>
        <v>0</v>
      </c>
      <c r="AN46" s="816">
        <f t="shared" si="147"/>
        <v>0</v>
      </c>
      <c r="AO46" s="816">
        <f t="shared" si="147"/>
        <v>0</v>
      </c>
      <c r="AP46" s="816">
        <f t="shared" si="147"/>
        <v>0</v>
      </c>
      <c r="AQ46" s="817">
        <f t="shared" si="147"/>
        <v>0</v>
      </c>
      <c r="AR46" s="731"/>
      <c r="AS46" s="493" t="s">
        <v>878</v>
      </c>
      <c r="AV46" s="816">
        <f>AV38*AV41</f>
        <v>0</v>
      </c>
      <c r="AW46" s="816">
        <f t="shared" ref="AW46:BB46" ca="1" si="148">AW38*AW41</f>
        <v>13755.0072128997</v>
      </c>
      <c r="AX46" s="816">
        <f t="shared" ca="1" si="148"/>
        <v>15829.637437165326</v>
      </c>
      <c r="AY46" s="816">
        <f t="shared" ca="1" si="148"/>
        <v>23846.463289238854</v>
      </c>
      <c r="AZ46" s="816">
        <f t="shared" ca="1" si="148"/>
        <v>27760.694880597563</v>
      </c>
      <c r="BA46" s="816">
        <f t="shared" ca="1" si="148"/>
        <v>27995.041855545627</v>
      </c>
      <c r="BB46" s="817">
        <f t="shared" ca="1" si="148"/>
        <v>28587.427482841864</v>
      </c>
      <c r="BD46" s="493" t="s">
        <v>878</v>
      </c>
      <c r="BG46" s="816">
        <f>BG38*BG41</f>
        <v>0</v>
      </c>
      <c r="BH46" s="816">
        <f t="shared" ref="BH46:BM46" si="149">BH38*BH41</f>
        <v>0</v>
      </c>
      <c r="BI46" s="816">
        <f t="shared" si="149"/>
        <v>0</v>
      </c>
      <c r="BJ46" s="816">
        <f t="shared" si="149"/>
        <v>2399.1483580739655</v>
      </c>
      <c r="BK46" s="816">
        <f t="shared" si="149"/>
        <v>2975.1965059441459</v>
      </c>
      <c r="BL46" s="816">
        <f t="shared" si="149"/>
        <v>3506.4464700043495</v>
      </c>
      <c r="BM46" s="817">
        <f t="shared" si="149"/>
        <v>3528.2542740037634</v>
      </c>
    </row>
    <row r="47" spans="2:65">
      <c r="B47" s="493" t="str">
        <f t="shared" si="131"/>
        <v>Capsules</v>
      </c>
      <c r="D47" s="732">
        <f>AK84</f>
        <v>0</v>
      </c>
      <c r="E47" s="732">
        <f t="shared" ref="E47:J47" si="150">AL84</f>
        <v>9063.783046291237</v>
      </c>
      <c r="F47" s="732">
        <f t="shared" si="150"/>
        <v>0</v>
      </c>
      <c r="G47" s="732">
        <f t="shared" si="150"/>
        <v>0</v>
      </c>
      <c r="H47" s="732">
        <f t="shared" si="150"/>
        <v>0</v>
      </c>
      <c r="I47" s="732">
        <f t="shared" si="150"/>
        <v>0</v>
      </c>
      <c r="J47" s="762">
        <f t="shared" si="150"/>
        <v>0</v>
      </c>
      <c r="L47" s="743" t="s">
        <v>879</v>
      </c>
      <c r="O47" s="732">
        <f>O53</f>
        <v>0</v>
      </c>
      <c r="P47" s="732">
        <f t="shared" ref="P47:U47" si="151">P53</f>
        <v>15.036435797622623</v>
      </c>
      <c r="Q47" s="732">
        <f t="shared" si="151"/>
        <v>23.715175084867191</v>
      </c>
      <c r="R47" s="732">
        <f t="shared" si="151"/>
        <v>27.842020937242367</v>
      </c>
      <c r="S47" s="732">
        <f t="shared" si="151"/>
        <v>28.187978722155624</v>
      </c>
      <c r="T47" s="732">
        <f t="shared" si="151"/>
        <v>28.823438392101476</v>
      </c>
      <c r="U47" s="762">
        <f t="shared" si="151"/>
        <v>29.326773062530705</v>
      </c>
      <c r="W47" s="743" t="s">
        <v>879</v>
      </c>
      <c r="Z47" s="732">
        <f>Z53</f>
        <v>33.727900850612379</v>
      </c>
      <c r="AA47" s="732">
        <f t="shared" ref="AA47:AF47" si="152">AA53</f>
        <v>33.727900850612379</v>
      </c>
      <c r="AB47" s="732">
        <f t="shared" si="152"/>
        <v>33.727900850612379</v>
      </c>
      <c r="AC47" s="732">
        <f t="shared" si="152"/>
        <v>33.727900850612379</v>
      </c>
      <c r="AD47" s="732">
        <f t="shared" si="152"/>
        <v>33.727900850612379</v>
      </c>
      <c r="AE47" s="732">
        <f t="shared" si="152"/>
        <v>33.727900850612379</v>
      </c>
      <c r="AF47" s="762">
        <f t="shared" si="152"/>
        <v>33.727900850612379</v>
      </c>
      <c r="AG47" s="731"/>
      <c r="AH47" s="743" t="s">
        <v>879</v>
      </c>
      <c r="AK47" s="732">
        <f>AK53</f>
        <v>0</v>
      </c>
      <c r="AL47" s="732">
        <f t="shared" ref="AL47:AQ47" si="153">AL53</f>
        <v>2128.7160895257612</v>
      </c>
      <c r="AM47" s="732">
        <f t="shared" si="153"/>
        <v>2128.7160895257612</v>
      </c>
      <c r="AN47" s="732">
        <f t="shared" si="153"/>
        <v>2128.7160895257612</v>
      </c>
      <c r="AO47" s="732">
        <f t="shared" si="153"/>
        <v>2128.7160895257612</v>
      </c>
      <c r="AP47" s="732">
        <f t="shared" si="153"/>
        <v>2128.7160895257612</v>
      </c>
      <c r="AQ47" s="762">
        <f t="shared" si="153"/>
        <v>2128.7160895257612</v>
      </c>
      <c r="AR47" s="731"/>
      <c r="AS47" s="743" t="s">
        <v>879</v>
      </c>
      <c r="AV47" s="732">
        <f>AV53</f>
        <v>1243.7036669805202</v>
      </c>
      <c r="AW47" s="732">
        <f t="shared" ref="AW47:BB47" ca="1" si="154">AW53</f>
        <v>1250.4552011727001</v>
      </c>
      <c r="AX47" s="732">
        <f t="shared" ca="1" si="154"/>
        <v>1439.023845509543</v>
      </c>
      <c r="AY47" s="732">
        <f t="shared" ca="1" si="154"/>
        <v>2168.0342259724225</v>
      </c>
      <c r="AZ47" s="732">
        <f t="shared" ca="1" si="154"/>
        <v>2523.6285724038894</v>
      </c>
      <c r="BA47" s="732">
        <f t="shared" ca="1" si="154"/>
        <v>2545.0399957695058</v>
      </c>
      <c r="BB47" s="762">
        <f t="shared" ca="1" si="154"/>
        <v>2598.7832148261118</v>
      </c>
      <c r="BD47" s="743" t="s">
        <v>879</v>
      </c>
      <c r="BG47" s="732">
        <f>BG53</f>
        <v>0</v>
      </c>
      <c r="BH47" s="732">
        <f t="shared" ref="BH47:BM47" si="155">BH53</f>
        <v>0</v>
      </c>
      <c r="BI47" s="732">
        <f t="shared" si="155"/>
        <v>0</v>
      </c>
      <c r="BJ47" s="732">
        <f t="shared" si="155"/>
        <v>218.10439618854232</v>
      </c>
      <c r="BK47" s="732">
        <f t="shared" si="155"/>
        <v>270.47240963128598</v>
      </c>
      <c r="BL47" s="732">
        <f t="shared" si="155"/>
        <v>318.87643306919665</v>
      </c>
      <c r="BM47" s="762">
        <f t="shared" si="155"/>
        <v>320.78730308009818</v>
      </c>
    </row>
    <row r="48" spans="2:65">
      <c r="B48" s="493" t="str">
        <f t="shared" si="131"/>
        <v>Carton boxes</v>
      </c>
      <c r="D48" s="732">
        <f>AK105</f>
        <v>0</v>
      </c>
      <c r="E48" s="732">
        <f t="shared" ref="E48:J48" si="156">AL105</f>
        <v>11585.596711231598</v>
      </c>
      <c r="F48" s="732">
        <f t="shared" si="156"/>
        <v>0</v>
      </c>
      <c r="G48" s="732">
        <f t="shared" si="156"/>
        <v>0</v>
      </c>
      <c r="H48" s="732">
        <f t="shared" si="156"/>
        <v>0</v>
      </c>
      <c r="I48" s="732">
        <f t="shared" si="156"/>
        <v>0</v>
      </c>
      <c r="J48" s="762">
        <f t="shared" si="156"/>
        <v>0</v>
      </c>
      <c r="L48" s="743"/>
      <c r="O48" s="562"/>
      <c r="P48" s="562"/>
      <c r="Q48" s="562"/>
      <c r="R48" s="562"/>
      <c r="S48" s="562"/>
      <c r="T48" s="562"/>
      <c r="U48" s="563"/>
      <c r="W48" s="743"/>
      <c r="Z48" s="562"/>
      <c r="AA48" s="562"/>
      <c r="AB48" s="562"/>
      <c r="AC48" s="562"/>
      <c r="AD48" s="562"/>
      <c r="AE48" s="562"/>
      <c r="AF48" s="563"/>
      <c r="AH48" s="743"/>
      <c r="AK48" s="562"/>
      <c r="AL48" s="562"/>
      <c r="AM48" s="562"/>
      <c r="AN48" s="562"/>
      <c r="AO48" s="562"/>
      <c r="AP48" s="562"/>
      <c r="AQ48" s="563"/>
      <c r="AS48" s="743"/>
      <c r="AV48" s="562"/>
      <c r="AW48" s="562"/>
      <c r="AX48" s="562"/>
      <c r="AY48" s="562"/>
      <c r="AZ48" s="562"/>
      <c r="BA48" s="562"/>
      <c r="BB48" s="563"/>
      <c r="BD48" s="743"/>
      <c r="BG48" s="562"/>
      <c r="BH48" s="562"/>
      <c r="BI48" s="562"/>
      <c r="BJ48" s="562"/>
      <c r="BK48" s="562"/>
      <c r="BL48" s="562"/>
      <c r="BM48" s="563"/>
    </row>
    <row r="49" spans="2:65">
      <c r="B49" s="493" t="str">
        <f t="shared" si="131"/>
        <v>Folio</v>
      </c>
      <c r="D49" s="738">
        <f>AK126</f>
        <v>0</v>
      </c>
      <c r="E49" s="738">
        <f t="shared" ref="E49:J49" si="157">AL126</f>
        <v>536.41312773002278</v>
      </c>
      <c r="F49" s="738">
        <f t="shared" si="157"/>
        <v>0</v>
      </c>
      <c r="G49" s="738">
        <f t="shared" si="157"/>
        <v>0</v>
      </c>
      <c r="H49" s="738">
        <f t="shared" si="157"/>
        <v>0</v>
      </c>
      <c r="I49" s="738">
        <f t="shared" si="157"/>
        <v>0</v>
      </c>
      <c r="J49" s="770">
        <f t="shared" si="157"/>
        <v>0</v>
      </c>
      <c r="L49" s="493" t="str">
        <f>L28</f>
        <v>Costs production</v>
      </c>
      <c r="O49" s="115">
        <f>-O45</f>
        <v>0</v>
      </c>
      <c r="P49" s="115">
        <f t="shared" ref="P49:U49" si="158">-P45</f>
        <v>150.09939875512273</v>
      </c>
      <c r="Q49" s="115">
        <f t="shared" si="158"/>
        <v>252.32331584905731</v>
      </c>
      <c r="R49" s="115">
        <f t="shared" si="158"/>
        <v>302.34213213751792</v>
      </c>
      <c r="S49" s="115">
        <f t="shared" si="158"/>
        <v>309.86239658135298</v>
      </c>
      <c r="T49" s="115">
        <f t="shared" si="158"/>
        <v>316.0638621656567</v>
      </c>
      <c r="U49" s="508">
        <f t="shared" si="158"/>
        <v>322.38370540705972</v>
      </c>
      <c r="W49" s="493" t="str">
        <f>W28</f>
        <v>Costs production</v>
      </c>
      <c r="Z49" s="115">
        <f>-Z45</f>
        <v>337.08700907054151</v>
      </c>
      <c r="AA49" s="115">
        <f t="shared" ref="AA49:AF49" si="159">-AA45</f>
        <v>0</v>
      </c>
      <c r="AB49" s="115">
        <f t="shared" si="159"/>
        <v>0</v>
      </c>
      <c r="AC49" s="115">
        <f t="shared" si="159"/>
        <v>0</v>
      </c>
      <c r="AD49" s="115">
        <f t="shared" si="159"/>
        <v>0</v>
      </c>
      <c r="AE49" s="115">
        <f t="shared" si="159"/>
        <v>0</v>
      </c>
      <c r="AF49" s="508">
        <f t="shared" si="159"/>
        <v>0</v>
      </c>
      <c r="AH49" s="493" t="str">
        <f>AH28</f>
        <v>Costs production</v>
      </c>
      <c r="AK49" s="115">
        <f>-AK45</f>
        <v>0</v>
      </c>
      <c r="AL49" s="115">
        <f t="shared" ref="AL49:AQ49" si="160">-AL45</f>
        <v>21286.057552433045</v>
      </c>
      <c r="AM49" s="115">
        <f t="shared" si="160"/>
        <v>0</v>
      </c>
      <c r="AN49" s="115">
        <f t="shared" si="160"/>
        <v>0</v>
      </c>
      <c r="AO49" s="115">
        <f t="shared" si="160"/>
        <v>0</v>
      </c>
      <c r="AP49" s="115">
        <f t="shared" si="160"/>
        <v>0</v>
      </c>
      <c r="AQ49" s="508">
        <f t="shared" si="160"/>
        <v>0</v>
      </c>
      <c r="AS49" s="493" t="str">
        <f>AS28</f>
        <v>Costs production</v>
      </c>
      <c r="AV49" s="115">
        <f>-AV45</f>
        <v>0</v>
      </c>
      <c r="AW49" s="115">
        <f t="shared" ref="AW49:BB49" ca="1" si="161">-AW45</f>
        <v>13748.255678707519</v>
      </c>
      <c r="AX49" s="115">
        <f t="shared" ca="1" si="161"/>
        <v>15641.068792828482</v>
      </c>
      <c r="AY49" s="115">
        <f t="shared" ca="1" si="161"/>
        <v>23117.452908775973</v>
      </c>
      <c r="AZ49" s="115">
        <f t="shared" ca="1" si="161"/>
        <v>27405.100534166097</v>
      </c>
      <c r="BA49" s="115">
        <f t="shared" ca="1" si="161"/>
        <v>27973.630432180013</v>
      </c>
      <c r="BB49" s="508">
        <f t="shared" ca="1" si="161"/>
        <v>28533.684263785257</v>
      </c>
      <c r="BD49" s="493" t="str">
        <f>BD28</f>
        <v>Costs production</v>
      </c>
      <c r="BG49" s="115">
        <f>-BG45</f>
        <v>0</v>
      </c>
      <c r="BH49" s="115">
        <f t="shared" ref="BH49:BM49" si="162">-BH45</f>
        <v>0</v>
      </c>
      <c r="BI49" s="115">
        <f t="shared" si="162"/>
        <v>0</v>
      </c>
      <c r="BJ49" s="115">
        <f t="shared" si="162"/>
        <v>2181.043961885423</v>
      </c>
      <c r="BK49" s="115">
        <f t="shared" si="162"/>
        <v>2922.8284925014023</v>
      </c>
      <c r="BL49" s="115">
        <f t="shared" si="162"/>
        <v>3458.0424465664391</v>
      </c>
      <c r="BM49" s="508">
        <f t="shared" si="162"/>
        <v>3526.3434039928616</v>
      </c>
    </row>
    <row r="50" spans="2:65">
      <c r="B50" s="493" t="str">
        <f t="shared" si="131"/>
        <v>Pellets</v>
      </c>
      <c r="D50" s="733">
        <f>AK148</f>
        <v>0</v>
      </c>
      <c r="E50" s="733">
        <f t="shared" ref="E50:J50" si="163">AL148</f>
        <v>2666.5739999999996</v>
      </c>
      <c r="F50" s="733">
        <f t="shared" si="163"/>
        <v>0</v>
      </c>
      <c r="G50" s="733">
        <f t="shared" si="163"/>
        <v>0</v>
      </c>
      <c r="H50" s="733">
        <f t="shared" si="163"/>
        <v>0</v>
      </c>
      <c r="I50" s="733">
        <f t="shared" si="163"/>
        <v>0</v>
      </c>
      <c r="J50" s="771">
        <f t="shared" si="163"/>
        <v>0</v>
      </c>
      <c r="L50" s="493" t="str">
        <f>L29</f>
        <v>Per bottle</v>
      </c>
      <c r="O50" s="758">
        <f>IF(O36=0,O52,O49/O36)</f>
        <v>0.35534390485157719</v>
      </c>
      <c r="P50" s="758">
        <f t="shared" ref="P50:U50" si="164">P49/P36</f>
        <v>6.6239805275870575E-2</v>
      </c>
      <c r="Q50" s="758">
        <f t="shared" si="164"/>
        <v>6.7484171128391904E-2</v>
      </c>
      <c r="R50" s="758">
        <f t="shared" si="164"/>
        <v>6.8807949963021836E-2</v>
      </c>
      <c r="S50" s="758">
        <f t="shared" si="164"/>
        <v>7.0168115167878839E-2</v>
      </c>
      <c r="T50" s="758">
        <f t="shared" si="164"/>
        <v>7.1572432555628784E-2</v>
      </c>
      <c r="U50" s="463">
        <f t="shared" si="164"/>
        <v>7.3003556478047946E-2</v>
      </c>
      <c r="W50" s="493" t="str">
        <f>W29</f>
        <v>Per bottle</v>
      </c>
      <c r="Z50" s="758">
        <f t="shared" ref="Z50:AF50" si="165">IF(Z36=0,0,Z49/Z36)</f>
        <v>6.3999811860744549E-2</v>
      </c>
      <c r="AA50" s="758">
        <f t="shared" si="165"/>
        <v>0</v>
      </c>
      <c r="AB50" s="758">
        <f t="shared" si="165"/>
        <v>0</v>
      </c>
      <c r="AC50" s="758">
        <f t="shared" si="165"/>
        <v>0</v>
      </c>
      <c r="AD50" s="758">
        <f t="shared" si="165"/>
        <v>0</v>
      </c>
      <c r="AE50" s="758">
        <f t="shared" si="165"/>
        <v>0</v>
      </c>
      <c r="AF50" s="463">
        <f t="shared" si="165"/>
        <v>0</v>
      </c>
      <c r="AH50" s="493" t="str">
        <f>AH29</f>
        <v>Per bottle</v>
      </c>
      <c r="AK50" s="758">
        <f t="shared" ref="AK50:AQ50" si="166">IF(AK36=0,0,AK49/AK36)</f>
        <v>0</v>
      </c>
      <c r="AL50" s="758">
        <f t="shared" si="166"/>
        <v>0.36778094152138235</v>
      </c>
      <c r="AM50" s="758">
        <f t="shared" si="166"/>
        <v>0</v>
      </c>
      <c r="AN50" s="758">
        <f t="shared" si="166"/>
        <v>0</v>
      </c>
      <c r="AO50" s="758">
        <f t="shared" si="166"/>
        <v>0</v>
      </c>
      <c r="AP50" s="758">
        <f t="shared" si="166"/>
        <v>0</v>
      </c>
      <c r="AQ50" s="463">
        <f t="shared" si="166"/>
        <v>0</v>
      </c>
      <c r="AS50" s="493" t="str">
        <f>AS29</f>
        <v>Per bottle</v>
      </c>
      <c r="AV50" s="758">
        <f t="shared" ref="AV50:BB50" si="167">IF(AV36=0,AV52,AV49/AV36)</f>
        <v>0.35534390485157719</v>
      </c>
      <c r="AW50" s="758">
        <f t="shared" ca="1" si="167"/>
        <v>0.3666201514322005</v>
      </c>
      <c r="AX50" s="758">
        <f t="shared" ca="1" si="167"/>
        <v>0.37453769768033529</v>
      </c>
      <c r="AY50" s="758">
        <f t="shared" ca="1" si="167"/>
        <v>0.38216351041933466</v>
      </c>
      <c r="AZ50" s="758">
        <f t="shared" ca="1" si="167"/>
        <v>0.38967552801396454</v>
      </c>
      <c r="BA50" s="758">
        <f t="shared" ca="1" si="167"/>
        <v>0.39738092807983538</v>
      </c>
      <c r="BB50" s="463">
        <f t="shared" ca="1" si="167"/>
        <v>0.40533680323581583</v>
      </c>
      <c r="BD50" s="493" t="str">
        <f>BD29</f>
        <v>Per bottle</v>
      </c>
      <c r="BG50" s="758">
        <f t="shared" ref="BG50:BM50" si="168">IF(BG36=0,BG52,BG49/BG36)</f>
        <v>0.35534390485157719</v>
      </c>
      <c r="BH50" s="758">
        <f t="shared" si="168"/>
        <v>0.35534390485157719</v>
      </c>
      <c r="BI50" s="758">
        <f t="shared" si="168"/>
        <v>0.35534390485157719</v>
      </c>
      <c r="BJ50" s="758">
        <f t="shared" si="168"/>
        <v>0.38263929155884613</v>
      </c>
      <c r="BK50" s="758">
        <f t="shared" si="168"/>
        <v>0.38971046566685363</v>
      </c>
      <c r="BL50" s="758">
        <f t="shared" si="168"/>
        <v>0.39747614328349873</v>
      </c>
      <c r="BM50" s="463">
        <f t="shared" si="168"/>
        <v>0.40532682804515652</v>
      </c>
    </row>
    <row r="51" spans="2:65">
      <c r="B51" s="743" t="str">
        <f>B41</f>
        <v>Total</v>
      </c>
      <c r="D51" s="772">
        <f t="shared" ref="D51:J51" si="169">SUM(D44:D50)</f>
        <v>0</v>
      </c>
      <c r="E51" s="772">
        <f t="shared" si="169"/>
        <v>116515.00899589471</v>
      </c>
      <c r="F51" s="772">
        <f t="shared" si="169"/>
        <v>0</v>
      </c>
      <c r="G51" s="772">
        <f t="shared" si="169"/>
        <v>0</v>
      </c>
      <c r="H51" s="772">
        <f t="shared" si="169"/>
        <v>0</v>
      </c>
      <c r="I51" s="772">
        <f t="shared" si="169"/>
        <v>0</v>
      </c>
      <c r="J51" s="773">
        <f t="shared" si="169"/>
        <v>0</v>
      </c>
      <c r="L51" s="743"/>
      <c r="O51" s="758"/>
      <c r="P51" s="758"/>
      <c r="Q51" s="758"/>
      <c r="R51" s="758"/>
      <c r="S51" s="758"/>
      <c r="T51" s="758"/>
      <c r="U51" s="463"/>
      <c r="W51" s="743"/>
      <c r="Z51" s="758"/>
      <c r="AA51" s="758"/>
      <c r="AB51" s="758"/>
      <c r="AC51" s="758"/>
      <c r="AD51" s="758"/>
      <c r="AE51" s="758"/>
      <c r="AF51" s="463"/>
      <c r="AH51" s="743"/>
      <c r="AK51" s="758"/>
      <c r="AL51" s="758"/>
      <c r="AM51" s="758"/>
      <c r="AN51" s="758"/>
      <c r="AO51" s="758"/>
      <c r="AP51" s="758"/>
      <c r="AQ51" s="463"/>
      <c r="AS51" s="743"/>
      <c r="AV51" s="758"/>
      <c r="AW51" s="758"/>
      <c r="AX51" s="758"/>
      <c r="AY51" s="758"/>
      <c r="AZ51" s="758"/>
      <c r="BA51" s="758"/>
      <c r="BB51" s="463"/>
      <c r="BD51" s="743"/>
      <c r="BG51" s="758"/>
      <c r="BH51" s="758"/>
      <c r="BI51" s="758"/>
      <c r="BJ51" s="758"/>
      <c r="BK51" s="758"/>
      <c r="BL51" s="758"/>
      <c r="BM51" s="463"/>
    </row>
    <row r="52" spans="2:65">
      <c r="B52" s="493"/>
      <c r="J52" s="761"/>
      <c r="L52" s="743" t="str">
        <f>L31</f>
        <v>Cost price of the inventory</v>
      </c>
      <c r="O52" s="810">
        <f>IF(O38=0,'Inv. start'!$K$35,O41)</f>
        <v>0.35534390485157719</v>
      </c>
      <c r="P52" s="810">
        <f t="shared" ref="P52:U52" si="170">IF(P38=0,O52,P41)</f>
        <v>6.6239805275870589E-2</v>
      </c>
      <c r="Q52" s="810">
        <f t="shared" si="170"/>
        <v>6.7564601381388006E-2</v>
      </c>
      <c r="R52" s="810">
        <f t="shared" si="170"/>
        <v>6.8915893409015758E-2</v>
      </c>
      <c r="S52" s="810">
        <f t="shared" si="170"/>
        <v>7.0294211277196067E-2</v>
      </c>
      <c r="T52" s="810">
        <f t="shared" si="170"/>
        <v>7.1700095502739994E-2</v>
      </c>
      <c r="U52" s="811">
        <f t="shared" si="170"/>
        <v>7.313409741279478E-2</v>
      </c>
      <c r="W52" s="743" t="str">
        <f>W31</f>
        <v>Cost price of the inventory</v>
      </c>
      <c r="Z52" s="810">
        <f>IF(Z38=0,'Inv. start'!$K$35,'Inv. mat'!Z41)</f>
        <v>6.3999811860744549E-2</v>
      </c>
      <c r="AA52" s="810">
        <f t="shared" ref="AA52:AF52" si="171">IF(AA38=0,Z52,AA41)</f>
        <v>6.3999811860744549E-2</v>
      </c>
      <c r="AB52" s="810">
        <f t="shared" si="171"/>
        <v>6.3999811860744549E-2</v>
      </c>
      <c r="AC52" s="810">
        <f t="shared" si="171"/>
        <v>6.3999811860744549E-2</v>
      </c>
      <c r="AD52" s="810">
        <f t="shared" si="171"/>
        <v>6.3999811860744549E-2</v>
      </c>
      <c r="AE52" s="810">
        <f t="shared" si="171"/>
        <v>6.3999811860744549E-2</v>
      </c>
      <c r="AF52" s="811">
        <f t="shared" si="171"/>
        <v>6.3999811860744549E-2</v>
      </c>
      <c r="AH52" s="743" t="str">
        <f>AH31</f>
        <v>Cost price of the inventory</v>
      </c>
      <c r="AK52" s="810">
        <f>IF(AK38=0,'Inv. start'!$K$35,'Inv. mat'!AK41)</f>
        <v>0.35534390485157719</v>
      </c>
      <c r="AL52" s="810">
        <f t="shared" ref="AL52:AQ52" si="172">IF(AL38=0,AK52,AL41)</f>
        <v>0.36778094152138235</v>
      </c>
      <c r="AM52" s="810">
        <f t="shared" si="172"/>
        <v>0.36778094152138235</v>
      </c>
      <c r="AN52" s="810">
        <f t="shared" si="172"/>
        <v>0.36778094152138235</v>
      </c>
      <c r="AO52" s="810">
        <f t="shared" si="172"/>
        <v>0.36778094152138235</v>
      </c>
      <c r="AP52" s="810">
        <f t="shared" si="172"/>
        <v>0.36778094152138235</v>
      </c>
      <c r="AQ52" s="811">
        <f t="shared" si="172"/>
        <v>0.36778094152138235</v>
      </c>
      <c r="AS52" s="743" t="str">
        <f>AS31</f>
        <v>Cost price of the inventory</v>
      </c>
      <c r="AV52" s="730">
        <f>IF(AV38=0,'Inv. start'!$K$35,'Inv. mat'!AV41)</f>
        <v>0.35534390485157719</v>
      </c>
      <c r="AW52" s="810">
        <f t="shared" ref="AW52:BB52" ca="1" si="173">IF(AW38=0,AV52,AW41)</f>
        <v>0.36778094152138235</v>
      </c>
      <c r="AX52" s="810">
        <f t="shared" ca="1" si="173"/>
        <v>0.37513656035180998</v>
      </c>
      <c r="AY52" s="810">
        <f t="shared" ca="1" si="173"/>
        <v>0.38263929155884618</v>
      </c>
      <c r="AZ52" s="810">
        <f t="shared" ca="1" si="173"/>
        <v>0.39029207739002308</v>
      </c>
      <c r="BA52" s="810">
        <f t="shared" ca="1" si="173"/>
        <v>0.39809791893782354</v>
      </c>
      <c r="BB52" s="811">
        <f t="shared" ca="1" si="173"/>
        <v>0.40605987731658</v>
      </c>
      <c r="BD52" s="743" t="str">
        <f>BD31</f>
        <v>Cost price of the inventory</v>
      </c>
      <c r="BG52" s="730">
        <f>IF(BG38=0,'Inv. start'!$K$35,'Inv. mat'!BG41)</f>
        <v>0.35534390485157719</v>
      </c>
      <c r="BH52" s="810">
        <f t="shared" ref="BH52:BM52" si="174">IF(BH38=0,BG52,BH41)</f>
        <v>0.35534390485157719</v>
      </c>
      <c r="BI52" s="810">
        <f t="shared" si="174"/>
        <v>0.35534390485157719</v>
      </c>
      <c r="BJ52" s="810">
        <f t="shared" si="174"/>
        <v>0.38263929155884618</v>
      </c>
      <c r="BK52" s="810">
        <f t="shared" si="174"/>
        <v>0.39029207739002308</v>
      </c>
      <c r="BL52" s="810">
        <f t="shared" si="174"/>
        <v>0.39809791893782354</v>
      </c>
      <c r="BM52" s="811">
        <f t="shared" si="174"/>
        <v>0.40605987731658</v>
      </c>
    </row>
    <row r="53" spans="2:65">
      <c r="B53" s="769" t="str">
        <f>B19</f>
        <v>Premium</v>
      </c>
      <c r="J53" s="761"/>
      <c r="L53" s="765"/>
      <c r="M53" s="755"/>
      <c r="N53" s="755"/>
      <c r="O53" s="795">
        <f>O39*O52</f>
        <v>0</v>
      </c>
      <c r="P53" s="795">
        <f t="shared" ref="P53:U53" si="175">P39*P52</f>
        <v>15.036435797622623</v>
      </c>
      <c r="Q53" s="795">
        <f t="shared" si="175"/>
        <v>23.715175084867191</v>
      </c>
      <c r="R53" s="795">
        <f t="shared" si="175"/>
        <v>27.842020937242367</v>
      </c>
      <c r="S53" s="795">
        <f t="shared" si="175"/>
        <v>28.187978722155624</v>
      </c>
      <c r="T53" s="795">
        <f t="shared" si="175"/>
        <v>28.823438392101476</v>
      </c>
      <c r="U53" s="797">
        <f t="shared" si="175"/>
        <v>29.326773062530705</v>
      </c>
      <c r="W53" s="765"/>
      <c r="X53" s="755"/>
      <c r="Y53" s="755"/>
      <c r="Z53" s="795">
        <f t="shared" ref="Z53:AF53" si="176">Z39*Z52</f>
        <v>33.727900850612379</v>
      </c>
      <c r="AA53" s="795">
        <f t="shared" si="176"/>
        <v>33.727900850612379</v>
      </c>
      <c r="AB53" s="795">
        <f t="shared" si="176"/>
        <v>33.727900850612379</v>
      </c>
      <c r="AC53" s="795">
        <f t="shared" si="176"/>
        <v>33.727900850612379</v>
      </c>
      <c r="AD53" s="795">
        <f t="shared" si="176"/>
        <v>33.727900850612379</v>
      </c>
      <c r="AE53" s="795">
        <f t="shared" si="176"/>
        <v>33.727900850612379</v>
      </c>
      <c r="AF53" s="797">
        <f t="shared" si="176"/>
        <v>33.727900850612379</v>
      </c>
      <c r="AH53" s="765"/>
      <c r="AI53" s="755"/>
      <c r="AJ53" s="755"/>
      <c r="AK53" s="795">
        <f t="shared" ref="AK53:AQ53" si="177">AK39*AK52</f>
        <v>0</v>
      </c>
      <c r="AL53" s="795">
        <f t="shared" si="177"/>
        <v>2128.7160895257612</v>
      </c>
      <c r="AM53" s="795">
        <f t="shared" si="177"/>
        <v>2128.7160895257612</v>
      </c>
      <c r="AN53" s="795">
        <f t="shared" si="177"/>
        <v>2128.7160895257612</v>
      </c>
      <c r="AO53" s="795">
        <f t="shared" si="177"/>
        <v>2128.7160895257612</v>
      </c>
      <c r="AP53" s="795">
        <f t="shared" si="177"/>
        <v>2128.7160895257612</v>
      </c>
      <c r="AQ53" s="797">
        <f t="shared" si="177"/>
        <v>2128.7160895257612</v>
      </c>
      <c r="AS53" s="765"/>
      <c r="AT53" s="755"/>
      <c r="AU53" s="755"/>
      <c r="AV53" s="795">
        <f t="shared" ref="AV53:BB53" si="178">AV39*AV52</f>
        <v>1243.7036669805202</v>
      </c>
      <c r="AW53" s="795">
        <f t="shared" ca="1" si="178"/>
        <v>1250.4552011727001</v>
      </c>
      <c r="AX53" s="795">
        <f t="shared" ca="1" si="178"/>
        <v>1439.023845509543</v>
      </c>
      <c r="AY53" s="795">
        <f t="shared" ca="1" si="178"/>
        <v>2168.0342259724225</v>
      </c>
      <c r="AZ53" s="795">
        <f t="shared" ca="1" si="178"/>
        <v>2523.6285724038894</v>
      </c>
      <c r="BA53" s="795">
        <f t="shared" ca="1" si="178"/>
        <v>2545.0399957695058</v>
      </c>
      <c r="BB53" s="797">
        <f t="shared" ca="1" si="178"/>
        <v>2598.7832148261118</v>
      </c>
      <c r="BD53" s="765"/>
      <c r="BE53" s="755"/>
      <c r="BF53" s="755"/>
      <c r="BG53" s="795">
        <f t="shared" ref="BG53:BM53" si="179">BG39*BG52</f>
        <v>0</v>
      </c>
      <c r="BH53" s="795">
        <f t="shared" si="179"/>
        <v>0</v>
      </c>
      <c r="BI53" s="795">
        <f t="shared" si="179"/>
        <v>0</v>
      </c>
      <c r="BJ53" s="795">
        <f t="shared" si="179"/>
        <v>218.10439618854232</v>
      </c>
      <c r="BK53" s="795">
        <f t="shared" si="179"/>
        <v>270.47240963128598</v>
      </c>
      <c r="BL53" s="795">
        <f t="shared" si="179"/>
        <v>318.87643306919665</v>
      </c>
      <c r="BM53" s="797">
        <f t="shared" si="179"/>
        <v>320.78730308009818</v>
      </c>
    </row>
    <row r="54" spans="2:65">
      <c r="B54" s="493" t="str">
        <f t="shared" ref="B54:B59" si="180">B34</f>
        <v>Bottles</v>
      </c>
      <c r="D54" s="732">
        <f>AV21</f>
        <v>0</v>
      </c>
      <c r="E54" s="732">
        <f t="shared" ref="E54:J54" ca="1" si="181">AW21</f>
        <v>40500.5696746412</v>
      </c>
      <c r="F54" s="732">
        <f t="shared" ca="1" si="181"/>
        <v>46278.253609584455</v>
      </c>
      <c r="G54" s="732">
        <f t="shared" ca="1" si="181"/>
        <v>69757.51290409347</v>
      </c>
      <c r="H54" s="732">
        <f t="shared" ca="1" si="181"/>
        <v>81205.11890312098</v>
      </c>
      <c r="I54" s="732">
        <f t="shared" ca="1" si="181"/>
        <v>81890.626742427427</v>
      </c>
      <c r="J54" s="762">
        <f t="shared" ca="1" si="181"/>
        <v>83623.463240504861</v>
      </c>
      <c r="L54" s="743" t="str">
        <f>B7</f>
        <v>Labels</v>
      </c>
      <c r="U54" s="761"/>
      <c r="W54" s="743" t="str">
        <f>L54</f>
        <v>Labels</v>
      </c>
      <c r="AF54" s="761"/>
      <c r="AH54" s="743" t="str">
        <f>W54</f>
        <v>Labels</v>
      </c>
      <c r="AQ54" s="761"/>
      <c r="AS54" s="743" t="str">
        <f>AH54</f>
        <v>Labels</v>
      </c>
      <c r="BB54" s="761"/>
      <c r="BD54" s="743" t="str">
        <f>AS54</f>
        <v>Labels</v>
      </c>
      <c r="BM54" s="761"/>
    </row>
    <row r="55" spans="2:65">
      <c r="B55" s="493" t="str">
        <f t="shared" si="180"/>
        <v>Cork</v>
      </c>
      <c r="D55" s="732">
        <f>AV42</f>
        <v>0</v>
      </c>
      <c r="E55" s="732">
        <f t="shared" ref="E55:J55" ca="1" si="182">AW42</f>
        <v>13755.0072128997</v>
      </c>
      <c r="F55" s="732">
        <f t="shared" ca="1" si="182"/>
        <v>15829.637437165326</v>
      </c>
      <c r="G55" s="732">
        <f t="shared" ca="1" si="182"/>
        <v>23846.463289238854</v>
      </c>
      <c r="H55" s="732">
        <f t="shared" ca="1" si="182"/>
        <v>27760.694880597563</v>
      </c>
      <c r="I55" s="732">
        <f t="shared" ca="1" si="182"/>
        <v>27995.041855545627</v>
      </c>
      <c r="J55" s="762">
        <f t="shared" ca="1" si="182"/>
        <v>28587.427482841864</v>
      </c>
      <c r="L55" s="493" t="str">
        <f>L34</f>
        <v>Margin new purchse</v>
      </c>
      <c r="M55" s="756">
        <v>0.1</v>
      </c>
      <c r="U55" s="761"/>
      <c r="W55" s="493" t="str">
        <f>W34</f>
        <v>Margin new purchse</v>
      </c>
      <c r="X55" s="756">
        <v>0.1</v>
      </c>
      <c r="Z55" s="464"/>
      <c r="AF55" s="761"/>
      <c r="AH55" s="493" t="str">
        <f>AH34</f>
        <v>Margin new purchse</v>
      </c>
      <c r="AI55" s="756">
        <v>0.1</v>
      </c>
      <c r="AK55" s="464"/>
      <c r="AQ55" s="761"/>
      <c r="AS55" s="493" t="str">
        <f>AS34</f>
        <v>Margin new purchse</v>
      </c>
      <c r="AT55" s="756">
        <v>0.1</v>
      </c>
      <c r="AV55" s="464"/>
      <c r="BB55" s="761"/>
      <c r="BD55" s="493" t="str">
        <f>BD34</f>
        <v>Margin new purchse</v>
      </c>
      <c r="BE55" s="756">
        <v>0.1</v>
      </c>
      <c r="BG55" s="464"/>
      <c r="BM55" s="761"/>
    </row>
    <row r="56" spans="2:65">
      <c r="B56" s="493" t="str">
        <f t="shared" si="180"/>
        <v>Labels</v>
      </c>
      <c r="D56" s="732">
        <f>AV63</f>
        <v>0</v>
      </c>
      <c r="E56" s="732">
        <f t="shared" ref="E56:J56" ca="1" si="183">AW63</f>
        <v>5872.630969284749</v>
      </c>
      <c r="F56" s="732">
        <f t="shared" ca="1" si="183"/>
        <v>6071.6939396239668</v>
      </c>
      <c r="G56" s="732">
        <f t="shared" ca="1" si="183"/>
        <v>9236.5172110549865</v>
      </c>
      <c r="H56" s="732">
        <f t="shared" ca="1" si="183"/>
        <v>10745.621840776977</v>
      </c>
      <c r="I56" s="732">
        <f t="shared" ca="1" si="183"/>
        <v>10836.790038226516</v>
      </c>
      <c r="J56" s="762">
        <f t="shared" ca="1" si="183"/>
        <v>11066.100596067343</v>
      </c>
      <c r="L56" s="493"/>
      <c r="U56" s="761"/>
      <c r="W56" s="493"/>
      <c r="AF56" s="761"/>
      <c r="AH56" s="493"/>
      <c r="AQ56" s="761"/>
      <c r="AS56" s="493"/>
      <c r="BB56" s="761"/>
      <c r="BD56" s="493"/>
      <c r="BM56" s="761"/>
    </row>
    <row r="57" spans="2:65">
      <c r="B57" s="493" t="str">
        <f t="shared" si="180"/>
        <v>Capsules</v>
      </c>
      <c r="D57" s="732">
        <f>AV84</f>
        <v>0</v>
      </c>
      <c r="E57" s="732">
        <f t="shared" ref="E57:J57" ca="1" si="184">AW84</f>
        <v>5872.630969284749</v>
      </c>
      <c r="F57" s="732">
        <f t="shared" ca="1" si="184"/>
        <v>6071.6939396239668</v>
      </c>
      <c r="G57" s="732">
        <f t="shared" ca="1" si="184"/>
        <v>9236.5172110549865</v>
      </c>
      <c r="H57" s="732">
        <f t="shared" ca="1" si="184"/>
        <v>10745.621840776977</v>
      </c>
      <c r="I57" s="732">
        <f t="shared" ca="1" si="184"/>
        <v>10836.790038226516</v>
      </c>
      <c r="J57" s="762">
        <f t="shared" ca="1" si="184"/>
        <v>11066.100596067343</v>
      </c>
      <c r="L57" s="743" t="s">
        <v>814</v>
      </c>
      <c r="O57" s="115">
        <f t="shared" ref="O57:U57" si="185">O36</f>
        <v>0</v>
      </c>
      <c r="P57" s="115">
        <f t="shared" si="185"/>
        <v>2266</v>
      </c>
      <c r="Q57" s="115">
        <f t="shared" si="185"/>
        <v>3739</v>
      </c>
      <c r="R57" s="115">
        <f t="shared" si="185"/>
        <v>4394</v>
      </c>
      <c r="S57" s="115">
        <f t="shared" si="185"/>
        <v>4416</v>
      </c>
      <c r="T57" s="115">
        <f t="shared" si="185"/>
        <v>4416</v>
      </c>
      <c r="U57" s="508">
        <f t="shared" si="185"/>
        <v>4416</v>
      </c>
      <c r="W57" s="743" t="s">
        <v>814</v>
      </c>
      <c r="Z57" s="115">
        <f t="shared" ref="Z57:AF57" si="186">Z36</f>
        <v>5267</v>
      </c>
      <c r="AA57" s="115">
        <f t="shared" si="186"/>
        <v>0</v>
      </c>
      <c r="AB57" s="115">
        <f t="shared" si="186"/>
        <v>0</v>
      </c>
      <c r="AC57" s="115">
        <f t="shared" si="186"/>
        <v>0</v>
      </c>
      <c r="AD57" s="115">
        <f t="shared" si="186"/>
        <v>0</v>
      </c>
      <c r="AE57" s="115">
        <f t="shared" si="186"/>
        <v>0</v>
      </c>
      <c r="AF57" s="508">
        <f t="shared" si="186"/>
        <v>0</v>
      </c>
      <c r="AH57" s="743" t="s">
        <v>814</v>
      </c>
      <c r="AK57" s="115">
        <f t="shared" ref="AK57:AQ57" si="187">AK36</f>
        <v>0</v>
      </c>
      <c r="AL57" s="115">
        <f t="shared" si="187"/>
        <v>57877</v>
      </c>
      <c r="AM57" s="115">
        <f t="shared" si="187"/>
        <v>0</v>
      </c>
      <c r="AN57" s="115">
        <f t="shared" si="187"/>
        <v>0</v>
      </c>
      <c r="AO57" s="115">
        <f t="shared" si="187"/>
        <v>0</v>
      </c>
      <c r="AP57" s="115">
        <f t="shared" si="187"/>
        <v>0</v>
      </c>
      <c r="AQ57" s="508">
        <f t="shared" si="187"/>
        <v>0</v>
      </c>
      <c r="AS57" s="743" t="s">
        <v>814</v>
      </c>
      <c r="AV57" s="115">
        <f t="shared" ref="AV57:BB57" si="188">AV36</f>
        <v>0</v>
      </c>
      <c r="AW57" s="115">
        <f t="shared" ca="1" si="188"/>
        <v>37500</v>
      </c>
      <c r="AX57" s="115">
        <f t="shared" ca="1" si="188"/>
        <v>41761</v>
      </c>
      <c r="AY57" s="115">
        <f t="shared" ca="1" si="188"/>
        <v>60491</v>
      </c>
      <c r="AZ57" s="115">
        <f t="shared" ca="1" si="188"/>
        <v>70328</v>
      </c>
      <c r="BA57" s="115">
        <f t="shared" ca="1" si="188"/>
        <v>70395</v>
      </c>
      <c r="BB57" s="508">
        <f t="shared" ca="1" si="188"/>
        <v>70395</v>
      </c>
      <c r="BD57" s="743" t="s">
        <v>814</v>
      </c>
      <c r="BG57" s="115">
        <f t="shared" ref="BG57:BM57" si="189">BG36</f>
        <v>0</v>
      </c>
      <c r="BH57" s="115">
        <f t="shared" si="189"/>
        <v>0</v>
      </c>
      <c r="BI57" s="115">
        <f t="shared" si="189"/>
        <v>0</v>
      </c>
      <c r="BJ57" s="115">
        <f t="shared" si="189"/>
        <v>5700</v>
      </c>
      <c r="BK57" s="115">
        <f t="shared" si="189"/>
        <v>7500</v>
      </c>
      <c r="BL57" s="115">
        <f t="shared" si="189"/>
        <v>8700</v>
      </c>
      <c r="BM57" s="508">
        <f t="shared" si="189"/>
        <v>8700</v>
      </c>
    </row>
    <row r="58" spans="2:65">
      <c r="B58" s="493" t="str">
        <f t="shared" si="180"/>
        <v>Carton boxes</v>
      </c>
      <c r="D58" s="732">
        <f>AV105</f>
        <v>0</v>
      </c>
      <c r="E58" s="732">
        <f t="shared" ref="E58:J58" ca="1" si="190">AW105</f>
        <v>7506.5713396419278</v>
      </c>
      <c r="F58" s="732">
        <f t="shared" ca="1" si="190"/>
        <v>7761.0195410950409</v>
      </c>
      <c r="G58" s="732">
        <f t="shared" ca="1" si="190"/>
        <v>11806.390651353884</v>
      </c>
      <c r="H58" s="732">
        <f t="shared" ca="1" si="190"/>
        <v>13735.373013985083</v>
      </c>
      <c r="I58" s="732">
        <f t="shared" ca="1" si="190"/>
        <v>13851.906911933189</v>
      </c>
      <c r="J58" s="762">
        <f t="shared" ca="1" si="190"/>
        <v>14145.018478174665</v>
      </c>
      <c r="L58" s="493" t="s">
        <v>664</v>
      </c>
      <c r="O58" s="115">
        <f>'Inv. start'!L9</f>
        <v>0</v>
      </c>
      <c r="P58" s="732">
        <f t="shared" ref="P58:U58" si="191">O60</f>
        <v>0</v>
      </c>
      <c r="Q58" s="732">
        <f t="shared" si="191"/>
        <v>227</v>
      </c>
      <c r="R58" s="732">
        <f t="shared" si="191"/>
        <v>351</v>
      </c>
      <c r="S58" s="732">
        <f t="shared" si="191"/>
        <v>404</v>
      </c>
      <c r="T58" s="732">
        <f t="shared" si="191"/>
        <v>401</v>
      </c>
      <c r="U58" s="762">
        <f t="shared" si="191"/>
        <v>402</v>
      </c>
      <c r="W58" s="493" t="s">
        <v>664</v>
      </c>
      <c r="Z58" s="115">
        <f>'Inv. start'!L10</f>
        <v>0</v>
      </c>
      <c r="AA58" s="732">
        <f t="shared" ref="AA58:AF58" si="192">Z60</f>
        <v>527</v>
      </c>
      <c r="AB58" s="732">
        <f t="shared" si="192"/>
        <v>527</v>
      </c>
      <c r="AC58" s="732">
        <f t="shared" si="192"/>
        <v>527</v>
      </c>
      <c r="AD58" s="732">
        <f t="shared" si="192"/>
        <v>527</v>
      </c>
      <c r="AE58" s="732">
        <f t="shared" si="192"/>
        <v>527</v>
      </c>
      <c r="AF58" s="762">
        <f t="shared" si="192"/>
        <v>527</v>
      </c>
      <c r="AH58" s="493" t="s">
        <v>664</v>
      </c>
      <c r="AK58" s="115">
        <f>'Inv. start'!L11</f>
        <v>0</v>
      </c>
      <c r="AL58" s="732">
        <f t="shared" ref="AL58:AQ58" si="193">AK60</f>
        <v>0</v>
      </c>
      <c r="AM58" s="732">
        <f t="shared" si="193"/>
        <v>5788</v>
      </c>
      <c r="AN58" s="732">
        <f t="shared" si="193"/>
        <v>5788</v>
      </c>
      <c r="AO58" s="732">
        <f t="shared" si="193"/>
        <v>5788</v>
      </c>
      <c r="AP58" s="732">
        <f t="shared" si="193"/>
        <v>5788</v>
      </c>
      <c r="AQ58" s="762">
        <f t="shared" si="193"/>
        <v>5788</v>
      </c>
      <c r="AS58" s="493" t="s">
        <v>664</v>
      </c>
      <c r="AV58" s="115">
        <f>'Inv. start'!L12</f>
        <v>0</v>
      </c>
      <c r="AW58" s="732">
        <f t="shared" ref="AW58:BB58" si="194">AV60</f>
        <v>0</v>
      </c>
      <c r="AX58" s="732">
        <f t="shared" ca="1" si="194"/>
        <v>3750</v>
      </c>
      <c r="AY58" s="732">
        <f t="shared" ca="1" si="194"/>
        <v>3801</v>
      </c>
      <c r="AZ58" s="732">
        <f t="shared" ca="1" si="194"/>
        <v>5669</v>
      </c>
      <c r="BA58" s="732">
        <f t="shared" ca="1" si="194"/>
        <v>6466</v>
      </c>
      <c r="BB58" s="762">
        <f t="shared" ca="1" si="194"/>
        <v>6393</v>
      </c>
      <c r="BD58" s="493" t="s">
        <v>664</v>
      </c>
      <c r="BG58" s="115">
        <f>'Inv. start'!L13</f>
        <v>0</v>
      </c>
      <c r="BH58" s="732">
        <f t="shared" ref="BH58:BM58" si="195">BG60</f>
        <v>0</v>
      </c>
      <c r="BI58" s="732">
        <f t="shared" si="195"/>
        <v>0</v>
      </c>
      <c r="BJ58" s="732">
        <f t="shared" si="195"/>
        <v>0</v>
      </c>
      <c r="BK58" s="732">
        <f t="shared" si="195"/>
        <v>570</v>
      </c>
      <c r="BL58" s="732">
        <f t="shared" si="195"/>
        <v>693</v>
      </c>
      <c r="BM58" s="762">
        <f t="shared" si="195"/>
        <v>801</v>
      </c>
    </row>
    <row r="59" spans="2:65">
      <c r="B59" s="493" t="str">
        <f t="shared" si="180"/>
        <v>Folio</v>
      </c>
      <c r="D59" s="738">
        <f>AV126</f>
        <v>0</v>
      </c>
      <c r="E59" s="738">
        <f t="shared" ref="E59:J59" ca="1" si="196">AW126</f>
        <v>454.95281642840735</v>
      </c>
      <c r="F59" s="738">
        <f t="shared" ca="1" si="196"/>
        <v>423.9681032146118</v>
      </c>
      <c r="G59" s="738">
        <f t="shared" ca="1" si="196"/>
        <v>677.04487625829347</v>
      </c>
      <c r="H59" s="738">
        <f t="shared" ca="1" si="196"/>
        <v>767.3294474030638</v>
      </c>
      <c r="I59" s="738">
        <f t="shared" ca="1" si="196"/>
        <v>767.90236955758451</v>
      </c>
      <c r="J59" s="770">
        <f t="shared" ca="1" si="196"/>
        <v>786.27424497461845</v>
      </c>
      <c r="L59" s="493" t="s">
        <v>615</v>
      </c>
      <c r="O59" s="114">
        <f>ROUND(IF(O58-O57&lt;0,-(O58-O57)*(1+$M$55)),0)</f>
        <v>0</v>
      </c>
      <c r="P59" s="114">
        <f t="shared" ref="P59:U59" si="197">ROUND(IF(P58-P57&lt;0,-(P58-P57)*(1+$M$55)),0)</f>
        <v>2493</v>
      </c>
      <c r="Q59" s="114">
        <f t="shared" si="197"/>
        <v>3863</v>
      </c>
      <c r="R59" s="114">
        <f t="shared" si="197"/>
        <v>4447</v>
      </c>
      <c r="S59" s="114">
        <f t="shared" si="197"/>
        <v>4413</v>
      </c>
      <c r="T59" s="114">
        <f t="shared" si="197"/>
        <v>4417</v>
      </c>
      <c r="U59" s="561">
        <f t="shared" si="197"/>
        <v>4415</v>
      </c>
      <c r="W59" s="493" t="s">
        <v>615</v>
      </c>
      <c r="Z59" s="114">
        <f>ROUND(IF(Z58-Z57&lt;0,-(Z58-Z57)*(1+$X$55)),0)</f>
        <v>5794</v>
      </c>
      <c r="AA59" s="114">
        <f t="shared" ref="AA59:AF59" si="198">ROUND(IF(AA58-AA57&lt;0,-(AA58-AA57)*(1+$X$55)),0)</f>
        <v>0</v>
      </c>
      <c r="AB59" s="114">
        <f t="shared" si="198"/>
        <v>0</v>
      </c>
      <c r="AC59" s="114">
        <f t="shared" si="198"/>
        <v>0</v>
      </c>
      <c r="AD59" s="114">
        <f t="shared" si="198"/>
        <v>0</v>
      </c>
      <c r="AE59" s="114">
        <f t="shared" si="198"/>
        <v>0</v>
      </c>
      <c r="AF59" s="561">
        <f t="shared" si="198"/>
        <v>0</v>
      </c>
      <c r="AH59" s="493" t="s">
        <v>615</v>
      </c>
      <c r="AK59" s="114">
        <f>ROUND(IF(AK58-AK57&lt;0,-(AK58-AK57)*(1+$AI$55)),0)</f>
        <v>0</v>
      </c>
      <c r="AL59" s="114">
        <f t="shared" ref="AL59:AQ59" si="199">ROUND(IF(AL58-AL57&lt;0,-(AL58-AL57)*(1+$AI$55)),0)</f>
        <v>63665</v>
      </c>
      <c r="AM59" s="114">
        <f t="shared" si="199"/>
        <v>0</v>
      </c>
      <c r="AN59" s="114">
        <f t="shared" si="199"/>
        <v>0</v>
      </c>
      <c r="AO59" s="114">
        <f t="shared" si="199"/>
        <v>0</v>
      </c>
      <c r="AP59" s="114">
        <f t="shared" si="199"/>
        <v>0</v>
      </c>
      <c r="AQ59" s="561">
        <f t="shared" si="199"/>
        <v>0</v>
      </c>
      <c r="AS59" s="493" t="s">
        <v>615</v>
      </c>
      <c r="AV59" s="114">
        <f>ROUND(IF(AV58-AV57&lt;0,-(AV58-AV57)*(1+$AT$55)),0)</f>
        <v>0</v>
      </c>
      <c r="AW59" s="114">
        <f t="shared" ref="AW59:BB59" ca="1" si="200">ROUND(IF(AW58-AW57&lt;0,-(AW58-AW57)*(1+$AT$55)),0)</f>
        <v>41250</v>
      </c>
      <c r="AX59" s="114">
        <f t="shared" ca="1" si="200"/>
        <v>41812</v>
      </c>
      <c r="AY59" s="114">
        <f t="shared" ca="1" si="200"/>
        <v>62359</v>
      </c>
      <c r="AZ59" s="114">
        <f t="shared" ca="1" si="200"/>
        <v>71125</v>
      </c>
      <c r="BA59" s="114">
        <f t="shared" ca="1" si="200"/>
        <v>70322</v>
      </c>
      <c r="BB59" s="561">
        <f t="shared" ca="1" si="200"/>
        <v>70402</v>
      </c>
      <c r="BD59" s="493" t="s">
        <v>615</v>
      </c>
      <c r="BG59" s="114">
        <f>ROUND(IF(BG58-BG57&lt;0,-(BG58-BG57)*(1+$BE$55)),0)</f>
        <v>0</v>
      </c>
      <c r="BH59" s="114">
        <f t="shared" ref="BH59:BM59" si="201">ROUND(IF(BH58-BH57&lt;0,-(BH58-BH57)*(1+$BE$55)),0)</f>
        <v>0</v>
      </c>
      <c r="BI59" s="114">
        <f t="shared" si="201"/>
        <v>0</v>
      </c>
      <c r="BJ59" s="114">
        <f t="shared" si="201"/>
        <v>6270</v>
      </c>
      <c r="BK59" s="114">
        <f t="shared" si="201"/>
        <v>7623</v>
      </c>
      <c r="BL59" s="114">
        <f t="shared" si="201"/>
        <v>8808</v>
      </c>
      <c r="BM59" s="561">
        <f t="shared" si="201"/>
        <v>8689</v>
      </c>
    </row>
    <row r="60" spans="2:65">
      <c r="B60" s="493" t="str">
        <f>B40</f>
        <v>Pellets</v>
      </c>
      <c r="D60" s="733">
        <f>AV148</f>
        <v>0</v>
      </c>
      <c r="E60" s="733">
        <f t="shared" ref="E60:J60" ca="1" si="202">AW148</f>
        <v>1719.2384999999997</v>
      </c>
      <c r="F60" s="733">
        <f t="shared" ca="1" si="202"/>
        <v>1807.3056149999995</v>
      </c>
      <c r="G60" s="733">
        <f t="shared" ca="1" si="202"/>
        <v>2719.5475976999992</v>
      </c>
      <c r="H60" s="733">
        <f t="shared" ca="1" si="202"/>
        <v>3164.8963318199994</v>
      </c>
      <c r="I60" s="733">
        <f t="shared" ca="1" si="202"/>
        <v>3190.2155024745589</v>
      </c>
      <c r="J60" s="771">
        <f t="shared" ca="1" si="202"/>
        <v>3254.0198125240504</v>
      </c>
      <c r="L60" s="493" t="s">
        <v>816</v>
      </c>
      <c r="O60" s="734">
        <f t="shared" ref="O60:U60" si="203">O58+O59-O57</f>
        <v>0</v>
      </c>
      <c r="P60" s="734">
        <f t="shared" si="203"/>
        <v>227</v>
      </c>
      <c r="Q60" s="734">
        <f t="shared" si="203"/>
        <v>351</v>
      </c>
      <c r="R60" s="734">
        <f t="shared" si="203"/>
        <v>404</v>
      </c>
      <c r="S60" s="734">
        <f t="shared" si="203"/>
        <v>401</v>
      </c>
      <c r="T60" s="734">
        <f t="shared" si="203"/>
        <v>402</v>
      </c>
      <c r="U60" s="763">
        <f t="shared" si="203"/>
        <v>401</v>
      </c>
      <c r="W60" s="493" t="s">
        <v>816</v>
      </c>
      <c r="Z60" s="734">
        <f t="shared" ref="Z60:AF60" si="204">Z58+Z59-Z57</f>
        <v>527</v>
      </c>
      <c r="AA60" s="734">
        <f t="shared" si="204"/>
        <v>527</v>
      </c>
      <c r="AB60" s="734">
        <f t="shared" si="204"/>
        <v>527</v>
      </c>
      <c r="AC60" s="734">
        <f t="shared" si="204"/>
        <v>527</v>
      </c>
      <c r="AD60" s="734">
        <f t="shared" si="204"/>
        <v>527</v>
      </c>
      <c r="AE60" s="734">
        <f t="shared" si="204"/>
        <v>527</v>
      </c>
      <c r="AF60" s="763">
        <f t="shared" si="204"/>
        <v>527</v>
      </c>
      <c r="AH60" s="493" t="s">
        <v>816</v>
      </c>
      <c r="AK60" s="734">
        <f t="shared" ref="AK60:AQ60" si="205">AK58+AK59-AK57</f>
        <v>0</v>
      </c>
      <c r="AL60" s="734">
        <f t="shared" si="205"/>
        <v>5788</v>
      </c>
      <c r="AM60" s="734">
        <f t="shared" si="205"/>
        <v>5788</v>
      </c>
      <c r="AN60" s="734">
        <f t="shared" si="205"/>
        <v>5788</v>
      </c>
      <c r="AO60" s="734">
        <f t="shared" si="205"/>
        <v>5788</v>
      </c>
      <c r="AP60" s="734">
        <f t="shared" si="205"/>
        <v>5788</v>
      </c>
      <c r="AQ60" s="763">
        <f t="shared" si="205"/>
        <v>5788</v>
      </c>
      <c r="AS60" s="493" t="s">
        <v>816</v>
      </c>
      <c r="AV60" s="734">
        <f t="shared" ref="AV60:BB60" si="206">AV58+AV59-AV57</f>
        <v>0</v>
      </c>
      <c r="AW60" s="734">
        <f t="shared" ca="1" si="206"/>
        <v>3750</v>
      </c>
      <c r="AX60" s="734">
        <f t="shared" ca="1" si="206"/>
        <v>3801</v>
      </c>
      <c r="AY60" s="734">
        <f t="shared" ca="1" si="206"/>
        <v>5669</v>
      </c>
      <c r="AZ60" s="734">
        <f t="shared" ca="1" si="206"/>
        <v>6466</v>
      </c>
      <c r="BA60" s="734">
        <f t="shared" ca="1" si="206"/>
        <v>6393</v>
      </c>
      <c r="BB60" s="763">
        <f t="shared" ca="1" si="206"/>
        <v>6400</v>
      </c>
      <c r="BD60" s="493" t="s">
        <v>816</v>
      </c>
      <c r="BG60" s="734">
        <f t="shared" ref="BG60:BM60" si="207">BG58+BG59-BG57</f>
        <v>0</v>
      </c>
      <c r="BH60" s="734">
        <f t="shared" si="207"/>
        <v>0</v>
      </c>
      <c r="BI60" s="734">
        <f t="shared" si="207"/>
        <v>0</v>
      </c>
      <c r="BJ60" s="734">
        <f t="shared" si="207"/>
        <v>570</v>
      </c>
      <c r="BK60" s="734">
        <f t="shared" si="207"/>
        <v>693</v>
      </c>
      <c r="BL60" s="734">
        <f t="shared" si="207"/>
        <v>801</v>
      </c>
      <c r="BM60" s="763">
        <f t="shared" si="207"/>
        <v>790</v>
      </c>
    </row>
    <row r="61" spans="2:65">
      <c r="B61" s="743" t="str">
        <f>B41</f>
        <v>Total</v>
      </c>
      <c r="D61" s="794">
        <f t="shared" ref="D61:J61" si="208">SUM(D54:D60)</f>
        <v>0</v>
      </c>
      <c r="E61" s="794">
        <f t="shared" ca="1" si="208"/>
        <v>75681.601482180748</v>
      </c>
      <c r="F61" s="794">
        <f t="shared" ca="1" si="208"/>
        <v>84243.572185307363</v>
      </c>
      <c r="G61" s="794">
        <f t="shared" ca="1" si="208"/>
        <v>127279.99374075448</v>
      </c>
      <c r="H61" s="794">
        <f t="shared" ca="1" si="208"/>
        <v>148124.65625848062</v>
      </c>
      <c r="I61" s="794">
        <f t="shared" ca="1" si="208"/>
        <v>149369.27345839143</v>
      </c>
      <c r="J61" s="796">
        <f t="shared" ca="1" si="208"/>
        <v>152528.40445115478</v>
      </c>
      <c r="L61" s="493"/>
      <c r="U61" s="761"/>
      <c r="W61" s="493"/>
      <c r="AF61" s="761"/>
      <c r="AH61" s="493"/>
      <c r="AQ61" s="761"/>
      <c r="AS61" s="493"/>
      <c r="BB61" s="761"/>
      <c r="BD61" s="493"/>
      <c r="BM61" s="761"/>
    </row>
    <row r="62" spans="2:65">
      <c r="B62" s="493"/>
      <c r="J62" s="761"/>
      <c r="L62" s="493" t="s">
        <v>312</v>
      </c>
      <c r="O62" s="757">
        <f>IF(O59&gt;0,$C$7*Opex!D29,O73)</f>
        <v>0.13755247475999999</v>
      </c>
      <c r="P62" s="757">
        <f>IF(P59&gt;0,$C$7*Opex!E29,P73)</f>
        <v>0.25822605408368238</v>
      </c>
      <c r="Q62" s="757">
        <f>IF(Q59&gt;0,$C$7*Opex!F29,Q73)</f>
        <v>0.26339057516535597</v>
      </c>
      <c r="R62" s="757">
        <f>IF(R59&gt;0,$C$7*Opex!G29,R73)</f>
        <v>0.2686583866686631</v>
      </c>
      <c r="S62" s="757">
        <f>IF(S59&gt;0,$C$7*Opex!H29,S73)</f>
        <v>0.27403155440203636</v>
      </c>
      <c r="T62" s="757">
        <f>IF(T59&gt;0,$C$7*Opex!I29,T73)</f>
        <v>0.27951218549007706</v>
      </c>
      <c r="U62" s="764">
        <f>IF(U59&gt;0,$C$7*Opex!J29,U73)</f>
        <v>0.2851024291998786</v>
      </c>
      <c r="W62" s="493" t="s">
        <v>312</v>
      </c>
      <c r="Z62" s="757">
        <f>IF(Z59&gt;0,$D$7*Opex!D29,Z73)</f>
        <v>0.2494937720615289</v>
      </c>
      <c r="AA62" s="757">
        <f>IF(AA59&gt;0,$D$7*Opex!E29,AA73)</f>
        <v>0.2494937720615289</v>
      </c>
      <c r="AB62" s="757">
        <f>IF(AB59&gt;0,$D$7*Opex!F29,AB73)</f>
        <v>0.2494937720615289</v>
      </c>
      <c r="AC62" s="757">
        <f>IF(AC59&gt;0,$D$7*Opex!G29,AC73)</f>
        <v>0.2494937720615289</v>
      </c>
      <c r="AD62" s="757">
        <f>IF(AD59&gt;0,$D$7*Opex!H29,AD73)</f>
        <v>0.2494937720615289</v>
      </c>
      <c r="AE62" s="757">
        <f>IF(AE59&gt;0,$D$7*Opex!I29,AE73)</f>
        <v>0.2494937720615289</v>
      </c>
      <c r="AF62" s="764">
        <f>IF(AF59&gt;0,$D$7*Opex!J29,AF73)</f>
        <v>0.2494937720615289</v>
      </c>
      <c r="AH62" s="493" t="s">
        <v>312</v>
      </c>
      <c r="AK62" s="757">
        <f>IF(AK59&gt;0,$E$7*Opex!D29,AK73)</f>
        <v>0.13755247475999999</v>
      </c>
      <c r="AL62" s="757">
        <f>IF(AL59&gt;0,$E$7*Opex!E29,AL73)</f>
        <v>0.14236681137659998</v>
      </c>
      <c r="AM62" s="757">
        <f>IF(AM59&gt;0,$E$7*Opex!F29,AM73)</f>
        <v>0.14236681137659998</v>
      </c>
      <c r="AN62" s="757">
        <f>IF(AN59&gt;0,$E$7*Opex!G29,AN73)</f>
        <v>0.14236681137659998</v>
      </c>
      <c r="AO62" s="757">
        <f>IF(AO59&gt;0,$E$7*Opex!H29,AO73)</f>
        <v>0.14236681137659998</v>
      </c>
      <c r="AP62" s="757">
        <f>IF(AP59&gt;0,$E$7*Opex!I29,AP73)</f>
        <v>0.14236681137659998</v>
      </c>
      <c r="AQ62" s="764">
        <f>IF(AQ59&gt;0,$E$7*Opex!J29,AQ73)</f>
        <v>0.14236681137659998</v>
      </c>
      <c r="AS62" s="493" t="s">
        <v>312</v>
      </c>
      <c r="AV62" s="757">
        <f>IF(AV59&gt;0,$F$7*Opex!D29,AV73)</f>
        <v>0.13755247475999999</v>
      </c>
      <c r="AW62" s="757">
        <f ca="1">IF(AW59&gt;0,$F$7*Opex!E29,AW73)</f>
        <v>0.14236681137659998</v>
      </c>
      <c r="AX62" s="757">
        <f ca="1">IF(AX59&gt;0,$F$7*Opex!F29,AX73)</f>
        <v>0.14521414760413198</v>
      </c>
      <c r="AY62" s="757">
        <f ca="1">IF(AY59&gt;0,$F$7*Opex!G29,AY73)</f>
        <v>0.1481184305562146</v>
      </c>
      <c r="AZ62" s="757">
        <f ca="1">IF(AZ59&gt;0,$F$7*Opex!H29,AZ73)</f>
        <v>0.15108079916733888</v>
      </c>
      <c r="BA62" s="757">
        <f ca="1">IF(BA59&gt;0,$F$7*Opex!I29,BA73)</f>
        <v>0.15410241515068565</v>
      </c>
      <c r="BB62" s="764">
        <f ca="1">IF(BB59&gt;0,$F$7*Opex!J29,BB73)</f>
        <v>0.15718446345369938</v>
      </c>
      <c r="BD62" s="493" t="s">
        <v>312</v>
      </c>
      <c r="BG62" s="757">
        <f>IF(BG59&gt;0,$G$7*Opex!D29,BG73)</f>
        <v>0.13755247475999999</v>
      </c>
      <c r="BH62" s="757">
        <f>IF(BH59&gt;0,$G$7*Opex!E29,BH73)</f>
        <v>0.13755247475999999</v>
      </c>
      <c r="BI62" s="757">
        <f>IF(BI59&gt;0,$G$7*Opex!F29,BI73)</f>
        <v>0.13755247475999999</v>
      </c>
      <c r="BJ62" s="757">
        <f>IF(BJ59&gt;0,$G$7*Opex!G29,BJ73)</f>
        <v>0.1481184305562146</v>
      </c>
      <c r="BK62" s="757">
        <f>IF(BK59&gt;0,$G$7*Opex!H29,BK73)</f>
        <v>0.15108079916733888</v>
      </c>
      <c r="BL62" s="757">
        <f>IF(BL59&gt;0,$G$7*Opex!I29,BL73)</f>
        <v>0.15410241515068565</v>
      </c>
      <c r="BM62" s="764">
        <f>IF(BM59&gt;0,$G$7*Opex!J29,BM73)</f>
        <v>0.15718446345369938</v>
      </c>
    </row>
    <row r="63" spans="2:65">
      <c r="B63" s="769" t="str">
        <f>B20</f>
        <v>Selection individuelle</v>
      </c>
      <c r="J63" s="761"/>
      <c r="L63" s="743" t="s">
        <v>85</v>
      </c>
      <c r="O63" s="562">
        <f t="shared" ref="O63:U63" si="209">O59*O62</f>
        <v>0</v>
      </c>
      <c r="P63" s="562">
        <f t="shared" si="209"/>
        <v>643.75755283062017</v>
      </c>
      <c r="Q63" s="562">
        <f t="shared" si="209"/>
        <v>1017.4777918637701</v>
      </c>
      <c r="R63" s="562">
        <f t="shared" si="209"/>
        <v>1194.7238455155448</v>
      </c>
      <c r="S63" s="562">
        <f t="shared" si="209"/>
        <v>1209.3012495761864</v>
      </c>
      <c r="T63" s="562">
        <f t="shared" si="209"/>
        <v>1234.6053233096704</v>
      </c>
      <c r="U63" s="563">
        <f t="shared" si="209"/>
        <v>1258.7272249174641</v>
      </c>
      <c r="W63" s="743" t="s">
        <v>85</v>
      </c>
      <c r="Z63" s="562">
        <f t="shared" ref="Z63:AF63" si="210">Z59*Z62</f>
        <v>1445.5669153244985</v>
      </c>
      <c r="AA63" s="562">
        <f t="shared" si="210"/>
        <v>0</v>
      </c>
      <c r="AB63" s="562">
        <f t="shared" si="210"/>
        <v>0</v>
      </c>
      <c r="AC63" s="562">
        <f t="shared" si="210"/>
        <v>0</v>
      </c>
      <c r="AD63" s="562">
        <f t="shared" si="210"/>
        <v>0</v>
      </c>
      <c r="AE63" s="562">
        <f t="shared" si="210"/>
        <v>0</v>
      </c>
      <c r="AF63" s="563">
        <f t="shared" si="210"/>
        <v>0</v>
      </c>
      <c r="AH63" s="743" t="s">
        <v>85</v>
      </c>
      <c r="AK63" s="562">
        <f t="shared" ref="AK63:AQ63" si="211">AK59*AK62</f>
        <v>0</v>
      </c>
      <c r="AL63" s="562">
        <f t="shared" si="211"/>
        <v>9063.783046291237</v>
      </c>
      <c r="AM63" s="562">
        <f t="shared" si="211"/>
        <v>0</v>
      </c>
      <c r="AN63" s="562">
        <f t="shared" si="211"/>
        <v>0</v>
      </c>
      <c r="AO63" s="562">
        <f t="shared" si="211"/>
        <v>0</v>
      </c>
      <c r="AP63" s="562">
        <f t="shared" si="211"/>
        <v>0</v>
      </c>
      <c r="AQ63" s="563">
        <f t="shared" si="211"/>
        <v>0</v>
      </c>
      <c r="AS63" s="743" t="s">
        <v>85</v>
      </c>
      <c r="AV63" s="562">
        <f t="shared" ref="AV63:BB63" si="212">AV59*AV62</f>
        <v>0</v>
      </c>
      <c r="AW63" s="562">
        <f t="shared" ca="1" si="212"/>
        <v>5872.630969284749</v>
      </c>
      <c r="AX63" s="562">
        <f t="shared" ca="1" si="212"/>
        <v>6071.6939396239668</v>
      </c>
      <c r="AY63" s="562">
        <f t="shared" ca="1" si="212"/>
        <v>9236.5172110549865</v>
      </c>
      <c r="AZ63" s="562">
        <f t="shared" ca="1" si="212"/>
        <v>10745.621840776977</v>
      </c>
      <c r="BA63" s="562">
        <f t="shared" ca="1" si="212"/>
        <v>10836.790038226516</v>
      </c>
      <c r="BB63" s="563">
        <f t="shared" ca="1" si="212"/>
        <v>11066.100596067343</v>
      </c>
      <c r="BD63" s="743" t="s">
        <v>85</v>
      </c>
      <c r="BG63" s="562">
        <f t="shared" ref="BG63:BM63" si="213">BG59*BG62</f>
        <v>0</v>
      </c>
      <c r="BH63" s="562">
        <f t="shared" si="213"/>
        <v>0</v>
      </c>
      <c r="BI63" s="562">
        <f t="shared" si="213"/>
        <v>0</v>
      </c>
      <c r="BJ63" s="562">
        <f t="shared" si="213"/>
        <v>928.70255958746554</v>
      </c>
      <c r="BK63" s="562">
        <f t="shared" si="213"/>
        <v>1151.6889320526243</v>
      </c>
      <c r="BL63" s="562">
        <f t="shared" si="213"/>
        <v>1357.3340726472393</v>
      </c>
      <c r="BM63" s="563">
        <f t="shared" si="213"/>
        <v>1365.7758029491938</v>
      </c>
    </row>
    <row r="64" spans="2:65">
      <c r="B64" s="493" t="str">
        <f t="shared" ref="B64:B71" si="214">B54</f>
        <v>Bottles</v>
      </c>
      <c r="D64" s="115">
        <f>BG21</f>
        <v>0</v>
      </c>
      <c r="E64" s="115">
        <f t="shared" ref="E64:J64" si="215">BH21</f>
        <v>0</v>
      </c>
      <c r="F64" s="115">
        <f t="shared" si="215"/>
        <v>0</v>
      </c>
      <c r="G64" s="115">
        <f t="shared" si="215"/>
        <v>10697.389562034736</v>
      </c>
      <c r="H64" s="115">
        <f t="shared" si="215"/>
        <v>13265.889097929601</v>
      </c>
      <c r="I64" s="115">
        <f t="shared" si="215"/>
        <v>15634.641243349759</v>
      </c>
      <c r="J64" s="508">
        <f t="shared" si="215"/>
        <v>15731.87848759484</v>
      </c>
      <c r="L64" s="743"/>
      <c r="O64" s="562"/>
      <c r="P64" s="562"/>
      <c r="Q64" s="562"/>
      <c r="R64" s="562"/>
      <c r="S64" s="562"/>
      <c r="T64" s="562"/>
      <c r="U64" s="563"/>
      <c r="W64" s="743"/>
      <c r="Z64" s="562"/>
      <c r="AA64" s="562"/>
      <c r="AB64" s="562"/>
      <c r="AC64" s="562"/>
      <c r="AD64" s="562"/>
      <c r="AE64" s="562"/>
      <c r="AF64" s="563"/>
      <c r="AH64" s="743"/>
      <c r="AK64" s="562"/>
      <c r="AL64" s="562"/>
      <c r="AM64" s="562"/>
      <c r="AN64" s="562"/>
      <c r="AO64" s="562"/>
      <c r="AP64" s="562"/>
      <c r="AQ64" s="563"/>
      <c r="AS64" s="743"/>
      <c r="AV64" s="562"/>
      <c r="AW64" s="562"/>
      <c r="AX64" s="562"/>
      <c r="AY64" s="562"/>
      <c r="AZ64" s="562"/>
      <c r="BA64" s="562"/>
      <c r="BB64" s="563"/>
      <c r="BD64" s="743"/>
      <c r="BG64" s="562"/>
      <c r="BH64" s="562"/>
      <c r="BI64" s="562"/>
      <c r="BJ64" s="562"/>
      <c r="BK64" s="562"/>
      <c r="BL64" s="562"/>
      <c r="BM64" s="563"/>
    </row>
    <row r="65" spans="2:65">
      <c r="B65" s="493" t="str">
        <f t="shared" si="214"/>
        <v>Cork</v>
      </c>
      <c r="D65" s="115">
        <f>BG42</f>
        <v>0</v>
      </c>
      <c r="E65" s="115">
        <f t="shared" ref="E65:J65" si="216">BH42</f>
        <v>0</v>
      </c>
      <c r="F65" s="115">
        <f t="shared" si="216"/>
        <v>0</v>
      </c>
      <c r="G65" s="115">
        <f t="shared" si="216"/>
        <v>2399.1483580739655</v>
      </c>
      <c r="H65" s="115">
        <f t="shared" si="216"/>
        <v>2975.1965059441459</v>
      </c>
      <c r="I65" s="115">
        <f t="shared" si="216"/>
        <v>3506.4464700043495</v>
      </c>
      <c r="J65" s="508">
        <f t="shared" si="216"/>
        <v>3528.2542740037634</v>
      </c>
      <c r="L65" s="493" t="s">
        <v>880</v>
      </c>
      <c r="O65" s="732">
        <f>O62*O58</f>
        <v>0</v>
      </c>
      <c r="P65" s="732">
        <f t="shared" ref="P65:U65" si="217">O68</f>
        <v>0</v>
      </c>
      <c r="Q65" s="732">
        <f t="shared" si="217"/>
        <v>58.617314276995899</v>
      </c>
      <c r="R65" s="732">
        <f t="shared" si="217"/>
        <v>92.450091883039946</v>
      </c>
      <c r="S65" s="732">
        <f t="shared" si="217"/>
        <v>108.53798821413989</v>
      </c>
      <c r="T65" s="732">
        <f t="shared" si="217"/>
        <v>109.88665331521658</v>
      </c>
      <c r="U65" s="762">
        <f t="shared" si="217"/>
        <v>112.36389856701098</v>
      </c>
      <c r="W65" s="493" t="s">
        <v>880</v>
      </c>
      <c r="Z65" s="732">
        <f>Z62*Z58</f>
        <v>0</v>
      </c>
      <c r="AA65" s="732">
        <f t="shared" ref="AA65:AF65" si="218">Z68</f>
        <v>131.48321787642573</v>
      </c>
      <c r="AB65" s="732">
        <f t="shared" si="218"/>
        <v>131.48321787642573</v>
      </c>
      <c r="AC65" s="732">
        <f t="shared" si="218"/>
        <v>131.48321787642573</v>
      </c>
      <c r="AD65" s="732">
        <f t="shared" si="218"/>
        <v>131.48321787642573</v>
      </c>
      <c r="AE65" s="732">
        <f t="shared" si="218"/>
        <v>131.48321787642573</v>
      </c>
      <c r="AF65" s="762">
        <f t="shared" si="218"/>
        <v>131.48321787642573</v>
      </c>
      <c r="AG65" s="731"/>
      <c r="AH65" s="493" t="s">
        <v>880</v>
      </c>
      <c r="AK65" s="732">
        <f>AK62*AK58</f>
        <v>0</v>
      </c>
      <c r="AL65" s="732">
        <f t="shared" ref="AL65:AQ65" si="219">AK68</f>
        <v>0</v>
      </c>
      <c r="AM65" s="732">
        <f t="shared" si="219"/>
        <v>824.01910424776065</v>
      </c>
      <c r="AN65" s="732">
        <f t="shared" si="219"/>
        <v>824.01910424776065</v>
      </c>
      <c r="AO65" s="732">
        <f t="shared" si="219"/>
        <v>824.01910424776065</v>
      </c>
      <c r="AP65" s="732">
        <f t="shared" si="219"/>
        <v>824.01910424776065</v>
      </c>
      <c r="AQ65" s="762">
        <f t="shared" si="219"/>
        <v>824.01910424776065</v>
      </c>
      <c r="AR65" s="731"/>
      <c r="AS65" s="493" t="s">
        <v>880</v>
      </c>
      <c r="AV65" s="732">
        <f>AV62*AV58</f>
        <v>0</v>
      </c>
      <c r="AW65" s="732">
        <f t="shared" ref="AW65:BB65" si="220">AV68</f>
        <v>0</v>
      </c>
      <c r="AX65" s="732">
        <f t="shared" ca="1" si="220"/>
        <v>533.87554266224993</v>
      </c>
      <c r="AY65" s="732">
        <f t="shared" ca="1" si="220"/>
        <v>551.95897504330571</v>
      </c>
      <c r="AZ65" s="732">
        <f t="shared" ca="1" si="220"/>
        <v>839.68338282318052</v>
      </c>
      <c r="BA65" s="732">
        <f t="shared" ca="1" si="220"/>
        <v>976.88844741601315</v>
      </c>
      <c r="BB65" s="762">
        <f t="shared" ca="1" si="220"/>
        <v>985.17674005833339</v>
      </c>
      <c r="BD65" s="493" t="s">
        <v>880</v>
      </c>
      <c r="BG65" s="732">
        <f>BG62*BG58</f>
        <v>0</v>
      </c>
      <c r="BH65" s="732">
        <f t="shared" ref="BH65:BM65" si="221">BG68</f>
        <v>0</v>
      </c>
      <c r="BI65" s="732">
        <f t="shared" si="221"/>
        <v>0</v>
      </c>
      <c r="BJ65" s="732">
        <f t="shared" si="221"/>
        <v>0</v>
      </c>
      <c r="BK65" s="732">
        <f t="shared" si="221"/>
        <v>84.427505417042326</v>
      </c>
      <c r="BL65" s="732">
        <f t="shared" si="221"/>
        <v>104.69899382296585</v>
      </c>
      <c r="BM65" s="762">
        <f t="shared" si="221"/>
        <v>123.43603453569921</v>
      </c>
    </row>
    <row r="66" spans="2:65">
      <c r="B66" s="493" t="str">
        <f t="shared" si="214"/>
        <v>Labels</v>
      </c>
      <c r="D66" s="115">
        <f>BG63</f>
        <v>0</v>
      </c>
      <c r="E66" s="115">
        <f t="shared" ref="E66:J66" si="222">BH63</f>
        <v>0</v>
      </c>
      <c r="F66" s="115">
        <f t="shared" si="222"/>
        <v>0</v>
      </c>
      <c r="G66" s="115">
        <f t="shared" si="222"/>
        <v>928.70255958746554</v>
      </c>
      <c r="H66" s="115">
        <f t="shared" si="222"/>
        <v>1151.6889320526243</v>
      </c>
      <c r="I66" s="115">
        <f t="shared" si="222"/>
        <v>1357.3340726472393</v>
      </c>
      <c r="J66" s="508">
        <f t="shared" si="222"/>
        <v>1365.7758029491938</v>
      </c>
      <c r="L66" s="493" t="s">
        <v>877</v>
      </c>
      <c r="O66" s="115">
        <f t="shared" ref="O66:U66" si="223">-(O67+O65-O68)</f>
        <v>0</v>
      </c>
      <c r="P66" s="115">
        <f t="shared" si="223"/>
        <v>-585.14023855362427</v>
      </c>
      <c r="Q66" s="115">
        <f t="shared" si="223"/>
        <v>-983.64501425772596</v>
      </c>
      <c r="R66" s="115">
        <f t="shared" si="223"/>
        <v>-1178.6359491844448</v>
      </c>
      <c r="S66" s="115">
        <f t="shared" si="223"/>
        <v>-1207.9525844751097</v>
      </c>
      <c r="T66" s="115">
        <f t="shared" si="223"/>
        <v>-1232.1280780578761</v>
      </c>
      <c r="U66" s="508">
        <f t="shared" si="223"/>
        <v>-1256.7650493753238</v>
      </c>
      <c r="W66" s="493" t="s">
        <v>877</v>
      </c>
      <c r="Z66" s="115">
        <f t="shared" ref="Z66:AF66" si="224">-(Z67+Z65-Z68)</f>
        <v>-1314.0836974480728</v>
      </c>
      <c r="AA66" s="115">
        <f t="shared" si="224"/>
        <v>0</v>
      </c>
      <c r="AB66" s="115">
        <f t="shared" si="224"/>
        <v>0</v>
      </c>
      <c r="AC66" s="115">
        <f t="shared" si="224"/>
        <v>0</v>
      </c>
      <c r="AD66" s="115">
        <f t="shared" si="224"/>
        <v>0</v>
      </c>
      <c r="AE66" s="115">
        <f t="shared" si="224"/>
        <v>0</v>
      </c>
      <c r="AF66" s="508">
        <f t="shared" si="224"/>
        <v>0</v>
      </c>
      <c r="AG66" s="731"/>
      <c r="AH66" s="493" t="s">
        <v>877</v>
      </c>
      <c r="AK66" s="115">
        <f t="shared" ref="AK66:AQ66" si="225">-(AK67+AK65-AK68)</f>
        <v>0</v>
      </c>
      <c r="AL66" s="115">
        <f t="shared" si="225"/>
        <v>-8239.7639420434771</v>
      </c>
      <c r="AM66" s="115">
        <f t="shared" si="225"/>
        <v>0</v>
      </c>
      <c r="AN66" s="115">
        <f t="shared" si="225"/>
        <v>0</v>
      </c>
      <c r="AO66" s="115">
        <f t="shared" si="225"/>
        <v>0</v>
      </c>
      <c r="AP66" s="115">
        <f t="shared" si="225"/>
        <v>0</v>
      </c>
      <c r="AQ66" s="508">
        <f t="shared" si="225"/>
        <v>0</v>
      </c>
      <c r="AR66" s="731"/>
      <c r="AS66" s="493" t="s">
        <v>877</v>
      </c>
      <c r="AV66" s="115">
        <f t="shared" ref="AV66:BB66" si="226">-(AV67+AV65-AV68)</f>
        <v>0</v>
      </c>
      <c r="AW66" s="115">
        <f t="shared" ca="1" si="226"/>
        <v>-5338.7554266224988</v>
      </c>
      <c r="AX66" s="115">
        <f t="shared" ca="1" si="226"/>
        <v>-6053.6105072429109</v>
      </c>
      <c r="AY66" s="115">
        <f t="shared" ca="1" si="226"/>
        <v>-8948.7928032751115</v>
      </c>
      <c r="AZ66" s="115">
        <f t="shared" ca="1" si="226"/>
        <v>-10608.416776184145</v>
      </c>
      <c r="BA66" s="115">
        <f t="shared" ca="1" si="226"/>
        <v>-10828.501745584195</v>
      </c>
      <c r="BB66" s="508">
        <f t="shared" ca="1" si="226"/>
        <v>-11045.296770022002</v>
      </c>
      <c r="BD66" s="493" t="s">
        <v>877</v>
      </c>
      <c r="BG66" s="115">
        <f t="shared" ref="BG66:BM66" si="227">-(BG67+BG65-BG68)</f>
        <v>0</v>
      </c>
      <c r="BH66" s="115">
        <f t="shared" si="227"/>
        <v>0</v>
      </c>
      <c r="BI66" s="115">
        <f t="shared" si="227"/>
        <v>0</v>
      </c>
      <c r="BJ66" s="115">
        <f t="shared" si="227"/>
        <v>-844.27505417042323</v>
      </c>
      <c r="BK66" s="115">
        <f t="shared" si="227"/>
        <v>-1131.4174436467008</v>
      </c>
      <c r="BL66" s="115">
        <f t="shared" si="227"/>
        <v>-1338.5970319345058</v>
      </c>
      <c r="BM66" s="508">
        <f t="shared" si="227"/>
        <v>-1365.0361113564707</v>
      </c>
    </row>
    <row r="67" spans="2:65">
      <c r="B67" s="493" t="str">
        <f t="shared" si="214"/>
        <v>Capsules</v>
      </c>
      <c r="D67" s="115">
        <f>BG84</f>
        <v>0</v>
      </c>
      <c r="E67" s="115">
        <f t="shared" ref="E67:J67" si="228">BH84</f>
        <v>0</v>
      </c>
      <c r="F67" s="115">
        <f t="shared" si="228"/>
        <v>0</v>
      </c>
      <c r="G67" s="115">
        <f t="shared" si="228"/>
        <v>928.70255958746554</v>
      </c>
      <c r="H67" s="115">
        <f t="shared" si="228"/>
        <v>1151.6889320526243</v>
      </c>
      <c r="I67" s="115">
        <f t="shared" si="228"/>
        <v>1357.3340726472393</v>
      </c>
      <c r="J67" s="508">
        <f t="shared" si="228"/>
        <v>1365.7758029491938</v>
      </c>
      <c r="L67" s="493" t="s">
        <v>878</v>
      </c>
      <c r="O67" s="816">
        <f>O59*O62</f>
        <v>0</v>
      </c>
      <c r="P67" s="816">
        <f t="shared" ref="P67:U67" si="229">P59*P62</f>
        <v>643.75755283062017</v>
      </c>
      <c r="Q67" s="816">
        <f t="shared" si="229"/>
        <v>1017.4777918637701</v>
      </c>
      <c r="R67" s="816">
        <f t="shared" si="229"/>
        <v>1194.7238455155448</v>
      </c>
      <c r="S67" s="816">
        <f t="shared" si="229"/>
        <v>1209.3012495761864</v>
      </c>
      <c r="T67" s="816">
        <f t="shared" si="229"/>
        <v>1234.6053233096704</v>
      </c>
      <c r="U67" s="817">
        <f t="shared" si="229"/>
        <v>1258.7272249174641</v>
      </c>
      <c r="W67" s="493" t="s">
        <v>878</v>
      </c>
      <c r="Z67" s="816">
        <f>Z59*Z62</f>
        <v>1445.5669153244985</v>
      </c>
      <c r="AA67" s="816">
        <f t="shared" ref="AA67:AF67" si="230">AA59*AA62</f>
        <v>0</v>
      </c>
      <c r="AB67" s="816">
        <f t="shared" si="230"/>
        <v>0</v>
      </c>
      <c r="AC67" s="816">
        <f t="shared" si="230"/>
        <v>0</v>
      </c>
      <c r="AD67" s="816">
        <f t="shared" si="230"/>
        <v>0</v>
      </c>
      <c r="AE67" s="816">
        <f t="shared" si="230"/>
        <v>0</v>
      </c>
      <c r="AF67" s="817">
        <f t="shared" si="230"/>
        <v>0</v>
      </c>
      <c r="AG67" s="731"/>
      <c r="AH67" s="493" t="s">
        <v>878</v>
      </c>
      <c r="AK67" s="816">
        <f>AK59*AK62</f>
        <v>0</v>
      </c>
      <c r="AL67" s="816">
        <f t="shared" ref="AL67:AQ67" si="231">AL59*AL62</f>
        <v>9063.783046291237</v>
      </c>
      <c r="AM67" s="816">
        <f t="shared" si="231"/>
        <v>0</v>
      </c>
      <c r="AN67" s="816">
        <f t="shared" si="231"/>
        <v>0</v>
      </c>
      <c r="AO67" s="816">
        <f t="shared" si="231"/>
        <v>0</v>
      </c>
      <c r="AP67" s="816">
        <f t="shared" si="231"/>
        <v>0</v>
      </c>
      <c r="AQ67" s="817">
        <f t="shared" si="231"/>
        <v>0</v>
      </c>
      <c r="AR67" s="731"/>
      <c r="AS67" s="493" t="s">
        <v>878</v>
      </c>
      <c r="AV67" s="816">
        <f>AV59*AV62</f>
        <v>0</v>
      </c>
      <c r="AW67" s="816">
        <f t="shared" ref="AW67:BB67" ca="1" si="232">AW59*AW62</f>
        <v>5872.630969284749</v>
      </c>
      <c r="AX67" s="816">
        <f t="shared" ca="1" si="232"/>
        <v>6071.6939396239668</v>
      </c>
      <c r="AY67" s="816">
        <f t="shared" ca="1" si="232"/>
        <v>9236.5172110549865</v>
      </c>
      <c r="AZ67" s="816">
        <f t="shared" ca="1" si="232"/>
        <v>10745.621840776977</v>
      </c>
      <c r="BA67" s="816">
        <f t="shared" ca="1" si="232"/>
        <v>10836.790038226516</v>
      </c>
      <c r="BB67" s="817">
        <f t="shared" ca="1" si="232"/>
        <v>11066.100596067343</v>
      </c>
      <c r="BD67" s="493" t="s">
        <v>878</v>
      </c>
      <c r="BG67" s="816">
        <f>BG59*BG62</f>
        <v>0</v>
      </c>
      <c r="BH67" s="816">
        <f t="shared" ref="BH67:BM67" si="233">BH59*BH62</f>
        <v>0</v>
      </c>
      <c r="BI67" s="816">
        <f t="shared" si="233"/>
        <v>0</v>
      </c>
      <c r="BJ67" s="816">
        <f t="shared" si="233"/>
        <v>928.70255958746554</v>
      </c>
      <c r="BK67" s="816">
        <f t="shared" si="233"/>
        <v>1151.6889320526243</v>
      </c>
      <c r="BL67" s="816">
        <f t="shared" si="233"/>
        <v>1357.3340726472393</v>
      </c>
      <c r="BM67" s="817">
        <f t="shared" si="233"/>
        <v>1365.7758029491938</v>
      </c>
    </row>
    <row r="68" spans="2:65">
      <c r="B68" s="493" t="str">
        <f t="shared" si="214"/>
        <v>Carton boxes</v>
      </c>
      <c r="D68" s="115">
        <f>BG105</f>
        <v>0</v>
      </c>
      <c r="E68" s="115">
        <f t="shared" ref="E68:J68" si="234">BH105</f>
        <v>0</v>
      </c>
      <c r="F68" s="115">
        <f t="shared" si="234"/>
        <v>0</v>
      </c>
      <c r="G68" s="115">
        <f t="shared" si="234"/>
        <v>1187.0951969080461</v>
      </c>
      <c r="H68" s="115">
        <f t="shared" si="234"/>
        <v>1472.1230015551253</v>
      </c>
      <c r="I68" s="115">
        <f t="shared" si="234"/>
        <v>1734.9847285388289</v>
      </c>
      <c r="J68" s="508">
        <f t="shared" si="234"/>
        <v>1745.7751989554226</v>
      </c>
      <c r="L68" s="743" t="s">
        <v>879</v>
      </c>
      <c r="O68" s="732">
        <f>O74</f>
        <v>0</v>
      </c>
      <c r="P68" s="732">
        <f t="shared" ref="P68:U68" si="235">P74</f>
        <v>58.617314276995899</v>
      </c>
      <c r="Q68" s="732">
        <f t="shared" si="235"/>
        <v>92.450091883039946</v>
      </c>
      <c r="R68" s="732">
        <f t="shared" si="235"/>
        <v>108.53798821413989</v>
      </c>
      <c r="S68" s="732">
        <f t="shared" si="235"/>
        <v>109.88665331521658</v>
      </c>
      <c r="T68" s="732">
        <f t="shared" si="235"/>
        <v>112.36389856701098</v>
      </c>
      <c r="U68" s="762">
        <f t="shared" si="235"/>
        <v>114.32607410915132</v>
      </c>
      <c r="W68" s="743" t="s">
        <v>879</v>
      </c>
      <c r="Z68" s="732">
        <f>Z74</f>
        <v>131.48321787642573</v>
      </c>
      <c r="AA68" s="732">
        <f t="shared" ref="AA68:AF68" si="236">AA74</f>
        <v>131.48321787642573</v>
      </c>
      <c r="AB68" s="732">
        <f t="shared" si="236"/>
        <v>131.48321787642573</v>
      </c>
      <c r="AC68" s="732">
        <f t="shared" si="236"/>
        <v>131.48321787642573</v>
      </c>
      <c r="AD68" s="732">
        <f t="shared" si="236"/>
        <v>131.48321787642573</v>
      </c>
      <c r="AE68" s="732">
        <f t="shared" si="236"/>
        <v>131.48321787642573</v>
      </c>
      <c r="AF68" s="762">
        <f t="shared" si="236"/>
        <v>131.48321787642573</v>
      </c>
      <c r="AG68" s="731"/>
      <c r="AH68" s="743" t="s">
        <v>879</v>
      </c>
      <c r="AK68" s="732">
        <f>AK74</f>
        <v>0</v>
      </c>
      <c r="AL68" s="732">
        <f t="shared" ref="AL68:AQ68" si="237">AL74</f>
        <v>824.01910424776065</v>
      </c>
      <c r="AM68" s="732">
        <f t="shared" si="237"/>
        <v>824.01910424776065</v>
      </c>
      <c r="AN68" s="732">
        <f t="shared" si="237"/>
        <v>824.01910424776065</v>
      </c>
      <c r="AO68" s="732">
        <f t="shared" si="237"/>
        <v>824.01910424776065</v>
      </c>
      <c r="AP68" s="732">
        <f t="shared" si="237"/>
        <v>824.01910424776065</v>
      </c>
      <c r="AQ68" s="762">
        <f t="shared" si="237"/>
        <v>824.01910424776065</v>
      </c>
      <c r="AR68" s="731"/>
      <c r="AS68" s="743" t="s">
        <v>879</v>
      </c>
      <c r="AV68" s="732">
        <f>AV74</f>
        <v>0</v>
      </c>
      <c r="AW68" s="732">
        <f t="shared" ref="AW68:BB68" ca="1" si="238">AW74</f>
        <v>533.87554266224993</v>
      </c>
      <c r="AX68" s="732">
        <f t="shared" ca="1" si="238"/>
        <v>551.95897504330571</v>
      </c>
      <c r="AY68" s="732">
        <f t="shared" ca="1" si="238"/>
        <v>839.68338282318052</v>
      </c>
      <c r="AZ68" s="732">
        <f t="shared" ca="1" si="238"/>
        <v>976.88844741601315</v>
      </c>
      <c r="BA68" s="732">
        <f t="shared" ca="1" si="238"/>
        <v>985.17674005833339</v>
      </c>
      <c r="BB68" s="762">
        <f t="shared" ca="1" si="238"/>
        <v>1005.980566103676</v>
      </c>
      <c r="BD68" s="743" t="s">
        <v>879</v>
      </c>
      <c r="BG68" s="732">
        <f>BG74</f>
        <v>0</v>
      </c>
      <c r="BH68" s="732">
        <f t="shared" ref="BH68:BM68" si="239">BH74</f>
        <v>0</v>
      </c>
      <c r="BI68" s="732">
        <f t="shared" si="239"/>
        <v>0</v>
      </c>
      <c r="BJ68" s="732">
        <f t="shared" si="239"/>
        <v>84.427505417042326</v>
      </c>
      <c r="BK68" s="732">
        <f t="shared" si="239"/>
        <v>104.69899382296585</v>
      </c>
      <c r="BL68" s="732">
        <f t="shared" si="239"/>
        <v>123.43603453569921</v>
      </c>
      <c r="BM68" s="762">
        <f t="shared" si="239"/>
        <v>124.17572612842251</v>
      </c>
    </row>
    <row r="69" spans="2:65">
      <c r="B69" s="493" t="str">
        <f t="shared" si="214"/>
        <v>Folio</v>
      </c>
      <c r="D69" s="115">
        <f>BG126</f>
        <v>0</v>
      </c>
      <c r="E69" s="115">
        <f t="shared" ref="E69:J69" si="240">BH126</f>
        <v>0</v>
      </c>
      <c r="F69" s="115">
        <f t="shared" si="240"/>
        <v>0</v>
      </c>
      <c r="G69" s="115">
        <f t="shared" si="240"/>
        <v>143.888887994676</v>
      </c>
      <c r="H69" s="115">
        <f t="shared" si="240"/>
        <v>163.76070073667759</v>
      </c>
      <c r="I69" s="115">
        <f t="shared" si="240"/>
        <v>195.09409644838559</v>
      </c>
      <c r="J69" s="508">
        <f t="shared" si="240"/>
        <v>193.25871492178007</v>
      </c>
      <c r="L69" s="743"/>
      <c r="O69" s="562"/>
      <c r="P69" s="562"/>
      <c r="Q69" s="562"/>
      <c r="R69" s="562"/>
      <c r="S69" s="562"/>
      <c r="T69" s="562"/>
      <c r="U69" s="563"/>
      <c r="W69" s="743"/>
      <c r="Z69" s="562"/>
      <c r="AA69" s="562"/>
      <c r="AB69" s="562"/>
      <c r="AC69" s="562"/>
      <c r="AD69" s="562"/>
      <c r="AE69" s="562"/>
      <c r="AF69" s="563"/>
      <c r="AH69" s="743"/>
      <c r="AK69" s="562"/>
      <c r="AL69" s="562"/>
      <c r="AM69" s="562"/>
      <c r="AN69" s="562"/>
      <c r="AO69" s="562"/>
      <c r="AP69" s="562"/>
      <c r="AQ69" s="563"/>
      <c r="AS69" s="743"/>
      <c r="AV69" s="562"/>
      <c r="AW69" s="562"/>
      <c r="AX69" s="562"/>
      <c r="AY69" s="562"/>
      <c r="AZ69" s="562"/>
      <c r="BA69" s="562"/>
      <c r="BB69" s="563"/>
      <c r="BD69" s="743"/>
      <c r="BG69" s="562"/>
      <c r="BH69" s="562"/>
      <c r="BI69" s="562"/>
      <c r="BJ69" s="562"/>
      <c r="BK69" s="562"/>
      <c r="BL69" s="562"/>
      <c r="BM69" s="563"/>
    </row>
    <row r="70" spans="2:65">
      <c r="B70" s="493" t="str">
        <f t="shared" si="214"/>
        <v>Pellets</v>
      </c>
      <c r="D70" s="114">
        <f>BG148</f>
        <v>0</v>
      </c>
      <c r="E70" s="114">
        <f t="shared" ref="E70:J70" si="241">BH148</f>
        <v>0</v>
      </c>
      <c r="F70" s="114">
        <f t="shared" si="241"/>
        <v>0</v>
      </c>
      <c r="G70" s="114">
        <f t="shared" si="241"/>
        <v>273.77995949999996</v>
      </c>
      <c r="H70" s="114">
        <f t="shared" si="241"/>
        <v>353.72370767399991</v>
      </c>
      <c r="I70" s="114">
        <f t="shared" si="241"/>
        <v>398.77693780931986</v>
      </c>
      <c r="J70" s="561">
        <f t="shared" si="241"/>
        <v>406.7524765655063</v>
      </c>
      <c r="L70" s="493" t="str">
        <f>L49</f>
        <v>Costs production</v>
      </c>
      <c r="O70" s="115">
        <f>-O66</f>
        <v>0</v>
      </c>
      <c r="P70" s="115">
        <f t="shared" ref="P70:U70" si="242">-P66</f>
        <v>585.14023855362427</v>
      </c>
      <c r="Q70" s="115">
        <f t="shared" si="242"/>
        <v>983.64501425772596</v>
      </c>
      <c r="R70" s="115">
        <f t="shared" si="242"/>
        <v>1178.6359491844448</v>
      </c>
      <c r="S70" s="115">
        <f t="shared" si="242"/>
        <v>1207.9525844751097</v>
      </c>
      <c r="T70" s="115">
        <f t="shared" si="242"/>
        <v>1232.1280780578761</v>
      </c>
      <c r="U70" s="508">
        <f t="shared" si="242"/>
        <v>1256.7650493753238</v>
      </c>
      <c r="W70" s="493" t="str">
        <f>W49</f>
        <v>Costs production</v>
      </c>
      <c r="Z70" s="115">
        <f>-Z66</f>
        <v>1314.0836974480728</v>
      </c>
      <c r="AA70" s="115">
        <f t="shared" ref="AA70:AF70" si="243">-AA66</f>
        <v>0</v>
      </c>
      <c r="AB70" s="115">
        <f t="shared" si="243"/>
        <v>0</v>
      </c>
      <c r="AC70" s="115">
        <f t="shared" si="243"/>
        <v>0</v>
      </c>
      <c r="AD70" s="115">
        <f t="shared" si="243"/>
        <v>0</v>
      </c>
      <c r="AE70" s="115">
        <f t="shared" si="243"/>
        <v>0</v>
      </c>
      <c r="AF70" s="508">
        <f t="shared" si="243"/>
        <v>0</v>
      </c>
      <c r="AH70" s="493" t="str">
        <f>AH49</f>
        <v>Costs production</v>
      </c>
      <c r="AK70" s="115">
        <f>-AK66</f>
        <v>0</v>
      </c>
      <c r="AL70" s="115">
        <f t="shared" ref="AL70:AQ70" si="244">-AL66</f>
        <v>8239.7639420434771</v>
      </c>
      <c r="AM70" s="115">
        <f t="shared" si="244"/>
        <v>0</v>
      </c>
      <c r="AN70" s="115">
        <f t="shared" si="244"/>
        <v>0</v>
      </c>
      <c r="AO70" s="115">
        <f t="shared" si="244"/>
        <v>0</v>
      </c>
      <c r="AP70" s="115">
        <f t="shared" si="244"/>
        <v>0</v>
      </c>
      <c r="AQ70" s="508">
        <f t="shared" si="244"/>
        <v>0</v>
      </c>
      <c r="AS70" s="493" t="str">
        <f>AS49</f>
        <v>Costs production</v>
      </c>
      <c r="AV70" s="115">
        <f>-AV66</f>
        <v>0</v>
      </c>
      <c r="AW70" s="115">
        <f t="shared" ref="AW70:BB70" ca="1" si="245">-AW66</f>
        <v>5338.7554266224988</v>
      </c>
      <c r="AX70" s="115">
        <f t="shared" ca="1" si="245"/>
        <v>6053.6105072429109</v>
      </c>
      <c r="AY70" s="115">
        <f t="shared" ca="1" si="245"/>
        <v>8948.7928032751115</v>
      </c>
      <c r="AZ70" s="115">
        <f t="shared" ca="1" si="245"/>
        <v>10608.416776184145</v>
      </c>
      <c r="BA70" s="115">
        <f t="shared" ca="1" si="245"/>
        <v>10828.501745584195</v>
      </c>
      <c r="BB70" s="508">
        <f t="shared" ca="1" si="245"/>
        <v>11045.296770022002</v>
      </c>
      <c r="BD70" s="493" t="str">
        <f>BD49</f>
        <v>Costs production</v>
      </c>
      <c r="BG70" s="115">
        <f>-BG66</f>
        <v>0</v>
      </c>
      <c r="BH70" s="115">
        <f t="shared" ref="BH70:BM70" si="246">-BH66</f>
        <v>0</v>
      </c>
      <c r="BI70" s="115">
        <f t="shared" si="246"/>
        <v>0</v>
      </c>
      <c r="BJ70" s="115">
        <f t="shared" si="246"/>
        <v>844.27505417042323</v>
      </c>
      <c r="BK70" s="115">
        <f t="shared" si="246"/>
        <v>1131.4174436467008</v>
      </c>
      <c r="BL70" s="115">
        <f t="shared" si="246"/>
        <v>1338.5970319345058</v>
      </c>
      <c r="BM70" s="508">
        <f t="shared" si="246"/>
        <v>1365.0361113564707</v>
      </c>
    </row>
    <row r="71" spans="2:65" ht="13.5" thickBot="1">
      <c r="B71" s="774" t="str">
        <f t="shared" si="214"/>
        <v>Total</v>
      </c>
      <c r="C71" s="768"/>
      <c r="D71" s="564">
        <f t="shared" ref="D71:J71" si="247">SUM(D64:D70)</f>
        <v>0</v>
      </c>
      <c r="E71" s="564">
        <f t="shared" si="247"/>
        <v>0</v>
      </c>
      <c r="F71" s="564">
        <f t="shared" si="247"/>
        <v>0</v>
      </c>
      <c r="G71" s="564">
        <f t="shared" si="247"/>
        <v>16558.707083686353</v>
      </c>
      <c r="H71" s="564">
        <f t="shared" si="247"/>
        <v>20534.0708779448</v>
      </c>
      <c r="I71" s="564">
        <f t="shared" si="247"/>
        <v>24184.611621445118</v>
      </c>
      <c r="J71" s="565">
        <f t="shared" si="247"/>
        <v>24337.4707579397</v>
      </c>
      <c r="L71" s="493" t="str">
        <f>L50</f>
        <v>Per bottle</v>
      </c>
      <c r="O71" s="758">
        <f>IF(O57=0,O73,O70/O57)</f>
        <v>0.13755247475999999</v>
      </c>
      <c r="P71" s="758">
        <f t="shared" ref="P71:U71" si="248">IF(P57=0,P73,P70/P57)</f>
        <v>0.25822605408368238</v>
      </c>
      <c r="Q71" s="758">
        <f t="shared" si="248"/>
        <v>0.26307702975601122</v>
      </c>
      <c r="R71" s="758">
        <f t="shared" si="248"/>
        <v>0.26823758515804386</v>
      </c>
      <c r="S71" s="758">
        <f t="shared" si="248"/>
        <v>0.27353998742642882</v>
      </c>
      <c r="T71" s="758">
        <f t="shared" si="248"/>
        <v>0.27901451042977266</v>
      </c>
      <c r="U71" s="463">
        <f t="shared" si="248"/>
        <v>0.28459353473173093</v>
      </c>
      <c r="W71" s="493" t="str">
        <f>W50</f>
        <v>Per bottle</v>
      </c>
      <c r="Z71" s="758">
        <f t="shared" ref="Z71:AF71" si="249">IF(Z57=0,Z73,Z70/Z57)</f>
        <v>0.24949377206152892</v>
      </c>
      <c r="AA71" s="758">
        <f t="shared" si="249"/>
        <v>0.2494937720615289</v>
      </c>
      <c r="AB71" s="758">
        <f t="shared" si="249"/>
        <v>0.2494937720615289</v>
      </c>
      <c r="AC71" s="758">
        <f t="shared" si="249"/>
        <v>0.2494937720615289</v>
      </c>
      <c r="AD71" s="758">
        <f t="shared" si="249"/>
        <v>0.2494937720615289</v>
      </c>
      <c r="AE71" s="758">
        <f t="shared" si="249"/>
        <v>0.2494937720615289</v>
      </c>
      <c r="AF71" s="463">
        <f t="shared" si="249"/>
        <v>0.2494937720615289</v>
      </c>
      <c r="AH71" s="493" t="str">
        <f>AH50</f>
        <v>Per bottle</v>
      </c>
      <c r="AK71" s="758">
        <f t="shared" ref="AK71:AQ71" si="250">IF(AK57=0,AK73,AK70/AK57)</f>
        <v>0.13755247475999999</v>
      </c>
      <c r="AL71" s="758">
        <f t="shared" si="250"/>
        <v>0.14236681137659998</v>
      </c>
      <c r="AM71" s="758">
        <f t="shared" si="250"/>
        <v>0.14236681137659998</v>
      </c>
      <c r="AN71" s="758">
        <f t="shared" si="250"/>
        <v>0.14236681137659998</v>
      </c>
      <c r="AO71" s="758">
        <f t="shared" si="250"/>
        <v>0.14236681137659998</v>
      </c>
      <c r="AP71" s="758">
        <f t="shared" si="250"/>
        <v>0.14236681137659998</v>
      </c>
      <c r="AQ71" s="463">
        <f t="shared" si="250"/>
        <v>0.14236681137659998</v>
      </c>
      <c r="AS71" s="493" t="str">
        <f>AS50</f>
        <v>Per bottle</v>
      </c>
      <c r="AV71" s="758">
        <f t="shared" ref="AV71:BB71" si="251">IF(AV57=0,AV73,AV70/AV57)</f>
        <v>0.13755247475999999</v>
      </c>
      <c r="AW71" s="758">
        <f t="shared" ca="1" si="251"/>
        <v>0.14236681137659996</v>
      </c>
      <c r="AX71" s="758">
        <f t="shared" ca="1" si="251"/>
        <v>0.1449584662063387</v>
      </c>
      <c r="AY71" s="758">
        <f t="shared" ca="1" si="251"/>
        <v>0.14793593763163299</v>
      </c>
      <c r="AZ71" s="758">
        <f t="shared" ca="1" si="251"/>
        <v>0.15084200853407101</v>
      </c>
      <c r="BA71" s="758">
        <f t="shared" ca="1" si="251"/>
        <v>0.1538248703115874</v>
      </c>
      <c r="BB71" s="463">
        <f t="shared" ca="1" si="251"/>
        <v>0.15690456381876555</v>
      </c>
      <c r="BD71" s="493" t="str">
        <f>BD50</f>
        <v>Per bottle</v>
      </c>
      <c r="BG71" s="758">
        <f t="shared" ref="BG71:BM71" si="252">IF(BG57=0,BG73,BG70/BG57)</f>
        <v>0.13755247475999999</v>
      </c>
      <c r="BH71" s="758">
        <f t="shared" si="252"/>
        <v>0.13755247475999999</v>
      </c>
      <c r="BI71" s="758">
        <f t="shared" si="252"/>
        <v>0.13755247475999999</v>
      </c>
      <c r="BJ71" s="758">
        <f t="shared" si="252"/>
        <v>0.1481184305562146</v>
      </c>
      <c r="BK71" s="758">
        <f t="shared" si="252"/>
        <v>0.15085565915289345</v>
      </c>
      <c r="BL71" s="758">
        <f t="shared" si="252"/>
        <v>0.15386172780856389</v>
      </c>
      <c r="BM71" s="463">
        <f t="shared" si="252"/>
        <v>0.15690070245476676</v>
      </c>
    </row>
    <row r="72" spans="2:65">
      <c r="D72" s="731"/>
      <c r="E72" s="731"/>
      <c r="F72" s="731"/>
      <c r="G72" s="731"/>
      <c r="H72" s="731"/>
      <c r="I72" s="731"/>
      <c r="J72" s="731"/>
      <c r="L72" s="743"/>
      <c r="O72" s="758"/>
      <c r="P72" s="758"/>
      <c r="Q72" s="758"/>
      <c r="R72" s="758"/>
      <c r="S72" s="758"/>
      <c r="T72" s="758"/>
      <c r="U72" s="463"/>
      <c r="W72" s="743"/>
      <c r="Z72" s="758"/>
      <c r="AA72" s="758"/>
      <c r="AB72" s="758"/>
      <c r="AC72" s="758"/>
      <c r="AD72" s="758"/>
      <c r="AE72" s="758"/>
      <c r="AF72" s="463"/>
      <c r="AH72" s="743"/>
      <c r="AK72" s="758"/>
      <c r="AL72" s="758"/>
      <c r="AM72" s="758"/>
      <c r="AN72" s="758"/>
      <c r="AO72" s="758"/>
      <c r="AP72" s="758"/>
      <c r="AQ72" s="463"/>
      <c r="AS72" s="743"/>
      <c r="AV72" s="758"/>
      <c r="AW72" s="758"/>
      <c r="AX72" s="758"/>
      <c r="AY72" s="758"/>
      <c r="AZ72" s="758"/>
      <c r="BA72" s="758"/>
      <c r="BB72" s="463"/>
      <c r="BD72" s="743"/>
      <c r="BG72" s="758"/>
      <c r="BH72" s="758"/>
      <c r="BI72" s="758"/>
      <c r="BJ72" s="758"/>
      <c r="BK72" s="758"/>
      <c r="BL72" s="758"/>
      <c r="BM72" s="463"/>
    </row>
    <row r="73" spans="2:65" ht="13.5" thickBot="1">
      <c r="B73" s="800" t="s">
        <v>852</v>
      </c>
      <c r="C73" s="801"/>
      <c r="D73" s="622">
        <f>D31+D41+D51+D61+D71</f>
        <v>8290.4155146594658</v>
      </c>
      <c r="E73" s="622">
        <f t="shared" ref="E73:J73" ca="1" si="253">E31+E41+E51+E61+E71</f>
        <v>195888.1770365191</v>
      </c>
      <c r="F73" s="622">
        <f t="shared" ca="1" si="253"/>
        <v>90086.589604660869</v>
      </c>
      <c r="G73" s="622">
        <f t="shared" ca="1" si="253"/>
        <v>150671.11608579376</v>
      </c>
      <c r="H73" s="622">
        <f t="shared" ca="1" si="253"/>
        <v>175612.41214167315</v>
      </c>
      <c r="I73" s="622">
        <f t="shared" ca="1" si="253"/>
        <v>180615.06852402788</v>
      </c>
      <c r="J73" s="622">
        <f t="shared" ca="1" si="253"/>
        <v>184103.84714243532</v>
      </c>
      <c r="L73" s="743" t="str">
        <f>L52</f>
        <v>Cost price of the inventory</v>
      </c>
      <c r="O73" s="810">
        <f>IF(O59=0,'Inv. start'!$K$9,O62)</f>
        <v>0.13755247475999999</v>
      </c>
      <c r="P73" s="810">
        <f t="shared" ref="P73:U73" si="254">IF(P59=0,O73,P62)</f>
        <v>0.25822605408368238</v>
      </c>
      <c r="Q73" s="810">
        <f t="shared" si="254"/>
        <v>0.26339057516535597</v>
      </c>
      <c r="R73" s="810">
        <f t="shared" si="254"/>
        <v>0.2686583866686631</v>
      </c>
      <c r="S73" s="810">
        <f t="shared" si="254"/>
        <v>0.27403155440203636</v>
      </c>
      <c r="T73" s="810">
        <f t="shared" si="254"/>
        <v>0.27951218549007706</v>
      </c>
      <c r="U73" s="811">
        <f t="shared" si="254"/>
        <v>0.2851024291998786</v>
      </c>
      <c r="W73" s="743" t="str">
        <f>W52</f>
        <v>Cost price of the inventory</v>
      </c>
      <c r="Z73" s="810">
        <f>IF(Z59=0,'Inv. start'!$K$10,Z62)</f>
        <v>0.2494937720615289</v>
      </c>
      <c r="AA73" s="810">
        <f t="shared" ref="AA73:AF73" si="255">IF(AA59=0,Z73,AA62)</f>
        <v>0.2494937720615289</v>
      </c>
      <c r="AB73" s="810">
        <f t="shared" si="255"/>
        <v>0.2494937720615289</v>
      </c>
      <c r="AC73" s="810">
        <f t="shared" si="255"/>
        <v>0.2494937720615289</v>
      </c>
      <c r="AD73" s="810">
        <f t="shared" si="255"/>
        <v>0.2494937720615289</v>
      </c>
      <c r="AE73" s="810">
        <f t="shared" si="255"/>
        <v>0.2494937720615289</v>
      </c>
      <c r="AF73" s="811">
        <f t="shared" si="255"/>
        <v>0.2494937720615289</v>
      </c>
      <c r="AH73" s="743" t="str">
        <f>AH52</f>
        <v>Cost price of the inventory</v>
      </c>
      <c r="AK73" s="810">
        <f>IF(AK59=0,'Inv. start'!$K$11,AK62)</f>
        <v>0.13755247475999999</v>
      </c>
      <c r="AL73" s="810">
        <f t="shared" ref="AL73:AQ73" si="256">IF(AL59=0,AK73,AL62)</f>
        <v>0.14236681137659998</v>
      </c>
      <c r="AM73" s="810">
        <f t="shared" si="256"/>
        <v>0.14236681137659998</v>
      </c>
      <c r="AN73" s="810">
        <f t="shared" si="256"/>
        <v>0.14236681137659998</v>
      </c>
      <c r="AO73" s="810">
        <f t="shared" si="256"/>
        <v>0.14236681137659998</v>
      </c>
      <c r="AP73" s="810">
        <f t="shared" si="256"/>
        <v>0.14236681137659998</v>
      </c>
      <c r="AQ73" s="811">
        <f t="shared" si="256"/>
        <v>0.14236681137659998</v>
      </c>
      <c r="AS73" s="743" t="str">
        <f>AS52</f>
        <v>Cost price of the inventory</v>
      </c>
      <c r="AV73" s="810">
        <f>IF(AV59=0,'Inv. start'!$K$12,AV62)</f>
        <v>0.13755247475999999</v>
      </c>
      <c r="AW73" s="810">
        <f t="shared" ref="AW73:BB73" ca="1" si="257">IF(AW59=0,AV73,AW62)</f>
        <v>0.14236681137659998</v>
      </c>
      <c r="AX73" s="810">
        <f t="shared" ca="1" si="257"/>
        <v>0.14521414760413198</v>
      </c>
      <c r="AY73" s="810">
        <f t="shared" ca="1" si="257"/>
        <v>0.1481184305562146</v>
      </c>
      <c r="AZ73" s="810">
        <f t="shared" ca="1" si="257"/>
        <v>0.15108079916733888</v>
      </c>
      <c r="BA73" s="810">
        <f t="shared" ca="1" si="257"/>
        <v>0.15410241515068565</v>
      </c>
      <c r="BB73" s="811">
        <f t="shared" ca="1" si="257"/>
        <v>0.15718446345369938</v>
      </c>
      <c r="BD73" s="743" t="str">
        <f>BD52</f>
        <v>Cost price of the inventory</v>
      </c>
      <c r="BG73" s="810">
        <f>IF(BG59=0,'Inv. start'!$K$13,BG62)</f>
        <v>0.13755247475999999</v>
      </c>
      <c r="BH73" s="810">
        <f t="shared" ref="BH73:BM73" si="258">IF(BH59=0,BG73,BH62)</f>
        <v>0.13755247475999999</v>
      </c>
      <c r="BI73" s="810">
        <f t="shared" si="258"/>
        <v>0.13755247475999999</v>
      </c>
      <c r="BJ73" s="810">
        <f t="shared" si="258"/>
        <v>0.1481184305562146</v>
      </c>
      <c r="BK73" s="810">
        <f t="shared" si="258"/>
        <v>0.15108079916733888</v>
      </c>
      <c r="BL73" s="810">
        <f t="shared" si="258"/>
        <v>0.15410241515068565</v>
      </c>
      <c r="BM73" s="811">
        <f t="shared" si="258"/>
        <v>0.15718446345369938</v>
      </c>
    </row>
    <row r="74" spans="2:65" ht="13.5" thickBot="1">
      <c r="L74" s="765"/>
      <c r="M74" s="755"/>
      <c r="N74" s="755"/>
      <c r="O74" s="795">
        <f t="shared" ref="O74:U74" si="259">O60*O73</f>
        <v>0</v>
      </c>
      <c r="P74" s="795">
        <f t="shared" si="259"/>
        <v>58.617314276995899</v>
      </c>
      <c r="Q74" s="795">
        <f t="shared" si="259"/>
        <v>92.450091883039946</v>
      </c>
      <c r="R74" s="795">
        <f t="shared" si="259"/>
        <v>108.53798821413989</v>
      </c>
      <c r="S74" s="795">
        <f t="shared" si="259"/>
        <v>109.88665331521658</v>
      </c>
      <c r="T74" s="795">
        <f t="shared" si="259"/>
        <v>112.36389856701098</v>
      </c>
      <c r="U74" s="797">
        <f t="shared" si="259"/>
        <v>114.32607410915132</v>
      </c>
      <c r="W74" s="765"/>
      <c r="X74" s="755"/>
      <c r="Y74" s="755"/>
      <c r="Z74" s="795">
        <f t="shared" ref="Z74:AF74" si="260">Z60*Z73</f>
        <v>131.48321787642573</v>
      </c>
      <c r="AA74" s="795">
        <f t="shared" si="260"/>
        <v>131.48321787642573</v>
      </c>
      <c r="AB74" s="795">
        <f t="shared" si="260"/>
        <v>131.48321787642573</v>
      </c>
      <c r="AC74" s="795">
        <f t="shared" si="260"/>
        <v>131.48321787642573</v>
      </c>
      <c r="AD74" s="795">
        <f t="shared" si="260"/>
        <v>131.48321787642573</v>
      </c>
      <c r="AE74" s="795">
        <f t="shared" si="260"/>
        <v>131.48321787642573</v>
      </c>
      <c r="AF74" s="797">
        <f t="shared" si="260"/>
        <v>131.48321787642573</v>
      </c>
      <c r="AH74" s="765"/>
      <c r="AI74" s="755"/>
      <c r="AJ74" s="755"/>
      <c r="AK74" s="795">
        <f t="shared" ref="AK74:AQ74" si="261">AK60*AK73</f>
        <v>0</v>
      </c>
      <c r="AL74" s="795">
        <f t="shared" si="261"/>
        <v>824.01910424776065</v>
      </c>
      <c r="AM74" s="795">
        <f t="shared" si="261"/>
        <v>824.01910424776065</v>
      </c>
      <c r="AN74" s="795">
        <f t="shared" si="261"/>
        <v>824.01910424776065</v>
      </c>
      <c r="AO74" s="795">
        <f t="shared" si="261"/>
        <v>824.01910424776065</v>
      </c>
      <c r="AP74" s="795">
        <f t="shared" si="261"/>
        <v>824.01910424776065</v>
      </c>
      <c r="AQ74" s="797">
        <f t="shared" si="261"/>
        <v>824.01910424776065</v>
      </c>
      <c r="AS74" s="765"/>
      <c r="AT74" s="755"/>
      <c r="AU74" s="755"/>
      <c r="AV74" s="795">
        <f t="shared" ref="AV74:BB74" si="262">AV60*AV73</f>
        <v>0</v>
      </c>
      <c r="AW74" s="795">
        <f t="shared" ca="1" si="262"/>
        <v>533.87554266224993</v>
      </c>
      <c r="AX74" s="795">
        <f t="shared" ca="1" si="262"/>
        <v>551.95897504330571</v>
      </c>
      <c r="AY74" s="795">
        <f t="shared" ca="1" si="262"/>
        <v>839.68338282318052</v>
      </c>
      <c r="AZ74" s="795">
        <f t="shared" ca="1" si="262"/>
        <v>976.88844741601315</v>
      </c>
      <c r="BA74" s="795">
        <f t="shared" ca="1" si="262"/>
        <v>985.17674005833339</v>
      </c>
      <c r="BB74" s="797">
        <f t="shared" ca="1" si="262"/>
        <v>1005.980566103676</v>
      </c>
      <c r="BD74" s="765"/>
      <c r="BE74" s="755"/>
      <c r="BF74" s="755"/>
      <c r="BG74" s="795">
        <f t="shared" ref="BG74:BM74" si="263">BG60*BG73</f>
        <v>0</v>
      </c>
      <c r="BH74" s="795">
        <f t="shared" si="263"/>
        <v>0</v>
      </c>
      <c r="BI74" s="795">
        <f t="shared" si="263"/>
        <v>0</v>
      </c>
      <c r="BJ74" s="795">
        <f t="shared" si="263"/>
        <v>84.427505417042326</v>
      </c>
      <c r="BK74" s="795">
        <f t="shared" si="263"/>
        <v>104.69899382296585</v>
      </c>
      <c r="BL74" s="795">
        <f t="shared" si="263"/>
        <v>123.43603453569921</v>
      </c>
      <c r="BM74" s="797">
        <f t="shared" si="263"/>
        <v>124.17572612842251</v>
      </c>
    </row>
    <row r="75" spans="2:65">
      <c r="B75" s="759" t="s">
        <v>125</v>
      </c>
      <c r="C75" s="742"/>
      <c r="D75" s="742"/>
      <c r="E75" s="742"/>
      <c r="F75" s="742"/>
      <c r="G75" s="742"/>
      <c r="H75" s="742"/>
      <c r="I75" s="742"/>
      <c r="J75" s="760"/>
      <c r="L75" s="743" t="str">
        <f>B8</f>
        <v>Capsules</v>
      </c>
      <c r="O75" s="464"/>
      <c r="U75" s="761"/>
      <c r="W75" s="743" t="str">
        <f>L75</f>
        <v>Capsules</v>
      </c>
      <c r="Z75" s="464"/>
      <c r="AF75" s="761"/>
      <c r="AH75" s="743" t="str">
        <f>W75</f>
        <v>Capsules</v>
      </c>
      <c r="AK75" s="464"/>
      <c r="AQ75" s="761"/>
      <c r="AS75" s="743" t="str">
        <f>AH75</f>
        <v>Capsules</v>
      </c>
      <c r="AV75" s="464"/>
      <c r="BB75" s="761"/>
      <c r="BD75" s="743" t="str">
        <f>AS75</f>
        <v>Capsules</v>
      </c>
      <c r="BG75" s="464"/>
      <c r="BM75" s="761"/>
    </row>
    <row r="76" spans="2:65">
      <c r="B76" s="493"/>
      <c r="D76" s="732"/>
      <c r="E76" s="732"/>
      <c r="F76" s="732"/>
      <c r="G76" s="732"/>
      <c r="H76" s="732"/>
      <c r="I76" s="732"/>
      <c r="J76" s="762"/>
      <c r="L76" s="493" t="str">
        <f>L55</f>
        <v>Margin new purchse</v>
      </c>
      <c r="M76" s="756">
        <v>0.1</v>
      </c>
      <c r="O76" s="464"/>
      <c r="U76" s="761"/>
      <c r="W76" s="493" t="str">
        <f>W55</f>
        <v>Margin new purchse</v>
      </c>
      <c r="X76" s="756">
        <v>0.1</v>
      </c>
      <c r="Z76" s="464"/>
      <c r="AF76" s="761"/>
      <c r="AH76" s="493" t="str">
        <f>AH55</f>
        <v>Margin new purchse</v>
      </c>
      <c r="AI76" s="756">
        <v>0.1</v>
      </c>
      <c r="AK76" s="464"/>
      <c r="AQ76" s="761"/>
      <c r="AS76" s="493" t="str">
        <f>AS55</f>
        <v>Margin new purchse</v>
      </c>
      <c r="AT76" s="756">
        <v>0.1</v>
      </c>
      <c r="AV76" s="464"/>
      <c r="BB76" s="761"/>
      <c r="BD76" s="493" t="str">
        <f>BD55</f>
        <v>Margin new purchse</v>
      </c>
      <c r="BE76" s="756">
        <v>0.1</v>
      </c>
      <c r="BG76" s="464"/>
      <c r="BM76" s="761"/>
    </row>
    <row r="77" spans="2:65">
      <c r="B77" s="743" t="str">
        <f>B24</f>
        <v>Bottles</v>
      </c>
      <c r="D77" s="732">
        <f t="shared" ref="D77:J77" si="264">O28+Z28+AK28+AV28+BG28+D79</f>
        <v>0</v>
      </c>
      <c r="E77" s="732">
        <f t="shared" ca="1" si="264"/>
        <v>0</v>
      </c>
      <c r="F77" s="732">
        <f t="shared" ca="1" si="264"/>
        <v>0</v>
      </c>
      <c r="G77" s="732">
        <f t="shared" ca="1" si="264"/>
        <v>0</v>
      </c>
      <c r="H77" s="732">
        <f t="shared" ca="1" si="264"/>
        <v>0</v>
      </c>
      <c r="I77" s="732">
        <f t="shared" ca="1" si="264"/>
        <v>0</v>
      </c>
      <c r="J77" s="762">
        <f t="shared" ca="1" si="264"/>
        <v>0</v>
      </c>
      <c r="L77" s="493"/>
      <c r="U77" s="761"/>
      <c r="W77" s="493"/>
      <c r="AF77" s="761"/>
      <c r="AH77" s="493"/>
      <c r="AQ77" s="761"/>
      <c r="AS77" s="493"/>
      <c r="BB77" s="761"/>
      <c r="BD77" s="493"/>
      <c r="BM77" s="761"/>
    </row>
    <row r="78" spans="2:65">
      <c r="B78" s="493" t="s">
        <v>848</v>
      </c>
      <c r="D78" s="115">
        <f>O16*O20+Z16*Z20+AK16*AK20+AV16*AV20+BG16*BG20</f>
        <v>3405.2251897122628</v>
      </c>
      <c r="E78" s="115">
        <f t="shared" ref="E78:J78" si="265">D81</f>
        <v>3780.982420635688</v>
      </c>
      <c r="F78" s="115">
        <f t="shared" ca="1" si="265"/>
        <v>9696.2928632254789</v>
      </c>
      <c r="G78" s="115">
        <f t="shared" ca="1" si="265"/>
        <v>10318.716292886857</v>
      </c>
      <c r="H78" s="115">
        <f t="shared" ca="1" si="265"/>
        <v>13471.866412828418</v>
      </c>
      <c r="I78" s="115">
        <f t="shared" ca="1" si="265"/>
        <v>14749.39924794059</v>
      </c>
      <c r="J78" s="508">
        <f t="shared" ca="1" si="265"/>
        <v>15034.936349127311</v>
      </c>
      <c r="L78" s="743" t="s">
        <v>814</v>
      </c>
      <c r="O78" s="115">
        <f t="shared" ref="O78:U78" si="266">O57</f>
        <v>0</v>
      </c>
      <c r="P78" s="115">
        <f t="shared" si="266"/>
        <v>2266</v>
      </c>
      <c r="Q78" s="115">
        <f t="shared" si="266"/>
        <v>3739</v>
      </c>
      <c r="R78" s="115">
        <f t="shared" si="266"/>
        <v>4394</v>
      </c>
      <c r="S78" s="115">
        <f t="shared" si="266"/>
        <v>4416</v>
      </c>
      <c r="T78" s="115">
        <f t="shared" si="266"/>
        <v>4416</v>
      </c>
      <c r="U78" s="508">
        <f t="shared" si="266"/>
        <v>4416</v>
      </c>
      <c r="W78" s="743" t="s">
        <v>814</v>
      </c>
      <c r="Z78" s="115">
        <f t="shared" ref="Z78:AF78" si="267">Z57</f>
        <v>5267</v>
      </c>
      <c r="AA78" s="115">
        <f t="shared" si="267"/>
        <v>0</v>
      </c>
      <c r="AB78" s="115">
        <f t="shared" si="267"/>
        <v>0</v>
      </c>
      <c r="AC78" s="115">
        <f t="shared" si="267"/>
        <v>0</v>
      </c>
      <c r="AD78" s="115">
        <f t="shared" si="267"/>
        <v>0</v>
      </c>
      <c r="AE78" s="115">
        <f t="shared" si="267"/>
        <v>0</v>
      </c>
      <c r="AF78" s="508">
        <f t="shared" si="267"/>
        <v>0</v>
      </c>
      <c r="AH78" s="743" t="s">
        <v>814</v>
      </c>
      <c r="AK78" s="115">
        <f t="shared" ref="AK78:AQ78" si="268">AK57</f>
        <v>0</v>
      </c>
      <c r="AL78" s="115">
        <f t="shared" si="268"/>
        <v>57877</v>
      </c>
      <c r="AM78" s="115">
        <f t="shared" si="268"/>
        <v>0</v>
      </c>
      <c r="AN78" s="115">
        <f t="shared" si="268"/>
        <v>0</v>
      </c>
      <c r="AO78" s="115">
        <f t="shared" si="268"/>
        <v>0</v>
      </c>
      <c r="AP78" s="115">
        <f t="shared" si="268"/>
        <v>0</v>
      </c>
      <c r="AQ78" s="508">
        <f t="shared" si="268"/>
        <v>0</v>
      </c>
      <c r="AS78" s="743" t="s">
        <v>814</v>
      </c>
      <c r="AV78" s="115">
        <f t="shared" ref="AV78:BB78" si="269">AV57</f>
        <v>0</v>
      </c>
      <c r="AW78" s="115">
        <f t="shared" ca="1" si="269"/>
        <v>37500</v>
      </c>
      <c r="AX78" s="115">
        <f t="shared" ca="1" si="269"/>
        <v>41761</v>
      </c>
      <c r="AY78" s="115">
        <f t="shared" ca="1" si="269"/>
        <v>60491</v>
      </c>
      <c r="AZ78" s="115">
        <f t="shared" ca="1" si="269"/>
        <v>70328</v>
      </c>
      <c r="BA78" s="115">
        <f t="shared" ca="1" si="269"/>
        <v>70395</v>
      </c>
      <c r="BB78" s="508">
        <f t="shared" ca="1" si="269"/>
        <v>70395</v>
      </c>
      <c r="BD78" s="743" t="s">
        <v>814</v>
      </c>
      <c r="BG78" s="115">
        <f t="shared" ref="BG78:BM78" si="270">BG57</f>
        <v>0</v>
      </c>
      <c r="BH78" s="115">
        <f t="shared" si="270"/>
        <v>0</v>
      </c>
      <c r="BI78" s="115">
        <f t="shared" si="270"/>
        <v>0</v>
      </c>
      <c r="BJ78" s="115">
        <f t="shared" si="270"/>
        <v>5700</v>
      </c>
      <c r="BK78" s="115">
        <f t="shared" si="270"/>
        <v>7500</v>
      </c>
      <c r="BL78" s="115">
        <f t="shared" si="270"/>
        <v>8700</v>
      </c>
      <c r="BM78" s="508">
        <f t="shared" si="270"/>
        <v>8700</v>
      </c>
    </row>
    <row r="79" spans="2:65">
      <c r="B79" s="493" t="s">
        <v>849</v>
      </c>
      <c r="D79" s="115">
        <f>-(D80+D78-D81)</f>
        <v>-3755.4332737640962</v>
      </c>
      <c r="E79" s="115">
        <f t="shared" ref="E79:J79" ca="1" si="271">-(E80+E78-E81)</f>
        <v>-96609.09697678918</v>
      </c>
      <c r="F79" s="115">
        <f t="shared" ca="1" si="271"/>
        <v>-48563.6129659828</v>
      </c>
      <c r="G79" s="115">
        <f t="shared" ca="1" si="271"/>
        <v>-80716.074958301528</v>
      </c>
      <c r="H79" s="115">
        <f t="shared" ca="1" si="271"/>
        <v>-96649.457581276423</v>
      </c>
      <c r="I79" s="115">
        <f t="shared" ca="1" si="271"/>
        <v>-100768.02814611755</v>
      </c>
      <c r="J79" s="508">
        <f t="shared" ca="1" si="271"/>
        <v>-102781.23880849949</v>
      </c>
      <c r="L79" s="493" t="s">
        <v>664</v>
      </c>
      <c r="O79" s="115"/>
      <c r="P79" s="732">
        <f t="shared" ref="P79:U79" si="272">O81</f>
        <v>0</v>
      </c>
      <c r="Q79" s="732">
        <f t="shared" si="272"/>
        <v>227</v>
      </c>
      <c r="R79" s="732">
        <f t="shared" si="272"/>
        <v>351</v>
      </c>
      <c r="S79" s="732">
        <f t="shared" si="272"/>
        <v>404</v>
      </c>
      <c r="T79" s="732">
        <f t="shared" si="272"/>
        <v>401</v>
      </c>
      <c r="U79" s="762">
        <f t="shared" si="272"/>
        <v>402</v>
      </c>
      <c r="W79" s="493" t="s">
        <v>664</v>
      </c>
      <c r="Z79" s="115"/>
      <c r="AA79" s="732">
        <f t="shared" ref="AA79:AF79" si="273">Z81</f>
        <v>527</v>
      </c>
      <c r="AB79" s="732">
        <f t="shared" si="273"/>
        <v>527</v>
      </c>
      <c r="AC79" s="732">
        <f t="shared" si="273"/>
        <v>527</v>
      </c>
      <c r="AD79" s="732">
        <f t="shared" si="273"/>
        <v>527</v>
      </c>
      <c r="AE79" s="732">
        <f t="shared" si="273"/>
        <v>527</v>
      </c>
      <c r="AF79" s="762">
        <f t="shared" si="273"/>
        <v>527</v>
      </c>
      <c r="AH79" s="493" t="s">
        <v>664</v>
      </c>
      <c r="AK79" s="115"/>
      <c r="AL79" s="732">
        <f t="shared" ref="AL79:AQ79" si="274">AK81</f>
        <v>0</v>
      </c>
      <c r="AM79" s="732">
        <f t="shared" si="274"/>
        <v>5788</v>
      </c>
      <c r="AN79" s="732">
        <f t="shared" si="274"/>
        <v>5788</v>
      </c>
      <c r="AO79" s="732">
        <f t="shared" si="274"/>
        <v>5788</v>
      </c>
      <c r="AP79" s="732">
        <f t="shared" si="274"/>
        <v>5788</v>
      </c>
      <c r="AQ79" s="762">
        <f t="shared" si="274"/>
        <v>5788</v>
      </c>
      <c r="AS79" s="493" t="s">
        <v>664</v>
      </c>
      <c r="AV79" s="115"/>
      <c r="AW79" s="732">
        <f t="shared" ref="AW79:BB79" si="275">AV81</f>
        <v>0</v>
      </c>
      <c r="AX79" s="732">
        <f t="shared" ca="1" si="275"/>
        <v>3750</v>
      </c>
      <c r="AY79" s="732">
        <f t="shared" ca="1" si="275"/>
        <v>3801</v>
      </c>
      <c r="AZ79" s="732">
        <f t="shared" ca="1" si="275"/>
        <v>5669</v>
      </c>
      <c r="BA79" s="732">
        <f t="shared" ca="1" si="275"/>
        <v>6466</v>
      </c>
      <c r="BB79" s="762">
        <f t="shared" ca="1" si="275"/>
        <v>6393</v>
      </c>
      <c r="BD79" s="493" t="s">
        <v>664</v>
      </c>
      <c r="BG79" s="115"/>
      <c r="BH79" s="732">
        <f t="shared" ref="BH79:BM79" si="276">BG81</f>
        <v>0</v>
      </c>
      <c r="BI79" s="732">
        <f t="shared" si="276"/>
        <v>0</v>
      </c>
      <c r="BJ79" s="732">
        <f t="shared" si="276"/>
        <v>0</v>
      </c>
      <c r="BK79" s="732">
        <f t="shared" si="276"/>
        <v>570</v>
      </c>
      <c r="BL79" s="732">
        <f t="shared" si="276"/>
        <v>693</v>
      </c>
      <c r="BM79" s="762">
        <f t="shared" si="276"/>
        <v>801</v>
      </c>
    </row>
    <row r="80" spans="2:65">
      <c r="B80" s="493" t="s">
        <v>850</v>
      </c>
      <c r="D80" s="114">
        <f t="shared" ref="D80:J80" si="277">O21+Z21+AK21+AV21+BG21</f>
        <v>4131.1905046875218</v>
      </c>
      <c r="E80" s="114">
        <f t="shared" ca="1" si="277"/>
        <v>102524.40741937897</v>
      </c>
      <c r="F80" s="114">
        <f t="shared" ca="1" si="277"/>
        <v>49186.03639564418</v>
      </c>
      <c r="G80" s="114">
        <f t="shared" ca="1" si="277"/>
        <v>83869.225078243078</v>
      </c>
      <c r="H80" s="114">
        <f t="shared" ca="1" si="277"/>
        <v>97926.990416388595</v>
      </c>
      <c r="I80" s="114">
        <f t="shared" ca="1" si="277"/>
        <v>101053.56524730427</v>
      </c>
      <c r="J80" s="561">
        <f t="shared" ca="1" si="277"/>
        <v>102952.57538393736</v>
      </c>
      <c r="L80" s="493" t="s">
        <v>615</v>
      </c>
      <c r="O80" s="114">
        <f t="shared" ref="O80:U80" si="278">ROUND(IF(O79-O78&lt;0,-(O79-O78)*(1+$M$76)),0)</f>
        <v>0</v>
      </c>
      <c r="P80" s="114">
        <f t="shared" si="278"/>
        <v>2493</v>
      </c>
      <c r="Q80" s="114">
        <f t="shared" si="278"/>
        <v>3863</v>
      </c>
      <c r="R80" s="114">
        <f t="shared" si="278"/>
        <v>4447</v>
      </c>
      <c r="S80" s="114">
        <f t="shared" si="278"/>
        <v>4413</v>
      </c>
      <c r="T80" s="114">
        <f t="shared" si="278"/>
        <v>4417</v>
      </c>
      <c r="U80" s="561">
        <f t="shared" si="278"/>
        <v>4415</v>
      </c>
      <c r="W80" s="493" t="s">
        <v>615</v>
      </c>
      <c r="Z80" s="114">
        <f t="shared" ref="Z80:AF80" si="279">ROUND(IF(Z79-Z78&lt;0,-(Z79-Z78)*(1+$M$76)),0)</f>
        <v>5794</v>
      </c>
      <c r="AA80" s="114">
        <f t="shared" si="279"/>
        <v>0</v>
      </c>
      <c r="AB80" s="114">
        <f t="shared" si="279"/>
        <v>0</v>
      </c>
      <c r="AC80" s="114">
        <f t="shared" si="279"/>
        <v>0</v>
      </c>
      <c r="AD80" s="114">
        <f t="shared" si="279"/>
        <v>0</v>
      </c>
      <c r="AE80" s="114">
        <f t="shared" si="279"/>
        <v>0</v>
      </c>
      <c r="AF80" s="561">
        <f t="shared" si="279"/>
        <v>0</v>
      </c>
      <c r="AH80" s="493" t="s">
        <v>615</v>
      </c>
      <c r="AK80" s="114">
        <f>ROUND(IF(AK79-AK78&lt;0,-(AK79-AK78)*(1+$AI$76)),0)</f>
        <v>0</v>
      </c>
      <c r="AL80" s="114">
        <f t="shared" ref="AL80:AQ80" si="280">ROUND(IF(AL79-AL78&lt;0,-(AL79-AL78)*(1+$M$76)),0)</f>
        <v>63665</v>
      </c>
      <c r="AM80" s="114">
        <f t="shared" si="280"/>
        <v>0</v>
      </c>
      <c r="AN80" s="114">
        <f t="shared" si="280"/>
        <v>0</v>
      </c>
      <c r="AO80" s="114">
        <f t="shared" si="280"/>
        <v>0</v>
      </c>
      <c r="AP80" s="114">
        <f t="shared" si="280"/>
        <v>0</v>
      </c>
      <c r="AQ80" s="561">
        <f t="shared" si="280"/>
        <v>0</v>
      </c>
      <c r="AS80" s="493" t="s">
        <v>615</v>
      </c>
      <c r="AV80" s="114">
        <f>ROUND(IF(AV79-AV78&lt;0,-(AV79-AV78)*(1+$AT$76)),0)</f>
        <v>0</v>
      </c>
      <c r="AW80" s="114">
        <f t="shared" ref="AW80:BB80" ca="1" si="281">ROUND(IF(AW79-AW78&lt;0,-(AW79-AW78)*(1+$AT$76)),0)</f>
        <v>41250</v>
      </c>
      <c r="AX80" s="114">
        <f t="shared" ca="1" si="281"/>
        <v>41812</v>
      </c>
      <c r="AY80" s="114">
        <f t="shared" ca="1" si="281"/>
        <v>62359</v>
      </c>
      <c r="AZ80" s="114">
        <f t="shared" ca="1" si="281"/>
        <v>71125</v>
      </c>
      <c r="BA80" s="114">
        <f t="shared" ca="1" si="281"/>
        <v>70322</v>
      </c>
      <c r="BB80" s="561">
        <f t="shared" ca="1" si="281"/>
        <v>70402</v>
      </c>
      <c r="BD80" s="493" t="s">
        <v>615</v>
      </c>
      <c r="BG80" s="114">
        <f>ROUND(IF(BG79-BG78&lt;0,-(BG79-BG78)*(1+$BE$76)),0)</f>
        <v>0</v>
      </c>
      <c r="BH80" s="114">
        <f t="shared" ref="BH80:BM80" si="282">ROUND(IF(BH79-BH78&lt;0,-(BH79-BH78)*(1+$BE$76)),0)</f>
        <v>0</v>
      </c>
      <c r="BI80" s="114">
        <f t="shared" si="282"/>
        <v>0</v>
      </c>
      <c r="BJ80" s="114">
        <f t="shared" si="282"/>
        <v>6270</v>
      </c>
      <c r="BK80" s="114">
        <f t="shared" si="282"/>
        <v>7623</v>
      </c>
      <c r="BL80" s="114">
        <f t="shared" si="282"/>
        <v>8808</v>
      </c>
      <c r="BM80" s="561">
        <f t="shared" si="282"/>
        <v>8689</v>
      </c>
    </row>
    <row r="81" spans="2:65">
      <c r="B81" s="493" t="s">
        <v>851</v>
      </c>
      <c r="D81" s="115">
        <f t="shared" ref="D81:J81" si="283">O32+Z32+AK32+AV32+BG32</f>
        <v>3780.982420635688</v>
      </c>
      <c r="E81" s="115">
        <f t="shared" ca="1" si="283"/>
        <v>9696.2928632254789</v>
      </c>
      <c r="F81" s="115">
        <f t="shared" ca="1" si="283"/>
        <v>10318.716292886857</v>
      </c>
      <c r="G81" s="115">
        <f t="shared" ca="1" si="283"/>
        <v>13471.866412828418</v>
      </c>
      <c r="H81" s="115">
        <f t="shared" ca="1" si="283"/>
        <v>14749.39924794059</v>
      </c>
      <c r="I81" s="115">
        <f t="shared" ca="1" si="283"/>
        <v>15034.936349127311</v>
      </c>
      <c r="J81" s="508">
        <f t="shared" ca="1" si="283"/>
        <v>15206.27292456519</v>
      </c>
      <c r="L81" s="493" t="s">
        <v>816</v>
      </c>
      <c r="O81" s="734">
        <f t="shared" ref="O81:U81" si="284">O79+O80-O78</f>
        <v>0</v>
      </c>
      <c r="P81" s="734">
        <f t="shared" si="284"/>
        <v>227</v>
      </c>
      <c r="Q81" s="734">
        <f t="shared" si="284"/>
        <v>351</v>
      </c>
      <c r="R81" s="734">
        <f t="shared" si="284"/>
        <v>404</v>
      </c>
      <c r="S81" s="734">
        <f t="shared" si="284"/>
        <v>401</v>
      </c>
      <c r="T81" s="734">
        <f t="shared" si="284"/>
        <v>402</v>
      </c>
      <c r="U81" s="763">
        <f t="shared" si="284"/>
        <v>401</v>
      </c>
      <c r="W81" s="493" t="s">
        <v>816</v>
      </c>
      <c r="Z81" s="734">
        <f t="shared" ref="Z81:AF81" si="285">Z79+Z80-Z78</f>
        <v>527</v>
      </c>
      <c r="AA81" s="734">
        <f t="shared" si="285"/>
        <v>527</v>
      </c>
      <c r="AB81" s="734">
        <f t="shared" si="285"/>
        <v>527</v>
      </c>
      <c r="AC81" s="734">
        <f t="shared" si="285"/>
        <v>527</v>
      </c>
      <c r="AD81" s="734">
        <f t="shared" si="285"/>
        <v>527</v>
      </c>
      <c r="AE81" s="734">
        <f t="shared" si="285"/>
        <v>527</v>
      </c>
      <c r="AF81" s="763">
        <f t="shared" si="285"/>
        <v>527</v>
      </c>
      <c r="AH81" s="493" t="s">
        <v>816</v>
      </c>
      <c r="AK81" s="734">
        <f t="shared" ref="AK81:AQ81" si="286">AK79+AK80-AK78</f>
        <v>0</v>
      </c>
      <c r="AL81" s="734">
        <f t="shared" si="286"/>
        <v>5788</v>
      </c>
      <c r="AM81" s="734">
        <f t="shared" si="286"/>
        <v>5788</v>
      </c>
      <c r="AN81" s="734">
        <f t="shared" si="286"/>
        <v>5788</v>
      </c>
      <c r="AO81" s="734">
        <f t="shared" si="286"/>
        <v>5788</v>
      </c>
      <c r="AP81" s="734">
        <f t="shared" si="286"/>
        <v>5788</v>
      </c>
      <c r="AQ81" s="763">
        <f t="shared" si="286"/>
        <v>5788</v>
      </c>
      <c r="AS81" s="493" t="s">
        <v>816</v>
      </c>
      <c r="AV81" s="734">
        <f t="shared" ref="AV81:BB81" si="287">AV79+AV80-AV78</f>
        <v>0</v>
      </c>
      <c r="AW81" s="734">
        <f t="shared" ca="1" si="287"/>
        <v>3750</v>
      </c>
      <c r="AX81" s="734">
        <f t="shared" ca="1" si="287"/>
        <v>3801</v>
      </c>
      <c r="AY81" s="734">
        <f t="shared" ca="1" si="287"/>
        <v>5669</v>
      </c>
      <c r="AZ81" s="734">
        <f t="shared" ca="1" si="287"/>
        <v>6466</v>
      </c>
      <c r="BA81" s="734">
        <f t="shared" ca="1" si="287"/>
        <v>6393</v>
      </c>
      <c r="BB81" s="763">
        <f t="shared" ca="1" si="287"/>
        <v>6400</v>
      </c>
      <c r="BD81" s="493" t="s">
        <v>816</v>
      </c>
      <c r="BG81" s="734">
        <f t="shared" ref="BG81:BM81" si="288">BG79+BG80-BG78</f>
        <v>0</v>
      </c>
      <c r="BH81" s="734">
        <f t="shared" si="288"/>
        <v>0</v>
      </c>
      <c r="BI81" s="734">
        <f t="shared" si="288"/>
        <v>0</v>
      </c>
      <c r="BJ81" s="734">
        <f t="shared" si="288"/>
        <v>570</v>
      </c>
      <c r="BK81" s="734">
        <f t="shared" si="288"/>
        <v>693</v>
      </c>
      <c r="BL81" s="734">
        <f t="shared" si="288"/>
        <v>801</v>
      </c>
      <c r="BM81" s="763">
        <f t="shared" si="288"/>
        <v>790</v>
      </c>
    </row>
    <row r="82" spans="2:65">
      <c r="B82" s="493"/>
      <c r="D82" s="115"/>
      <c r="E82" s="115"/>
      <c r="F82" s="115"/>
      <c r="G82" s="115"/>
      <c r="H82" s="115"/>
      <c r="I82" s="115"/>
      <c r="J82" s="508"/>
      <c r="L82" s="493"/>
      <c r="U82" s="761"/>
      <c r="W82" s="493"/>
      <c r="AF82" s="761"/>
      <c r="AH82" s="493"/>
      <c r="AQ82" s="761"/>
      <c r="AS82" s="493"/>
      <c r="BB82" s="761"/>
      <c r="BD82" s="493"/>
      <c r="BM82" s="761"/>
    </row>
    <row r="83" spans="2:65">
      <c r="B83" s="743" t="str">
        <f>B35</f>
        <v>Cork</v>
      </c>
      <c r="D83" s="732">
        <f>O49+Z49+AK49+AV49+BG49+D85</f>
        <v>0</v>
      </c>
      <c r="E83" s="732">
        <f t="shared" ref="E83:J83" ca="1" si="289">P49+AA49+AL49+AW49+BH49+E85</f>
        <v>0</v>
      </c>
      <c r="F83" s="732">
        <f t="shared" ca="1" si="289"/>
        <v>0</v>
      </c>
      <c r="G83" s="732">
        <f t="shared" ca="1" si="289"/>
        <v>0</v>
      </c>
      <c r="H83" s="732">
        <f t="shared" ca="1" si="289"/>
        <v>0</v>
      </c>
      <c r="I83" s="732">
        <f t="shared" ca="1" si="289"/>
        <v>0</v>
      </c>
      <c r="J83" s="762">
        <f t="shared" ca="1" si="289"/>
        <v>0</v>
      </c>
      <c r="L83" s="493" t="s">
        <v>312</v>
      </c>
      <c r="O83" s="757">
        <f>IF(O80&gt;0,$C$8*Opex!D29,O94)</f>
        <v>0.13559708302868859</v>
      </c>
      <c r="P83" s="757">
        <f>IF(P80&gt;0,$C$8*Opex!E29,P94)</f>
        <v>0.1472197870004926</v>
      </c>
      <c r="Q83" s="757">
        <f>IF(Q80&gt;0,$C$8*Opex!F29,Q94)</f>
        <v>0.15016418274050244</v>
      </c>
      <c r="R83" s="757">
        <f>IF(R80&gt;0,$C$8*Opex!G29,R94)</f>
        <v>0.15316746639531248</v>
      </c>
      <c r="S83" s="757">
        <f>IF(S80&gt;0,$C$8*Opex!H29,S94)</f>
        <v>0.15623081572321873</v>
      </c>
      <c r="T83" s="757">
        <f>IF(T80&gt;0,$C$8*Opex!I29,T94)</f>
        <v>0.1593554320376831</v>
      </c>
      <c r="U83" s="764">
        <f>IF(U80&gt;0,$C$8*Opex!J29,U94)</f>
        <v>0.16254254067843676</v>
      </c>
      <c r="W83" s="493" t="s">
        <v>312</v>
      </c>
      <c r="Z83" s="757">
        <f>IF(Z80&gt;0,$D$8*Opex!D29,Z94)</f>
        <v>0.14224134009709433</v>
      </c>
      <c r="AA83" s="757">
        <f>IF(AA80&gt;0,$D$8*Opex!E29,AA94)</f>
        <v>0.14224134009709433</v>
      </c>
      <c r="AB83" s="757">
        <f>IF(AB80&gt;0,$D$8*Opex!F29,AB94)</f>
        <v>0.14224134009709433</v>
      </c>
      <c r="AC83" s="757">
        <f>IF(AC80&gt;0,$D$8*Opex!G29,AC94)</f>
        <v>0.14224134009709433</v>
      </c>
      <c r="AD83" s="757">
        <f>IF(AD80&gt;0,$D$8*Opex!H29,AD94)</f>
        <v>0.14224134009709433</v>
      </c>
      <c r="AE83" s="757">
        <f>IF(AE80&gt;0,$D$8*Opex!I29,AE94)</f>
        <v>0.14224134009709433</v>
      </c>
      <c r="AF83" s="764">
        <f>IF(AF80&gt;0,$D$8*Opex!J29,AF94)</f>
        <v>0.14224134009709433</v>
      </c>
      <c r="AH83" s="493" t="s">
        <v>312</v>
      </c>
      <c r="AK83" s="757">
        <f>IF(AK80&gt;0,$E$8*Opex!D29,AK94)</f>
        <v>0.13112724000000001</v>
      </c>
      <c r="AL83" s="757">
        <f>IF(AL80&gt;0,$E$8*Opex!E29,AL94)</f>
        <v>0.14236681137659998</v>
      </c>
      <c r="AM83" s="757">
        <f>IF(AM80&gt;0,$E$8*Opex!F29,AM94)</f>
        <v>0.14236681137659998</v>
      </c>
      <c r="AN83" s="757">
        <f>IF(AN80&gt;0,$E$8*Opex!G29,AN94)</f>
        <v>0.14236681137659998</v>
      </c>
      <c r="AO83" s="757">
        <f>IF(AO80&gt;0,$E$8*Opex!H29,AO94)</f>
        <v>0.14236681137659998</v>
      </c>
      <c r="AP83" s="757">
        <f>IF(AP80&gt;0,$E$8*Opex!I29,AP94)</f>
        <v>0.14236681137659998</v>
      </c>
      <c r="AQ83" s="764">
        <f>IF(AQ80&gt;0,$E$8*Opex!J29,AQ94)</f>
        <v>0.14236681137659998</v>
      </c>
      <c r="AS83" s="493" t="s">
        <v>312</v>
      </c>
      <c r="AV83" s="757">
        <f>IF(AV80&gt;0,$F$8*Opex!D29,AV94)</f>
        <v>0.13112724000000001</v>
      </c>
      <c r="AW83" s="757">
        <f ca="1">IF(AW80&gt;0,$F$8*Opex!E29,AW94)</f>
        <v>0.14236681137659998</v>
      </c>
      <c r="AX83" s="757">
        <f ca="1">IF(AX80&gt;0,$F$8*Opex!F29,AX94)</f>
        <v>0.14521414760413198</v>
      </c>
      <c r="AY83" s="757">
        <f ca="1">IF(AY80&gt;0,$F$8*Opex!G29,AY94)</f>
        <v>0.1481184305562146</v>
      </c>
      <c r="AZ83" s="757">
        <f ca="1">IF(AZ80&gt;0,$F$8*Opex!H29,AZ94)</f>
        <v>0.15108079916733888</v>
      </c>
      <c r="BA83" s="757">
        <f ca="1">IF(BA80&gt;0,$F$8*Opex!I29,BA94)</f>
        <v>0.15410241515068565</v>
      </c>
      <c r="BB83" s="764">
        <f ca="1">IF(BB80&gt;0,$F$8*Opex!J29,BB94)</f>
        <v>0.15718446345369938</v>
      </c>
      <c r="BD83" s="493" t="s">
        <v>312</v>
      </c>
      <c r="BG83" s="757">
        <f>IF(BG80&gt;0,$G$8*Opex!D29,BG94)</f>
        <v>0.13112724000000001</v>
      </c>
      <c r="BH83" s="757">
        <f>IF(BH80&gt;0,$G$8*Opex!E29,BH94)</f>
        <v>0.13112724000000001</v>
      </c>
      <c r="BI83" s="757">
        <f>IF(BI80&gt;0,$G$8*Opex!F29,BI94)</f>
        <v>0.13112724000000001</v>
      </c>
      <c r="BJ83" s="757">
        <f>IF(BJ80&gt;0,$G$8*Opex!G29,BJ94)</f>
        <v>0.1481184305562146</v>
      </c>
      <c r="BK83" s="757">
        <f>IF(BK80&gt;0,$G$8*Opex!H29,BK94)</f>
        <v>0.15108079916733888</v>
      </c>
      <c r="BL83" s="757">
        <f>IF(BL80&gt;0,$G$8*Opex!I29,BL94)</f>
        <v>0.15410241515068565</v>
      </c>
      <c r="BM83" s="764">
        <f>IF(BM80&gt;0,$G$8*Opex!J29,BM94)</f>
        <v>0.15718446345369938</v>
      </c>
    </row>
    <row r="84" spans="2:65">
      <c r="B84" s="493" t="s">
        <v>848</v>
      </c>
      <c r="D84" s="115">
        <f>O37*O41+Z37*Z41+AK37*AK41+AV37*AV41+BG37*BG41</f>
        <v>1243.7036669805202</v>
      </c>
      <c r="E84" s="115">
        <f t="shared" ref="E84:J84" si="290">D87</f>
        <v>1277.4315678311325</v>
      </c>
      <c r="F84" s="115">
        <f t="shared" ca="1" si="290"/>
        <v>3427.935627346696</v>
      </c>
      <c r="G84" s="115">
        <f t="shared" ca="1" si="290"/>
        <v>3625.1830109707835</v>
      </c>
      <c r="H84" s="115">
        <f t="shared" ca="1" si="290"/>
        <v>4576.4246334745803</v>
      </c>
      <c r="I84" s="115">
        <f t="shared" ca="1" si="290"/>
        <v>4984.7329511337048</v>
      </c>
      <c r="J84" s="508">
        <f t="shared" ca="1" si="290"/>
        <v>5055.1838576071777</v>
      </c>
      <c r="L84" s="743" t="s">
        <v>85</v>
      </c>
      <c r="O84" s="562">
        <f t="shared" ref="O84:U84" si="291">O80*O83</f>
        <v>0</v>
      </c>
      <c r="P84" s="562">
        <f t="shared" si="291"/>
        <v>367.01892899222804</v>
      </c>
      <c r="Q84" s="562">
        <f t="shared" si="291"/>
        <v>580.08423792656095</v>
      </c>
      <c r="R84" s="562">
        <f t="shared" si="291"/>
        <v>681.13572305995456</v>
      </c>
      <c r="S84" s="562">
        <f t="shared" si="291"/>
        <v>689.44658978656423</v>
      </c>
      <c r="T84" s="562">
        <f t="shared" si="291"/>
        <v>703.8729433104462</v>
      </c>
      <c r="U84" s="563">
        <f t="shared" si="291"/>
        <v>717.62531709529833</v>
      </c>
      <c r="W84" s="743" t="s">
        <v>85</v>
      </c>
      <c r="Z84" s="562">
        <f t="shared" ref="Z84:AF84" si="292">Z80*Z83</f>
        <v>824.14632452256456</v>
      </c>
      <c r="AA84" s="562">
        <f t="shared" si="292"/>
        <v>0</v>
      </c>
      <c r="AB84" s="562">
        <f t="shared" si="292"/>
        <v>0</v>
      </c>
      <c r="AC84" s="562">
        <f t="shared" si="292"/>
        <v>0</v>
      </c>
      <c r="AD84" s="562">
        <f t="shared" si="292"/>
        <v>0</v>
      </c>
      <c r="AE84" s="562">
        <f t="shared" si="292"/>
        <v>0</v>
      </c>
      <c r="AF84" s="563">
        <f t="shared" si="292"/>
        <v>0</v>
      </c>
      <c r="AH84" s="743" t="s">
        <v>85</v>
      </c>
      <c r="AK84" s="562">
        <f t="shared" ref="AK84:AQ84" si="293">AK80*AK83</f>
        <v>0</v>
      </c>
      <c r="AL84" s="562">
        <f t="shared" si="293"/>
        <v>9063.783046291237</v>
      </c>
      <c r="AM84" s="562">
        <f t="shared" si="293"/>
        <v>0</v>
      </c>
      <c r="AN84" s="562">
        <f t="shared" si="293"/>
        <v>0</v>
      </c>
      <c r="AO84" s="562">
        <f t="shared" si="293"/>
        <v>0</v>
      </c>
      <c r="AP84" s="562">
        <f t="shared" si="293"/>
        <v>0</v>
      </c>
      <c r="AQ84" s="563">
        <f t="shared" si="293"/>
        <v>0</v>
      </c>
      <c r="AS84" s="743" t="s">
        <v>85</v>
      </c>
      <c r="AV84" s="562">
        <f t="shared" ref="AV84:BB84" si="294">AV80*AV83</f>
        <v>0</v>
      </c>
      <c r="AW84" s="562">
        <f t="shared" ca="1" si="294"/>
        <v>5872.630969284749</v>
      </c>
      <c r="AX84" s="562">
        <f t="shared" ca="1" si="294"/>
        <v>6071.6939396239668</v>
      </c>
      <c r="AY84" s="562">
        <f t="shared" ca="1" si="294"/>
        <v>9236.5172110549865</v>
      </c>
      <c r="AZ84" s="562">
        <f t="shared" ca="1" si="294"/>
        <v>10745.621840776977</v>
      </c>
      <c r="BA84" s="562">
        <f t="shared" ca="1" si="294"/>
        <v>10836.790038226516</v>
      </c>
      <c r="BB84" s="563">
        <f t="shared" ca="1" si="294"/>
        <v>11066.100596067343</v>
      </c>
      <c r="BD84" s="743" t="s">
        <v>85</v>
      </c>
      <c r="BG84" s="562">
        <f t="shared" ref="BG84:BM84" si="295">BG80*BG83</f>
        <v>0</v>
      </c>
      <c r="BH84" s="562">
        <f t="shared" si="295"/>
        <v>0</v>
      </c>
      <c r="BI84" s="562">
        <f t="shared" si="295"/>
        <v>0</v>
      </c>
      <c r="BJ84" s="562">
        <f t="shared" si="295"/>
        <v>928.70255958746554</v>
      </c>
      <c r="BK84" s="562">
        <f t="shared" si="295"/>
        <v>1151.6889320526243</v>
      </c>
      <c r="BL84" s="562">
        <f t="shared" si="295"/>
        <v>1357.3340726472393</v>
      </c>
      <c r="BM84" s="563">
        <f t="shared" si="295"/>
        <v>1365.7758029491938</v>
      </c>
    </row>
    <row r="85" spans="2:65">
      <c r="B85" s="493" t="s">
        <v>849</v>
      </c>
      <c r="D85" s="115">
        <f t="shared" ref="D85:J85" si="296">-(D86+D84-D87)</f>
        <v>-337.08700907054163</v>
      </c>
      <c r="E85" s="115">
        <f t="shared" ca="1" si="296"/>
        <v>-35184.412629895683</v>
      </c>
      <c r="F85" s="115">
        <f t="shared" ca="1" si="296"/>
        <v>-15893.392108677537</v>
      </c>
      <c r="G85" s="115">
        <f t="shared" ca="1" si="296"/>
        <v>-25600.839002798919</v>
      </c>
      <c r="H85" s="115">
        <f t="shared" ca="1" si="296"/>
        <v>-30637.791423248851</v>
      </c>
      <c r="I85" s="115">
        <f t="shared" ca="1" si="296"/>
        <v>-31747.736740912103</v>
      </c>
      <c r="J85" s="508">
        <f t="shared" ca="1" si="296"/>
        <v>-32382.411373185183</v>
      </c>
      <c r="L85" s="743"/>
      <c r="O85" s="562"/>
      <c r="P85" s="562"/>
      <c r="Q85" s="562"/>
      <c r="R85" s="562"/>
      <c r="S85" s="562"/>
      <c r="T85" s="562"/>
      <c r="U85" s="563"/>
      <c r="W85" s="743"/>
      <c r="Z85" s="562"/>
      <c r="AA85" s="562"/>
      <c r="AB85" s="562"/>
      <c r="AC85" s="562"/>
      <c r="AD85" s="562"/>
      <c r="AE85" s="562"/>
      <c r="AF85" s="563"/>
      <c r="AH85" s="743"/>
      <c r="AK85" s="562"/>
      <c r="AL85" s="562"/>
      <c r="AM85" s="562"/>
      <c r="AN85" s="562"/>
      <c r="AO85" s="562"/>
      <c r="AP85" s="562"/>
      <c r="AQ85" s="563"/>
      <c r="AS85" s="743"/>
      <c r="AV85" s="562"/>
      <c r="AW85" s="562"/>
      <c r="AX85" s="562"/>
      <c r="AY85" s="562"/>
      <c r="AZ85" s="562"/>
      <c r="BA85" s="562"/>
      <c r="BB85" s="563"/>
      <c r="BD85" s="743"/>
      <c r="BG85" s="562"/>
      <c r="BH85" s="562"/>
      <c r="BI85" s="562"/>
      <c r="BJ85" s="562"/>
      <c r="BK85" s="562"/>
      <c r="BL85" s="562"/>
      <c r="BM85" s="563"/>
    </row>
    <row r="86" spans="2:65">
      <c r="B86" s="493" t="s">
        <v>850</v>
      </c>
      <c r="D86" s="114">
        <f t="shared" ref="D86:J86" si="297">O42+Z42+AK42+AV42+BG42</f>
        <v>370.81490992115391</v>
      </c>
      <c r="E86" s="114">
        <f t="shared" ca="1" si="297"/>
        <v>37334.91668941125</v>
      </c>
      <c r="F86" s="114">
        <f t="shared" ca="1" si="297"/>
        <v>16090.639492301627</v>
      </c>
      <c r="G86" s="114">
        <f t="shared" ca="1" si="297"/>
        <v>26552.080625302715</v>
      </c>
      <c r="H86" s="114">
        <f t="shared" ca="1" si="297"/>
        <v>31046.099740907976</v>
      </c>
      <c r="I86" s="114">
        <f t="shared" ca="1" si="297"/>
        <v>31818.187647385581</v>
      </c>
      <c r="J86" s="561">
        <f t="shared" ca="1" si="297"/>
        <v>32438.568796923118</v>
      </c>
      <c r="L86" s="493" t="s">
        <v>880</v>
      </c>
      <c r="O86" s="732">
        <f>O83*O79</f>
        <v>0</v>
      </c>
      <c r="P86" s="732">
        <f t="shared" ref="P86:U86" si="298">O89</f>
        <v>0</v>
      </c>
      <c r="Q86" s="732">
        <f t="shared" si="298"/>
        <v>33.418891649111821</v>
      </c>
      <c r="R86" s="732">
        <f t="shared" si="298"/>
        <v>52.707628141916359</v>
      </c>
      <c r="S86" s="732">
        <f t="shared" si="298"/>
        <v>61.879656423706244</v>
      </c>
      <c r="T86" s="732">
        <f t="shared" si="298"/>
        <v>62.64855710501071</v>
      </c>
      <c r="U86" s="762">
        <f t="shared" si="298"/>
        <v>64.060883679148603</v>
      </c>
      <c r="W86" s="493" t="s">
        <v>880</v>
      </c>
      <c r="Z86" s="732">
        <f>Z83*Z79</f>
        <v>0</v>
      </c>
      <c r="AA86" s="732">
        <f t="shared" ref="AA86:AF86" si="299">Z89</f>
        <v>74.96118623116871</v>
      </c>
      <c r="AB86" s="732">
        <f t="shared" si="299"/>
        <v>74.96118623116871</v>
      </c>
      <c r="AC86" s="732">
        <f t="shared" si="299"/>
        <v>74.96118623116871</v>
      </c>
      <c r="AD86" s="732">
        <f t="shared" si="299"/>
        <v>74.96118623116871</v>
      </c>
      <c r="AE86" s="732">
        <f t="shared" si="299"/>
        <v>74.96118623116871</v>
      </c>
      <c r="AF86" s="762">
        <f t="shared" si="299"/>
        <v>74.96118623116871</v>
      </c>
      <c r="AG86" s="731"/>
      <c r="AH86" s="493" t="s">
        <v>880</v>
      </c>
      <c r="AK86" s="732">
        <f>AK83*AK79</f>
        <v>0</v>
      </c>
      <c r="AL86" s="732">
        <f t="shared" ref="AL86:AQ86" si="300">AK89</f>
        <v>0</v>
      </c>
      <c r="AM86" s="732">
        <f t="shared" si="300"/>
        <v>824.01910424776065</v>
      </c>
      <c r="AN86" s="732">
        <f t="shared" si="300"/>
        <v>824.01910424776065</v>
      </c>
      <c r="AO86" s="732">
        <f t="shared" si="300"/>
        <v>824.01910424776065</v>
      </c>
      <c r="AP86" s="732">
        <f t="shared" si="300"/>
        <v>824.01910424776065</v>
      </c>
      <c r="AQ86" s="762">
        <f t="shared" si="300"/>
        <v>824.01910424776065</v>
      </c>
      <c r="AR86" s="731"/>
      <c r="AS86" s="493" t="s">
        <v>880</v>
      </c>
      <c r="AV86" s="732">
        <f>AV83*AV79</f>
        <v>0</v>
      </c>
      <c r="AW86" s="732">
        <f t="shared" ref="AW86:BB86" si="301">AV89</f>
        <v>0</v>
      </c>
      <c r="AX86" s="732">
        <f t="shared" ca="1" si="301"/>
        <v>533.87554266224993</v>
      </c>
      <c r="AY86" s="732">
        <f t="shared" ca="1" si="301"/>
        <v>551.95897504330571</v>
      </c>
      <c r="AZ86" s="732">
        <f t="shared" ca="1" si="301"/>
        <v>839.68338282318052</v>
      </c>
      <c r="BA86" s="732">
        <f t="shared" ca="1" si="301"/>
        <v>976.88844741601315</v>
      </c>
      <c r="BB86" s="762">
        <f t="shared" ca="1" si="301"/>
        <v>985.17674005833339</v>
      </c>
      <c r="BD86" s="493" t="s">
        <v>880</v>
      </c>
      <c r="BG86" s="732">
        <f>BG83*BG79</f>
        <v>0</v>
      </c>
      <c r="BH86" s="732">
        <f t="shared" ref="BH86:BM86" si="302">BG89</f>
        <v>0</v>
      </c>
      <c r="BI86" s="732">
        <f t="shared" si="302"/>
        <v>0</v>
      </c>
      <c r="BJ86" s="732">
        <f t="shared" si="302"/>
        <v>0</v>
      </c>
      <c r="BK86" s="732">
        <f t="shared" si="302"/>
        <v>84.427505417042326</v>
      </c>
      <c r="BL86" s="732">
        <f t="shared" si="302"/>
        <v>104.69899382296585</v>
      </c>
      <c r="BM86" s="762">
        <f t="shared" si="302"/>
        <v>123.43603453569921</v>
      </c>
    </row>
    <row r="87" spans="2:65">
      <c r="B87" s="493" t="s">
        <v>851</v>
      </c>
      <c r="D87" s="115">
        <f>O53+Z53+AK53+AV53+BG53</f>
        <v>1277.4315678311325</v>
      </c>
      <c r="E87" s="115">
        <f t="shared" ref="E87:J87" ca="1" si="303">P53+AA53+AL53+AW53+BH53</f>
        <v>3427.935627346696</v>
      </c>
      <c r="F87" s="115">
        <f t="shared" ca="1" si="303"/>
        <v>3625.1830109707835</v>
      </c>
      <c r="G87" s="115">
        <f t="shared" ca="1" si="303"/>
        <v>4576.4246334745803</v>
      </c>
      <c r="H87" s="115">
        <f t="shared" ca="1" si="303"/>
        <v>4984.7329511337048</v>
      </c>
      <c r="I87" s="115">
        <f t="shared" ca="1" si="303"/>
        <v>5055.1838576071777</v>
      </c>
      <c r="J87" s="508">
        <f t="shared" ca="1" si="303"/>
        <v>5111.3412813451141</v>
      </c>
      <c r="L87" s="493" t="s">
        <v>877</v>
      </c>
      <c r="O87" s="115">
        <f t="shared" ref="O87:U87" si="304">-(O88+O86-O89)</f>
        <v>0</v>
      </c>
      <c r="P87" s="115">
        <f t="shared" si="304"/>
        <v>-333.60003734311624</v>
      </c>
      <c r="Q87" s="115">
        <f t="shared" si="304"/>
        <v>-560.7955014337565</v>
      </c>
      <c r="R87" s="115">
        <f t="shared" si="304"/>
        <v>-671.96369477816472</v>
      </c>
      <c r="S87" s="115">
        <f t="shared" si="304"/>
        <v>-688.67768910525979</v>
      </c>
      <c r="T87" s="115">
        <f t="shared" si="304"/>
        <v>-702.46061673630834</v>
      </c>
      <c r="U87" s="508">
        <f t="shared" si="304"/>
        <v>-716.5066419623937</v>
      </c>
      <c r="W87" s="493" t="s">
        <v>877</v>
      </c>
      <c r="Z87" s="115">
        <f t="shared" ref="Z87:AF87" si="305">-(Z88+Z86-Z89)</f>
        <v>-749.18513829139579</v>
      </c>
      <c r="AA87" s="115">
        <f t="shared" si="305"/>
        <v>0</v>
      </c>
      <c r="AB87" s="115">
        <f t="shared" si="305"/>
        <v>0</v>
      </c>
      <c r="AC87" s="115">
        <f t="shared" si="305"/>
        <v>0</v>
      </c>
      <c r="AD87" s="115">
        <f t="shared" si="305"/>
        <v>0</v>
      </c>
      <c r="AE87" s="115">
        <f t="shared" si="305"/>
        <v>0</v>
      </c>
      <c r="AF87" s="508">
        <f t="shared" si="305"/>
        <v>0</v>
      </c>
      <c r="AG87" s="731"/>
      <c r="AH87" s="493" t="s">
        <v>877</v>
      </c>
      <c r="AK87" s="115">
        <f t="shared" ref="AK87:AQ87" si="306">-(AK88+AK86-AK89)</f>
        <v>0</v>
      </c>
      <c r="AL87" s="115">
        <f t="shared" si="306"/>
        <v>-8239.7639420434771</v>
      </c>
      <c r="AM87" s="115">
        <f t="shared" si="306"/>
        <v>0</v>
      </c>
      <c r="AN87" s="115">
        <f t="shared" si="306"/>
        <v>0</v>
      </c>
      <c r="AO87" s="115">
        <f t="shared" si="306"/>
        <v>0</v>
      </c>
      <c r="AP87" s="115">
        <f t="shared" si="306"/>
        <v>0</v>
      </c>
      <c r="AQ87" s="508">
        <f t="shared" si="306"/>
        <v>0</v>
      </c>
      <c r="AR87" s="731"/>
      <c r="AS87" s="493" t="s">
        <v>877</v>
      </c>
      <c r="AV87" s="115">
        <f t="shared" ref="AV87:BB87" si="307">-(AV88+AV86-AV89)</f>
        <v>0</v>
      </c>
      <c r="AW87" s="115">
        <f t="shared" ca="1" si="307"/>
        <v>-5338.7554266224988</v>
      </c>
      <c r="AX87" s="115">
        <f t="shared" ca="1" si="307"/>
        <v>-6053.6105072429109</v>
      </c>
      <c r="AY87" s="115">
        <f t="shared" ca="1" si="307"/>
        <v>-8948.7928032751115</v>
      </c>
      <c r="AZ87" s="115">
        <f t="shared" ca="1" si="307"/>
        <v>-10608.416776184145</v>
      </c>
      <c r="BA87" s="115">
        <f t="shared" ca="1" si="307"/>
        <v>-10828.501745584195</v>
      </c>
      <c r="BB87" s="508">
        <f t="shared" ca="1" si="307"/>
        <v>-11045.296770022002</v>
      </c>
      <c r="BD87" s="493" t="s">
        <v>877</v>
      </c>
      <c r="BG87" s="115">
        <f t="shared" ref="BG87:BM87" si="308">-(BG88+BG86-BG89)</f>
        <v>0</v>
      </c>
      <c r="BH87" s="115">
        <f t="shared" si="308"/>
        <v>0</v>
      </c>
      <c r="BI87" s="115">
        <f t="shared" si="308"/>
        <v>0</v>
      </c>
      <c r="BJ87" s="115">
        <f t="shared" si="308"/>
        <v>-844.27505417042323</v>
      </c>
      <c r="BK87" s="115">
        <f t="shared" si="308"/>
        <v>-1131.4174436467008</v>
      </c>
      <c r="BL87" s="115">
        <f t="shared" si="308"/>
        <v>-1338.5970319345058</v>
      </c>
      <c r="BM87" s="508">
        <f t="shared" si="308"/>
        <v>-1365.0361113564707</v>
      </c>
    </row>
    <row r="88" spans="2:65">
      <c r="B88" s="493"/>
      <c r="D88" s="464"/>
      <c r="E88" s="464"/>
      <c r="F88" s="464"/>
      <c r="G88" s="464"/>
      <c r="H88" s="464"/>
      <c r="I88" s="464"/>
      <c r="J88" s="468"/>
      <c r="L88" s="493" t="s">
        <v>878</v>
      </c>
      <c r="O88" s="816">
        <f>O80*O83</f>
        <v>0</v>
      </c>
      <c r="P88" s="816">
        <f t="shared" ref="P88:U88" si="309">P80*P83</f>
        <v>367.01892899222804</v>
      </c>
      <c r="Q88" s="816">
        <f t="shared" si="309"/>
        <v>580.08423792656095</v>
      </c>
      <c r="R88" s="816">
        <f t="shared" si="309"/>
        <v>681.13572305995456</v>
      </c>
      <c r="S88" s="816">
        <f t="shared" si="309"/>
        <v>689.44658978656423</v>
      </c>
      <c r="T88" s="816">
        <f t="shared" si="309"/>
        <v>703.8729433104462</v>
      </c>
      <c r="U88" s="817">
        <f t="shared" si="309"/>
        <v>717.62531709529833</v>
      </c>
      <c r="W88" s="493" t="s">
        <v>878</v>
      </c>
      <c r="Z88" s="816">
        <f>Z80*Z83</f>
        <v>824.14632452256456</v>
      </c>
      <c r="AA88" s="816">
        <f t="shared" ref="AA88:AF88" si="310">AA80*AA83</f>
        <v>0</v>
      </c>
      <c r="AB88" s="816">
        <f t="shared" si="310"/>
        <v>0</v>
      </c>
      <c r="AC88" s="816">
        <f t="shared" si="310"/>
        <v>0</v>
      </c>
      <c r="AD88" s="816">
        <f t="shared" si="310"/>
        <v>0</v>
      </c>
      <c r="AE88" s="816">
        <f t="shared" si="310"/>
        <v>0</v>
      </c>
      <c r="AF88" s="817">
        <f t="shared" si="310"/>
        <v>0</v>
      </c>
      <c r="AG88" s="731"/>
      <c r="AH88" s="493" t="s">
        <v>878</v>
      </c>
      <c r="AK88" s="816">
        <f>AK80*AK83</f>
        <v>0</v>
      </c>
      <c r="AL88" s="816">
        <f t="shared" ref="AL88:AQ88" si="311">AL80*AL83</f>
        <v>9063.783046291237</v>
      </c>
      <c r="AM88" s="816">
        <f t="shared" si="311"/>
        <v>0</v>
      </c>
      <c r="AN88" s="816">
        <f t="shared" si="311"/>
        <v>0</v>
      </c>
      <c r="AO88" s="816">
        <f t="shared" si="311"/>
        <v>0</v>
      </c>
      <c r="AP88" s="816">
        <f t="shared" si="311"/>
        <v>0</v>
      </c>
      <c r="AQ88" s="817">
        <f t="shared" si="311"/>
        <v>0</v>
      </c>
      <c r="AR88" s="731"/>
      <c r="AS88" s="493" t="s">
        <v>878</v>
      </c>
      <c r="AV88" s="816">
        <f>AV80*AV83</f>
        <v>0</v>
      </c>
      <c r="AW88" s="816">
        <f t="shared" ref="AW88:BB88" ca="1" si="312">AW80*AW83</f>
        <v>5872.630969284749</v>
      </c>
      <c r="AX88" s="816">
        <f t="shared" ca="1" si="312"/>
        <v>6071.6939396239668</v>
      </c>
      <c r="AY88" s="816">
        <f t="shared" ca="1" si="312"/>
        <v>9236.5172110549865</v>
      </c>
      <c r="AZ88" s="816">
        <f t="shared" ca="1" si="312"/>
        <v>10745.621840776977</v>
      </c>
      <c r="BA88" s="816">
        <f t="shared" ca="1" si="312"/>
        <v>10836.790038226516</v>
      </c>
      <c r="BB88" s="817">
        <f t="shared" ca="1" si="312"/>
        <v>11066.100596067343</v>
      </c>
      <c r="BD88" s="493" t="s">
        <v>878</v>
      </c>
      <c r="BG88" s="816">
        <f>BG80*BG83</f>
        <v>0</v>
      </c>
      <c r="BH88" s="816">
        <f t="shared" ref="BH88:BM88" si="313">BH80*BH83</f>
        <v>0</v>
      </c>
      <c r="BI88" s="816">
        <f t="shared" si="313"/>
        <v>0</v>
      </c>
      <c r="BJ88" s="816">
        <f t="shared" si="313"/>
        <v>928.70255958746554</v>
      </c>
      <c r="BK88" s="816">
        <f t="shared" si="313"/>
        <v>1151.6889320526243</v>
      </c>
      <c r="BL88" s="816">
        <f t="shared" si="313"/>
        <v>1357.3340726472393</v>
      </c>
      <c r="BM88" s="817">
        <f t="shared" si="313"/>
        <v>1365.7758029491938</v>
      </c>
    </row>
    <row r="89" spans="2:65">
      <c r="B89" s="743" t="str">
        <f>B36</f>
        <v>Labels</v>
      </c>
      <c r="D89" s="464">
        <f t="shared" ref="D89:J89" si="314">O70+Z70+AK70+AV70+BG70+D91</f>
        <v>0</v>
      </c>
      <c r="E89" s="464">
        <f t="shared" ca="1" si="314"/>
        <v>0</v>
      </c>
      <c r="F89" s="464">
        <f t="shared" ca="1" si="314"/>
        <v>0</v>
      </c>
      <c r="G89" s="464">
        <f t="shared" ca="1" si="314"/>
        <v>0</v>
      </c>
      <c r="H89" s="464">
        <f t="shared" ca="1" si="314"/>
        <v>0</v>
      </c>
      <c r="I89" s="464">
        <f t="shared" ca="1" si="314"/>
        <v>0</v>
      </c>
      <c r="J89" s="468">
        <f t="shared" ca="1" si="314"/>
        <v>0</v>
      </c>
      <c r="L89" s="743" t="s">
        <v>879</v>
      </c>
      <c r="O89" s="732">
        <f>O95</f>
        <v>0</v>
      </c>
      <c r="P89" s="732">
        <f t="shared" ref="P89:U89" si="315">P95</f>
        <v>33.418891649111821</v>
      </c>
      <c r="Q89" s="732">
        <f t="shared" si="315"/>
        <v>52.707628141916359</v>
      </c>
      <c r="R89" s="732">
        <f t="shared" si="315"/>
        <v>61.879656423706244</v>
      </c>
      <c r="S89" s="732">
        <f t="shared" si="315"/>
        <v>62.64855710501071</v>
      </c>
      <c r="T89" s="732">
        <f t="shared" si="315"/>
        <v>64.060883679148603</v>
      </c>
      <c r="U89" s="762">
        <f t="shared" si="315"/>
        <v>65.179558812053145</v>
      </c>
      <c r="W89" s="743" t="s">
        <v>879</v>
      </c>
      <c r="Z89" s="732">
        <f>Z95</f>
        <v>74.96118623116871</v>
      </c>
      <c r="AA89" s="732">
        <f t="shared" ref="AA89:AF89" si="316">AA95</f>
        <v>74.96118623116871</v>
      </c>
      <c r="AB89" s="732">
        <f t="shared" si="316"/>
        <v>74.96118623116871</v>
      </c>
      <c r="AC89" s="732">
        <f t="shared" si="316"/>
        <v>74.96118623116871</v>
      </c>
      <c r="AD89" s="732">
        <f t="shared" si="316"/>
        <v>74.96118623116871</v>
      </c>
      <c r="AE89" s="732">
        <f t="shared" si="316"/>
        <v>74.96118623116871</v>
      </c>
      <c r="AF89" s="762">
        <f t="shared" si="316"/>
        <v>74.96118623116871</v>
      </c>
      <c r="AG89" s="731"/>
      <c r="AH89" s="743" t="s">
        <v>879</v>
      </c>
      <c r="AK89" s="732">
        <f>AK95</f>
        <v>0</v>
      </c>
      <c r="AL89" s="732">
        <f t="shared" ref="AL89:AQ89" si="317">AL95</f>
        <v>824.01910424776065</v>
      </c>
      <c r="AM89" s="732">
        <f t="shared" si="317"/>
        <v>824.01910424776065</v>
      </c>
      <c r="AN89" s="732">
        <f t="shared" si="317"/>
        <v>824.01910424776065</v>
      </c>
      <c r="AO89" s="732">
        <f t="shared" si="317"/>
        <v>824.01910424776065</v>
      </c>
      <c r="AP89" s="732">
        <f t="shared" si="317"/>
        <v>824.01910424776065</v>
      </c>
      <c r="AQ89" s="762">
        <f t="shared" si="317"/>
        <v>824.01910424776065</v>
      </c>
      <c r="AR89" s="731"/>
      <c r="AS89" s="743" t="s">
        <v>879</v>
      </c>
      <c r="AV89" s="732">
        <f>AV95</f>
        <v>0</v>
      </c>
      <c r="AW89" s="732">
        <f t="shared" ref="AW89:BB89" ca="1" si="318">AW95</f>
        <v>533.87554266224993</v>
      </c>
      <c r="AX89" s="732">
        <f t="shared" ca="1" si="318"/>
        <v>551.95897504330571</v>
      </c>
      <c r="AY89" s="732">
        <f t="shared" ca="1" si="318"/>
        <v>839.68338282318052</v>
      </c>
      <c r="AZ89" s="732">
        <f t="shared" ca="1" si="318"/>
        <v>976.88844741601315</v>
      </c>
      <c r="BA89" s="732">
        <f t="shared" ca="1" si="318"/>
        <v>985.17674005833339</v>
      </c>
      <c r="BB89" s="762">
        <f t="shared" ca="1" si="318"/>
        <v>1005.980566103676</v>
      </c>
      <c r="BD89" s="743" t="s">
        <v>879</v>
      </c>
      <c r="BG89" s="732">
        <f>BG95</f>
        <v>0</v>
      </c>
      <c r="BH89" s="732">
        <f t="shared" ref="BH89:BM89" si="319">BH95</f>
        <v>0</v>
      </c>
      <c r="BI89" s="732">
        <f t="shared" si="319"/>
        <v>0</v>
      </c>
      <c r="BJ89" s="732">
        <f t="shared" si="319"/>
        <v>84.427505417042326</v>
      </c>
      <c r="BK89" s="732">
        <f t="shared" si="319"/>
        <v>104.69899382296585</v>
      </c>
      <c r="BL89" s="732">
        <f t="shared" si="319"/>
        <v>123.43603453569921</v>
      </c>
      <c r="BM89" s="762">
        <f t="shared" si="319"/>
        <v>124.17572612842251</v>
      </c>
    </row>
    <row r="90" spans="2:65">
      <c r="B90" s="493" t="str">
        <f>B84</f>
        <v>start</v>
      </c>
      <c r="D90" s="115">
        <f>O58*O62+Z58*Z62+AK58*AK62+AV58*AV62+BG58*BG62</f>
        <v>0</v>
      </c>
      <c r="E90" s="115">
        <f t="shared" ref="E90:J90" si="320">D93</f>
        <v>131.48321787642573</v>
      </c>
      <c r="F90" s="115">
        <f t="shared" ca="1" si="320"/>
        <v>1547.9951790634323</v>
      </c>
      <c r="G90" s="115">
        <f t="shared" ca="1" si="320"/>
        <v>1599.9113890505319</v>
      </c>
      <c r="H90" s="115">
        <f t="shared" ca="1" si="320"/>
        <v>1988.1511985785489</v>
      </c>
      <c r="I90" s="115">
        <f t="shared" ca="1" si="320"/>
        <v>2146.9764166783821</v>
      </c>
      <c r="J90" s="508">
        <f t="shared" ca="1" si="320"/>
        <v>2176.4789952852298</v>
      </c>
      <c r="L90" s="743"/>
      <c r="O90" s="562"/>
      <c r="P90" s="562"/>
      <c r="Q90" s="562"/>
      <c r="R90" s="562"/>
      <c r="S90" s="562"/>
      <c r="T90" s="562"/>
      <c r="U90" s="563"/>
      <c r="W90" s="743"/>
      <c r="Z90" s="562"/>
      <c r="AA90" s="562"/>
      <c r="AB90" s="562"/>
      <c r="AC90" s="562"/>
      <c r="AD90" s="562"/>
      <c r="AE90" s="562"/>
      <c r="AF90" s="563"/>
      <c r="AH90" s="743"/>
      <c r="AK90" s="562"/>
      <c r="AL90" s="562"/>
      <c r="AM90" s="562"/>
      <c r="AN90" s="562"/>
      <c r="AO90" s="562"/>
      <c r="AP90" s="562"/>
      <c r="AQ90" s="563"/>
      <c r="AS90" s="743"/>
      <c r="AV90" s="562"/>
      <c r="AW90" s="562"/>
      <c r="AX90" s="562"/>
      <c r="AY90" s="562"/>
      <c r="AZ90" s="562"/>
      <c r="BA90" s="562"/>
      <c r="BB90" s="563"/>
      <c r="BD90" s="743"/>
      <c r="BG90" s="562"/>
      <c r="BH90" s="562"/>
      <c r="BI90" s="562"/>
      <c r="BJ90" s="562"/>
      <c r="BK90" s="562"/>
      <c r="BL90" s="562"/>
      <c r="BM90" s="563"/>
    </row>
    <row r="91" spans="2:65">
      <c r="B91" s="493" t="str">
        <f>B85</f>
        <v>used</v>
      </c>
      <c r="D91" s="115">
        <f t="shared" ref="D91:J91" si="321">-(D92+D90-D93)</f>
        <v>-1314.0836974480728</v>
      </c>
      <c r="E91" s="115">
        <f t="shared" ca="1" si="321"/>
        <v>-14163.659607219601</v>
      </c>
      <c r="F91" s="115">
        <f t="shared" ca="1" si="321"/>
        <v>-7037.255521500636</v>
      </c>
      <c r="G91" s="115">
        <f t="shared" ca="1" si="321"/>
        <v>-10971.703806629981</v>
      </c>
      <c r="H91" s="115">
        <f t="shared" ca="1" si="321"/>
        <v>-12947.786804305955</v>
      </c>
      <c r="I91" s="115">
        <f t="shared" ca="1" si="321"/>
        <v>-13399.226855576579</v>
      </c>
      <c r="J91" s="508">
        <f t="shared" ca="1" si="321"/>
        <v>-13667.097930753795</v>
      </c>
      <c r="L91" s="493" t="str">
        <f>L70</f>
        <v>Costs production</v>
      </c>
      <c r="O91" s="115">
        <f>-O87</f>
        <v>0</v>
      </c>
      <c r="P91" s="115">
        <f t="shared" ref="P91:U91" si="322">-P87</f>
        <v>333.60003734311624</v>
      </c>
      <c r="Q91" s="115">
        <f t="shared" si="322"/>
        <v>560.7955014337565</v>
      </c>
      <c r="R91" s="115">
        <f t="shared" si="322"/>
        <v>671.96369477816472</v>
      </c>
      <c r="S91" s="115">
        <f t="shared" si="322"/>
        <v>688.67768910525979</v>
      </c>
      <c r="T91" s="115">
        <f t="shared" si="322"/>
        <v>702.46061673630834</v>
      </c>
      <c r="U91" s="508">
        <f t="shared" si="322"/>
        <v>716.5066419623937</v>
      </c>
      <c r="W91" s="493" t="str">
        <f>W70</f>
        <v>Costs production</v>
      </c>
      <c r="Z91" s="115">
        <f>-Z87</f>
        <v>749.18513829139579</v>
      </c>
      <c r="AA91" s="115">
        <f t="shared" ref="AA91:AF91" si="323">-AA87</f>
        <v>0</v>
      </c>
      <c r="AB91" s="115">
        <f t="shared" si="323"/>
        <v>0</v>
      </c>
      <c r="AC91" s="115">
        <f t="shared" si="323"/>
        <v>0</v>
      </c>
      <c r="AD91" s="115">
        <f t="shared" si="323"/>
        <v>0</v>
      </c>
      <c r="AE91" s="115">
        <f t="shared" si="323"/>
        <v>0</v>
      </c>
      <c r="AF91" s="508">
        <f t="shared" si="323"/>
        <v>0</v>
      </c>
      <c r="AH91" s="493" t="str">
        <f>AH70</f>
        <v>Costs production</v>
      </c>
      <c r="AK91" s="115">
        <f>-AK87</f>
        <v>0</v>
      </c>
      <c r="AL91" s="115">
        <f t="shared" ref="AL91:AQ91" si="324">-AL87</f>
        <v>8239.7639420434771</v>
      </c>
      <c r="AM91" s="115">
        <f t="shared" si="324"/>
        <v>0</v>
      </c>
      <c r="AN91" s="115">
        <f t="shared" si="324"/>
        <v>0</v>
      </c>
      <c r="AO91" s="115">
        <f t="shared" si="324"/>
        <v>0</v>
      </c>
      <c r="AP91" s="115">
        <f t="shared" si="324"/>
        <v>0</v>
      </c>
      <c r="AQ91" s="508">
        <f t="shared" si="324"/>
        <v>0</v>
      </c>
      <c r="AS91" s="493" t="str">
        <f>AS70</f>
        <v>Costs production</v>
      </c>
      <c r="AV91" s="115">
        <f>-AV87</f>
        <v>0</v>
      </c>
      <c r="AW91" s="115">
        <f t="shared" ref="AW91:BB91" ca="1" si="325">-AW87</f>
        <v>5338.7554266224988</v>
      </c>
      <c r="AX91" s="115">
        <f t="shared" ca="1" si="325"/>
        <v>6053.6105072429109</v>
      </c>
      <c r="AY91" s="115">
        <f t="shared" ca="1" si="325"/>
        <v>8948.7928032751115</v>
      </c>
      <c r="AZ91" s="115">
        <f t="shared" ca="1" si="325"/>
        <v>10608.416776184145</v>
      </c>
      <c r="BA91" s="115">
        <f t="shared" ca="1" si="325"/>
        <v>10828.501745584195</v>
      </c>
      <c r="BB91" s="508">
        <f t="shared" ca="1" si="325"/>
        <v>11045.296770022002</v>
      </c>
      <c r="BD91" s="493" t="str">
        <f>BD70</f>
        <v>Costs production</v>
      </c>
      <c r="BG91" s="115">
        <f>-BG87</f>
        <v>0</v>
      </c>
      <c r="BH91" s="115">
        <f t="shared" ref="BH91:BM91" si="326">-BH87</f>
        <v>0</v>
      </c>
      <c r="BI91" s="115">
        <f t="shared" si="326"/>
        <v>0</v>
      </c>
      <c r="BJ91" s="115">
        <f t="shared" si="326"/>
        <v>844.27505417042323</v>
      </c>
      <c r="BK91" s="115">
        <f t="shared" si="326"/>
        <v>1131.4174436467008</v>
      </c>
      <c r="BL91" s="115">
        <f t="shared" si="326"/>
        <v>1338.5970319345058</v>
      </c>
      <c r="BM91" s="508">
        <f t="shared" si="326"/>
        <v>1365.0361113564707</v>
      </c>
    </row>
    <row r="92" spans="2:65">
      <c r="B92" s="493" t="str">
        <f>B86</f>
        <v>purchased</v>
      </c>
      <c r="D92" s="114">
        <f t="shared" ref="D92:J92" si="327">O59*O62+Z59*Z62+AK59*AK62+AV59*AV62+BG59*BG62</f>
        <v>1445.5669153244985</v>
      </c>
      <c r="E92" s="114">
        <f t="shared" ca="1" si="327"/>
        <v>15580.171568406608</v>
      </c>
      <c r="F92" s="114">
        <f t="shared" ca="1" si="327"/>
        <v>7089.1717314877369</v>
      </c>
      <c r="G92" s="114">
        <f t="shared" ca="1" si="327"/>
        <v>11359.943616157998</v>
      </c>
      <c r="H92" s="114">
        <f t="shared" ca="1" si="327"/>
        <v>13106.612022405789</v>
      </c>
      <c r="I92" s="114">
        <f t="shared" ca="1" si="327"/>
        <v>13428.729434183426</v>
      </c>
      <c r="J92" s="561">
        <f t="shared" ca="1" si="327"/>
        <v>13690.603623934001</v>
      </c>
      <c r="L92" s="493" t="str">
        <f>L71</f>
        <v>Per bottle</v>
      </c>
      <c r="O92" s="758">
        <f t="shared" ref="O92:U92" si="328">IF(O78=0,O94,O91/O78)</f>
        <v>0.13559708302868859</v>
      </c>
      <c r="P92" s="758">
        <f t="shared" si="328"/>
        <v>0.1472197870004926</v>
      </c>
      <c r="Q92" s="758">
        <f t="shared" si="328"/>
        <v>0.14998542429359629</v>
      </c>
      <c r="R92" s="758">
        <f t="shared" si="328"/>
        <v>0.15292755912111167</v>
      </c>
      <c r="S92" s="758">
        <f t="shared" si="328"/>
        <v>0.15595056365608237</v>
      </c>
      <c r="T92" s="758">
        <f t="shared" si="328"/>
        <v>0.1590716976305046</v>
      </c>
      <c r="U92" s="463">
        <f t="shared" si="328"/>
        <v>0.16225240986467249</v>
      </c>
      <c r="W92" s="493" t="str">
        <f>W71</f>
        <v>Per bottle</v>
      </c>
      <c r="Z92" s="758">
        <f t="shared" ref="Z92:AF92" si="329">IF(Z78=0,Z94,Z91/Z78)</f>
        <v>0.14224134009709433</v>
      </c>
      <c r="AA92" s="758">
        <f t="shared" si="329"/>
        <v>0.14224134009709433</v>
      </c>
      <c r="AB92" s="758">
        <f t="shared" si="329"/>
        <v>0.14224134009709433</v>
      </c>
      <c r="AC92" s="758">
        <f t="shared" si="329"/>
        <v>0.14224134009709433</v>
      </c>
      <c r="AD92" s="758">
        <f t="shared" si="329"/>
        <v>0.14224134009709433</v>
      </c>
      <c r="AE92" s="758">
        <f t="shared" si="329"/>
        <v>0.14224134009709433</v>
      </c>
      <c r="AF92" s="463">
        <f t="shared" si="329"/>
        <v>0.14224134009709433</v>
      </c>
      <c r="AH92" s="493" t="str">
        <f>AH71</f>
        <v>Per bottle</v>
      </c>
      <c r="AK92" s="758">
        <f t="shared" ref="AK92:AQ92" si="330">IF(AK78=0,AK94,AK91/AK78)</f>
        <v>0.13112724000000001</v>
      </c>
      <c r="AL92" s="758">
        <f t="shared" si="330"/>
        <v>0.14236681137659998</v>
      </c>
      <c r="AM92" s="758">
        <f t="shared" si="330"/>
        <v>0.14236681137659998</v>
      </c>
      <c r="AN92" s="758">
        <f t="shared" si="330"/>
        <v>0.14236681137659998</v>
      </c>
      <c r="AO92" s="758">
        <f t="shared" si="330"/>
        <v>0.14236681137659998</v>
      </c>
      <c r="AP92" s="758">
        <f t="shared" si="330"/>
        <v>0.14236681137659998</v>
      </c>
      <c r="AQ92" s="463">
        <f t="shared" si="330"/>
        <v>0.14236681137659998</v>
      </c>
      <c r="AS92" s="493" t="str">
        <f>AS71</f>
        <v>Per bottle</v>
      </c>
      <c r="AV92" s="758">
        <f t="shared" ref="AV92:BB92" si="331">IF(AV78=0,AV94,AV91/AV78)</f>
        <v>0.13112724000000001</v>
      </c>
      <c r="AW92" s="758">
        <f t="shared" ca="1" si="331"/>
        <v>0.14236681137659996</v>
      </c>
      <c r="AX92" s="758">
        <f t="shared" ca="1" si="331"/>
        <v>0.1449584662063387</v>
      </c>
      <c r="AY92" s="758">
        <f t="shared" ca="1" si="331"/>
        <v>0.14793593763163299</v>
      </c>
      <c r="AZ92" s="758">
        <f t="shared" ca="1" si="331"/>
        <v>0.15084200853407101</v>
      </c>
      <c r="BA92" s="758">
        <f t="shared" ca="1" si="331"/>
        <v>0.1538248703115874</v>
      </c>
      <c r="BB92" s="463">
        <f t="shared" ca="1" si="331"/>
        <v>0.15690456381876555</v>
      </c>
      <c r="BD92" s="493" t="str">
        <f>BD71</f>
        <v>Per bottle</v>
      </c>
      <c r="BG92" s="758">
        <f t="shared" ref="BG92:BM92" si="332">IF(BG78=0,BG94,BG91/BG78)</f>
        <v>0.13112724000000001</v>
      </c>
      <c r="BH92" s="758">
        <f t="shared" si="332"/>
        <v>0.13112724000000001</v>
      </c>
      <c r="BI92" s="758">
        <f t="shared" si="332"/>
        <v>0.13112724000000001</v>
      </c>
      <c r="BJ92" s="758">
        <f t="shared" si="332"/>
        <v>0.1481184305562146</v>
      </c>
      <c r="BK92" s="758">
        <f t="shared" si="332"/>
        <v>0.15085565915289345</v>
      </c>
      <c r="BL92" s="758">
        <f t="shared" si="332"/>
        <v>0.15386172780856389</v>
      </c>
      <c r="BM92" s="463">
        <f t="shared" si="332"/>
        <v>0.15690070245476676</v>
      </c>
    </row>
    <row r="93" spans="2:65">
      <c r="B93" s="493" t="str">
        <f>B87</f>
        <v>end</v>
      </c>
      <c r="D93" s="115">
        <f t="shared" ref="D93:J93" si="333">O74+Z74+AK74+AV74+BG74</f>
        <v>131.48321787642573</v>
      </c>
      <c r="E93" s="115">
        <f t="shared" ca="1" si="333"/>
        <v>1547.9951790634323</v>
      </c>
      <c r="F93" s="115">
        <f t="shared" ca="1" si="333"/>
        <v>1599.9113890505319</v>
      </c>
      <c r="G93" s="115">
        <f t="shared" ca="1" si="333"/>
        <v>1988.1511985785489</v>
      </c>
      <c r="H93" s="115">
        <f t="shared" ca="1" si="333"/>
        <v>2146.9764166783821</v>
      </c>
      <c r="I93" s="115">
        <f t="shared" ca="1" si="333"/>
        <v>2176.4789952852298</v>
      </c>
      <c r="J93" s="508">
        <f t="shared" ca="1" si="333"/>
        <v>2199.9846884654357</v>
      </c>
      <c r="L93" s="743"/>
      <c r="O93" s="758"/>
      <c r="P93" s="758"/>
      <c r="Q93" s="758"/>
      <c r="R93" s="758"/>
      <c r="S93" s="758"/>
      <c r="T93" s="758"/>
      <c r="U93" s="463"/>
      <c r="W93" s="743"/>
      <c r="Z93" s="758"/>
      <c r="AA93" s="758"/>
      <c r="AB93" s="758"/>
      <c r="AC93" s="758"/>
      <c r="AD93" s="758"/>
      <c r="AE93" s="758"/>
      <c r="AF93" s="463"/>
      <c r="AH93" s="743"/>
      <c r="AK93" s="758"/>
      <c r="AL93" s="758"/>
      <c r="AM93" s="758"/>
      <c r="AN93" s="758"/>
      <c r="AO93" s="758"/>
      <c r="AP93" s="758"/>
      <c r="AQ93" s="463"/>
      <c r="AS93" s="743"/>
      <c r="AV93" s="758"/>
      <c r="AW93" s="758"/>
      <c r="AX93" s="758"/>
      <c r="AY93" s="758"/>
      <c r="AZ93" s="758"/>
      <c r="BA93" s="758"/>
      <c r="BB93" s="463"/>
      <c r="BD93" s="743"/>
      <c r="BG93" s="758"/>
      <c r="BH93" s="758"/>
      <c r="BI93" s="758"/>
      <c r="BJ93" s="758"/>
      <c r="BK93" s="758"/>
      <c r="BL93" s="758"/>
      <c r="BM93" s="463"/>
    </row>
    <row r="94" spans="2:65">
      <c r="B94" s="493"/>
      <c r="J94" s="761"/>
      <c r="L94" s="743" t="str">
        <f>L73</f>
        <v>Cost price of the inventory</v>
      </c>
      <c r="O94" s="810">
        <f>IF(O80=0,$C$8,O83)</f>
        <v>0.13559708302868859</v>
      </c>
      <c r="P94" s="810">
        <f t="shared" ref="P94:U94" si="334">IF(P80=0,O94,P83)</f>
        <v>0.1472197870004926</v>
      </c>
      <c r="Q94" s="810">
        <f t="shared" si="334"/>
        <v>0.15016418274050244</v>
      </c>
      <c r="R94" s="810">
        <f t="shared" si="334"/>
        <v>0.15316746639531248</v>
      </c>
      <c r="S94" s="810">
        <f t="shared" si="334"/>
        <v>0.15623081572321873</v>
      </c>
      <c r="T94" s="810">
        <f t="shared" si="334"/>
        <v>0.1593554320376831</v>
      </c>
      <c r="U94" s="811">
        <f t="shared" si="334"/>
        <v>0.16254254067843676</v>
      </c>
      <c r="W94" s="743" t="str">
        <f>W73</f>
        <v>Cost price of the inventory</v>
      </c>
      <c r="Z94" s="810">
        <f>IF(Z80=0,$D$8,Z83)</f>
        <v>0.14224134009709433</v>
      </c>
      <c r="AA94" s="810">
        <f t="shared" ref="AA94:AF94" si="335">IF(AA80=0,Z94,AA83)</f>
        <v>0.14224134009709433</v>
      </c>
      <c r="AB94" s="810">
        <f t="shared" si="335"/>
        <v>0.14224134009709433</v>
      </c>
      <c r="AC94" s="810">
        <f t="shared" si="335"/>
        <v>0.14224134009709433</v>
      </c>
      <c r="AD94" s="810">
        <f t="shared" si="335"/>
        <v>0.14224134009709433</v>
      </c>
      <c r="AE94" s="810">
        <f t="shared" si="335"/>
        <v>0.14224134009709433</v>
      </c>
      <c r="AF94" s="811">
        <f t="shared" si="335"/>
        <v>0.14224134009709433</v>
      </c>
      <c r="AH94" s="743" t="str">
        <f>AH73</f>
        <v>Cost price of the inventory</v>
      </c>
      <c r="AK94" s="810">
        <f>IF(AK80=0,$E$8,AK83)</f>
        <v>0.13112724000000001</v>
      </c>
      <c r="AL94" s="810">
        <f t="shared" ref="AL94:AQ94" si="336">IF(AL80=0,AK94,AL83)</f>
        <v>0.14236681137659998</v>
      </c>
      <c r="AM94" s="810">
        <f t="shared" si="336"/>
        <v>0.14236681137659998</v>
      </c>
      <c r="AN94" s="810">
        <f t="shared" si="336"/>
        <v>0.14236681137659998</v>
      </c>
      <c r="AO94" s="810">
        <f t="shared" si="336"/>
        <v>0.14236681137659998</v>
      </c>
      <c r="AP94" s="810">
        <f t="shared" si="336"/>
        <v>0.14236681137659998</v>
      </c>
      <c r="AQ94" s="811">
        <f t="shared" si="336"/>
        <v>0.14236681137659998</v>
      </c>
      <c r="AS94" s="743" t="str">
        <f>AS73</f>
        <v>Cost price of the inventory</v>
      </c>
      <c r="AV94" s="810">
        <f>IF(AV80=0,$F$8,AV83)</f>
        <v>0.13112724000000001</v>
      </c>
      <c r="AW94" s="810">
        <f t="shared" ref="AW94:BB94" ca="1" si="337">IF(AW80=0,AV94,AW83)</f>
        <v>0.14236681137659998</v>
      </c>
      <c r="AX94" s="810">
        <f t="shared" ca="1" si="337"/>
        <v>0.14521414760413198</v>
      </c>
      <c r="AY94" s="810">
        <f t="shared" ca="1" si="337"/>
        <v>0.1481184305562146</v>
      </c>
      <c r="AZ94" s="810">
        <f t="shared" ca="1" si="337"/>
        <v>0.15108079916733888</v>
      </c>
      <c r="BA94" s="810">
        <f t="shared" ca="1" si="337"/>
        <v>0.15410241515068565</v>
      </c>
      <c r="BB94" s="811">
        <f t="shared" ca="1" si="337"/>
        <v>0.15718446345369938</v>
      </c>
      <c r="BD94" s="743" t="str">
        <f>BD73</f>
        <v>Cost price of the inventory</v>
      </c>
      <c r="BG94" s="810">
        <f>IF(BG80=0,$G$8,BG83)</f>
        <v>0.13112724000000001</v>
      </c>
      <c r="BH94" s="810">
        <f t="shared" ref="BH94:BM94" si="338">IF(BH80=0,BG94,BH83)</f>
        <v>0.13112724000000001</v>
      </c>
      <c r="BI94" s="810">
        <f t="shared" si="338"/>
        <v>0.13112724000000001</v>
      </c>
      <c r="BJ94" s="810">
        <f t="shared" si="338"/>
        <v>0.1481184305562146</v>
      </c>
      <c r="BK94" s="810">
        <f t="shared" si="338"/>
        <v>0.15108079916733888</v>
      </c>
      <c r="BL94" s="810">
        <f t="shared" si="338"/>
        <v>0.15410241515068565</v>
      </c>
      <c r="BM94" s="811">
        <f t="shared" si="338"/>
        <v>0.15718446345369938</v>
      </c>
    </row>
    <row r="95" spans="2:65">
      <c r="B95" s="743" t="str">
        <f>B37</f>
        <v>Capsules</v>
      </c>
      <c r="D95" s="464">
        <f>O91+Z91+AK91+AV91+BG91+D97</f>
        <v>0</v>
      </c>
      <c r="E95" s="464">
        <f t="shared" ref="E95:J95" ca="1" si="339">P91+AA91+AL91+AW91+BH91+E97</f>
        <v>0</v>
      </c>
      <c r="F95" s="464">
        <f t="shared" ca="1" si="339"/>
        <v>0</v>
      </c>
      <c r="G95" s="464">
        <f t="shared" ca="1" si="339"/>
        <v>0</v>
      </c>
      <c r="H95" s="464">
        <f t="shared" ca="1" si="339"/>
        <v>0</v>
      </c>
      <c r="I95" s="464">
        <f t="shared" ca="1" si="339"/>
        <v>0</v>
      </c>
      <c r="J95" s="468">
        <f t="shared" ca="1" si="339"/>
        <v>0</v>
      </c>
      <c r="L95" s="765"/>
      <c r="M95" s="755"/>
      <c r="N95" s="755"/>
      <c r="O95" s="795">
        <f t="shared" ref="O95:U95" si="340">O81*O94</f>
        <v>0</v>
      </c>
      <c r="P95" s="795">
        <f t="shared" si="340"/>
        <v>33.418891649111821</v>
      </c>
      <c r="Q95" s="795">
        <f t="shared" si="340"/>
        <v>52.707628141916359</v>
      </c>
      <c r="R95" s="795">
        <f t="shared" si="340"/>
        <v>61.879656423706244</v>
      </c>
      <c r="S95" s="795">
        <f t="shared" si="340"/>
        <v>62.64855710501071</v>
      </c>
      <c r="T95" s="795">
        <f t="shared" si="340"/>
        <v>64.060883679148603</v>
      </c>
      <c r="U95" s="797">
        <f t="shared" si="340"/>
        <v>65.179558812053145</v>
      </c>
      <c r="W95" s="765"/>
      <c r="X95" s="755"/>
      <c r="Y95" s="755"/>
      <c r="Z95" s="795">
        <f t="shared" ref="Z95:AF95" si="341">Z81*Z94</f>
        <v>74.96118623116871</v>
      </c>
      <c r="AA95" s="795">
        <f t="shared" si="341"/>
        <v>74.96118623116871</v>
      </c>
      <c r="AB95" s="795">
        <f t="shared" si="341"/>
        <v>74.96118623116871</v>
      </c>
      <c r="AC95" s="795">
        <f t="shared" si="341"/>
        <v>74.96118623116871</v>
      </c>
      <c r="AD95" s="795">
        <f t="shared" si="341"/>
        <v>74.96118623116871</v>
      </c>
      <c r="AE95" s="795">
        <f t="shared" si="341"/>
        <v>74.96118623116871</v>
      </c>
      <c r="AF95" s="797">
        <f t="shared" si="341"/>
        <v>74.96118623116871</v>
      </c>
      <c r="AH95" s="765"/>
      <c r="AI95" s="755"/>
      <c r="AJ95" s="755"/>
      <c r="AK95" s="795">
        <f t="shared" ref="AK95:AQ95" si="342">AK81*AK94</f>
        <v>0</v>
      </c>
      <c r="AL95" s="795">
        <f t="shared" si="342"/>
        <v>824.01910424776065</v>
      </c>
      <c r="AM95" s="795">
        <f t="shared" si="342"/>
        <v>824.01910424776065</v>
      </c>
      <c r="AN95" s="795">
        <f t="shared" si="342"/>
        <v>824.01910424776065</v>
      </c>
      <c r="AO95" s="795">
        <f t="shared" si="342"/>
        <v>824.01910424776065</v>
      </c>
      <c r="AP95" s="795">
        <f t="shared" si="342"/>
        <v>824.01910424776065</v>
      </c>
      <c r="AQ95" s="797">
        <f t="shared" si="342"/>
        <v>824.01910424776065</v>
      </c>
      <c r="AS95" s="765"/>
      <c r="AT95" s="755"/>
      <c r="AU95" s="755"/>
      <c r="AV95" s="795">
        <f t="shared" ref="AV95:BB95" si="343">AV81*AV94</f>
        <v>0</v>
      </c>
      <c r="AW95" s="795">
        <f t="shared" ca="1" si="343"/>
        <v>533.87554266224993</v>
      </c>
      <c r="AX95" s="795">
        <f t="shared" ca="1" si="343"/>
        <v>551.95897504330571</v>
      </c>
      <c r="AY95" s="795">
        <f t="shared" ca="1" si="343"/>
        <v>839.68338282318052</v>
      </c>
      <c r="AZ95" s="795">
        <f t="shared" ca="1" si="343"/>
        <v>976.88844741601315</v>
      </c>
      <c r="BA95" s="795">
        <f t="shared" ca="1" si="343"/>
        <v>985.17674005833339</v>
      </c>
      <c r="BB95" s="797">
        <f t="shared" ca="1" si="343"/>
        <v>1005.980566103676</v>
      </c>
      <c r="BD95" s="765"/>
      <c r="BE95" s="755"/>
      <c r="BF95" s="755"/>
      <c r="BG95" s="795">
        <f t="shared" ref="BG95:BM95" si="344">BG81*BG94</f>
        <v>0</v>
      </c>
      <c r="BH95" s="795">
        <f t="shared" si="344"/>
        <v>0</v>
      </c>
      <c r="BI95" s="795">
        <f t="shared" si="344"/>
        <v>0</v>
      </c>
      <c r="BJ95" s="795">
        <f t="shared" si="344"/>
        <v>84.427505417042326</v>
      </c>
      <c r="BK95" s="795">
        <f t="shared" si="344"/>
        <v>104.69899382296585</v>
      </c>
      <c r="BL95" s="795">
        <f t="shared" si="344"/>
        <v>123.43603453569921</v>
      </c>
      <c r="BM95" s="797">
        <f t="shared" si="344"/>
        <v>124.17572612842251</v>
      </c>
    </row>
    <row r="96" spans="2:65">
      <c r="B96" s="493" t="str">
        <f>B90</f>
        <v>start</v>
      </c>
      <c r="D96" s="115">
        <f>O79*O83+Z79*Z83+AK79*AK83+AV79*AV83+BG79*BG83</f>
        <v>0</v>
      </c>
      <c r="E96" s="115">
        <f t="shared" ref="E96:J96" si="345">D99</f>
        <v>74.96118623116871</v>
      </c>
      <c r="F96" s="115">
        <f t="shared" ca="1" si="345"/>
        <v>1466.2747247902912</v>
      </c>
      <c r="G96" s="115">
        <f t="shared" ca="1" si="345"/>
        <v>1503.6468936641513</v>
      </c>
      <c r="H96" s="115">
        <f t="shared" ca="1" si="345"/>
        <v>1884.9708351428583</v>
      </c>
      <c r="I96" s="115">
        <f t="shared" ca="1" si="345"/>
        <v>2043.2162888229191</v>
      </c>
      <c r="J96" s="508">
        <f t="shared" ca="1" si="345"/>
        <v>2071.6539487521104</v>
      </c>
      <c r="L96" s="743" t="str">
        <f>B9</f>
        <v>Carton boxes</v>
      </c>
      <c r="U96" s="761"/>
      <c r="W96" s="743" t="str">
        <f>L96</f>
        <v>Carton boxes</v>
      </c>
      <c r="AF96" s="761"/>
      <c r="AH96" s="743" t="str">
        <f>W96</f>
        <v>Carton boxes</v>
      </c>
      <c r="AQ96" s="761"/>
      <c r="AS96" s="743" t="str">
        <f>AH96</f>
        <v>Carton boxes</v>
      </c>
      <c r="BB96" s="761"/>
      <c r="BD96" s="743" t="str">
        <f>AS96</f>
        <v>Carton boxes</v>
      </c>
      <c r="BM96" s="761"/>
    </row>
    <row r="97" spans="2:65">
      <c r="B97" s="493" t="str">
        <f>B91</f>
        <v>used</v>
      </c>
      <c r="D97" s="115">
        <f t="shared" ref="D97:J97" si="346">-(D98+D96-D99)</f>
        <v>-749.18513829139579</v>
      </c>
      <c r="E97" s="115">
        <f t="shared" ca="1" si="346"/>
        <v>-13912.119406009089</v>
      </c>
      <c r="F97" s="115">
        <f t="shared" ca="1" si="346"/>
        <v>-6614.4060086766685</v>
      </c>
      <c r="G97" s="115">
        <f t="shared" ca="1" si="346"/>
        <v>-10465.031552223702</v>
      </c>
      <c r="H97" s="115">
        <f t="shared" ca="1" si="346"/>
        <v>-12428.511908936105</v>
      </c>
      <c r="I97" s="115">
        <f t="shared" ca="1" si="346"/>
        <v>-12869.559394255011</v>
      </c>
      <c r="J97" s="508">
        <f t="shared" ca="1" si="346"/>
        <v>-13126.839523340865</v>
      </c>
      <c r="L97" s="493" t="str">
        <f>L76</f>
        <v>Margin new purchse</v>
      </c>
      <c r="M97" s="756">
        <v>0.1</v>
      </c>
      <c r="O97" s="464"/>
      <c r="U97" s="761"/>
      <c r="W97" s="493" t="str">
        <f>W76</f>
        <v>Margin new purchse</v>
      </c>
      <c r="X97" s="756">
        <v>0.1</v>
      </c>
      <c r="Z97" s="464"/>
      <c r="AF97" s="761"/>
      <c r="AH97" s="493" t="str">
        <f>AH76</f>
        <v>Margin new purchse</v>
      </c>
      <c r="AI97" s="756">
        <v>0.1</v>
      </c>
      <c r="AK97" s="464"/>
      <c r="AQ97" s="761"/>
      <c r="AS97" s="493" t="str">
        <f>AS76</f>
        <v>Margin new purchse</v>
      </c>
      <c r="AT97" s="756">
        <v>0.1</v>
      </c>
      <c r="AV97" s="464"/>
      <c r="BB97" s="761"/>
      <c r="BD97" s="493" t="str">
        <f>BD76</f>
        <v>Margin new purchse</v>
      </c>
      <c r="BE97" s="756">
        <v>0.1</v>
      </c>
      <c r="BG97" s="464"/>
      <c r="BM97" s="761"/>
    </row>
    <row r="98" spans="2:65">
      <c r="B98" s="493" t="str">
        <f>B92</f>
        <v>purchased</v>
      </c>
      <c r="D98" s="114">
        <f t="shared" ref="D98:J98" si="347">O84+Z84+AK84+AV84+BG84</f>
        <v>824.14632452256456</v>
      </c>
      <c r="E98" s="114">
        <f t="shared" ca="1" si="347"/>
        <v>15303.432944568212</v>
      </c>
      <c r="F98" s="114">
        <f t="shared" ca="1" si="347"/>
        <v>6651.7781775505282</v>
      </c>
      <c r="G98" s="114">
        <f t="shared" ca="1" si="347"/>
        <v>10846.355493702407</v>
      </c>
      <c r="H98" s="114">
        <f t="shared" ca="1" si="347"/>
        <v>12586.757362616167</v>
      </c>
      <c r="I98" s="114">
        <f t="shared" ca="1" si="347"/>
        <v>12897.997054184201</v>
      </c>
      <c r="J98" s="561">
        <f t="shared" ca="1" si="347"/>
        <v>13149.501716111836</v>
      </c>
      <c r="L98" s="493"/>
      <c r="U98" s="761"/>
      <c r="W98" s="493"/>
      <c r="AF98" s="761"/>
      <c r="AH98" s="493"/>
      <c r="AQ98" s="761"/>
      <c r="AS98" s="493"/>
      <c r="BB98" s="761"/>
      <c r="BD98" s="493"/>
      <c r="BM98" s="761"/>
    </row>
    <row r="99" spans="2:65">
      <c r="B99" s="493" t="str">
        <f>B93</f>
        <v>end</v>
      </c>
      <c r="D99" s="115">
        <f t="shared" ref="D99:J99" si="348">O95+Z95+AK95+AV95+BG95</f>
        <v>74.96118623116871</v>
      </c>
      <c r="E99" s="115">
        <f t="shared" ca="1" si="348"/>
        <v>1466.2747247902912</v>
      </c>
      <c r="F99" s="115">
        <f t="shared" ca="1" si="348"/>
        <v>1503.6468936641513</v>
      </c>
      <c r="G99" s="115">
        <f t="shared" ca="1" si="348"/>
        <v>1884.9708351428583</v>
      </c>
      <c r="H99" s="115">
        <f t="shared" ca="1" si="348"/>
        <v>2043.2162888229191</v>
      </c>
      <c r="I99" s="115">
        <f t="shared" ca="1" si="348"/>
        <v>2071.6539487521104</v>
      </c>
      <c r="J99" s="508">
        <f t="shared" ca="1" si="348"/>
        <v>2094.3161415230811</v>
      </c>
      <c r="L99" s="743" t="s">
        <v>814</v>
      </c>
      <c r="O99" s="115">
        <f t="shared" ref="O99:U99" si="349">O78</f>
        <v>0</v>
      </c>
      <c r="P99" s="115">
        <f t="shared" si="349"/>
        <v>2266</v>
      </c>
      <c r="Q99" s="115">
        <f t="shared" si="349"/>
        <v>3739</v>
      </c>
      <c r="R99" s="115">
        <f t="shared" si="349"/>
        <v>4394</v>
      </c>
      <c r="S99" s="115">
        <f t="shared" si="349"/>
        <v>4416</v>
      </c>
      <c r="T99" s="115">
        <f t="shared" si="349"/>
        <v>4416</v>
      </c>
      <c r="U99" s="508">
        <f t="shared" si="349"/>
        <v>4416</v>
      </c>
      <c r="W99" s="743" t="s">
        <v>814</v>
      </c>
      <c r="Z99" s="115">
        <f t="shared" ref="Z99:AF99" si="350">Z78</f>
        <v>5267</v>
      </c>
      <c r="AA99" s="115">
        <f t="shared" si="350"/>
        <v>0</v>
      </c>
      <c r="AB99" s="115">
        <f t="shared" si="350"/>
        <v>0</v>
      </c>
      <c r="AC99" s="115">
        <f t="shared" si="350"/>
        <v>0</v>
      </c>
      <c r="AD99" s="115">
        <f t="shared" si="350"/>
        <v>0</v>
      </c>
      <c r="AE99" s="115">
        <f t="shared" si="350"/>
        <v>0</v>
      </c>
      <c r="AF99" s="508">
        <f t="shared" si="350"/>
        <v>0</v>
      </c>
      <c r="AH99" s="743" t="s">
        <v>814</v>
      </c>
      <c r="AK99" s="115">
        <f t="shared" ref="AK99:AQ99" si="351">AK78</f>
        <v>0</v>
      </c>
      <c r="AL99" s="115">
        <f t="shared" si="351"/>
        <v>57877</v>
      </c>
      <c r="AM99" s="115">
        <f t="shared" si="351"/>
        <v>0</v>
      </c>
      <c r="AN99" s="115">
        <f t="shared" si="351"/>
        <v>0</v>
      </c>
      <c r="AO99" s="115">
        <f t="shared" si="351"/>
        <v>0</v>
      </c>
      <c r="AP99" s="115">
        <f t="shared" si="351"/>
        <v>0</v>
      </c>
      <c r="AQ99" s="508">
        <f t="shared" si="351"/>
        <v>0</v>
      </c>
      <c r="AS99" s="743" t="s">
        <v>814</v>
      </c>
      <c r="AV99" s="115">
        <f t="shared" ref="AV99:BB99" si="352">AV78</f>
        <v>0</v>
      </c>
      <c r="AW99" s="115">
        <f t="shared" ca="1" si="352"/>
        <v>37500</v>
      </c>
      <c r="AX99" s="115">
        <f t="shared" ca="1" si="352"/>
        <v>41761</v>
      </c>
      <c r="AY99" s="115">
        <f t="shared" ca="1" si="352"/>
        <v>60491</v>
      </c>
      <c r="AZ99" s="115">
        <f t="shared" ca="1" si="352"/>
        <v>70328</v>
      </c>
      <c r="BA99" s="115">
        <f t="shared" ca="1" si="352"/>
        <v>70395</v>
      </c>
      <c r="BB99" s="508">
        <f t="shared" ca="1" si="352"/>
        <v>70395</v>
      </c>
      <c r="BD99" s="743" t="s">
        <v>814</v>
      </c>
      <c r="BG99" s="115">
        <f t="shared" ref="BG99:BM99" si="353">BG78</f>
        <v>0</v>
      </c>
      <c r="BH99" s="115">
        <f t="shared" si="353"/>
        <v>0</v>
      </c>
      <c r="BI99" s="115">
        <f t="shared" si="353"/>
        <v>0</v>
      </c>
      <c r="BJ99" s="115">
        <f t="shared" si="353"/>
        <v>5700</v>
      </c>
      <c r="BK99" s="115">
        <f t="shared" si="353"/>
        <v>7500</v>
      </c>
      <c r="BL99" s="115">
        <f t="shared" si="353"/>
        <v>8700</v>
      </c>
      <c r="BM99" s="508">
        <f t="shared" si="353"/>
        <v>8700</v>
      </c>
    </row>
    <row r="100" spans="2:65">
      <c r="B100" s="493"/>
      <c r="J100" s="761"/>
      <c r="L100" s="493" t="s">
        <v>664</v>
      </c>
      <c r="O100" s="115">
        <f>'Inv. start'!L25</f>
        <v>0</v>
      </c>
      <c r="P100" s="732">
        <f t="shared" ref="P100:U100" si="354">O102</f>
        <v>0</v>
      </c>
      <c r="Q100" s="732">
        <f t="shared" si="354"/>
        <v>227</v>
      </c>
      <c r="R100" s="732">
        <f t="shared" si="354"/>
        <v>351</v>
      </c>
      <c r="S100" s="732">
        <f t="shared" si="354"/>
        <v>404</v>
      </c>
      <c r="T100" s="732">
        <f t="shared" si="354"/>
        <v>401</v>
      </c>
      <c r="U100" s="762">
        <f t="shared" si="354"/>
        <v>402</v>
      </c>
      <c r="W100" s="493" t="s">
        <v>664</v>
      </c>
      <c r="Z100" s="115">
        <f>'Inv. start'!L26</f>
        <v>0</v>
      </c>
      <c r="AA100" s="732">
        <f t="shared" ref="AA100:AF100" si="355">Z102</f>
        <v>527</v>
      </c>
      <c r="AB100" s="732">
        <f t="shared" si="355"/>
        <v>527</v>
      </c>
      <c r="AC100" s="732">
        <f t="shared" si="355"/>
        <v>527</v>
      </c>
      <c r="AD100" s="732">
        <f t="shared" si="355"/>
        <v>527</v>
      </c>
      <c r="AE100" s="732">
        <f t="shared" si="355"/>
        <v>527</v>
      </c>
      <c r="AF100" s="762">
        <f t="shared" si="355"/>
        <v>527</v>
      </c>
      <c r="AH100" s="493" t="s">
        <v>664</v>
      </c>
      <c r="AK100" s="115">
        <f>'Inv. start'!L28</f>
        <v>0</v>
      </c>
      <c r="AL100" s="732">
        <f t="shared" ref="AL100:AQ100" si="356">AK102</f>
        <v>0</v>
      </c>
      <c r="AM100" s="732">
        <f t="shared" si="356"/>
        <v>5788</v>
      </c>
      <c r="AN100" s="732">
        <f t="shared" si="356"/>
        <v>5788</v>
      </c>
      <c r="AO100" s="732">
        <f t="shared" si="356"/>
        <v>5788</v>
      </c>
      <c r="AP100" s="732">
        <f t="shared" si="356"/>
        <v>5788</v>
      </c>
      <c r="AQ100" s="762">
        <f t="shared" si="356"/>
        <v>5788</v>
      </c>
      <c r="AS100" s="493" t="s">
        <v>664</v>
      </c>
      <c r="AV100" s="115">
        <f>'Inv. start'!AR25</f>
        <v>0</v>
      </c>
      <c r="AW100" s="732">
        <f t="shared" ref="AW100:BB100" si="357">AV102</f>
        <v>0</v>
      </c>
      <c r="AX100" s="732">
        <f t="shared" ca="1" si="357"/>
        <v>3750</v>
      </c>
      <c r="AY100" s="732">
        <f t="shared" ca="1" si="357"/>
        <v>3801</v>
      </c>
      <c r="AZ100" s="732">
        <f t="shared" ca="1" si="357"/>
        <v>5669</v>
      </c>
      <c r="BA100" s="732">
        <f t="shared" ca="1" si="357"/>
        <v>6466</v>
      </c>
      <c r="BB100" s="762">
        <f t="shared" ca="1" si="357"/>
        <v>6393</v>
      </c>
      <c r="BD100" s="493" t="s">
        <v>664</v>
      </c>
      <c r="BG100" s="115">
        <f>'Inv. start'!L29</f>
        <v>0</v>
      </c>
      <c r="BH100" s="732">
        <f t="shared" ref="BH100:BM100" si="358">BG102</f>
        <v>0</v>
      </c>
      <c r="BI100" s="732">
        <f t="shared" si="358"/>
        <v>0</v>
      </c>
      <c r="BJ100" s="732">
        <f t="shared" si="358"/>
        <v>0</v>
      </c>
      <c r="BK100" s="732">
        <f t="shared" si="358"/>
        <v>570</v>
      </c>
      <c r="BL100" s="732">
        <f t="shared" si="358"/>
        <v>693</v>
      </c>
      <c r="BM100" s="762">
        <f t="shared" si="358"/>
        <v>801</v>
      </c>
    </row>
    <row r="101" spans="2:65">
      <c r="B101" s="743" t="str">
        <f>B38</f>
        <v>Carton boxes</v>
      </c>
      <c r="D101" s="115">
        <f>O112+Z112+AK112+AV112+BG112+D103</f>
        <v>0</v>
      </c>
      <c r="E101" s="115">
        <f t="shared" ref="E101:J101" ca="1" si="359">P112+AA112+AL112+AW112+BH112+E103</f>
        <v>0</v>
      </c>
      <c r="F101" s="115">
        <f t="shared" ca="1" si="359"/>
        <v>0</v>
      </c>
      <c r="G101" s="115">
        <f t="shared" ca="1" si="359"/>
        <v>0</v>
      </c>
      <c r="H101" s="115">
        <f t="shared" ca="1" si="359"/>
        <v>0</v>
      </c>
      <c r="I101" s="115">
        <f t="shared" ca="1" si="359"/>
        <v>0</v>
      </c>
      <c r="J101" s="508">
        <f t="shared" ca="1" si="359"/>
        <v>0</v>
      </c>
      <c r="L101" s="493" t="s">
        <v>615</v>
      </c>
      <c r="O101" s="114">
        <f t="shared" ref="O101:U101" si="360">ROUND(IF(O100-O99&lt;0,-(O100-O99)*(1+$M$76)),0)</f>
        <v>0</v>
      </c>
      <c r="P101" s="114">
        <f t="shared" si="360"/>
        <v>2493</v>
      </c>
      <c r="Q101" s="114">
        <f t="shared" si="360"/>
        <v>3863</v>
      </c>
      <c r="R101" s="114">
        <f t="shared" si="360"/>
        <v>4447</v>
      </c>
      <c r="S101" s="114">
        <f t="shared" si="360"/>
        <v>4413</v>
      </c>
      <c r="T101" s="114">
        <f t="shared" si="360"/>
        <v>4417</v>
      </c>
      <c r="U101" s="561">
        <f t="shared" si="360"/>
        <v>4415</v>
      </c>
      <c r="W101" s="493" t="s">
        <v>615</v>
      </c>
      <c r="Z101" s="114">
        <f t="shared" ref="Z101:AF101" si="361">ROUND(IF(Z100-Z99&lt;0,-(Z100-Z99)*(1+$M$76)),0)</f>
        <v>5794</v>
      </c>
      <c r="AA101" s="114">
        <f t="shared" si="361"/>
        <v>0</v>
      </c>
      <c r="AB101" s="114">
        <f t="shared" si="361"/>
        <v>0</v>
      </c>
      <c r="AC101" s="114">
        <f t="shared" si="361"/>
        <v>0</v>
      </c>
      <c r="AD101" s="114">
        <f t="shared" si="361"/>
        <v>0</v>
      </c>
      <c r="AE101" s="114">
        <f t="shared" si="361"/>
        <v>0</v>
      </c>
      <c r="AF101" s="561">
        <f t="shared" si="361"/>
        <v>0</v>
      </c>
      <c r="AH101" s="493" t="s">
        <v>615</v>
      </c>
      <c r="AK101" s="114">
        <f>ROUND(IF(AK100-AK99&lt;0,-(AK100-AK99)*(1+$AI$97)),0)</f>
        <v>0</v>
      </c>
      <c r="AL101" s="114">
        <f t="shared" ref="AL101:AQ101" si="362">ROUND(IF(AL100-AL99&lt;0,-(AL100-AL99)*(1+$M$76)),0)</f>
        <v>63665</v>
      </c>
      <c r="AM101" s="114">
        <f t="shared" si="362"/>
        <v>0</v>
      </c>
      <c r="AN101" s="114">
        <f t="shared" si="362"/>
        <v>0</v>
      </c>
      <c r="AO101" s="114">
        <f t="shared" si="362"/>
        <v>0</v>
      </c>
      <c r="AP101" s="114">
        <f t="shared" si="362"/>
        <v>0</v>
      </c>
      <c r="AQ101" s="561">
        <f t="shared" si="362"/>
        <v>0</v>
      </c>
      <c r="AS101" s="493" t="s">
        <v>615</v>
      </c>
      <c r="AV101" s="114">
        <f>ROUND(IF(AV100-AV99&lt;0,-(AV100-AV99)*(1+$AT$97)),0)</f>
        <v>0</v>
      </c>
      <c r="AW101" s="114">
        <f t="shared" ref="AW101:BB101" ca="1" si="363">ROUND(IF(AW100-AW99&lt;0,-(AW100-AW99)*(1+$AT$97)),0)</f>
        <v>41250</v>
      </c>
      <c r="AX101" s="114">
        <f t="shared" ca="1" si="363"/>
        <v>41812</v>
      </c>
      <c r="AY101" s="114">
        <f t="shared" ca="1" si="363"/>
        <v>62359</v>
      </c>
      <c r="AZ101" s="114">
        <f t="shared" ca="1" si="363"/>
        <v>71125</v>
      </c>
      <c r="BA101" s="114">
        <f t="shared" ca="1" si="363"/>
        <v>70322</v>
      </c>
      <c r="BB101" s="561">
        <f t="shared" ca="1" si="363"/>
        <v>70402</v>
      </c>
      <c r="BD101" s="493" t="s">
        <v>615</v>
      </c>
      <c r="BG101" s="114">
        <f>ROUND(IF(BG100-BG99&lt;0,-(BG100-BG99)*(1+$BE$97)),0)</f>
        <v>0</v>
      </c>
      <c r="BH101" s="114">
        <f t="shared" ref="BH101:BM101" si="364">ROUND(IF(BH100-BH99&lt;0,-(BH100-BH99)*(1+$AT$97)),0)</f>
        <v>0</v>
      </c>
      <c r="BI101" s="114">
        <f t="shared" si="364"/>
        <v>0</v>
      </c>
      <c r="BJ101" s="114">
        <f t="shared" si="364"/>
        <v>6270</v>
      </c>
      <c r="BK101" s="114">
        <f t="shared" si="364"/>
        <v>7623</v>
      </c>
      <c r="BL101" s="114">
        <f t="shared" si="364"/>
        <v>8808</v>
      </c>
      <c r="BM101" s="561">
        <f t="shared" si="364"/>
        <v>8689</v>
      </c>
    </row>
    <row r="102" spans="2:65">
      <c r="B102" s="493" t="str">
        <f>B96</f>
        <v>start</v>
      </c>
      <c r="D102" s="115">
        <f>O100*O104+Z100*Z104+AK100*AK104+AV100*AV104+BG100*BG104</f>
        <v>0</v>
      </c>
      <c r="E102" s="115">
        <f t="shared" ref="E102:J102" si="365">D105</f>
        <v>108.1115122228924</v>
      </c>
      <c r="F102" s="115">
        <f t="shared" ca="1" si="365"/>
        <v>1892.010618803643</v>
      </c>
      <c r="G102" s="115">
        <f t="shared" ca="1" si="365"/>
        <v>1942.9442555486662</v>
      </c>
      <c r="H102" s="115">
        <f t="shared" ca="1" si="365"/>
        <v>2431.8680888102499</v>
      </c>
      <c r="I102" s="115">
        <f t="shared" ca="1" si="365"/>
        <v>2634.2682304753816</v>
      </c>
      <c r="J102" s="508">
        <f t="shared" ca="1" si="365"/>
        <v>2670.8497185912292</v>
      </c>
      <c r="L102" s="493" t="s">
        <v>816</v>
      </c>
      <c r="O102" s="734">
        <f t="shared" ref="O102:U102" si="366">O100+O101-O99</f>
        <v>0</v>
      </c>
      <c r="P102" s="734">
        <f t="shared" si="366"/>
        <v>227</v>
      </c>
      <c r="Q102" s="734">
        <f t="shared" si="366"/>
        <v>351</v>
      </c>
      <c r="R102" s="734">
        <f t="shared" si="366"/>
        <v>404</v>
      </c>
      <c r="S102" s="734">
        <f t="shared" si="366"/>
        <v>401</v>
      </c>
      <c r="T102" s="734">
        <f t="shared" si="366"/>
        <v>402</v>
      </c>
      <c r="U102" s="763">
        <f t="shared" si="366"/>
        <v>401</v>
      </c>
      <c r="W102" s="493" t="s">
        <v>816</v>
      </c>
      <c r="Z102" s="734">
        <f t="shared" ref="Z102:AF102" si="367">Z100+Z101-Z99</f>
        <v>527</v>
      </c>
      <c r="AA102" s="734">
        <f t="shared" si="367"/>
        <v>527</v>
      </c>
      <c r="AB102" s="734">
        <f t="shared" si="367"/>
        <v>527</v>
      </c>
      <c r="AC102" s="734">
        <f t="shared" si="367"/>
        <v>527</v>
      </c>
      <c r="AD102" s="734">
        <f t="shared" si="367"/>
        <v>527</v>
      </c>
      <c r="AE102" s="734">
        <f t="shared" si="367"/>
        <v>527</v>
      </c>
      <c r="AF102" s="763">
        <f t="shared" si="367"/>
        <v>527</v>
      </c>
      <c r="AH102" s="493" t="s">
        <v>816</v>
      </c>
      <c r="AK102" s="734">
        <f t="shared" ref="AK102:AQ102" si="368">AK100+AK101-AK99</f>
        <v>0</v>
      </c>
      <c r="AL102" s="734">
        <f t="shared" si="368"/>
        <v>5788</v>
      </c>
      <c r="AM102" s="734">
        <f t="shared" si="368"/>
        <v>5788</v>
      </c>
      <c r="AN102" s="734">
        <f t="shared" si="368"/>
        <v>5788</v>
      </c>
      <c r="AO102" s="734">
        <f t="shared" si="368"/>
        <v>5788</v>
      </c>
      <c r="AP102" s="734">
        <f t="shared" si="368"/>
        <v>5788</v>
      </c>
      <c r="AQ102" s="763">
        <f t="shared" si="368"/>
        <v>5788</v>
      </c>
      <c r="AS102" s="493" t="s">
        <v>816</v>
      </c>
      <c r="AV102" s="734">
        <f t="shared" ref="AV102:BB102" si="369">AV100+AV101-AV99</f>
        <v>0</v>
      </c>
      <c r="AW102" s="734">
        <f t="shared" ca="1" si="369"/>
        <v>3750</v>
      </c>
      <c r="AX102" s="734">
        <f t="shared" ca="1" si="369"/>
        <v>3801</v>
      </c>
      <c r="AY102" s="734">
        <f t="shared" ca="1" si="369"/>
        <v>5669</v>
      </c>
      <c r="AZ102" s="734">
        <f t="shared" ca="1" si="369"/>
        <v>6466</v>
      </c>
      <c r="BA102" s="734">
        <f t="shared" ca="1" si="369"/>
        <v>6393</v>
      </c>
      <c r="BB102" s="763">
        <f t="shared" ca="1" si="369"/>
        <v>6400</v>
      </c>
      <c r="BD102" s="493" t="s">
        <v>816</v>
      </c>
      <c r="BG102" s="734">
        <f t="shared" ref="BG102:BM102" si="370">BG100+BG101-BG99</f>
        <v>0</v>
      </c>
      <c r="BH102" s="734">
        <f t="shared" si="370"/>
        <v>0</v>
      </c>
      <c r="BI102" s="734">
        <f t="shared" si="370"/>
        <v>0</v>
      </c>
      <c r="BJ102" s="734">
        <f t="shared" si="370"/>
        <v>570</v>
      </c>
      <c r="BK102" s="734">
        <f t="shared" si="370"/>
        <v>693</v>
      </c>
      <c r="BL102" s="734">
        <f t="shared" si="370"/>
        <v>801</v>
      </c>
      <c r="BM102" s="763">
        <f t="shared" si="370"/>
        <v>790</v>
      </c>
    </row>
    <row r="103" spans="2:65">
      <c r="B103" s="493" t="str">
        <f>B97</f>
        <v>used</v>
      </c>
      <c r="D103" s="115">
        <f t="shared" ref="D103:J103" si="371">-(D104+D102-D105)</f>
        <v>-1080.499686675473</v>
      </c>
      <c r="E103" s="115">
        <f t="shared" ca="1" si="371"/>
        <v>-17837.595832282677</v>
      </c>
      <c r="F103" s="115">
        <f t="shared" ca="1" si="371"/>
        <v>-8546.7026567251069</v>
      </c>
      <c r="G103" s="115">
        <f t="shared" ca="1" si="371"/>
        <v>-13486.918575126741</v>
      </c>
      <c r="H103" s="115">
        <f t="shared" ca="1" si="371"/>
        <v>-15999.438641996176</v>
      </c>
      <c r="I103" s="115">
        <f t="shared" ca="1" si="371"/>
        <v>-16565.459086624636</v>
      </c>
      <c r="J103" s="508">
        <f t="shared" ca="1" si="371"/>
        <v>-16896.625787004152</v>
      </c>
      <c r="L103" s="493"/>
      <c r="U103" s="761"/>
      <c r="W103" s="493"/>
      <c r="AF103" s="761"/>
      <c r="AH103" s="493"/>
      <c r="AQ103" s="761"/>
      <c r="AS103" s="493"/>
      <c r="BB103" s="761"/>
      <c r="BD103" s="493"/>
      <c r="BM103" s="761"/>
    </row>
    <row r="104" spans="2:65">
      <c r="B104" s="493" t="str">
        <f>B98</f>
        <v>purchased</v>
      </c>
      <c r="D104" s="114">
        <f t="shared" ref="D104:J104" si="372">O105+Z105+AK105+AV105+BG105</f>
        <v>1188.6111988983653</v>
      </c>
      <c r="E104" s="114">
        <f t="shared" ca="1" si="372"/>
        <v>19621.49493886343</v>
      </c>
      <c r="F104" s="114">
        <f t="shared" ca="1" si="372"/>
        <v>8597.6362934701301</v>
      </c>
      <c r="G104" s="114">
        <f t="shared" ca="1" si="372"/>
        <v>13975.842408388326</v>
      </c>
      <c r="H104" s="114">
        <f t="shared" ca="1" si="372"/>
        <v>16201.838783661309</v>
      </c>
      <c r="I104" s="114">
        <f t="shared" ca="1" si="372"/>
        <v>16602.04057474048</v>
      </c>
      <c r="J104" s="561">
        <f t="shared" ca="1" si="372"/>
        <v>16925.776741583599</v>
      </c>
      <c r="L104" s="493" t="s">
        <v>312</v>
      </c>
      <c r="O104" s="757">
        <f>IF(O101&gt;0,$C$9*Opex!D29,O115)</f>
        <v>0.19556261628566901</v>
      </c>
      <c r="P104" s="757">
        <f>IF(P101&gt;0,$C$9*Opex!E29,P115)</f>
        <v>0.21232526594059509</v>
      </c>
      <c r="Q104" s="757">
        <f>IF(Q101&gt;0,$C$9*Opex!F29,Q115)</f>
        <v>0.21657177125940699</v>
      </c>
      <c r="R104" s="757">
        <f>IF(R101&gt;0,$C$9*Opex!G29,R115)</f>
        <v>0.22090320668459509</v>
      </c>
      <c r="S104" s="757">
        <f>IF(S101&gt;0,$C$9*Opex!H29,S115)</f>
        <v>0.22532127081828701</v>
      </c>
      <c r="T104" s="757">
        <f>IF(T101&gt;0,$C$9*Opex!I29,T115)</f>
        <v>0.22982769623465274</v>
      </c>
      <c r="U104" s="764">
        <f>IF(U101&gt;0,$C$9*Opex!J29,U115)</f>
        <v>0.23442425015934579</v>
      </c>
      <c r="W104" s="493" t="s">
        <v>312</v>
      </c>
      <c r="Z104" s="757">
        <f>IF(Z101&gt;0,$D$9*Opex!D29,Z115)</f>
        <v>0.20514518448366678</v>
      </c>
      <c r="AA104" s="757">
        <f>IF(AA101&gt;0,$D$9*Opex!E29,AA115)</f>
        <v>0.20514518448366678</v>
      </c>
      <c r="AB104" s="757">
        <f>IF(AB101&gt;0,$D$9*Opex!F29,AB115)</f>
        <v>0.20514518448366678</v>
      </c>
      <c r="AC104" s="757">
        <f>IF(AC101&gt;0,$D$9*Opex!G29,AC115)</f>
        <v>0.20514518448366678</v>
      </c>
      <c r="AD104" s="757">
        <f>IF(AD101&gt;0,$D$9*Opex!H29,AD115)</f>
        <v>0.20514518448366678</v>
      </c>
      <c r="AE104" s="757">
        <f>IF(AE101&gt;0,$D$9*Opex!I29,AE115)</f>
        <v>0.20514518448366678</v>
      </c>
      <c r="AF104" s="764">
        <f>IF(AF101&gt;0,$D$9*Opex!J29,AF115)</f>
        <v>0.20514518448366678</v>
      </c>
      <c r="AH104" s="493" t="s">
        <v>312</v>
      </c>
      <c r="AK104" s="757">
        <f>IF(AK101&gt;0,$E$9*Opex!D29,AK115)</f>
        <v>0.16761073303917007</v>
      </c>
      <c r="AL104" s="757">
        <f>IF(AL101&gt;0,$E$9*Opex!E29,AL115)</f>
        <v>0.1819774870216225</v>
      </c>
      <c r="AM104" s="757">
        <f>IF(AM101&gt;0,$E$9*Opex!F29,AM115)</f>
        <v>0.1819774870216225</v>
      </c>
      <c r="AN104" s="757">
        <f>IF(AN101&gt;0,$E$9*Opex!G29,AN115)</f>
        <v>0.1819774870216225</v>
      </c>
      <c r="AO104" s="757">
        <f>IF(AO101&gt;0,$E$9*Opex!H29,AO115)</f>
        <v>0.1819774870216225</v>
      </c>
      <c r="AP104" s="757">
        <f>IF(AP101&gt;0,$E$9*Opex!I29,AP115)</f>
        <v>0.1819774870216225</v>
      </c>
      <c r="AQ104" s="764">
        <f>IF(AQ101&gt;0,$E$9*Opex!J29,AQ115)</f>
        <v>0.1819774870216225</v>
      </c>
      <c r="AS104" s="493" t="s">
        <v>312</v>
      </c>
      <c r="AV104" s="757">
        <f>IF(AV101&gt;0,$F$9*Opex!D29,AV115)</f>
        <v>0.16761073303917007</v>
      </c>
      <c r="AW104" s="757">
        <f ca="1">IF(AW101&gt;0,$F$9*Opex!E29,AW115)</f>
        <v>0.1819774870216225</v>
      </c>
      <c r="AX104" s="757">
        <f ca="1">IF(AX101&gt;0,$F$9*Opex!F29,AX115)</f>
        <v>0.18561703676205493</v>
      </c>
      <c r="AY104" s="757">
        <f ca="1">IF(AY101&gt;0,$F$9*Opex!G29,AY115)</f>
        <v>0.18932937749729603</v>
      </c>
      <c r="AZ104" s="757">
        <f ca="1">IF(AZ101&gt;0,$F$9*Opex!H29,AZ115)</f>
        <v>0.19311596504724193</v>
      </c>
      <c r="BA104" s="757">
        <f ca="1">IF(BA101&gt;0,$F$9*Opex!I29,BA115)</f>
        <v>0.19697828434818676</v>
      </c>
      <c r="BB104" s="764">
        <f ca="1">IF(BB101&gt;0,$F$9*Opex!J29,BB115)</f>
        <v>0.2009178500351505</v>
      </c>
      <c r="BD104" s="493" t="s">
        <v>312</v>
      </c>
      <c r="BG104" s="757">
        <f>IF(BG101&gt;0,$G$9*Opex!D29,BG115)</f>
        <v>0.16761073303917007</v>
      </c>
      <c r="BH104" s="757">
        <f>IF(BH101&gt;0,$G$9*Opex!E29,BH115)</f>
        <v>0.16761073303917007</v>
      </c>
      <c r="BI104" s="757">
        <f>IF(BI101&gt;0,$G$9*Opex!F29,BI115)</f>
        <v>0.16761073303917007</v>
      </c>
      <c r="BJ104" s="757">
        <f>IF(BJ101&gt;0,$G$9*Opex!G29,BJ115)</f>
        <v>0.18932937749729603</v>
      </c>
      <c r="BK104" s="757">
        <f>IF(BK101&gt;0,$G$9*Opex!H29,BK115)</f>
        <v>0.19311596504724193</v>
      </c>
      <c r="BL104" s="757">
        <f>IF(BL101&gt;0,$G$9*Opex!I29,BL115)</f>
        <v>0.19697828434818676</v>
      </c>
      <c r="BM104" s="764">
        <f>IF(BM101&gt;0,$G$9*Opex!J29,BM115)</f>
        <v>0.2009178500351505</v>
      </c>
    </row>
    <row r="105" spans="2:65">
      <c r="B105" s="493" t="str">
        <f>B99</f>
        <v>end</v>
      </c>
      <c r="D105" s="115">
        <f t="shared" ref="D105:J105" si="373">O116+Z116+AK116+AV116+BG116</f>
        <v>108.1115122228924</v>
      </c>
      <c r="E105" s="115">
        <f t="shared" ca="1" si="373"/>
        <v>1892.010618803643</v>
      </c>
      <c r="F105" s="115">
        <f t="shared" ca="1" si="373"/>
        <v>1942.9442555486662</v>
      </c>
      <c r="G105" s="115">
        <f t="shared" ca="1" si="373"/>
        <v>2431.8680888102499</v>
      </c>
      <c r="H105" s="115">
        <f t="shared" ca="1" si="373"/>
        <v>2634.2682304753816</v>
      </c>
      <c r="I105" s="115">
        <f t="shared" ca="1" si="373"/>
        <v>2670.8497185912292</v>
      </c>
      <c r="J105" s="508">
        <f t="shared" ca="1" si="373"/>
        <v>2700.0006731706735</v>
      </c>
      <c r="L105" s="743" t="s">
        <v>85</v>
      </c>
      <c r="O105" s="562">
        <f t="shared" ref="O105:U105" si="374">O101*O104</f>
        <v>0</v>
      </c>
      <c r="P105" s="562">
        <f t="shared" si="374"/>
        <v>529.32688798990353</v>
      </c>
      <c r="Q105" s="562">
        <f t="shared" si="374"/>
        <v>836.61675237508916</v>
      </c>
      <c r="R105" s="562">
        <f t="shared" si="374"/>
        <v>982.35656012639436</v>
      </c>
      <c r="S105" s="562">
        <f t="shared" si="374"/>
        <v>994.34276812110056</v>
      </c>
      <c r="T105" s="562">
        <f t="shared" si="374"/>
        <v>1015.1489342684612</v>
      </c>
      <c r="U105" s="563">
        <f t="shared" si="374"/>
        <v>1034.9830644535116</v>
      </c>
      <c r="W105" s="743" t="s">
        <v>85</v>
      </c>
      <c r="Z105" s="562">
        <f t="shared" ref="Z105:AF105" si="375">Z101*Z104</f>
        <v>1188.6111988983653</v>
      </c>
      <c r="AA105" s="562">
        <f t="shared" si="375"/>
        <v>0</v>
      </c>
      <c r="AB105" s="562">
        <f t="shared" si="375"/>
        <v>0</v>
      </c>
      <c r="AC105" s="562">
        <f t="shared" si="375"/>
        <v>0</v>
      </c>
      <c r="AD105" s="562">
        <f t="shared" si="375"/>
        <v>0</v>
      </c>
      <c r="AE105" s="562">
        <f t="shared" si="375"/>
        <v>0</v>
      </c>
      <c r="AF105" s="563">
        <f t="shared" si="375"/>
        <v>0</v>
      </c>
      <c r="AH105" s="743" t="s">
        <v>85</v>
      </c>
      <c r="AK105" s="562">
        <f t="shared" ref="AK105:AQ105" si="376">AK101*AK104</f>
        <v>0</v>
      </c>
      <c r="AL105" s="562">
        <f t="shared" si="376"/>
        <v>11585.596711231598</v>
      </c>
      <c r="AM105" s="562">
        <f t="shared" si="376"/>
        <v>0</v>
      </c>
      <c r="AN105" s="562">
        <f t="shared" si="376"/>
        <v>0</v>
      </c>
      <c r="AO105" s="562">
        <f t="shared" si="376"/>
        <v>0</v>
      </c>
      <c r="AP105" s="562">
        <f t="shared" si="376"/>
        <v>0</v>
      </c>
      <c r="AQ105" s="563">
        <f t="shared" si="376"/>
        <v>0</v>
      </c>
      <c r="AS105" s="743" t="s">
        <v>85</v>
      </c>
      <c r="AV105" s="562">
        <f t="shared" ref="AV105:BB105" si="377">AV101*AV104</f>
        <v>0</v>
      </c>
      <c r="AW105" s="562">
        <f t="shared" ca="1" si="377"/>
        <v>7506.5713396419278</v>
      </c>
      <c r="AX105" s="562">
        <f t="shared" ca="1" si="377"/>
        <v>7761.0195410950409</v>
      </c>
      <c r="AY105" s="562">
        <f t="shared" ca="1" si="377"/>
        <v>11806.390651353884</v>
      </c>
      <c r="AZ105" s="562">
        <f t="shared" ca="1" si="377"/>
        <v>13735.373013985083</v>
      </c>
      <c r="BA105" s="562">
        <f t="shared" ca="1" si="377"/>
        <v>13851.906911933189</v>
      </c>
      <c r="BB105" s="563">
        <f t="shared" ca="1" si="377"/>
        <v>14145.018478174665</v>
      </c>
      <c r="BD105" s="743" t="s">
        <v>85</v>
      </c>
      <c r="BG105" s="562">
        <f t="shared" ref="BG105:BM105" si="378">BG101*BG104</f>
        <v>0</v>
      </c>
      <c r="BH105" s="562">
        <f t="shared" si="378"/>
        <v>0</v>
      </c>
      <c r="BI105" s="562">
        <f t="shared" si="378"/>
        <v>0</v>
      </c>
      <c r="BJ105" s="562">
        <f t="shared" si="378"/>
        <v>1187.0951969080461</v>
      </c>
      <c r="BK105" s="562">
        <f t="shared" si="378"/>
        <v>1472.1230015551253</v>
      </c>
      <c r="BL105" s="562">
        <f t="shared" si="378"/>
        <v>1734.9847285388289</v>
      </c>
      <c r="BM105" s="563">
        <f t="shared" si="378"/>
        <v>1745.7751989554226</v>
      </c>
    </row>
    <row r="106" spans="2:65">
      <c r="B106" s="493"/>
      <c r="D106" s="115"/>
      <c r="E106" s="115"/>
      <c r="F106" s="115"/>
      <c r="G106" s="115"/>
      <c r="H106" s="115"/>
      <c r="I106" s="115"/>
      <c r="J106" s="508"/>
      <c r="L106" s="743"/>
      <c r="O106" s="562"/>
      <c r="P106" s="562"/>
      <c r="Q106" s="562"/>
      <c r="R106" s="562"/>
      <c r="S106" s="562"/>
      <c r="T106" s="562"/>
      <c r="U106" s="563"/>
      <c r="W106" s="743"/>
      <c r="Z106" s="562"/>
      <c r="AA106" s="562"/>
      <c r="AB106" s="562"/>
      <c r="AC106" s="562"/>
      <c r="AD106" s="562"/>
      <c r="AE106" s="562"/>
      <c r="AF106" s="563"/>
      <c r="AH106" s="743"/>
      <c r="AK106" s="562"/>
      <c r="AL106" s="562"/>
      <c r="AM106" s="562"/>
      <c r="AN106" s="562"/>
      <c r="AO106" s="562"/>
      <c r="AP106" s="562"/>
      <c r="AQ106" s="563"/>
      <c r="AS106" s="743"/>
      <c r="AV106" s="562"/>
      <c r="AW106" s="562"/>
      <c r="AX106" s="562"/>
      <c r="AY106" s="562"/>
      <c r="AZ106" s="562"/>
      <c r="BA106" s="562"/>
      <c r="BB106" s="563"/>
      <c r="BD106" s="743"/>
      <c r="BG106" s="562"/>
      <c r="BH106" s="562"/>
      <c r="BI106" s="562"/>
      <c r="BJ106" s="562"/>
      <c r="BK106" s="562"/>
      <c r="BL106" s="562"/>
      <c r="BM106" s="563"/>
    </row>
    <row r="107" spans="2:65">
      <c r="B107" s="743" t="str">
        <f>B39</f>
        <v>Folio</v>
      </c>
      <c r="D107" s="115">
        <f>O133+Z133+AK133+AV133+BG133+D109</f>
        <v>0</v>
      </c>
      <c r="E107" s="115">
        <f t="shared" ref="E107:J107" ca="1" si="379">P133+AA133+AL133+AW133+BH133+E109</f>
        <v>0</v>
      </c>
      <c r="F107" s="115">
        <f t="shared" ca="1" si="379"/>
        <v>0</v>
      </c>
      <c r="G107" s="115">
        <f t="shared" ca="1" si="379"/>
        <v>0</v>
      </c>
      <c r="H107" s="115">
        <f t="shared" ca="1" si="379"/>
        <v>0</v>
      </c>
      <c r="I107" s="115">
        <f t="shared" ca="1" si="379"/>
        <v>0</v>
      </c>
      <c r="J107" s="508">
        <f t="shared" ca="1" si="379"/>
        <v>0</v>
      </c>
      <c r="L107" s="493" t="s">
        <v>880</v>
      </c>
      <c r="O107" s="732">
        <f>O104*O100</f>
        <v>0</v>
      </c>
      <c r="P107" s="732">
        <f t="shared" ref="P107:U107" si="380">O110</f>
        <v>0</v>
      </c>
      <c r="Q107" s="732">
        <f t="shared" si="380"/>
        <v>48.197835368515086</v>
      </c>
      <c r="R107" s="732">
        <f t="shared" si="380"/>
        <v>76.016691712051852</v>
      </c>
      <c r="S107" s="732">
        <f t="shared" si="380"/>
        <v>89.244895500576419</v>
      </c>
      <c r="T107" s="732">
        <f t="shared" si="380"/>
        <v>90.353829598133089</v>
      </c>
      <c r="U107" s="762">
        <f t="shared" si="380"/>
        <v>92.390733886330395</v>
      </c>
      <c r="W107" s="493" t="s">
        <v>880</v>
      </c>
      <c r="Z107" s="732">
        <f>Z104*Z100</f>
        <v>0</v>
      </c>
      <c r="AA107" s="732">
        <f t="shared" ref="AA107:AF107" si="381">Z110</f>
        <v>108.1115122228924</v>
      </c>
      <c r="AB107" s="732">
        <f t="shared" si="381"/>
        <v>108.1115122228924</v>
      </c>
      <c r="AC107" s="732">
        <f t="shared" si="381"/>
        <v>108.1115122228924</v>
      </c>
      <c r="AD107" s="732">
        <f t="shared" si="381"/>
        <v>108.1115122228924</v>
      </c>
      <c r="AE107" s="732">
        <f t="shared" si="381"/>
        <v>108.1115122228924</v>
      </c>
      <c r="AF107" s="762">
        <f t="shared" si="381"/>
        <v>108.1115122228924</v>
      </c>
      <c r="AG107" s="731"/>
      <c r="AH107" s="493" t="s">
        <v>880</v>
      </c>
      <c r="AK107" s="732">
        <f>AK104*AK100</f>
        <v>0</v>
      </c>
      <c r="AL107" s="732">
        <f t="shared" ref="AL107:AQ107" si="382">AK110</f>
        <v>0</v>
      </c>
      <c r="AM107" s="732">
        <f t="shared" si="382"/>
        <v>1053.2856948811511</v>
      </c>
      <c r="AN107" s="732">
        <f t="shared" si="382"/>
        <v>1053.2856948811511</v>
      </c>
      <c r="AO107" s="732">
        <f t="shared" si="382"/>
        <v>1053.2856948811511</v>
      </c>
      <c r="AP107" s="732">
        <f t="shared" si="382"/>
        <v>1053.2856948811511</v>
      </c>
      <c r="AQ107" s="762">
        <f t="shared" si="382"/>
        <v>1053.2856948811511</v>
      </c>
      <c r="AR107" s="731"/>
      <c r="AS107" s="493" t="s">
        <v>880</v>
      </c>
      <c r="AV107" s="732">
        <f>AV104*AV100</f>
        <v>0</v>
      </c>
      <c r="AW107" s="732">
        <f t="shared" ref="AW107:BB107" si="383">AV110</f>
        <v>0</v>
      </c>
      <c r="AX107" s="732">
        <f t="shared" ca="1" si="383"/>
        <v>682.41557633108437</v>
      </c>
      <c r="AY107" s="732">
        <f t="shared" ca="1" si="383"/>
        <v>705.53035673257079</v>
      </c>
      <c r="AZ107" s="732">
        <f t="shared" ca="1" si="383"/>
        <v>1073.3082410321713</v>
      </c>
      <c r="BA107" s="732">
        <f t="shared" ca="1" si="383"/>
        <v>1248.6878299954662</v>
      </c>
      <c r="BB107" s="762">
        <f t="shared" ca="1" si="383"/>
        <v>1259.282171837958</v>
      </c>
      <c r="BD107" s="493" t="s">
        <v>880</v>
      </c>
      <c r="BG107" s="732">
        <f>BG104*BG100</f>
        <v>0</v>
      </c>
      <c r="BH107" s="732">
        <f t="shared" ref="BH107:BM107" si="384">BG110</f>
        <v>0</v>
      </c>
      <c r="BI107" s="732">
        <f t="shared" si="384"/>
        <v>0</v>
      </c>
      <c r="BJ107" s="732">
        <f t="shared" si="384"/>
        <v>0</v>
      </c>
      <c r="BK107" s="732">
        <f t="shared" si="384"/>
        <v>107.91774517345874</v>
      </c>
      <c r="BL107" s="732">
        <f t="shared" si="384"/>
        <v>133.82936377773865</v>
      </c>
      <c r="BM107" s="762">
        <f t="shared" si="384"/>
        <v>157.7796057628976</v>
      </c>
    </row>
    <row r="108" spans="2:65">
      <c r="B108" s="493" t="str">
        <f>B102</f>
        <v>start</v>
      </c>
      <c r="D108" s="115">
        <f>O121*O125+Z121*Z125+AK121*AK125+AV121*AV125+BG121*BG125</f>
        <v>0</v>
      </c>
      <c r="E108" s="115">
        <f t="shared" ref="E108:J108" si="385">D111</f>
        <v>15.459383125719489</v>
      </c>
      <c r="F108" s="115">
        <f t="shared" ca="1" si="385"/>
        <v>146.93536963878773</v>
      </c>
      <c r="G108" s="115">
        <f t="shared" ca="1" si="385"/>
        <v>145.06900045209352</v>
      </c>
      <c r="H108" s="115">
        <f t="shared" ca="1" si="385"/>
        <v>212.85988318243611</v>
      </c>
      <c r="I108" s="115">
        <f t="shared" ca="1" si="385"/>
        <v>231.24408653712075</v>
      </c>
      <c r="J108" s="508">
        <f t="shared" ca="1" si="385"/>
        <v>236.83871466167193</v>
      </c>
      <c r="L108" s="493" t="s">
        <v>877</v>
      </c>
      <c r="O108" s="115">
        <f t="shared" ref="O108:U108" si="386">-(O109+O107-O110)</f>
        <v>0</v>
      </c>
      <c r="P108" s="115">
        <f t="shared" si="386"/>
        <v>-481.12905262138844</v>
      </c>
      <c r="Q108" s="115">
        <f t="shared" si="386"/>
        <v>-808.79789603155245</v>
      </c>
      <c r="R108" s="115">
        <f t="shared" si="386"/>
        <v>-969.12835633786995</v>
      </c>
      <c r="S108" s="115">
        <f t="shared" si="386"/>
        <v>-993.23383402354386</v>
      </c>
      <c r="T108" s="115">
        <f t="shared" si="386"/>
        <v>-1013.1120299802639</v>
      </c>
      <c r="U108" s="508">
        <f t="shared" si="386"/>
        <v>-1033.3696740259443</v>
      </c>
      <c r="W108" s="493" t="s">
        <v>877</v>
      </c>
      <c r="Z108" s="115">
        <f t="shared" ref="Z108:AF108" si="387">-(Z109+Z107-Z110)</f>
        <v>-1080.499686675473</v>
      </c>
      <c r="AA108" s="115">
        <f t="shared" si="387"/>
        <v>0</v>
      </c>
      <c r="AB108" s="115">
        <f t="shared" si="387"/>
        <v>0</v>
      </c>
      <c r="AC108" s="115">
        <f t="shared" si="387"/>
        <v>0</v>
      </c>
      <c r="AD108" s="115">
        <f t="shared" si="387"/>
        <v>0</v>
      </c>
      <c r="AE108" s="115">
        <f t="shared" si="387"/>
        <v>0</v>
      </c>
      <c r="AF108" s="508">
        <f t="shared" si="387"/>
        <v>0</v>
      </c>
      <c r="AG108" s="731"/>
      <c r="AH108" s="493" t="s">
        <v>877</v>
      </c>
      <c r="AK108" s="115">
        <f t="shared" ref="AK108:AQ108" si="388">-(AK109+AK107-AK110)</f>
        <v>0</v>
      </c>
      <c r="AL108" s="115">
        <f t="shared" si="388"/>
        <v>-10532.311016350446</v>
      </c>
      <c r="AM108" s="115">
        <f t="shared" si="388"/>
        <v>0</v>
      </c>
      <c r="AN108" s="115">
        <f t="shared" si="388"/>
        <v>0</v>
      </c>
      <c r="AO108" s="115">
        <f t="shared" si="388"/>
        <v>0</v>
      </c>
      <c r="AP108" s="115">
        <f t="shared" si="388"/>
        <v>0</v>
      </c>
      <c r="AQ108" s="508">
        <f t="shared" si="388"/>
        <v>0</v>
      </c>
      <c r="AR108" s="731"/>
      <c r="AS108" s="493" t="s">
        <v>877</v>
      </c>
      <c r="AV108" s="115">
        <f t="shared" ref="AV108:BB108" si="389">-(AV109+AV107-AV110)</f>
        <v>0</v>
      </c>
      <c r="AW108" s="115">
        <f t="shared" ca="1" si="389"/>
        <v>-6824.1557633108432</v>
      </c>
      <c r="AX108" s="115">
        <f t="shared" ca="1" si="389"/>
        <v>-7737.9047606935537</v>
      </c>
      <c r="AY108" s="115">
        <f t="shared" ca="1" si="389"/>
        <v>-11438.612767054283</v>
      </c>
      <c r="AZ108" s="115">
        <f t="shared" ca="1" si="389"/>
        <v>-13559.993425021788</v>
      </c>
      <c r="BA108" s="115">
        <f t="shared" ca="1" si="389"/>
        <v>-13841.312570090697</v>
      </c>
      <c r="BB108" s="508">
        <f t="shared" ca="1" si="389"/>
        <v>-14118.42640978766</v>
      </c>
      <c r="BD108" s="493" t="s">
        <v>877</v>
      </c>
      <c r="BG108" s="115">
        <f t="shared" ref="BG108:BM108" si="390">-(BG109+BG107-BG110)</f>
        <v>0</v>
      </c>
      <c r="BH108" s="115">
        <f t="shared" si="390"/>
        <v>0</v>
      </c>
      <c r="BI108" s="115">
        <f t="shared" si="390"/>
        <v>0</v>
      </c>
      <c r="BJ108" s="115">
        <f t="shared" si="390"/>
        <v>-1079.1774517345873</v>
      </c>
      <c r="BK108" s="115">
        <f t="shared" si="390"/>
        <v>-1446.2113829508453</v>
      </c>
      <c r="BL108" s="115">
        <f t="shared" si="390"/>
        <v>-1711.0344865536699</v>
      </c>
      <c r="BM108" s="508">
        <f t="shared" si="390"/>
        <v>-1744.8297031905513</v>
      </c>
    </row>
    <row r="109" spans="2:65">
      <c r="B109" s="493" t="str">
        <f>B103</f>
        <v>used</v>
      </c>
      <c r="D109" s="115">
        <f t="shared" ref="D109:J109" si="391">-(D110+D108-D111)</f>
        <v>-77.326278179643452</v>
      </c>
      <c r="E109" s="115">
        <f t="shared" ca="1" si="391"/>
        <v>-901.20548937754666</v>
      </c>
      <c r="F109" s="115">
        <f t="shared" ca="1" si="391"/>
        <v>-486.94711839336344</v>
      </c>
      <c r="G109" s="115">
        <f t="shared" ca="1" si="391"/>
        <v>-824.03045106889954</v>
      </c>
      <c r="H109" s="115">
        <f t="shared" ca="1" si="391"/>
        <v>-983.70512589265775</v>
      </c>
      <c r="I109" s="115">
        <f t="shared" ca="1" si="391"/>
        <v>-1030.0677179123179</v>
      </c>
      <c r="J109" s="508">
        <f t="shared" ca="1" si="391"/>
        <v>-1050.6239867383686</v>
      </c>
      <c r="L109" s="493" t="s">
        <v>878</v>
      </c>
      <c r="O109" s="816">
        <f>O101*O104</f>
        <v>0</v>
      </c>
      <c r="P109" s="816">
        <f t="shared" ref="P109:U109" si="392">P101*P104</f>
        <v>529.32688798990353</v>
      </c>
      <c r="Q109" s="816">
        <f t="shared" si="392"/>
        <v>836.61675237508916</v>
      </c>
      <c r="R109" s="816">
        <f t="shared" si="392"/>
        <v>982.35656012639436</v>
      </c>
      <c r="S109" s="816">
        <f t="shared" si="392"/>
        <v>994.34276812110056</v>
      </c>
      <c r="T109" s="816">
        <f t="shared" si="392"/>
        <v>1015.1489342684612</v>
      </c>
      <c r="U109" s="817">
        <f t="shared" si="392"/>
        <v>1034.9830644535116</v>
      </c>
      <c r="W109" s="493" t="s">
        <v>878</v>
      </c>
      <c r="Z109" s="816">
        <f>Z101*Z104</f>
        <v>1188.6111988983653</v>
      </c>
      <c r="AA109" s="816">
        <f t="shared" ref="AA109:AF109" si="393">AA101*AA104</f>
        <v>0</v>
      </c>
      <c r="AB109" s="816">
        <f t="shared" si="393"/>
        <v>0</v>
      </c>
      <c r="AC109" s="816">
        <f t="shared" si="393"/>
        <v>0</v>
      </c>
      <c r="AD109" s="816">
        <f t="shared" si="393"/>
        <v>0</v>
      </c>
      <c r="AE109" s="816">
        <f t="shared" si="393"/>
        <v>0</v>
      </c>
      <c r="AF109" s="817">
        <f t="shared" si="393"/>
        <v>0</v>
      </c>
      <c r="AG109" s="731"/>
      <c r="AH109" s="493" t="s">
        <v>878</v>
      </c>
      <c r="AK109" s="816">
        <f>AK101*AK104</f>
        <v>0</v>
      </c>
      <c r="AL109" s="816">
        <f t="shared" ref="AL109:AQ109" si="394">AL101*AL104</f>
        <v>11585.596711231598</v>
      </c>
      <c r="AM109" s="816">
        <f t="shared" si="394"/>
        <v>0</v>
      </c>
      <c r="AN109" s="816">
        <f t="shared" si="394"/>
        <v>0</v>
      </c>
      <c r="AO109" s="816">
        <f t="shared" si="394"/>
        <v>0</v>
      </c>
      <c r="AP109" s="816">
        <f t="shared" si="394"/>
        <v>0</v>
      </c>
      <c r="AQ109" s="817">
        <f t="shared" si="394"/>
        <v>0</v>
      </c>
      <c r="AR109" s="731"/>
      <c r="AS109" s="493" t="s">
        <v>878</v>
      </c>
      <c r="AV109" s="816">
        <f>AV101*AV104</f>
        <v>0</v>
      </c>
      <c r="AW109" s="816">
        <f t="shared" ref="AW109:BB109" ca="1" si="395">AW101*AW104</f>
        <v>7506.5713396419278</v>
      </c>
      <c r="AX109" s="816">
        <f t="shared" ca="1" si="395"/>
        <v>7761.0195410950409</v>
      </c>
      <c r="AY109" s="816">
        <f t="shared" ca="1" si="395"/>
        <v>11806.390651353884</v>
      </c>
      <c r="AZ109" s="816">
        <f t="shared" ca="1" si="395"/>
        <v>13735.373013985083</v>
      </c>
      <c r="BA109" s="816">
        <f t="shared" ca="1" si="395"/>
        <v>13851.906911933189</v>
      </c>
      <c r="BB109" s="817">
        <f t="shared" ca="1" si="395"/>
        <v>14145.018478174665</v>
      </c>
      <c r="BD109" s="493" t="s">
        <v>878</v>
      </c>
      <c r="BG109" s="816">
        <f>BG101*BG104</f>
        <v>0</v>
      </c>
      <c r="BH109" s="816">
        <f t="shared" ref="BH109:BM109" si="396">BH101*BH104</f>
        <v>0</v>
      </c>
      <c r="BI109" s="816">
        <f t="shared" si="396"/>
        <v>0</v>
      </c>
      <c r="BJ109" s="816">
        <f t="shared" si="396"/>
        <v>1187.0951969080461</v>
      </c>
      <c r="BK109" s="816">
        <f t="shared" si="396"/>
        <v>1472.1230015551253</v>
      </c>
      <c r="BL109" s="816">
        <f t="shared" si="396"/>
        <v>1734.9847285388289</v>
      </c>
      <c r="BM109" s="817">
        <f t="shared" si="396"/>
        <v>1745.7751989554226</v>
      </c>
    </row>
    <row r="110" spans="2:65">
      <c r="B110" s="493" t="str">
        <f>B104</f>
        <v>purchased</v>
      </c>
      <c r="D110" s="114">
        <f t="shared" ref="D110:J110" si="397">O126+Z126+AK126+AV126+BG126</f>
        <v>92.785661305362936</v>
      </c>
      <c r="E110" s="114">
        <f t="shared" ca="1" si="397"/>
        <v>1032.6814758906148</v>
      </c>
      <c r="F110" s="114">
        <f t="shared" ca="1" si="397"/>
        <v>485.08074920666917</v>
      </c>
      <c r="G110" s="114">
        <f t="shared" ca="1" si="397"/>
        <v>891.8213337992421</v>
      </c>
      <c r="H110" s="114">
        <f t="shared" ca="1" si="397"/>
        <v>1002.0893292473424</v>
      </c>
      <c r="I110" s="114">
        <f t="shared" ca="1" si="397"/>
        <v>1035.6623460368692</v>
      </c>
      <c r="J110" s="561">
        <f t="shared" ca="1" si="397"/>
        <v>1053.6186042469596</v>
      </c>
      <c r="L110" s="743" t="s">
        <v>879</v>
      </c>
      <c r="O110" s="732">
        <f>O116</f>
        <v>0</v>
      </c>
      <c r="P110" s="732">
        <f t="shared" ref="P110:U110" si="398">P116</f>
        <v>48.197835368515086</v>
      </c>
      <c r="Q110" s="732">
        <f t="shared" si="398"/>
        <v>76.016691712051852</v>
      </c>
      <c r="R110" s="732">
        <f t="shared" si="398"/>
        <v>89.244895500576419</v>
      </c>
      <c r="S110" s="732">
        <f t="shared" si="398"/>
        <v>90.353829598133089</v>
      </c>
      <c r="T110" s="732">
        <f t="shared" si="398"/>
        <v>92.390733886330395</v>
      </c>
      <c r="U110" s="762">
        <f t="shared" si="398"/>
        <v>94.004124313897663</v>
      </c>
      <c r="W110" s="743" t="s">
        <v>879</v>
      </c>
      <c r="Z110" s="732">
        <f>Z116</f>
        <v>108.1115122228924</v>
      </c>
      <c r="AA110" s="732">
        <f t="shared" ref="AA110:AF110" si="399">AA116</f>
        <v>108.1115122228924</v>
      </c>
      <c r="AB110" s="732">
        <f t="shared" si="399"/>
        <v>108.1115122228924</v>
      </c>
      <c r="AC110" s="732">
        <f t="shared" si="399"/>
        <v>108.1115122228924</v>
      </c>
      <c r="AD110" s="732">
        <f t="shared" si="399"/>
        <v>108.1115122228924</v>
      </c>
      <c r="AE110" s="732">
        <f t="shared" si="399"/>
        <v>108.1115122228924</v>
      </c>
      <c r="AF110" s="762">
        <f t="shared" si="399"/>
        <v>108.1115122228924</v>
      </c>
      <c r="AG110" s="731"/>
      <c r="AH110" s="743" t="s">
        <v>879</v>
      </c>
      <c r="AK110" s="732">
        <f>AK116</f>
        <v>0</v>
      </c>
      <c r="AL110" s="732">
        <f t="shared" ref="AL110:AQ110" si="400">AL116</f>
        <v>1053.2856948811511</v>
      </c>
      <c r="AM110" s="732">
        <f t="shared" si="400"/>
        <v>1053.2856948811511</v>
      </c>
      <c r="AN110" s="732">
        <f t="shared" si="400"/>
        <v>1053.2856948811511</v>
      </c>
      <c r="AO110" s="732">
        <f t="shared" si="400"/>
        <v>1053.2856948811511</v>
      </c>
      <c r="AP110" s="732">
        <f t="shared" si="400"/>
        <v>1053.2856948811511</v>
      </c>
      <c r="AQ110" s="762">
        <f t="shared" si="400"/>
        <v>1053.2856948811511</v>
      </c>
      <c r="AR110" s="731"/>
      <c r="AS110" s="743" t="s">
        <v>879</v>
      </c>
      <c r="AV110" s="732">
        <f>AV116</f>
        <v>0</v>
      </c>
      <c r="AW110" s="732">
        <f t="shared" ref="AW110:BB110" ca="1" si="401">AW116</f>
        <v>682.41557633108437</v>
      </c>
      <c r="AX110" s="732">
        <f t="shared" ca="1" si="401"/>
        <v>705.53035673257079</v>
      </c>
      <c r="AY110" s="732">
        <f t="shared" ca="1" si="401"/>
        <v>1073.3082410321713</v>
      </c>
      <c r="AZ110" s="732">
        <f t="shared" ca="1" si="401"/>
        <v>1248.6878299954662</v>
      </c>
      <c r="BA110" s="732">
        <f t="shared" ca="1" si="401"/>
        <v>1259.282171837958</v>
      </c>
      <c r="BB110" s="762">
        <f t="shared" ca="1" si="401"/>
        <v>1285.8742402249632</v>
      </c>
      <c r="BD110" s="743" t="s">
        <v>879</v>
      </c>
      <c r="BG110" s="732">
        <f>BG116</f>
        <v>0</v>
      </c>
      <c r="BH110" s="732">
        <f t="shared" ref="BH110:BM110" si="402">BH116</f>
        <v>0</v>
      </c>
      <c r="BI110" s="732">
        <f t="shared" si="402"/>
        <v>0</v>
      </c>
      <c r="BJ110" s="732">
        <f t="shared" si="402"/>
        <v>107.91774517345874</v>
      </c>
      <c r="BK110" s="732">
        <f t="shared" si="402"/>
        <v>133.82936377773865</v>
      </c>
      <c r="BL110" s="732">
        <f t="shared" si="402"/>
        <v>157.7796057628976</v>
      </c>
      <c r="BM110" s="762">
        <f t="shared" si="402"/>
        <v>158.72510152776889</v>
      </c>
    </row>
    <row r="111" spans="2:65">
      <c r="B111" s="493" t="str">
        <f>B105</f>
        <v>end</v>
      </c>
      <c r="D111" s="115">
        <f t="shared" ref="D111:J111" si="403">O137+Z137+AK137+AV137+BG137</f>
        <v>15.459383125719489</v>
      </c>
      <c r="E111" s="115">
        <f t="shared" ca="1" si="403"/>
        <v>146.93536963878773</v>
      </c>
      <c r="F111" s="115">
        <f t="shared" ca="1" si="403"/>
        <v>145.06900045209352</v>
      </c>
      <c r="G111" s="115">
        <f t="shared" ca="1" si="403"/>
        <v>212.85988318243611</v>
      </c>
      <c r="H111" s="115">
        <f t="shared" ca="1" si="403"/>
        <v>231.24408653712075</v>
      </c>
      <c r="I111" s="115">
        <f t="shared" ca="1" si="403"/>
        <v>236.83871466167193</v>
      </c>
      <c r="J111" s="508">
        <f t="shared" ca="1" si="403"/>
        <v>239.83333217026296</v>
      </c>
      <c r="L111" s="743"/>
      <c r="O111" s="562"/>
      <c r="P111" s="562"/>
      <c r="Q111" s="562"/>
      <c r="R111" s="562"/>
      <c r="S111" s="562"/>
      <c r="T111" s="562"/>
      <c r="U111" s="563"/>
      <c r="W111" s="743"/>
      <c r="Z111" s="562"/>
      <c r="AA111" s="562"/>
      <c r="AB111" s="562"/>
      <c r="AC111" s="562"/>
      <c r="AD111" s="562"/>
      <c r="AE111" s="562"/>
      <c r="AF111" s="563"/>
      <c r="AH111" s="743"/>
      <c r="AK111" s="562"/>
      <c r="AL111" s="562"/>
      <c r="AM111" s="562"/>
      <c r="AN111" s="562"/>
      <c r="AO111" s="562"/>
      <c r="AP111" s="562"/>
      <c r="AQ111" s="563"/>
      <c r="AS111" s="743"/>
      <c r="AV111" s="562"/>
      <c r="AW111" s="562"/>
      <c r="AX111" s="562"/>
      <c r="AY111" s="562"/>
      <c r="AZ111" s="562"/>
      <c r="BA111" s="562"/>
      <c r="BB111" s="563"/>
      <c r="BD111" s="743"/>
      <c r="BG111" s="562"/>
      <c r="BH111" s="562"/>
      <c r="BI111" s="562"/>
      <c r="BJ111" s="562"/>
      <c r="BK111" s="562"/>
      <c r="BL111" s="562"/>
      <c r="BM111" s="563"/>
    </row>
    <row r="112" spans="2:65">
      <c r="B112" s="493"/>
      <c r="J112" s="761"/>
      <c r="L112" s="493" t="str">
        <f>L91</f>
        <v>Costs production</v>
      </c>
      <c r="O112" s="115">
        <f>-O108</f>
        <v>0</v>
      </c>
      <c r="P112" s="115">
        <f t="shared" ref="P112:U112" si="404">-P108</f>
        <v>481.12905262138844</v>
      </c>
      <c r="Q112" s="115">
        <f t="shared" si="404"/>
        <v>808.79789603155245</v>
      </c>
      <c r="R112" s="115">
        <f t="shared" si="404"/>
        <v>969.12835633786995</v>
      </c>
      <c r="S112" s="115">
        <f t="shared" si="404"/>
        <v>993.23383402354386</v>
      </c>
      <c r="T112" s="115">
        <f t="shared" si="404"/>
        <v>1013.1120299802639</v>
      </c>
      <c r="U112" s="508">
        <f t="shared" si="404"/>
        <v>1033.3696740259443</v>
      </c>
      <c r="W112" s="493" t="str">
        <f>W91</f>
        <v>Costs production</v>
      </c>
      <c r="Z112" s="115">
        <f>-Z108</f>
        <v>1080.499686675473</v>
      </c>
      <c r="AA112" s="115">
        <f t="shared" ref="AA112:AF112" si="405">-AA108</f>
        <v>0</v>
      </c>
      <c r="AB112" s="115">
        <f t="shared" si="405"/>
        <v>0</v>
      </c>
      <c r="AC112" s="115">
        <f t="shared" si="405"/>
        <v>0</v>
      </c>
      <c r="AD112" s="115">
        <f t="shared" si="405"/>
        <v>0</v>
      </c>
      <c r="AE112" s="115">
        <f t="shared" si="405"/>
        <v>0</v>
      </c>
      <c r="AF112" s="508">
        <f t="shared" si="405"/>
        <v>0</v>
      </c>
      <c r="AH112" s="493" t="str">
        <f>AH91</f>
        <v>Costs production</v>
      </c>
      <c r="AK112" s="115">
        <f>-AK108</f>
        <v>0</v>
      </c>
      <c r="AL112" s="115">
        <f t="shared" ref="AL112:AQ112" si="406">-AL108</f>
        <v>10532.311016350446</v>
      </c>
      <c r="AM112" s="115">
        <f t="shared" si="406"/>
        <v>0</v>
      </c>
      <c r="AN112" s="115">
        <f t="shared" si="406"/>
        <v>0</v>
      </c>
      <c r="AO112" s="115">
        <f t="shared" si="406"/>
        <v>0</v>
      </c>
      <c r="AP112" s="115">
        <f t="shared" si="406"/>
        <v>0</v>
      </c>
      <c r="AQ112" s="508">
        <f t="shared" si="406"/>
        <v>0</v>
      </c>
      <c r="AS112" s="493" t="str">
        <f>AS91</f>
        <v>Costs production</v>
      </c>
      <c r="AV112" s="115">
        <f>-AV108</f>
        <v>0</v>
      </c>
      <c r="AW112" s="115">
        <f t="shared" ref="AW112:BB112" ca="1" si="407">-AW108</f>
        <v>6824.1557633108432</v>
      </c>
      <c r="AX112" s="115">
        <f t="shared" ca="1" si="407"/>
        <v>7737.9047606935537</v>
      </c>
      <c r="AY112" s="115">
        <f t="shared" ca="1" si="407"/>
        <v>11438.612767054283</v>
      </c>
      <c r="AZ112" s="115">
        <f t="shared" ca="1" si="407"/>
        <v>13559.993425021788</v>
      </c>
      <c r="BA112" s="115">
        <f t="shared" ca="1" si="407"/>
        <v>13841.312570090697</v>
      </c>
      <c r="BB112" s="508">
        <f t="shared" ca="1" si="407"/>
        <v>14118.42640978766</v>
      </c>
      <c r="BD112" s="493" t="str">
        <f>BD91</f>
        <v>Costs production</v>
      </c>
      <c r="BG112" s="115">
        <f>-BG108</f>
        <v>0</v>
      </c>
      <c r="BH112" s="115">
        <f t="shared" ref="BH112:BM112" si="408">-BH108</f>
        <v>0</v>
      </c>
      <c r="BI112" s="115">
        <f t="shared" si="408"/>
        <v>0</v>
      </c>
      <c r="BJ112" s="115">
        <f t="shared" si="408"/>
        <v>1079.1774517345873</v>
      </c>
      <c r="BK112" s="115">
        <f t="shared" si="408"/>
        <v>1446.2113829508453</v>
      </c>
      <c r="BL112" s="115">
        <f t="shared" si="408"/>
        <v>1711.0344865536699</v>
      </c>
      <c r="BM112" s="508">
        <f t="shared" si="408"/>
        <v>1744.8297031905513</v>
      </c>
    </row>
    <row r="113" spans="2:65">
      <c r="B113" s="743" t="str">
        <f>B70</f>
        <v>Pellets</v>
      </c>
      <c r="D113" s="115">
        <f>O155+Z155+AK155+AV155+BG155+D115</f>
        <v>0</v>
      </c>
      <c r="E113" s="115">
        <f t="shared" ref="E113:J113" ca="1" si="409">P155+AA155+AL155+AW155+BH155+E115</f>
        <v>0</v>
      </c>
      <c r="F113" s="115">
        <f t="shared" ca="1" si="409"/>
        <v>0</v>
      </c>
      <c r="G113" s="115">
        <f t="shared" ca="1" si="409"/>
        <v>0</v>
      </c>
      <c r="H113" s="115">
        <f t="shared" ca="1" si="409"/>
        <v>0</v>
      </c>
      <c r="I113" s="115">
        <f t="shared" ca="1" si="409"/>
        <v>0</v>
      </c>
      <c r="J113" s="508">
        <f t="shared" ca="1" si="409"/>
        <v>0</v>
      </c>
      <c r="L113" s="493" t="str">
        <f>L92</f>
        <v>Per bottle</v>
      </c>
      <c r="O113" s="758">
        <f t="shared" ref="O113:U113" si="410">IF(O99=0,O115,O112/O99)</f>
        <v>0.19556261628566901</v>
      </c>
      <c r="P113" s="758">
        <f t="shared" si="410"/>
        <v>0.21232526594059509</v>
      </c>
      <c r="Q113" s="758">
        <f t="shared" si="410"/>
        <v>0.21631395989076022</v>
      </c>
      <c r="R113" s="758">
        <f t="shared" si="410"/>
        <v>0.22055720444648838</v>
      </c>
      <c r="S113" s="758">
        <f t="shared" si="410"/>
        <v>0.22491708197996918</v>
      </c>
      <c r="T113" s="758">
        <f t="shared" si="410"/>
        <v>0.22941848504987858</v>
      </c>
      <c r="U113" s="463">
        <f t="shared" si="410"/>
        <v>0.23400581386457073</v>
      </c>
      <c r="W113" s="493" t="str">
        <f>W92</f>
        <v>Per bottle</v>
      </c>
      <c r="Z113" s="758">
        <f t="shared" ref="Z113:AF113" si="411">IF(Z99=0,Z115,Z112/Z99)</f>
        <v>0.20514518448366678</v>
      </c>
      <c r="AA113" s="758">
        <f t="shared" si="411"/>
        <v>0.20514518448366678</v>
      </c>
      <c r="AB113" s="758">
        <f t="shared" si="411"/>
        <v>0.20514518448366678</v>
      </c>
      <c r="AC113" s="758">
        <f t="shared" si="411"/>
        <v>0.20514518448366678</v>
      </c>
      <c r="AD113" s="758">
        <f t="shared" si="411"/>
        <v>0.20514518448366678</v>
      </c>
      <c r="AE113" s="758">
        <f t="shared" si="411"/>
        <v>0.20514518448366678</v>
      </c>
      <c r="AF113" s="463">
        <f t="shared" si="411"/>
        <v>0.20514518448366678</v>
      </c>
      <c r="AH113" s="493" t="str">
        <f>AH92</f>
        <v>Per bottle</v>
      </c>
      <c r="AK113" s="758">
        <f t="shared" ref="AK113:AQ113" si="412">IF(AK99=0,AK115,AK112/AK99)</f>
        <v>0.16761073303917007</v>
      </c>
      <c r="AL113" s="758">
        <f t="shared" si="412"/>
        <v>0.1819774870216225</v>
      </c>
      <c r="AM113" s="758">
        <f t="shared" si="412"/>
        <v>0.1819774870216225</v>
      </c>
      <c r="AN113" s="758">
        <f t="shared" si="412"/>
        <v>0.1819774870216225</v>
      </c>
      <c r="AO113" s="758">
        <f t="shared" si="412"/>
        <v>0.1819774870216225</v>
      </c>
      <c r="AP113" s="758">
        <f t="shared" si="412"/>
        <v>0.1819774870216225</v>
      </c>
      <c r="AQ113" s="463">
        <f t="shared" si="412"/>
        <v>0.1819774870216225</v>
      </c>
      <c r="AS113" s="493" t="str">
        <f>AS92</f>
        <v>Per bottle</v>
      </c>
      <c r="AV113" s="758">
        <f t="shared" ref="AV113:BB113" si="413">IF(AV99=0,AV115,AV112/AV99)</f>
        <v>0.16761073303917007</v>
      </c>
      <c r="AW113" s="758">
        <f t="shared" ca="1" si="413"/>
        <v>0.18197748702162247</v>
      </c>
      <c r="AX113" s="758">
        <f t="shared" ca="1" si="413"/>
        <v>0.18529021720489341</v>
      </c>
      <c r="AY113" s="758">
        <f t="shared" ca="1" si="413"/>
        <v>0.18909610962051021</v>
      </c>
      <c r="AZ113" s="758">
        <f t="shared" ca="1" si="413"/>
        <v>0.19281073576700303</v>
      </c>
      <c r="BA113" s="758">
        <f t="shared" ca="1" si="413"/>
        <v>0.19662351829093966</v>
      </c>
      <c r="BB113" s="463">
        <f t="shared" ca="1" si="413"/>
        <v>0.20056007400792186</v>
      </c>
      <c r="BD113" s="493" t="str">
        <f>BD92</f>
        <v>Per bottle</v>
      </c>
      <c r="BG113" s="758">
        <f t="shared" ref="BG113:BM113" si="414">IF(BG99=0,BG115,BG112/BG99)</f>
        <v>0.16761073303917007</v>
      </c>
      <c r="BH113" s="758">
        <f t="shared" si="414"/>
        <v>0.16761073303917007</v>
      </c>
      <c r="BI113" s="758">
        <f t="shared" si="414"/>
        <v>0.16761073303917007</v>
      </c>
      <c r="BJ113" s="758">
        <f t="shared" si="414"/>
        <v>0.189329377497296</v>
      </c>
      <c r="BK113" s="758">
        <f t="shared" si="414"/>
        <v>0.19282818439344604</v>
      </c>
      <c r="BL113" s="758">
        <f t="shared" si="414"/>
        <v>0.19667063063835286</v>
      </c>
      <c r="BM113" s="463">
        <f t="shared" si="414"/>
        <v>0.20055513829776453</v>
      </c>
    </row>
    <row r="114" spans="2:65">
      <c r="B114" s="493" t="str">
        <f>B108</f>
        <v>start</v>
      </c>
      <c r="D114" s="115">
        <f>O143*O147+Z143*Z147+AK143*AK147+AV143*AV147+BG143*BG147</f>
        <v>0</v>
      </c>
      <c r="E114" s="115">
        <f t="shared" ref="E114:J114" si="415">D117</f>
        <v>16.95</v>
      </c>
      <c r="F114" s="115">
        <f t="shared" ca="1" si="415"/>
        <v>402.90149999999994</v>
      </c>
      <c r="G114" s="115">
        <f t="shared" ca="1" si="415"/>
        <v>441.49664999999993</v>
      </c>
      <c r="H114" s="115">
        <f t="shared" ca="1" si="415"/>
        <v>518.08346219999987</v>
      </c>
      <c r="I114" s="115">
        <f t="shared" ca="1" si="415"/>
        <v>597.66217042799985</v>
      </c>
      <c r="J114" s="508">
        <f t="shared" ca="1" si="415"/>
        <v>585.37492584563984</v>
      </c>
      <c r="L114" s="743"/>
      <c r="O114" s="758"/>
      <c r="P114" s="758"/>
      <c r="Q114" s="758"/>
      <c r="R114" s="758"/>
      <c r="S114" s="758"/>
      <c r="T114" s="758"/>
      <c r="U114" s="463"/>
      <c r="W114" s="743"/>
      <c r="Z114" s="758"/>
      <c r="AA114" s="758"/>
      <c r="AB114" s="758"/>
      <c r="AC114" s="758"/>
      <c r="AD114" s="758"/>
      <c r="AE114" s="758"/>
      <c r="AF114" s="463"/>
      <c r="AH114" s="743"/>
      <c r="AK114" s="758"/>
      <c r="AL114" s="758"/>
      <c r="AM114" s="758"/>
      <c r="AN114" s="758"/>
      <c r="AO114" s="758"/>
      <c r="AP114" s="758"/>
      <c r="AQ114" s="463"/>
      <c r="AS114" s="743"/>
      <c r="AV114" s="758"/>
      <c r="AW114" s="758"/>
      <c r="AX114" s="758"/>
      <c r="AY114" s="758"/>
      <c r="AZ114" s="758"/>
      <c r="BA114" s="758"/>
      <c r="BB114" s="463"/>
      <c r="BD114" s="743"/>
      <c r="BG114" s="758"/>
      <c r="BH114" s="758"/>
      <c r="BI114" s="758"/>
      <c r="BJ114" s="758"/>
      <c r="BK114" s="758"/>
      <c r="BL114" s="758"/>
      <c r="BM114" s="463"/>
    </row>
    <row r="115" spans="2:65">
      <c r="B115" s="493" t="str">
        <f>B109</f>
        <v>used</v>
      </c>
      <c r="D115" s="115">
        <f t="shared" ref="D115:J115" si="416">-(D116+D114-D117)</f>
        <v>-220.35</v>
      </c>
      <c r="E115" s="115">
        <f t="shared" ca="1" si="416"/>
        <v>-4105.1204999999991</v>
      </c>
      <c r="F115" s="115">
        <f t="shared" ca="1" si="416"/>
        <v>-1947.6516149999993</v>
      </c>
      <c r="G115" s="115">
        <f t="shared" ca="1" si="416"/>
        <v>-3099.2607179999995</v>
      </c>
      <c r="H115" s="115">
        <f t="shared" ca="1" si="416"/>
        <v>-3662.4457782179998</v>
      </c>
      <c r="I115" s="115">
        <f t="shared" ca="1" si="416"/>
        <v>-3791.1734647754383</v>
      </c>
      <c r="J115" s="508">
        <f t="shared" ca="1" si="416"/>
        <v>-3867.376721630766</v>
      </c>
      <c r="L115" s="743" t="str">
        <f>L94</f>
        <v>Cost price of the inventory</v>
      </c>
      <c r="O115" s="810">
        <f>IF(O101=0,'Inv. start'!K25,O104)</f>
        <v>0.19556261628566901</v>
      </c>
      <c r="P115" s="810">
        <f t="shared" ref="P115:U115" si="417">IF(P101=0,O115,P104)</f>
        <v>0.21232526594059509</v>
      </c>
      <c r="Q115" s="810">
        <f t="shared" si="417"/>
        <v>0.21657177125940699</v>
      </c>
      <c r="R115" s="810">
        <f t="shared" si="417"/>
        <v>0.22090320668459509</v>
      </c>
      <c r="S115" s="810">
        <f t="shared" si="417"/>
        <v>0.22532127081828701</v>
      </c>
      <c r="T115" s="810">
        <f t="shared" si="417"/>
        <v>0.22982769623465274</v>
      </c>
      <c r="U115" s="811">
        <f t="shared" si="417"/>
        <v>0.23442425015934579</v>
      </c>
      <c r="W115" s="743" t="str">
        <f>W94</f>
        <v>Cost price of the inventory</v>
      </c>
      <c r="Z115" s="810">
        <f>IF(Z101=0,'Inv. start'!K26,Z104)</f>
        <v>0.20514518448366678</v>
      </c>
      <c r="AA115" s="810">
        <f t="shared" ref="AA115:AF115" si="418">IF(AA101=0,Z115,AA104)</f>
        <v>0.20514518448366678</v>
      </c>
      <c r="AB115" s="810">
        <f t="shared" si="418"/>
        <v>0.20514518448366678</v>
      </c>
      <c r="AC115" s="810">
        <f t="shared" si="418"/>
        <v>0.20514518448366678</v>
      </c>
      <c r="AD115" s="810">
        <f t="shared" si="418"/>
        <v>0.20514518448366678</v>
      </c>
      <c r="AE115" s="810">
        <f t="shared" si="418"/>
        <v>0.20514518448366678</v>
      </c>
      <c r="AF115" s="811">
        <f t="shared" si="418"/>
        <v>0.20514518448366678</v>
      </c>
      <c r="AH115" s="743" t="str">
        <f>AH94</f>
        <v>Cost price of the inventory</v>
      </c>
      <c r="AK115" s="810">
        <f>IF(AK101=0,'Inv. start'!K27,AK104)</f>
        <v>0.16761073303917007</v>
      </c>
      <c r="AL115" s="810">
        <f t="shared" ref="AL115:AQ115" si="419">IF(AL101=0,AK115,AL104)</f>
        <v>0.1819774870216225</v>
      </c>
      <c r="AM115" s="810">
        <f t="shared" si="419"/>
        <v>0.1819774870216225</v>
      </c>
      <c r="AN115" s="810">
        <f t="shared" si="419"/>
        <v>0.1819774870216225</v>
      </c>
      <c r="AO115" s="810">
        <f t="shared" si="419"/>
        <v>0.1819774870216225</v>
      </c>
      <c r="AP115" s="810">
        <f t="shared" si="419"/>
        <v>0.1819774870216225</v>
      </c>
      <c r="AQ115" s="811">
        <f t="shared" si="419"/>
        <v>0.1819774870216225</v>
      </c>
      <c r="AS115" s="743" t="str">
        <f>AS94</f>
        <v>Cost price of the inventory</v>
      </c>
      <c r="AV115" s="810">
        <f>IF(AV101=0,'Inv. start'!K28,AV104)</f>
        <v>0.16761073303917007</v>
      </c>
      <c r="AW115" s="810">
        <f t="shared" ref="AW115:BB115" ca="1" si="420">IF(AW101=0,AV115,AW104)</f>
        <v>0.1819774870216225</v>
      </c>
      <c r="AX115" s="810">
        <f t="shared" ca="1" si="420"/>
        <v>0.18561703676205493</v>
      </c>
      <c r="AY115" s="810">
        <f t="shared" ca="1" si="420"/>
        <v>0.18932937749729603</v>
      </c>
      <c r="AZ115" s="810">
        <f t="shared" ca="1" si="420"/>
        <v>0.19311596504724193</v>
      </c>
      <c r="BA115" s="810">
        <f t="shared" ca="1" si="420"/>
        <v>0.19697828434818676</v>
      </c>
      <c r="BB115" s="811">
        <f t="shared" ca="1" si="420"/>
        <v>0.2009178500351505</v>
      </c>
      <c r="BD115" s="743" t="str">
        <f>BD94</f>
        <v>Cost price of the inventory</v>
      </c>
      <c r="BG115" s="810">
        <f>IF(BG101=0,'Inv. start'!K29,BG104)</f>
        <v>0.16761073303917007</v>
      </c>
      <c r="BH115" s="810">
        <f t="shared" ref="BH115:BM115" si="421">IF(BH101=0,BG115,BH104)</f>
        <v>0.16761073303917007</v>
      </c>
      <c r="BI115" s="810">
        <f t="shared" si="421"/>
        <v>0.16761073303917007</v>
      </c>
      <c r="BJ115" s="810">
        <f t="shared" si="421"/>
        <v>0.18932937749729603</v>
      </c>
      <c r="BK115" s="810">
        <f t="shared" si="421"/>
        <v>0.19311596504724193</v>
      </c>
      <c r="BL115" s="810">
        <f t="shared" si="421"/>
        <v>0.19697828434818676</v>
      </c>
      <c r="BM115" s="811">
        <f t="shared" si="421"/>
        <v>0.2009178500351505</v>
      </c>
    </row>
    <row r="116" spans="2:65">
      <c r="B116" s="493" t="str">
        <f>B110</f>
        <v>purchased</v>
      </c>
      <c r="D116" s="114">
        <f t="shared" ref="D116:J116" si="422">O148+Z148+AK148+AV148+BG148</f>
        <v>237.29999999999998</v>
      </c>
      <c r="E116" s="114">
        <f t="shared" ca="1" si="422"/>
        <v>4491.0719999999992</v>
      </c>
      <c r="F116" s="114">
        <f t="shared" ca="1" si="422"/>
        <v>1986.2467649999994</v>
      </c>
      <c r="G116" s="114">
        <f t="shared" ca="1" si="422"/>
        <v>3175.8475301999993</v>
      </c>
      <c r="H116" s="114">
        <f t="shared" ca="1" si="422"/>
        <v>3742.0244864459992</v>
      </c>
      <c r="I116" s="114">
        <f t="shared" ca="1" si="422"/>
        <v>3778.8862201930788</v>
      </c>
      <c r="J116" s="561">
        <f t="shared" ca="1" si="422"/>
        <v>3893.2022756984175</v>
      </c>
      <c r="L116" s="765"/>
      <c r="M116" s="755"/>
      <c r="N116" s="755"/>
      <c r="O116" s="795">
        <f>O102*O115</f>
        <v>0</v>
      </c>
      <c r="P116" s="795">
        <f t="shared" ref="P116:U116" si="423">P102*P115</f>
        <v>48.197835368515086</v>
      </c>
      <c r="Q116" s="795">
        <f t="shared" si="423"/>
        <v>76.016691712051852</v>
      </c>
      <c r="R116" s="795">
        <f t="shared" si="423"/>
        <v>89.244895500576419</v>
      </c>
      <c r="S116" s="795">
        <f t="shared" si="423"/>
        <v>90.353829598133089</v>
      </c>
      <c r="T116" s="795">
        <f t="shared" si="423"/>
        <v>92.390733886330395</v>
      </c>
      <c r="U116" s="797">
        <f t="shared" si="423"/>
        <v>94.004124313897663</v>
      </c>
      <c r="W116" s="765"/>
      <c r="X116" s="755"/>
      <c r="Y116" s="755"/>
      <c r="Z116" s="795">
        <f t="shared" ref="Z116:AF116" si="424">Z102*Z115</f>
        <v>108.1115122228924</v>
      </c>
      <c r="AA116" s="795">
        <f t="shared" si="424"/>
        <v>108.1115122228924</v>
      </c>
      <c r="AB116" s="795">
        <f t="shared" si="424"/>
        <v>108.1115122228924</v>
      </c>
      <c r="AC116" s="795">
        <f t="shared" si="424"/>
        <v>108.1115122228924</v>
      </c>
      <c r="AD116" s="795">
        <f t="shared" si="424"/>
        <v>108.1115122228924</v>
      </c>
      <c r="AE116" s="795">
        <f t="shared" si="424"/>
        <v>108.1115122228924</v>
      </c>
      <c r="AF116" s="797">
        <f t="shared" si="424"/>
        <v>108.1115122228924</v>
      </c>
      <c r="AH116" s="765"/>
      <c r="AI116" s="755"/>
      <c r="AJ116" s="755"/>
      <c r="AK116" s="795">
        <f t="shared" ref="AK116:AQ116" si="425">AK102*AK115</f>
        <v>0</v>
      </c>
      <c r="AL116" s="795">
        <f t="shared" si="425"/>
        <v>1053.2856948811511</v>
      </c>
      <c r="AM116" s="795">
        <f t="shared" si="425"/>
        <v>1053.2856948811511</v>
      </c>
      <c r="AN116" s="795">
        <f t="shared" si="425"/>
        <v>1053.2856948811511</v>
      </c>
      <c r="AO116" s="795">
        <f t="shared" si="425"/>
        <v>1053.2856948811511</v>
      </c>
      <c r="AP116" s="795">
        <f t="shared" si="425"/>
        <v>1053.2856948811511</v>
      </c>
      <c r="AQ116" s="797">
        <f t="shared" si="425"/>
        <v>1053.2856948811511</v>
      </c>
      <c r="AS116" s="765"/>
      <c r="AT116" s="755"/>
      <c r="AU116" s="755"/>
      <c r="AV116" s="795">
        <f t="shared" ref="AV116:BB116" si="426">AV102*AV115</f>
        <v>0</v>
      </c>
      <c r="AW116" s="795">
        <f t="shared" ca="1" si="426"/>
        <v>682.41557633108437</v>
      </c>
      <c r="AX116" s="795">
        <f t="shared" ca="1" si="426"/>
        <v>705.53035673257079</v>
      </c>
      <c r="AY116" s="795">
        <f t="shared" ca="1" si="426"/>
        <v>1073.3082410321713</v>
      </c>
      <c r="AZ116" s="795">
        <f t="shared" ca="1" si="426"/>
        <v>1248.6878299954662</v>
      </c>
      <c r="BA116" s="795">
        <f t="shared" ca="1" si="426"/>
        <v>1259.282171837958</v>
      </c>
      <c r="BB116" s="797">
        <f t="shared" ca="1" si="426"/>
        <v>1285.8742402249632</v>
      </c>
      <c r="BD116" s="765"/>
      <c r="BE116" s="755"/>
      <c r="BF116" s="755"/>
      <c r="BG116" s="795">
        <f t="shared" ref="BG116:BM116" si="427">BG102*BG115</f>
        <v>0</v>
      </c>
      <c r="BH116" s="795">
        <f t="shared" si="427"/>
        <v>0</v>
      </c>
      <c r="BI116" s="795">
        <f t="shared" si="427"/>
        <v>0</v>
      </c>
      <c r="BJ116" s="795">
        <f t="shared" si="427"/>
        <v>107.91774517345874</v>
      </c>
      <c r="BK116" s="795">
        <f t="shared" si="427"/>
        <v>133.82936377773865</v>
      </c>
      <c r="BL116" s="795">
        <f t="shared" si="427"/>
        <v>157.7796057628976</v>
      </c>
      <c r="BM116" s="797">
        <f t="shared" si="427"/>
        <v>158.72510152776889</v>
      </c>
    </row>
    <row r="117" spans="2:65">
      <c r="B117" s="493" t="str">
        <f>B111</f>
        <v>end</v>
      </c>
      <c r="D117" s="115">
        <f t="shared" ref="D117:J117" si="428">O159+Z159+AK159+AV159+BG159</f>
        <v>16.95</v>
      </c>
      <c r="E117" s="115">
        <f t="shared" ca="1" si="428"/>
        <v>402.90149999999994</v>
      </c>
      <c r="F117" s="115">
        <f t="shared" ca="1" si="428"/>
        <v>441.49664999999993</v>
      </c>
      <c r="G117" s="115">
        <f t="shared" ca="1" si="428"/>
        <v>518.08346219999987</v>
      </c>
      <c r="H117" s="115">
        <f t="shared" ca="1" si="428"/>
        <v>597.66217042799985</v>
      </c>
      <c r="I117" s="115">
        <f t="shared" ca="1" si="428"/>
        <v>585.37492584563984</v>
      </c>
      <c r="J117" s="508">
        <f t="shared" ca="1" si="428"/>
        <v>611.20047991329102</v>
      </c>
      <c r="L117" s="743" t="str">
        <f>B10</f>
        <v>Folio</v>
      </c>
      <c r="U117" s="761"/>
      <c r="W117" s="743" t="str">
        <f>L117</f>
        <v>Folio</v>
      </c>
      <c r="AF117" s="761"/>
      <c r="AH117" s="743" t="str">
        <f>W117</f>
        <v>Folio</v>
      </c>
      <c r="AQ117" s="761"/>
      <c r="AS117" s="743" t="str">
        <f>AH117</f>
        <v>Folio</v>
      </c>
      <c r="BB117" s="761"/>
      <c r="BD117" s="743" t="str">
        <f>AS117</f>
        <v>Folio</v>
      </c>
      <c r="BM117" s="761"/>
    </row>
    <row r="118" spans="2:65">
      <c r="B118" s="493"/>
      <c r="J118" s="761"/>
      <c r="L118" s="493" t="str">
        <f>L97</f>
        <v>Margin new purchse</v>
      </c>
      <c r="M118" s="756">
        <v>0.2</v>
      </c>
      <c r="O118" s="464"/>
      <c r="U118" s="761"/>
      <c r="W118" s="493" t="str">
        <f>W97</f>
        <v>Margin new purchse</v>
      </c>
      <c r="X118" s="756">
        <v>0.2</v>
      </c>
      <c r="Z118" s="464"/>
      <c r="AF118" s="761"/>
      <c r="AH118" s="493" t="str">
        <f>AH97</f>
        <v>Margin new purchse</v>
      </c>
      <c r="AI118" s="756">
        <v>0.2</v>
      </c>
      <c r="AK118" s="464"/>
      <c r="AQ118" s="761"/>
      <c r="AS118" s="493" t="str">
        <f>AS97</f>
        <v>Margin new purchse</v>
      </c>
      <c r="AT118" s="756">
        <v>0.2</v>
      </c>
      <c r="AV118" s="464"/>
      <c r="BB118" s="761"/>
      <c r="BD118" s="493" t="str">
        <f>BD97</f>
        <v>Margin new purchse</v>
      </c>
      <c r="BE118" s="756">
        <v>0.2</v>
      </c>
      <c r="BG118" s="464"/>
      <c r="BM118" s="761"/>
    </row>
    <row r="119" spans="2:65">
      <c r="B119" s="493" t="s">
        <v>846</v>
      </c>
      <c r="D119" s="732">
        <f t="shared" ref="D119:J122" si="429">+D78+D84+D90+D96+D102+D108+D114</f>
        <v>4648.9288566927826</v>
      </c>
      <c r="E119" s="732">
        <f>+E78+E84+E90+E96+E102+E108+E114</f>
        <v>5405.3792879230259</v>
      </c>
      <c r="F119" s="732">
        <f ca="1">+F78+F84+F90+F96+F102+F108+F114</f>
        <v>18580.345882868332</v>
      </c>
      <c r="G119" s="732">
        <f t="shared" ca="1" si="429"/>
        <v>19576.967492573087</v>
      </c>
      <c r="H119" s="732">
        <f t="shared" ca="1" si="429"/>
        <v>25084.22451421709</v>
      </c>
      <c r="I119" s="732">
        <f t="shared" ca="1" si="429"/>
        <v>27387.4993920161</v>
      </c>
      <c r="J119" s="762">
        <f t="shared" ca="1" si="429"/>
        <v>27831.316509870372</v>
      </c>
      <c r="L119" s="493"/>
      <c r="U119" s="761"/>
      <c r="W119" s="493"/>
      <c r="AF119" s="761"/>
      <c r="AH119" s="493"/>
      <c r="AQ119" s="761"/>
      <c r="AS119" s="493"/>
      <c r="BB119" s="761"/>
      <c r="BD119" s="493"/>
      <c r="BM119" s="761"/>
    </row>
    <row r="120" spans="2:65">
      <c r="B120" s="493" t="s">
        <v>870</v>
      </c>
      <c r="D120" s="732">
        <f>+D79+D85+D91+D97+D103+D109+D115</f>
        <v>-7533.9650834292233</v>
      </c>
      <c r="E120" s="732">
        <f ca="1">+E79+E85+E91+E97+E103+E109+E115</f>
        <v>-182713.21044157376</v>
      </c>
      <c r="F120" s="732">
        <f t="shared" ca="1" si="429"/>
        <v>-89089.96799495611</v>
      </c>
      <c r="G120" s="732">
        <f t="shared" ca="1" si="429"/>
        <v>-145163.85906414979</v>
      </c>
      <c r="H120" s="732">
        <f t="shared" ca="1" si="429"/>
        <v>-173309.13726387417</v>
      </c>
      <c r="I120" s="732">
        <f t="shared" ca="1" si="429"/>
        <v>-180171.25140617366</v>
      </c>
      <c r="J120" s="762">
        <f t="shared" ca="1" si="429"/>
        <v>-183772.21413115264</v>
      </c>
      <c r="L120" s="743" t="s">
        <v>814</v>
      </c>
      <c r="O120" s="115">
        <f t="shared" ref="O120:U120" si="430">O99</f>
        <v>0</v>
      </c>
      <c r="P120" s="115">
        <f t="shared" si="430"/>
        <v>2266</v>
      </c>
      <c r="Q120" s="115">
        <f t="shared" si="430"/>
        <v>3739</v>
      </c>
      <c r="R120" s="115">
        <f t="shared" si="430"/>
        <v>4394</v>
      </c>
      <c r="S120" s="115">
        <f t="shared" si="430"/>
        <v>4416</v>
      </c>
      <c r="T120" s="115">
        <f t="shared" si="430"/>
        <v>4416</v>
      </c>
      <c r="U120" s="508">
        <f t="shared" si="430"/>
        <v>4416</v>
      </c>
      <c r="W120" s="743" t="s">
        <v>814</v>
      </c>
      <c r="Z120" s="115">
        <f t="shared" ref="Z120:AF120" si="431">Z99</f>
        <v>5267</v>
      </c>
      <c r="AA120" s="115">
        <f t="shared" si="431"/>
        <v>0</v>
      </c>
      <c r="AB120" s="115">
        <f t="shared" si="431"/>
        <v>0</v>
      </c>
      <c r="AC120" s="115">
        <f t="shared" si="431"/>
        <v>0</v>
      </c>
      <c r="AD120" s="115">
        <f t="shared" si="431"/>
        <v>0</v>
      </c>
      <c r="AE120" s="115">
        <f t="shared" si="431"/>
        <v>0</v>
      </c>
      <c r="AF120" s="508">
        <f t="shared" si="431"/>
        <v>0</v>
      </c>
      <c r="AH120" s="743" t="s">
        <v>814</v>
      </c>
      <c r="AK120" s="115">
        <f t="shared" ref="AK120:AQ120" si="432">AK99</f>
        <v>0</v>
      </c>
      <c r="AL120" s="115">
        <f t="shared" si="432"/>
        <v>57877</v>
      </c>
      <c r="AM120" s="115">
        <f t="shared" si="432"/>
        <v>0</v>
      </c>
      <c r="AN120" s="115">
        <f t="shared" si="432"/>
        <v>0</v>
      </c>
      <c r="AO120" s="115">
        <f t="shared" si="432"/>
        <v>0</v>
      </c>
      <c r="AP120" s="115">
        <f t="shared" si="432"/>
        <v>0</v>
      </c>
      <c r="AQ120" s="508">
        <f t="shared" si="432"/>
        <v>0</v>
      </c>
      <c r="AS120" s="743" t="s">
        <v>814</v>
      </c>
      <c r="AV120" s="115">
        <f t="shared" ref="AV120:BB120" si="433">AV99</f>
        <v>0</v>
      </c>
      <c r="AW120" s="115">
        <f t="shared" ca="1" si="433"/>
        <v>37500</v>
      </c>
      <c r="AX120" s="115">
        <f t="shared" ca="1" si="433"/>
        <v>41761</v>
      </c>
      <c r="AY120" s="115">
        <f t="shared" ca="1" si="433"/>
        <v>60491</v>
      </c>
      <c r="AZ120" s="115">
        <f t="shared" ca="1" si="433"/>
        <v>70328</v>
      </c>
      <c r="BA120" s="115">
        <f t="shared" ca="1" si="433"/>
        <v>70395</v>
      </c>
      <c r="BB120" s="508">
        <f t="shared" ca="1" si="433"/>
        <v>70395</v>
      </c>
      <c r="BD120" s="743" t="s">
        <v>814</v>
      </c>
      <c r="BG120" s="115">
        <f t="shared" ref="BG120:BM120" si="434">BG99</f>
        <v>0</v>
      </c>
      <c r="BH120" s="115">
        <f t="shared" si="434"/>
        <v>0</v>
      </c>
      <c r="BI120" s="115">
        <f t="shared" si="434"/>
        <v>0</v>
      </c>
      <c r="BJ120" s="115">
        <f t="shared" si="434"/>
        <v>5700</v>
      </c>
      <c r="BK120" s="115">
        <f t="shared" si="434"/>
        <v>7500</v>
      </c>
      <c r="BL120" s="115">
        <f t="shared" si="434"/>
        <v>8700</v>
      </c>
      <c r="BM120" s="508">
        <f t="shared" si="434"/>
        <v>8700</v>
      </c>
    </row>
    <row r="121" spans="2:65" ht="13.5" thickBot="1">
      <c r="B121" s="746" t="str">
        <f>B116</f>
        <v>purchased</v>
      </c>
      <c r="C121" s="768"/>
      <c r="D121" s="853">
        <f t="shared" si="429"/>
        <v>8290.4155146594658</v>
      </c>
      <c r="E121" s="853">
        <f t="shared" ca="1" si="429"/>
        <v>195888.1770365191</v>
      </c>
      <c r="F121" s="853">
        <f t="shared" ca="1" si="429"/>
        <v>90086.589604660869</v>
      </c>
      <c r="G121" s="853">
        <f t="shared" ca="1" si="429"/>
        <v>150671.11608579376</v>
      </c>
      <c r="H121" s="853">
        <f t="shared" ca="1" si="429"/>
        <v>175612.41214167315</v>
      </c>
      <c r="I121" s="853">
        <f t="shared" ca="1" si="429"/>
        <v>180615.06852402791</v>
      </c>
      <c r="J121" s="854">
        <f t="shared" ca="1" si="429"/>
        <v>184103.84714243532</v>
      </c>
      <c r="L121" s="493" t="s">
        <v>664</v>
      </c>
      <c r="O121" s="115">
        <v>0</v>
      </c>
      <c r="P121" s="732">
        <f t="shared" ref="P121:U121" si="435">O123</f>
        <v>0</v>
      </c>
      <c r="Q121" s="732">
        <f t="shared" si="435"/>
        <v>453</v>
      </c>
      <c r="R121" s="732">
        <f t="shared" si="435"/>
        <v>657</v>
      </c>
      <c r="S121" s="732">
        <f t="shared" si="435"/>
        <v>747</v>
      </c>
      <c r="T121" s="732">
        <f t="shared" si="435"/>
        <v>734</v>
      </c>
      <c r="U121" s="762">
        <f t="shared" si="435"/>
        <v>736</v>
      </c>
      <c r="W121" s="493" t="s">
        <v>664</v>
      </c>
      <c r="Z121" s="115">
        <v>0</v>
      </c>
      <c r="AA121" s="732">
        <f t="shared" ref="AA121:AF121" si="436">Z123</f>
        <v>1053</v>
      </c>
      <c r="AB121" s="732">
        <f t="shared" si="436"/>
        <v>1053</v>
      </c>
      <c r="AC121" s="732">
        <f t="shared" si="436"/>
        <v>1053</v>
      </c>
      <c r="AD121" s="732">
        <f t="shared" si="436"/>
        <v>1053</v>
      </c>
      <c r="AE121" s="732">
        <f t="shared" si="436"/>
        <v>1053</v>
      </c>
      <c r="AF121" s="762">
        <f t="shared" si="436"/>
        <v>1053</v>
      </c>
      <c r="AH121" s="493" t="s">
        <v>664</v>
      </c>
      <c r="AK121" s="115">
        <v>0</v>
      </c>
      <c r="AL121" s="732">
        <f t="shared" ref="AL121:AQ121" si="437">AK123</f>
        <v>0</v>
      </c>
      <c r="AM121" s="732">
        <f t="shared" si="437"/>
        <v>5788</v>
      </c>
      <c r="AN121" s="732">
        <f t="shared" si="437"/>
        <v>5788</v>
      </c>
      <c r="AO121" s="732">
        <f t="shared" si="437"/>
        <v>5788</v>
      </c>
      <c r="AP121" s="732">
        <f t="shared" si="437"/>
        <v>5788</v>
      </c>
      <c r="AQ121" s="762">
        <f t="shared" si="437"/>
        <v>5788</v>
      </c>
      <c r="AS121" s="493" t="s">
        <v>664</v>
      </c>
      <c r="AV121" s="115">
        <v>0</v>
      </c>
      <c r="AW121" s="732">
        <f t="shared" ref="AW121:BB121" si="438">AV123</f>
        <v>0</v>
      </c>
      <c r="AX121" s="732">
        <f t="shared" ca="1" si="438"/>
        <v>7500</v>
      </c>
      <c r="AY121" s="732">
        <f t="shared" ca="1" si="438"/>
        <v>6852</v>
      </c>
      <c r="AZ121" s="732">
        <f t="shared" ca="1" si="438"/>
        <v>10728</v>
      </c>
      <c r="BA121" s="732">
        <f t="shared" ca="1" si="438"/>
        <v>11920</v>
      </c>
      <c r="BB121" s="762">
        <f t="shared" ca="1" si="438"/>
        <v>11695</v>
      </c>
      <c r="BD121" s="493" t="s">
        <v>664</v>
      </c>
      <c r="BG121" s="115">
        <v>0</v>
      </c>
      <c r="BH121" s="732">
        <f t="shared" ref="BH121:BM121" si="439">BG123</f>
        <v>0</v>
      </c>
      <c r="BI121" s="732">
        <f t="shared" si="439"/>
        <v>0</v>
      </c>
      <c r="BJ121" s="732">
        <f t="shared" si="439"/>
        <v>0</v>
      </c>
      <c r="BK121" s="732">
        <f t="shared" si="439"/>
        <v>1140</v>
      </c>
      <c r="BL121" s="732">
        <f t="shared" si="439"/>
        <v>1272</v>
      </c>
      <c r="BM121" s="762">
        <f t="shared" si="439"/>
        <v>1486</v>
      </c>
    </row>
    <row r="122" spans="2:65" ht="13.5" thickBot="1">
      <c r="B122" s="774" t="str">
        <f>B117</f>
        <v>end</v>
      </c>
      <c r="C122" s="768"/>
      <c r="D122" s="798">
        <f>+D81+D87+D93+D99+D105+D111+D117</f>
        <v>5405.3792879230259</v>
      </c>
      <c r="E122" s="798">
        <f ca="1">+E81+E87+E93+E99+E105+E111+E117</f>
        <v>18580.345882868332</v>
      </c>
      <c r="F122" s="798">
        <f t="shared" ca="1" si="429"/>
        <v>19576.967492573087</v>
      </c>
      <c r="G122" s="798">
        <f t="shared" ca="1" si="429"/>
        <v>25084.22451421709</v>
      </c>
      <c r="H122" s="798">
        <f t="shared" ca="1" si="429"/>
        <v>27387.4993920161</v>
      </c>
      <c r="I122" s="798">
        <f t="shared" ca="1" si="429"/>
        <v>27831.316509870372</v>
      </c>
      <c r="J122" s="799">
        <f t="shared" ca="1" si="429"/>
        <v>28162.949521153052</v>
      </c>
      <c r="L122" s="493" t="s">
        <v>615</v>
      </c>
      <c r="O122" s="114">
        <f>ROUND(IF(O121-O120&lt;0,-(O121-O120)*(1+$M$118)),0)</f>
        <v>0</v>
      </c>
      <c r="P122" s="114">
        <f t="shared" ref="P122:U122" si="440">ROUND(IF(P121-P120&lt;0,-(P121-P120)*(1+$M$118)),0)</f>
        <v>2719</v>
      </c>
      <c r="Q122" s="114">
        <f t="shared" si="440"/>
        <v>3943</v>
      </c>
      <c r="R122" s="114">
        <f t="shared" si="440"/>
        <v>4484</v>
      </c>
      <c r="S122" s="114">
        <f t="shared" si="440"/>
        <v>4403</v>
      </c>
      <c r="T122" s="114">
        <f t="shared" si="440"/>
        <v>4418</v>
      </c>
      <c r="U122" s="561">
        <f t="shared" si="440"/>
        <v>4416</v>
      </c>
      <c r="W122" s="493" t="s">
        <v>615</v>
      </c>
      <c r="Z122" s="114">
        <f t="shared" ref="Z122:AF122" si="441">ROUND(IF(Z121-Z120&lt;0,-(Z121-Z120)*(1+$X$118)),0)</f>
        <v>6320</v>
      </c>
      <c r="AA122" s="114">
        <f t="shared" si="441"/>
        <v>0</v>
      </c>
      <c r="AB122" s="114">
        <f t="shared" si="441"/>
        <v>0</v>
      </c>
      <c r="AC122" s="114">
        <f t="shared" si="441"/>
        <v>0</v>
      </c>
      <c r="AD122" s="114">
        <f t="shared" si="441"/>
        <v>0</v>
      </c>
      <c r="AE122" s="114">
        <f t="shared" si="441"/>
        <v>0</v>
      </c>
      <c r="AF122" s="561">
        <f t="shared" si="441"/>
        <v>0</v>
      </c>
      <c r="AH122" s="493" t="s">
        <v>615</v>
      </c>
      <c r="AK122" s="114">
        <f>ROUND(IF(AK121-AK120&lt;0,-(AK121-AK120)*(1+$AI$118)),0)</f>
        <v>0</v>
      </c>
      <c r="AL122" s="114">
        <f t="shared" ref="AL122:AQ122" si="442">ROUND(IF(AL121-AL120&lt;0,-(AL121-AL120)*(1+$M$76)),0)</f>
        <v>63665</v>
      </c>
      <c r="AM122" s="114">
        <f t="shared" si="442"/>
        <v>0</v>
      </c>
      <c r="AN122" s="114">
        <f t="shared" si="442"/>
        <v>0</v>
      </c>
      <c r="AO122" s="114">
        <f t="shared" si="442"/>
        <v>0</v>
      </c>
      <c r="AP122" s="114">
        <f t="shared" si="442"/>
        <v>0</v>
      </c>
      <c r="AQ122" s="561">
        <f t="shared" si="442"/>
        <v>0</v>
      </c>
      <c r="AS122" s="493" t="s">
        <v>615</v>
      </c>
      <c r="AV122" s="114">
        <f>ROUND(IF(AV121-AV120&lt;0,-(AV121-AV120)*(1+$AT$118)),0)</f>
        <v>0</v>
      </c>
      <c r="AW122" s="114">
        <f t="shared" ref="AW122:BB122" ca="1" si="443">ROUND(IF(AW121-AW120&lt;0,-(AW121-AW120)*(1+$AT$118)),0)</f>
        <v>45000</v>
      </c>
      <c r="AX122" s="114">
        <f t="shared" ca="1" si="443"/>
        <v>41113</v>
      </c>
      <c r="AY122" s="114">
        <f t="shared" ca="1" si="443"/>
        <v>64367</v>
      </c>
      <c r="AZ122" s="114">
        <f t="shared" ca="1" si="443"/>
        <v>71520</v>
      </c>
      <c r="BA122" s="114">
        <f t="shared" ca="1" si="443"/>
        <v>70170</v>
      </c>
      <c r="BB122" s="561">
        <f t="shared" ca="1" si="443"/>
        <v>70440</v>
      </c>
      <c r="BD122" s="493" t="s">
        <v>615</v>
      </c>
      <c r="BG122" s="114">
        <f>ROUND(IF(BG121-BG120&lt;0,-(BG121-BG120)*(1+$BE$118)),0)</f>
        <v>0</v>
      </c>
      <c r="BH122" s="114">
        <f t="shared" ref="BH122:BM122" si="444">ROUND(IF(BH121-BH120&lt;0,-(BH121-BH120)*(1+$BE$118)),0)</f>
        <v>0</v>
      </c>
      <c r="BI122" s="114">
        <f t="shared" si="444"/>
        <v>0</v>
      </c>
      <c r="BJ122" s="114">
        <f t="shared" si="444"/>
        <v>6840</v>
      </c>
      <c r="BK122" s="114">
        <f t="shared" si="444"/>
        <v>7632</v>
      </c>
      <c r="BL122" s="114">
        <f t="shared" si="444"/>
        <v>8914</v>
      </c>
      <c r="BM122" s="561">
        <f t="shared" si="444"/>
        <v>8657</v>
      </c>
    </row>
    <row r="123" spans="2:65">
      <c r="L123" s="493" t="s">
        <v>816</v>
      </c>
      <c r="O123" s="734">
        <f t="shared" ref="O123:U123" si="445">O121+O122-O120</f>
        <v>0</v>
      </c>
      <c r="P123" s="734">
        <f t="shared" si="445"/>
        <v>453</v>
      </c>
      <c r="Q123" s="734">
        <f t="shared" si="445"/>
        <v>657</v>
      </c>
      <c r="R123" s="734">
        <f t="shared" si="445"/>
        <v>747</v>
      </c>
      <c r="S123" s="734">
        <f t="shared" si="445"/>
        <v>734</v>
      </c>
      <c r="T123" s="734">
        <f t="shared" si="445"/>
        <v>736</v>
      </c>
      <c r="U123" s="763">
        <f t="shared" si="445"/>
        <v>736</v>
      </c>
      <c r="W123" s="493" t="s">
        <v>816</v>
      </c>
      <c r="Z123" s="734">
        <f t="shared" ref="Z123:AF123" si="446">Z121+Z122-Z120</f>
        <v>1053</v>
      </c>
      <c r="AA123" s="734">
        <f t="shared" si="446"/>
        <v>1053</v>
      </c>
      <c r="AB123" s="734">
        <f t="shared" si="446"/>
        <v>1053</v>
      </c>
      <c r="AC123" s="734">
        <f t="shared" si="446"/>
        <v>1053</v>
      </c>
      <c r="AD123" s="734">
        <f t="shared" si="446"/>
        <v>1053</v>
      </c>
      <c r="AE123" s="734">
        <f t="shared" si="446"/>
        <v>1053</v>
      </c>
      <c r="AF123" s="763">
        <f t="shared" si="446"/>
        <v>1053</v>
      </c>
      <c r="AH123" s="493" t="s">
        <v>816</v>
      </c>
      <c r="AK123" s="734">
        <f t="shared" ref="AK123:AQ123" si="447">AK121+AK122-AK120</f>
        <v>0</v>
      </c>
      <c r="AL123" s="734">
        <f t="shared" si="447"/>
        <v>5788</v>
      </c>
      <c r="AM123" s="734">
        <f t="shared" si="447"/>
        <v>5788</v>
      </c>
      <c r="AN123" s="734">
        <f t="shared" si="447"/>
        <v>5788</v>
      </c>
      <c r="AO123" s="734">
        <f t="shared" si="447"/>
        <v>5788</v>
      </c>
      <c r="AP123" s="734">
        <f t="shared" si="447"/>
        <v>5788</v>
      </c>
      <c r="AQ123" s="763">
        <f t="shared" si="447"/>
        <v>5788</v>
      </c>
      <c r="AS123" s="493" t="s">
        <v>816</v>
      </c>
      <c r="AV123" s="734">
        <f t="shared" ref="AV123:BB123" si="448">AV121+AV122-AV120</f>
        <v>0</v>
      </c>
      <c r="AW123" s="734">
        <f t="shared" ca="1" si="448"/>
        <v>7500</v>
      </c>
      <c r="AX123" s="734">
        <f t="shared" ca="1" si="448"/>
        <v>6852</v>
      </c>
      <c r="AY123" s="734">
        <f t="shared" ca="1" si="448"/>
        <v>10728</v>
      </c>
      <c r="AZ123" s="734">
        <f t="shared" ca="1" si="448"/>
        <v>11920</v>
      </c>
      <c r="BA123" s="734">
        <f t="shared" ca="1" si="448"/>
        <v>11695</v>
      </c>
      <c r="BB123" s="763">
        <f t="shared" ca="1" si="448"/>
        <v>11740</v>
      </c>
      <c r="BD123" s="493" t="s">
        <v>816</v>
      </c>
      <c r="BG123" s="734">
        <f t="shared" ref="BG123:BM123" si="449">BG121+BG122-BG120</f>
        <v>0</v>
      </c>
      <c r="BH123" s="734">
        <f t="shared" si="449"/>
        <v>0</v>
      </c>
      <c r="BI123" s="734">
        <f t="shared" si="449"/>
        <v>0</v>
      </c>
      <c r="BJ123" s="734">
        <f t="shared" si="449"/>
        <v>1140</v>
      </c>
      <c r="BK123" s="734">
        <f t="shared" si="449"/>
        <v>1272</v>
      </c>
      <c r="BL123" s="734">
        <f t="shared" si="449"/>
        <v>1486</v>
      </c>
      <c r="BM123" s="763">
        <f t="shared" si="449"/>
        <v>1443</v>
      </c>
    </row>
    <row r="124" spans="2:65">
      <c r="D124" s="732"/>
      <c r="E124" s="732"/>
      <c r="F124" s="738"/>
      <c r="G124" s="738"/>
      <c r="H124" s="738"/>
      <c r="I124" s="738"/>
      <c r="J124" s="738"/>
      <c r="L124" s="493"/>
      <c r="U124" s="761"/>
      <c r="W124" s="493"/>
      <c r="AF124" s="761"/>
      <c r="AH124" s="493"/>
      <c r="AQ124" s="761"/>
      <c r="AS124" s="493"/>
      <c r="BB124" s="761"/>
      <c r="BD124" s="493"/>
      <c r="BM124" s="761"/>
    </row>
    <row r="125" spans="2:65">
      <c r="D125" s="732"/>
      <c r="E125" s="732"/>
      <c r="F125" s="732"/>
      <c r="G125" s="732"/>
      <c r="H125" s="732"/>
      <c r="I125" s="732"/>
      <c r="J125" s="732"/>
      <c r="L125" s="493" t="s">
        <v>312</v>
      </c>
      <c r="O125" s="757">
        <f>IF(O122&gt;0,$C$10*Opex!D29,O136)</f>
        <v>1.3995496208770702E-2</v>
      </c>
      <c r="P125" s="757">
        <f>IF(P122&gt;0,$C$10*Opex!E29,P136)</f>
        <v>1.5195120166305479E-2</v>
      </c>
      <c r="Q125" s="757">
        <f>IF(Q122&gt;0,$C$10*Opex!F29,Q136)</f>
        <v>1.5499022569631588E-2</v>
      </c>
      <c r="R125" s="757">
        <f>IF(R122&gt;0,$C$10*Opex!G29,R136)</f>
        <v>1.5809003021024219E-2</v>
      </c>
      <c r="S125" s="757">
        <f>IF(S122&gt;0,$C$10*Opex!H29,S136)</f>
        <v>1.6125183081444703E-2</v>
      </c>
      <c r="T125" s="757">
        <f>IF(T122&gt;0,$C$10*Opex!I29,T136)</f>
        <v>1.6447686743073595E-2</v>
      </c>
      <c r="U125" s="764">
        <f>IF(U122&gt;0,$C$10*Opex!J29,U136)</f>
        <v>1.6776640477935069E-2</v>
      </c>
      <c r="W125" s="493" t="s">
        <v>312</v>
      </c>
      <c r="Z125" s="757">
        <f>IF(Z122&gt;0,$D$10*Opex!D29,Z136)</f>
        <v>1.4681275523000465E-2</v>
      </c>
      <c r="AA125" s="757">
        <f>IF(AA122&gt;0,$D$10*Opex!E29,AA136)</f>
        <v>1.4681275523000465E-2</v>
      </c>
      <c r="AB125" s="757">
        <f>IF(AB122&gt;0,$D$10*Opex!F29,AB136)</f>
        <v>1.4681275523000465E-2</v>
      </c>
      <c r="AC125" s="757">
        <f>IF(AC122&gt;0,$D$10*Opex!G29,AC136)</f>
        <v>1.4681275523000465E-2</v>
      </c>
      <c r="AD125" s="757">
        <f>IF(AD122&gt;0,$D$10*Opex!H29,AD136)</f>
        <v>1.4681275523000465E-2</v>
      </c>
      <c r="AE125" s="757">
        <f>IF(AE122&gt;0,$D$10*Opex!I29,AE136)</f>
        <v>1.4681275523000465E-2</v>
      </c>
      <c r="AF125" s="764">
        <f>IF(AF122&gt;0,$D$10*Opex!J29,AF136)</f>
        <v>1.4681275523000465E-2</v>
      </c>
      <c r="AH125" s="493" t="s">
        <v>312</v>
      </c>
      <c r="AK125" s="757">
        <f>IF(AK122&gt;0,$E$10*Opex!D29,AK136)</f>
        <v>7.7603769397135737E-3</v>
      </c>
      <c r="AL125" s="757">
        <f>IF(AL122&gt;0,$E$10*Opex!E29,AL136)</f>
        <v>8.4255576491011203E-3</v>
      </c>
      <c r="AM125" s="757">
        <f>IF(AM122&gt;0,$E$10*Opex!F29,AM136)</f>
        <v>8.4255576491011203E-3</v>
      </c>
      <c r="AN125" s="757">
        <f>IF(AN122&gt;0,$E$10*Opex!G29,AN136)</f>
        <v>8.4255576491011203E-3</v>
      </c>
      <c r="AO125" s="757">
        <f>IF(AO122&gt;0,$E$10*Opex!H29,AO136)</f>
        <v>8.4255576491011203E-3</v>
      </c>
      <c r="AP125" s="757">
        <f>IF(AP122&gt;0,$E$10*Opex!I29,AP136)</f>
        <v>8.4255576491011203E-3</v>
      </c>
      <c r="AQ125" s="764">
        <f>IF(AQ122&gt;0,$E$10*Opex!J29,AQ136)</f>
        <v>8.4255576491011203E-3</v>
      </c>
      <c r="AS125" s="493" t="s">
        <v>312</v>
      </c>
      <c r="AV125" s="757">
        <f>IF(AV122&gt;0,$F$10*Opex!D29,AV136)</f>
        <v>9.3118936252128259E-3</v>
      </c>
      <c r="AW125" s="757">
        <f ca="1">IF(AW122&gt;0,$F$10*Opex!E29,AW136)</f>
        <v>1.0110062587297941E-2</v>
      </c>
      <c r="AX125" s="757">
        <f ca="1">IF(AX122&gt;0,$F$10*Opex!F29,AX136)</f>
        <v>1.0312263839043899E-2</v>
      </c>
      <c r="AY125" s="757">
        <f ca="1">IF(AY122&gt;0,$F$10*Opex!G29,AY136)</f>
        <v>1.0518509115824777E-2</v>
      </c>
      <c r="AZ125" s="757">
        <f ca="1">IF(AZ122&gt;0,$F$10*Opex!H29,AZ136)</f>
        <v>1.0728879298141272E-2</v>
      </c>
      <c r="BA125" s="757">
        <f ca="1">IF(BA122&gt;0,$F$10*Opex!I29,BA136)</f>
        <v>1.0943456884104098E-2</v>
      </c>
      <c r="BB125" s="764">
        <f ca="1">IF(BB122&gt;0,$F$10*Opex!J29,BB136)</f>
        <v>1.1162326021786179E-2</v>
      </c>
      <c r="BD125" s="493" t="s">
        <v>312</v>
      </c>
      <c r="BG125" s="757">
        <f>IF(BG122&gt;0,$G$10*Opex!D29,BG136)</f>
        <v>1.8623228547982189E-2</v>
      </c>
      <c r="BH125" s="757">
        <f>IF(BH122&gt;0,$G$10*Opex!E29,BH136)</f>
        <v>1.8623228547982189E-2</v>
      </c>
      <c r="BI125" s="757">
        <f>IF(BI122&gt;0,$G$10*Opex!F29,BI136)</f>
        <v>1.8623228547982189E-2</v>
      </c>
      <c r="BJ125" s="757">
        <f>IF(BJ122&gt;0,$G$10*Opex!G29,BJ136)</f>
        <v>2.1036387133724563E-2</v>
      </c>
      <c r="BK125" s="757">
        <f>IF(BK122&gt;0,$G$10*Opex!H29,BK136)</f>
        <v>2.1457114876399057E-2</v>
      </c>
      <c r="BL125" s="757">
        <f>IF(BL122&gt;0,$G$10*Opex!I29,BL136)</f>
        <v>2.1886257173927035E-2</v>
      </c>
      <c r="BM125" s="764">
        <f>IF(BM122&gt;0,$G$10*Opex!J29,BM136)</f>
        <v>2.2323982317405577E-2</v>
      </c>
    </row>
    <row r="126" spans="2:65">
      <c r="D126" s="732"/>
      <c r="L126" s="743" t="s">
        <v>85</v>
      </c>
      <c r="O126" s="562">
        <f t="shared" ref="O126:U126" si="450">O122*O125</f>
        <v>0</v>
      </c>
      <c r="P126" s="562">
        <f t="shared" si="450"/>
        <v>41.315531732184596</v>
      </c>
      <c r="Q126" s="562">
        <f t="shared" si="450"/>
        <v>61.112645992057352</v>
      </c>
      <c r="R126" s="562">
        <f t="shared" si="450"/>
        <v>70.887569546272601</v>
      </c>
      <c r="S126" s="562">
        <f t="shared" si="450"/>
        <v>70.999181107601032</v>
      </c>
      <c r="T126" s="562">
        <f t="shared" si="450"/>
        <v>72.665880030899146</v>
      </c>
      <c r="U126" s="563">
        <f t="shared" si="450"/>
        <v>74.085644350561267</v>
      </c>
      <c r="W126" s="743" t="s">
        <v>85</v>
      </c>
      <c r="Z126" s="562">
        <f t="shared" ref="Z126:AF126" si="451">Z122*Z125</f>
        <v>92.785661305362936</v>
      </c>
      <c r="AA126" s="562">
        <f t="shared" si="451"/>
        <v>0</v>
      </c>
      <c r="AB126" s="562">
        <f t="shared" si="451"/>
        <v>0</v>
      </c>
      <c r="AC126" s="562">
        <f t="shared" si="451"/>
        <v>0</v>
      </c>
      <c r="AD126" s="562">
        <f t="shared" si="451"/>
        <v>0</v>
      </c>
      <c r="AE126" s="562">
        <f t="shared" si="451"/>
        <v>0</v>
      </c>
      <c r="AF126" s="563">
        <f t="shared" si="451"/>
        <v>0</v>
      </c>
      <c r="AH126" s="743" t="s">
        <v>85</v>
      </c>
      <c r="AK126" s="562">
        <f t="shared" ref="AK126:AQ126" si="452">AK122*AK125</f>
        <v>0</v>
      </c>
      <c r="AL126" s="562">
        <f t="shared" si="452"/>
        <v>536.41312773002278</v>
      </c>
      <c r="AM126" s="562">
        <f t="shared" si="452"/>
        <v>0</v>
      </c>
      <c r="AN126" s="562">
        <f t="shared" si="452"/>
        <v>0</v>
      </c>
      <c r="AO126" s="562">
        <f t="shared" si="452"/>
        <v>0</v>
      </c>
      <c r="AP126" s="562">
        <f t="shared" si="452"/>
        <v>0</v>
      </c>
      <c r="AQ126" s="563">
        <f t="shared" si="452"/>
        <v>0</v>
      </c>
      <c r="AS126" s="743" t="s">
        <v>85</v>
      </c>
      <c r="AV126" s="562">
        <f t="shared" ref="AV126:BB126" si="453">AV122*AV125</f>
        <v>0</v>
      </c>
      <c r="AW126" s="562">
        <f t="shared" ca="1" si="453"/>
        <v>454.95281642840735</v>
      </c>
      <c r="AX126" s="562">
        <f t="shared" ca="1" si="453"/>
        <v>423.9681032146118</v>
      </c>
      <c r="AY126" s="562">
        <f t="shared" ca="1" si="453"/>
        <v>677.04487625829347</v>
      </c>
      <c r="AZ126" s="562">
        <f t="shared" ca="1" si="453"/>
        <v>767.3294474030638</v>
      </c>
      <c r="BA126" s="562">
        <f t="shared" ca="1" si="453"/>
        <v>767.90236955758451</v>
      </c>
      <c r="BB126" s="563">
        <f t="shared" ca="1" si="453"/>
        <v>786.27424497461845</v>
      </c>
      <c r="BD126" s="743" t="s">
        <v>85</v>
      </c>
      <c r="BG126" s="562">
        <f t="shared" ref="BG126:BM126" si="454">BG122*BG125</f>
        <v>0</v>
      </c>
      <c r="BH126" s="562">
        <f t="shared" si="454"/>
        <v>0</v>
      </c>
      <c r="BI126" s="562">
        <f t="shared" si="454"/>
        <v>0</v>
      </c>
      <c r="BJ126" s="562">
        <f t="shared" si="454"/>
        <v>143.888887994676</v>
      </c>
      <c r="BK126" s="562">
        <f t="shared" si="454"/>
        <v>163.76070073667759</v>
      </c>
      <c r="BL126" s="562">
        <f t="shared" si="454"/>
        <v>195.09409644838559</v>
      </c>
      <c r="BM126" s="563">
        <f t="shared" si="454"/>
        <v>193.25871492178007</v>
      </c>
    </row>
    <row r="127" spans="2:65">
      <c r="L127" s="743"/>
      <c r="O127" s="562"/>
      <c r="P127" s="562"/>
      <c r="Q127" s="562"/>
      <c r="R127" s="562"/>
      <c r="S127" s="562"/>
      <c r="T127" s="562"/>
      <c r="U127" s="563"/>
      <c r="W127" s="743"/>
      <c r="Z127" s="562"/>
      <c r="AA127" s="562"/>
      <c r="AB127" s="562"/>
      <c r="AC127" s="562"/>
      <c r="AD127" s="562"/>
      <c r="AE127" s="562"/>
      <c r="AF127" s="563"/>
      <c r="AH127" s="743"/>
      <c r="AK127" s="562"/>
      <c r="AL127" s="562"/>
      <c r="AM127" s="562"/>
      <c r="AN127" s="562"/>
      <c r="AO127" s="562"/>
      <c r="AP127" s="562"/>
      <c r="AQ127" s="563"/>
      <c r="AS127" s="743"/>
      <c r="AV127" s="562"/>
      <c r="AW127" s="562"/>
      <c r="AX127" s="562"/>
      <c r="AY127" s="562"/>
      <c r="AZ127" s="562"/>
      <c r="BA127" s="562"/>
      <c r="BB127" s="563"/>
      <c r="BD127" s="743"/>
      <c r="BG127" s="562"/>
      <c r="BH127" s="562"/>
      <c r="BI127" s="562"/>
      <c r="BJ127" s="562"/>
      <c r="BK127" s="562"/>
      <c r="BL127" s="562"/>
      <c r="BM127" s="563"/>
    </row>
    <row r="128" spans="2:65">
      <c r="L128" s="493" t="s">
        <v>880</v>
      </c>
      <c r="O128" s="732">
        <f>O125*O121</f>
        <v>0</v>
      </c>
      <c r="P128" s="732">
        <f t="shared" ref="P128:U128" si="455">O131</f>
        <v>0</v>
      </c>
      <c r="Q128" s="732">
        <f t="shared" si="455"/>
        <v>6.8833894353363823</v>
      </c>
      <c r="R128" s="732">
        <f t="shared" si="455"/>
        <v>10.182857828247954</v>
      </c>
      <c r="S128" s="732">
        <f t="shared" si="455"/>
        <v>11.809325256705092</v>
      </c>
      <c r="T128" s="732">
        <f t="shared" si="455"/>
        <v>11.835884381780412</v>
      </c>
      <c r="U128" s="762">
        <f t="shared" si="455"/>
        <v>12.105497442902166</v>
      </c>
      <c r="W128" s="493" t="s">
        <v>880</v>
      </c>
      <c r="Z128" s="732">
        <f>Z125*Z121</f>
        <v>0</v>
      </c>
      <c r="AA128" s="732">
        <f t="shared" ref="AA128:AF128" si="456">Z131</f>
        <v>15.459383125719489</v>
      </c>
      <c r="AB128" s="732">
        <f t="shared" si="456"/>
        <v>15.459383125719489</v>
      </c>
      <c r="AC128" s="732">
        <f t="shared" si="456"/>
        <v>15.459383125719489</v>
      </c>
      <c r="AD128" s="732">
        <f t="shared" si="456"/>
        <v>15.459383125719489</v>
      </c>
      <c r="AE128" s="732">
        <f t="shared" si="456"/>
        <v>15.459383125719489</v>
      </c>
      <c r="AF128" s="762">
        <f t="shared" si="456"/>
        <v>15.459383125719489</v>
      </c>
      <c r="AG128" s="731"/>
      <c r="AH128" s="493" t="s">
        <v>880</v>
      </c>
      <c r="AK128" s="732">
        <f>AK125*AK121</f>
        <v>0</v>
      </c>
      <c r="AL128" s="732">
        <f t="shared" ref="AL128:AQ128" si="457">AK131</f>
        <v>0</v>
      </c>
      <c r="AM128" s="732">
        <f t="shared" si="457"/>
        <v>48.767127672997283</v>
      </c>
      <c r="AN128" s="732">
        <f t="shared" si="457"/>
        <v>48.767127672997283</v>
      </c>
      <c r="AO128" s="732">
        <f t="shared" si="457"/>
        <v>48.767127672997283</v>
      </c>
      <c r="AP128" s="732">
        <f t="shared" si="457"/>
        <v>48.767127672997283</v>
      </c>
      <c r="AQ128" s="762">
        <f t="shared" si="457"/>
        <v>48.767127672997283</v>
      </c>
      <c r="AR128" s="731"/>
      <c r="AS128" s="493" t="s">
        <v>880</v>
      </c>
      <c r="AV128" s="732">
        <f>AV125*AV121</f>
        <v>0</v>
      </c>
      <c r="AW128" s="732">
        <f t="shared" ref="AW128:BB128" si="458">AV131</f>
        <v>0</v>
      </c>
      <c r="AX128" s="732">
        <f t="shared" ca="1" si="458"/>
        <v>75.825469404734562</v>
      </c>
      <c r="AY128" s="732">
        <f t="shared" ca="1" si="458"/>
        <v>70.659631825128798</v>
      </c>
      <c r="AZ128" s="732">
        <f t="shared" ca="1" si="458"/>
        <v>112.84256579456822</v>
      </c>
      <c r="BA128" s="732">
        <f t="shared" ca="1" si="458"/>
        <v>127.88824123384397</v>
      </c>
      <c r="BB128" s="762">
        <f t="shared" ca="1" si="458"/>
        <v>127.98372825959743</v>
      </c>
      <c r="BD128" s="493" t="s">
        <v>880</v>
      </c>
      <c r="BG128" s="732">
        <f>BG125*BG121</f>
        <v>0</v>
      </c>
      <c r="BH128" s="732">
        <f t="shared" ref="BH128:BM128" si="459">BG131</f>
        <v>0</v>
      </c>
      <c r="BI128" s="732">
        <f t="shared" si="459"/>
        <v>0</v>
      </c>
      <c r="BJ128" s="732">
        <f t="shared" si="459"/>
        <v>0</v>
      </c>
      <c r="BK128" s="732">
        <f t="shared" si="459"/>
        <v>23.981481332446002</v>
      </c>
      <c r="BL128" s="732">
        <f t="shared" si="459"/>
        <v>27.2934501227796</v>
      </c>
      <c r="BM128" s="762">
        <f t="shared" si="459"/>
        <v>32.522978160455573</v>
      </c>
    </row>
    <row r="129" spans="12:65">
      <c r="L129" s="493" t="s">
        <v>877</v>
      </c>
      <c r="O129" s="115">
        <f t="shared" ref="O129:U129" si="460">-(O130+O128-O131)</f>
        <v>0</v>
      </c>
      <c r="P129" s="115">
        <f t="shared" si="460"/>
        <v>-34.432142296848212</v>
      </c>
      <c r="Q129" s="115">
        <f t="shared" si="460"/>
        <v>-57.813177599145781</v>
      </c>
      <c r="R129" s="115">
        <f t="shared" si="460"/>
        <v>-69.261102117815469</v>
      </c>
      <c r="S129" s="115">
        <f t="shared" si="460"/>
        <v>-70.972621982525709</v>
      </c>
      <c r="T129" s="115">
        <f t="shared" si="460"/>
        <v>-72.3962669697774</v>
      </c>
      <c r="U129" s="508">
        <f t="shared" si="460"/>
        <v>-73.843534401703224</v>
      </c>
      <c r="W129" s="493" t="s">
        <v>877</v>
      </c>
      <c r="Z129" s="115">
        <f t="shared" ref="Z129:AF129" si="461">-(Z130+Z128-Z131)</f>
        <v>-77.326278179643452</v>
      </c>
      <c r="AA129" s="115">
        <f t="shared" si="461"/>
        <v>0</v>
      </c>
      <c r="AB129" s="115">
        <f t="shared" si="461"/>
        <v>0</v>
      </c>
      <c r="AC129" s="115">
        <f t="shared" si="461"/>
        <v>0</v>
      </c>
      <c r="AD129" s="115">
        <f t="shared" si="461"/>
        <v>0</v>
      </c>
      <c r="AE129" s="115">
        <f t="shared" si="461"/>
        <v>0</v>
      </c>
      <c r="AF129" s="508">
        <f t="shared" si="461"/>
        <v>0</v>
      </c>
      <c r="AG129" s="731"/>
      <c r="AH129" s="493" t="s">
        <v>877</v>
      </c>
      <c r="AK129" s="115">
        <f t="shared" ref="AK129:AQ129" si="462">-(AK130+AK128-AK131)</f>
        <v>0</v>
      </c>
      <c r="AL129" s="115">
        <f t="shared" si="462"/>
        <v>-487.6460000570255</v>
      </c>
      <c r="AM129" s="115">
        <f t="shared" si="462"/>
        <v>0</v>
      </c>
      <c r="AN129" s="115">
        <f t="shared" si="462"/>
        <v>0</v>
      </c>
      <c r="AO129" s="115">
        <f t="shared" si="462"/>
        <v>0</v>
      </c>
      <c r="AP129" s="115">
        <f t="shared" si="462"/>
        <v>0</v>
      </c>
      <c r="AQ129" s="508">
        <f t="shared" si="462"/>
        <v>0</v>
      </c>
      <c r="AR129" s="731"/>
      <c r="AS129" s="493" t="s">
        <v>877</v>
      </c>
      <c r="AV129" s="115">
        <f t="shared" ref="AV129:BB129" si="463">-(AV130+AV128-AV131)</f>
        <v>0</v>
      </c>
      <c r="AW129" s="115">
        <f t="shared" ca="1" si="463"/>
        <v>-379.12734702367277</v>
      </c>
      <c r="AX129" s="115">
        <f t="shared" ca="1" si="463"/>
        <v>-429.13394079421755</v>
      </c>
      <c r="AY129" s="115">
        <f t="shared" ca="1" si="463"/>
        <v>-634.86194228885404</v>
      </c>
      <c r="AZ129" s="115">
        <f t="shared" ca="1" si="463"/>
        <v>-752.28377196378813</v>
      </c>
      <c r="BA129" s="115">
        <f t="shared" ca="1" si="463"/>
        <v>-767.80688253183098</v>
      </c>
      <c r="BB129" s="508">
        <f t="shared" ca="1" si="463"/>
        <v>-783.21226573844615</v>
      </c>
      <c r="BD129" s="493" t="s">
        <v>877</v>
      </c>
      <c r="BG129" s="115">
        <f t="shared" ref="BG129:BM129" si="464">-(BG130+BG128-BG131)</f>
        <v>0</v>
      </c>
      <c r="BH129" s="115">
        <f t="shared" si="464"/>
        <v>0</v>
      </c>
      <c r="BI129" s="115">
        <f t="shared" si="464"/>
        <v>0</v>
      </c>
      <c r="BJ129" s="115">
        <f t="shared" si="464"/>
        <v>-119.90740666222999</v>
      </c>
      <c r="BK129" s="115">
        <f t="shared" si="464"/>
        <v>-160.448731946344</v>
      </c>
      <c r="BL129" s="115">
        <f t="shared" si="464"/>
        <v>-189.86456841070961</v>
      </c>
      <c r="BM129" s="508">
        <f t="shared" si="464"/>
        <v>-193.5681865982194</v>
      </c>
    </row>
    <row r="130" spans="12:65">
      <c r="L130" s="493" t="s">
        <v>878</v>
      </c>
      <c r="O130" s="816">
        <f>O122*O125</f>
        <v>0</v>
      </c>
      <c r="P130" s="816">
        <f t="shared" ref="P130:U130" si="465">P122*P125</f>
        <v>41.315531732184596</v>
      </c>
      <c r="Q130" s="816">
        <f t="shared" si="465"/>
        <v>61.112645992057352</v>
      </c>
      <c r="R130" s="816">
        <f t="shared" si="465"/>
        <v>70.887569546272601</v>
      </c>
      <c r="S130" s="816">
        <f t="shared" si="465"/>
        <v>70.999181107601032</v>
      </c>
      <c r="T130" s="816">
        <f t="shared" si="465"/>
        <v>72.665880030899146</v>
      </c>
      <c r="U130" s="817">
        <f t="shared" si="465"/>
        <v>74.085644350561267</v>
      </c>
      <c r="W130" s="493" t="s">
        <v>878</v>
      </c>
      <c r="Z130" s="816">
        <f>Z122*Z125</f>
        <v>92.785661305362936</v>
      </c>
      <c r="AA130" s="816">
        <f t="shared" ref="AA130:AF130" si="466">AA122*AA125</f>
        <v>0</v>
      </c>
      <c r="AB130" s="816">
        <f t="shared" si="466"/>
        <v>0</v>
      </c>
      <c r="AC130" s="816">
        <f t="shared" si="466"/>
        <v>0</v>
      </c>
      <c r="AD130" s="816">
        <f t="shared" si="466"/>
        <v>0</v>
      </c>
      <c r="AE130" s="816">
        <f t="shared" si="466"/>
        <v>0</v>
      </c>
      <c r="AF130" s="817">
        <f t="shared" si="466"/>
        <v>0</v>
      </c>
      <c r="AG130" s="731"/>
      <c r="AH130" s="493" t="s">
        <v>878</v>
      </c>
      <c r="AK130" s="816">
        <f>AK122*AK125</f>
        <v>0</v>
      </c>
      <c r="AL130" s="816">
        <f t="shared" ref="AL130:AQ130" si="467">AL122*AL125</f>
        <v>536.41312773002278</v>
      </c>
      <c r="AM130" s="816">
        <f t="shared" si="467"/>
        <v>0</v>
      </c>
      <c r="AN130" s="816">
        <f t="shared" si="467"/>
        <v>0</v>
      </c>
      <c r="AO130" s="816">
        <f t="shared" si="467"/>
        <v>0</v>
      </c>
      <c r="AP130" s="816">
        <f t="shared" si="467"/>
        <v>0</v>
      </c>
      <c r="AQ130" s="817">
        <f t="shared" si="467"/>
        <v>0</v>
      </c>
      <c r="AR130" s="731"/>
      <c r="AS130" s="493" t="s">
        <v>878</v>
      </c>
      <c r="AV130" s="816">
        <f>AV122*AV125</f>
        <v>0</v>
      </c>
      <c r="AW130" s="816">
        <f t="shared" ref="AW130:BB130" ca="1" si="468">AW122*AW125</f>
        <v>454.95281642840735</v>
      </c>
      <c r="AX130" s="816">
        <f t="shared" ca="1" si="468"/>
        <v>423.9681032146118</v>
      </c>
      <c r="AY130" s="816">
        <f t="shared" ca="1" si="468"/>
        <v>677.04487625829347</v>
      </c>
      <c r="AZ130" s="816">
        <f t="shared" ca="1" si="468"/>
        <v>767.3294474030638</v>
      </c>
      <c r="BA130" s="816">
        <f t="shared" ca="1" si="468"/>
        <v>767.90236955758451</v>
      </c>
      <c r="BB130" s="817">
        <f t="shared" ca="1" si="468"/>
        <v>786.27424497461845</v>
      </c>
      <c r="BD130" s="493" t="s">
        <v>878</v>
      </c>
      <c r="BG130" s="816">
        <f>BG122*BG125</f>
        <v>0</v>
      </c>
      <c r="BH130" s="816">
        <f t="shared" ref="BH130:BM130" si="469">BH122*BH125</f>
        <v>0</v>
      </c>
      <c r="BI130" s="816">
        <f t="shared" si="469"/>
        <v>0</v>
      </c>
      <c r="BJ130" s="816">
        <f t="shared" si="469"/>
        <v>143.888887994676</v>
      </c>
      <c r="BK130" s="816">
        <f t="shared" si="469"/>
        <v>163.76070073667759</v>
      </c>
      <c r="BL130" s="816">
        <f t="shared" si="469"/>
        <v>195.09409644838559</v>
      </c>
      <c r="BM130" s="817">
        <f t="shared" si="469"/>
        <v>193.25871492178007</v>
      </c>
    </row>
    <row r="131" spans="12:65">
      <c r="L131" s="743" t="s">
        <v>879</v>
      </c>
      <c r="O131" s="732">
        <f>O137</f>
        <v>0</v>
      </c>
      <c r="P131" s="732">
        <f t="shared" ref="P131:U131" si="470">P137</f>
        <v>6.8833894353363823</v>
      </c>
      <c r="Q131" s="732">
        <f t="shared" si="470"/>
        <v>10.182857828247954</v>
      </c>
      <c r="R131" s="732">
        <f t="shared" si="470"/>
        <v>11.809325256705092</v>
      </c>
      <c r="S131" s="732">
        <f t="shared" si="470"/>
        <v>11.835884381780412</v>
      </c>
      <c r="T131" s="732">
        <f t="shared" si="470"/>
        <v>12.105497442902166</v>
      </c>
      <c r="U131" s="762">
        <f t="shared" si="470"/>
        <v>12.34760739176021</v>
      </c>
      <c r="W131" s="743" t="s">
        <v>879</v>
      </c>
      <c r="Z131" s="732">
        <f>Z137</f>
        <v>15.459383125719489</v>
      </c>
      <c r="AA131" s="732">
        <f t="shared" ref="AA131:AF131" si="471">AA137</f>
        <v>15.459383125719489</v>
      </c>
      <c r="AB131" s="732">
        <f t="shared" si="471"/>
        <v>15.459383125719489</v>
      </c>
      <c r="AC131" s="732">
        <f t="shared" si="471"/>
        <v>15.459383125719489</v>
      </c>
      <c r="AD131" s="732">
        <f t="shared" si="471"/>
        <v>15.459383125719489</v>
      </c>
      <c r="AE131" s="732">
        <f t="shared" si="471"/>
        <v>15.459383125719489</v>
      </c>
      <c r="AF131" s="762">
        <f t="shared" si="471"/>
        <v>15.459383125719489</v>
      </c>
      <c r="AG131" s="731"/>
      <c r="AH131" s="743" t="s">
        <v>879</v>
      </c>
      <c r="AK131" s="732">
        <f>AK137</f>
        <v>0</v>
      </c>
      <c r="AL131" s="732">
        <f t="shared" ref="AL131:AQ131" si="472">AL137</f>
        <v>48.767127672997283</v>
      </c>
      <c r="AM131" s="732">
        <f t="shared" si="472"/>
        <v>48.767127672997283</v>
      </c>
      <c r="AN131" s="732">
        <f t="shared" si="472"/>
        <v>48.767127672997283</v>
      </c>
      <c r="AO131" s="732">
        <f t="shared" si="472"/>
        <v>48.767127672997283</v>
      </c>
      <c r="AP131" s="732">
        <f t="shared" si="472"/>
        <v>48.767127672997283</v>
      </c>
      <c r="AQ131" s="762">
        <f t="shared" si="472"/>
        <v>48.767127672997283</v>
      </c>
      <c r="AR131" s="731"/>
      <c r="AS131" s="743" t="s">
        <v>879</v>
      </c>
      <c r="AV131" s="732">
        <f>AV137</f>
        <v>0</v>
      </c>
      <c r="AW131" s="732">
        <f t="shared" ref="AW131:BB131" ca="1" si="473">AW137</f>
        <v>75.825469404734562</v>
      </c>
      <c r="AX131" s="732">
        <f t="shared" ca="1" si="473"/>
        <v>70.659631825128798</v>
      </c>
      <c r="AY131" s="732">
        <f t="shared" ca="1" si="473"/>
        <v>112.84256579456822</v>
      </c>
      <c r="AZ131" s="732">
        <f t="shared" ca="1" si="473"/>
        <v>127.88824123384397</v>
      </c>
      <c r="BA131" s="732">
        <f t="shared" ca="1" si="473"/>
        <v>127.98372825959743</v>
      </c>
      <c r="BB131" s="762">
        <f t="shared" ca="1" si="473"/>
        <v>131.04570749576973</v>
      </c>
      <c r="BD131" s="743" t="s">
        <v>879</v>
      </c>
      <c r="BG131" s="732">
        <f>BG137</f>
        <v>0</v>
      </c>
      <c r="BH131" s="732">
        <f t="shared" ref="BH131:BM131" si="474">BH137</f>
        <v>0</v>
      </c>
      <c r="BI131" s="732">
        <f t="shared" si="474"/>
        <v>0</v>
      </c>
      <c r="BJ131" s="732">
        <f t="shared" si="474"/>
        <v>23.981481332446002</v>
      </c>
      <c r="BK131" s="732">
        <f t="shared" si="474"/>
        <v>27.2934501227796</v>
      </c>
      <c r="BL131" s="732">
        <f t="shared" si="474"/>
        <v>32.522978160455573</v>
      </c>
      <c r="BM131" s="762">
        <f t="shared" si="474"/>
        <v>32.21350648401625</v>
      </c>
    </row>
    <row r="132" spans="12:65">
      <c r="L132" s="743"/>
      <c r="O132" s="562"/>
      <c r="P132" s="562"/>
      <c r="Q132" s="562"/>
      <c r="R132" s="562"/>
      <c r="S132" s="562"/>
      <c r="T132" s="562"/>
      <c r="U132" s="563"/>
      <c r="W132" s="743"/>
      <c r="Z132" s="562"/>
      <c r="AA132" s="562"/>
      <c r="AB132" s="562"/>
      <c r="AC132" s="562"/>
      <c r="AD132" s="562"/>
      <c r="AE132" s="562"/>
      <c r="AF132" s="563"/>
      <c r="AH132" s="743"/>
      <c r="AK132" s="562"/>
      <c r="AL132" s="562"/>
      <c r="AM132" s="562"/>
      <c r="AN132" s="562"/>
      <c r="AO132" s="562"/>
      <c r="AP132" s="562"/>
      <c r="AQ132" s="563"/>
      <c r="AS132" s="743"/>
      <c r="AV132" s="562"/>
      <c r="AW132" s="562"/>
      <c r="AX132" s="562"/>
      <c r="AY132" s="562"/>
      <c r="AZ132" s="562"/>
      <c r="BA132" s="562"/>
      <c r="BB132" s="563"/>
      <c r="BD132" s="743"/>
      <c r="BG132" s="562"/>
      <c r="BH132" s="562"/>
      <c r="BI132" s="562"/>
      <c r="BJ132" s="562"/>
      <c r="BK132" s="562"/>
      <c r="BL132" s="562"/>
      <c r="BM132" s="563"/>
    </row>
    <row r="133" spans="12:65">
      <c r="L133" s="493" t="str">
        <f>L112</f>
        <v>Costs production</v>
      </c>
      <c r="O133" s="115">
        <f>-O129</f>
        <v>0</v>
      </c>
      <c r="P133" s="115">
        <f t="shared" ref="P133:U133" si="475">-P129</f>
        <v>34.432142296848212</v>
      </c>
      <c r="Q133" s="115">
        <f t="shared" si="475"/>
        <v>57.813177599145781</v>
      </c>
      <c r="R133" s="115">
        <f t="shared" si="475"/>
        <v>69.261102117815469</v>
      </c>
      <c r="S133" s="115">
        <f t="shared" si="475"/>
        <v>70.972621982525709</v>
      </c>
      <c r="T133" s="115">
        <f t="shared" si="475"/>
        <v>72.3962669697774</v>
      </c>
      <c r="U133" s="508">
        <f t="shared" si="475"/>
        <v>73.843534401703224</v>
      </c>
      <c r="W133" s="493" t="str">
        <f>W112</f>
        <v>Costs production</v>
      </c>
      <c r="Z133" s="115">
        <f>-Z129</f>
        <v>77.326278179643452</v>
      </c>
      <c r="AA133" s="115">
        <f t="shared" ref="AA133:AF133" si="476">-AA129</f>
        <v>0</v>
      </c>
      <c r="AB133" s="115">
        <f t="shared" si="476"/>
        <v>0</v>
      </c>
      <c r="AC133" s="115">
        <f t="shared" si="476"/>
        <v>0</v>
      </c>
      <c r="AD133" s="115">
        <f t="shared" si="476"/>
        <v>0</v>
      </c>
      <c r="AE133" s="115">
        <f t="shared" si="476"/>
        <v>0</v>
      </c>
      <c r="AF133" s="508">
        <f t="shared" si="476"/>
        <v>0</v>
      </c>
      <c r="AH133" s="493" t="str">
        <f>AH112</f>
        <v>Costs production</v>
      </c>
      <c r="AK133" s="115">
        <f>-AK129</f>
        <v>0</v>
      </c>
      <c r="AL133" s="115">
        <f t="shared" ref="AL133:AQ133" si="477">-AL129</f>
        <v>487.6460000570255</v>
      </c>
      <c r="AM133" s="115">
        <f t="shared" si="477"/>
        <v>0</v>
      </c>
      <c r="AN133" s="115">
        <f t="shared" si="477"/>
        <v>0</v>
      </c>
      <c r="AO133" s="115">
        <f t="shared" si="477"/>
        <v>0</v>
      </c>
      <c r="AP133" s="115">
        <f t="shared" si="477"/>
        <v>0</v>
      </c>
      <c r="AQ133" s="508">
        <f t="shared" si="477"/>
        <v>0</v>
      </c>
      <c r="AS133" s="493" t="str">
        <f>AS112</f>
        <v>Costs production</v>
      </c>
      <c r="AV133" s="115">
        <f>-AV129</f>
        <v>0</v>
      </c>
      <c r="AW133" s="115">
        <f t="shared" ref="AW133:BB133" ca="1" si="478">-AW129</f>
        <v>379.12734702367277</v>
      </c>
      <c r="AX133" s="115">
        <f t="shared" ca="1" si="478"/>
        <v>429.13394079421755</v>
      </c>
      <c r="AY133" s="115">
        <f t="shared" ca="1" si="478"/>
        <v>634.86194228885404</v>
      </c>
      <c r="AZ133" s="115">
        <f t="shared" ca="1" si="478"/>
        <v>752.28377196378813</v>
      </c>
      <c r="BA133" s="115">
        <f t="shared" ca="1" si="478"/>
        <v>767.80688253183098</v>
      </c>
      <c r="BB133" s="508">
        <f t="shared" ca="1" si="478"/>
        <v>783.21226573844615</v>
      </c>
      <c r="BD133" s="493" t="str">
        <f>BD112</f>
        <v>Costs production</v>
      </c>
      <c r="BG133" s="115">
        <f>-BG129</f>
        <v>0</v>
      </c>
      <c r="BH133" s="115">
        <f t="shared" ref="BH133:BM133" si="479">-BH129</f>
        <v>0</v>
      </c>
      <c r="BI133" s="115">
        <f t="shared" si="479"/>
        <v>0</v>
      </c>
      <c r="BJ133" s="115">
        <f t="shared" si="479"/>
        <v>119.90740666222999</v>
      </c>
      <c r="BK133" s="115">
        <f t="shared" si="479"/>
        <v>160.448731946344</v>
      </c>
      <c r="BL133" s="115">
        <f t="shared" si="479"/>
        <v>189.86456841070961</v>
      </c>
      <c r="BM133" s="508">
        <f t="shared" si="479"/>
        <v>193.5681865982194</v>
      </c>
    </row>
    <row r="134" spans="12:65">
      <c r="L134" s="493" t="str">
        <f>L113</f>
        <v>Per bottle</v>
      </c>
      <c r="O134" s="758">
        <f t="shared" ref="O134:U134" si="480">IF(O120=0,O136,O133/O120)</f>
        <v>1.3995496208770702E-2</v>
      </c>
      <c r="P134" s="758">
        <f t="shared" si="480"/>
        <v>1.5195120166305478E-2</v>
      </c>
      <c r="Q134" s="758">
        <f t="shared" si="480"/>
        <v>1.5462203155695582E-2</v>
      </c>
      <c r="R134" s="758">
        <f t="shared" si="480"/>
        <v>1.5762654100549719E-2</v>
      </c>
      <c r="S134" s="758">
        <f t="shared" si="480"/>
        <v>1.6071698818506727E-2</v>
      </c>
      <c r="T134" s="758">
        <f t="shared" si="480"/>
        <v>1.639408219424307E-2</v>
      </c>
      <c r="U134" s="463">
        <f t="shared" si="480"/>
        <v>1.6721814855458157E-2</v>
      </c>
      <c r="W134" s="493" t="str">
        <f>W113</f>
        <v>Per bottle</v>
      </c>
      <c r="Z134" s="758">
        <f t="shared" ref="Z134:AF134" si="481">IF(Z120=0,Z136,Z133/Z120)</f>
        <v>1.4681275523000466E-2</v>
      </c>
      <c r="AA134" s="758">
        <f t="shared" si="481"/>
        <v>1.4681275523000465E-2</v>
      </c>
      <c r="AB134" s="758">
        <f t="shared" si="481"/>
        <v>1.4681275523000465E-2</v>
      </c>
      <c r="AC134" s="758">
        <f t="shared" si="481"/>
        <v>1.4681275523000465E-2</v>
      </c>
      <c r="AD134" s="758">
        <f t="shared" si="481"/>
        <v>1.4681275523000465E-2</v>
      </c>
      <c r="AE134" s="758">
        <f t="shared" si="481"/>
        <v>1.4681275523000465E-2</v>
      </c>
      <c r="AF134" s="463">
        <f t="shared" si="481"/>
        <v>1.4681275523000465E-2</v>
      </c>
      <c r="AH134" s="493" t="str">
        <f>AH113</f>
        <v>Per bottle</v>
      </c>
      <c r="AK134" s="758">
        <f t="shared" ref="AK134:AQ134" si="482">IF(AK120=0,AK136,AK133/AK120)</f>
        <v>7.7603769397135737E-3</v>
      </c>
      <c r="AL134" s="758">
        <f t="shared" si="482"/>
        <v>8.4255576491011203E-3</v>
      </c>
      <c r="AM134" s="758">
        <f t="shared" si="482"/>
        <v>8.4255576491011203E-3</v>
      </c>
      <c r="AN134" s="758">
        <f t="shared" si="482"/>
        <v>8.4255576491011203E-3</v>
      </c>
      <c r="AO134" s="758">
        <f t="shared" si="482"/>
        <v>8.4255576491011203E-3</v>
      </c>
      <c r="AP134" s="758">
        <f t="shared" si="482"/>
        <v>8.4255576491011203E-3</v>
      </c>
      <c r="AQ134" s="463">
        <f t="shared" si="482"/>
        <v>8.4255576491011203E-3</v>
      </c>
      <c r="AS134" s="493" t="str">
        <f>AS113</f>
        <v>Per bottle</v>
      </c>
      <c r="AV134" s="758">
        <f t="shared" ref="AV134:BB134" si="483">IF(AV120=0,AV136,AV133/AV120)</f>
        <v>9.3118936252128259E-3</v>
      </c>
      <c r="AW134" s="758">
        <f t="shared" ca="1" si="483"/>
        <v>1.0110062587297941E-2</v>
      </c>
      <c r="AX134" s="758">
        <f t="shared" ca="1" si="483"/>
        <v>1.0275949828649159E-2</v>
      </c>
      <c r="AY134" s="758">
        <f t="shared" ca="1" si="483"/>
        <v>1.0495147084506027E-2</v>
      </c>
      <c r="AZ134" s="758">
        <f t="shared" ca="1" si="483"/>
        <v>1.0696788931347232E-2</v>
      </c>
      <c r="BA134" s="758">
        <f t="shared" ca="1" si="483"/>
        <v>1.0907122416816975E-2</v>
      </c>
      <c r="BB134" s="463">
        <f t="shared" ca="1" si="483"/>
        <v>1.1125964425576335E-2</v>
      </c>
      <c r="BD134" s="493" t="str">
        <f>BD113</f>
        <v>Per bottle</v>
      </c>
      <c r="BG134" s="758">
        <f t="shared" ref="BG134:BM134" si="484">IF(BG120=0,BG136,BG133/BG120)</f>
        <v>1.8623228547982189E-2</v>
      </c>
      <c r="BH134" s="758">
        <f t="shared" si="484"/>
        <v>1.8623228547982189E-2</v>
      </c>
      <c r="BI134" s="758">
        <f t="shared" si="484"/>
        <v>1.8623228547982189E-2</v>
      </c>
      <c r="BJ134" s="758">
        <f t="shared" si="484"/>
        <v>2.1036387133724559E-2</v>
      </c>
      <c r="BK134" s="758">
        <f t="shared" si="484"/>
        <v>2.1393164259512532E-2</v>
      </c>
      <c r="BL134" s="758">
        <f t="shared" si="484"/>
        <v>2.1823513610426393E-2</v>
      </c>
      <c r="BM134" s="463">
        <f t="shared" si="484"/>
        <v>2.2249216850370047E-2</v>
      </c>
    </row>
    <row r="135" spans="12:65">
      <c r="L135" s="743"/>
      <c r="O135" s="758"/>
      <c r="P135" s="758"/>
      <c r="Q135" s="758"/>
      <c r="R135" s="758"/>
      <c r="S135" s="758"/>
      <c r="T135" s="758"/>
      <c r="U135" s="463"/>
      <c r="W135" s="743"/>
      <c r="Z135" s="758"/>
      <c r="AA135" s="758"/>
      <c r="AB135" s="758"/>
      <c r="AC135" s="758"/>
      <c r="AD135" s="758"/>
      <c r="AE135" s="758"/>
      <c r="AF135" s="463"/>
      <c r="AH135" s="743"/>
      <c r="AK135" s="758"/>
      <c r="AL135" s="758"/>
      <c r="AM135" s="758"/>
      <c r="AN135" s="758"/>
      <c r="AO135" s="758"/>
      <c r="AP135" s="758"/>
      <c r="AQ135" s="463"/>
      <c r="AS135" s="743"/>
      <c r="AV135" s="758"/>
      <c r="AW135" s="758"/>
      <c r="AX135" s="758"/>
      <c r="AY135" s="758"/>
      <c r="AZ135" s="758"/>
      <c r="BA135" s="758"/>
      <c r="BB135" s="463"/>
      <c r="BD135" s="743"/>
      <c r="BG135" s="758"/>
      <c r="BH135" s="758"/>
      <c r="BI135" s="758"/>
      <c r="BJ135" s="758"/>
      <c r="BK135" s="758"/>
      <c r="BL135" s="758"/>
      <c r="BM135" s="463"/>
    </row>
    <row r="136" spans="12:65">
      <c r="L136" s="743" t="str">
        <f>L115</f>
        <v>Cost price of the inventory</v>
      </c>
      <c r="O136" s="810">
        <f>IF(O122=0,$C$10,O125)</f>
        <v>1.3995496208770702E-2</v>
      </c>
      <c r="P136" s="810">
        <f t="shared" ref="P136:U136" si="485">IF(P122=0,O136,P125)</f>
        <v>1.5195120166305479E-2</v>
      </c>
      <c r="Q136" s="810">
        <f t="shared" si="485"/>
        <v>1.5499022569631588E-2</v>
      </c>
      <c r="R136" s="810">
        <f t="shared" si="485"/>
        <v>1.5809003021024219E-2</v>
      </c>
      <c r="S136" s="810">
        <f t="shared" si="485"/>
        <v>1.6125183081444703E-2</v>
      </c>
      <c r="T136" s="810">
        <f t="shared" si="485"/>
        <v>1.6447686743073595E-2</v>
      </c>
      <c r="U136" s="811">
        <f t="shared" si="485"/>
        <v>1.6776640477935069E-2</v>
      </c>
      <c r="W136" s="743" t="str">
        <f>W115</f>
        <v>Cost price of the inventory</v>
      </c>
      <c r="Z136" s="810">
        <f>IF(Z122=0,$D$10,Z125)</f>
        <v>1.4681275523000465E-2</v>
      </c>
      <c r="AA136" s="810">
        <f t="shared" ref="AA136:AF136" si="486">IF(AA122=0,Z136,AA125)</f>
        <v>1.4681275523000465E-2</v>
      </c>
      <c r="AB136" s="810">
        <f t="shared" si="486"/>
        <v>1.4681275523000465E-2</v>
      </c>
      <c r="AC136" s="810">
        <f t="shared" si="486"/>
        <v>1.4681275523000465E-2</v>
      </c>
      <c r="AD136" s="810">
        <f t="shared" si="486"/>
        <v>1.4681275523000465E-2</v>
      </c>
      <c r="AE136" s="810">
        <f t="shared" si="486"/>
        <v>1.4681275523000465E-2</v>
      </c>
      <c r="AF136" s="811">
        <f t="shared" si="486"/>
        <v>1.4681275523000465E-2</v>
      </c>
      <c r="AH136" s="743" t="str">
        <f>AH115</f>
        <v>Cost price of the inventory</v>
      </c>
      <c r="AK136" s="810">
        <f>IF(AK122=0,$E$10,AK125)</f>
        <v>7.7603769397135737E-3</v>
      </c>
      <c r="AL136" s="810">
        <f t="shared" ref="AL136:AQ136" si="487">IF(AL122=0,AK136,AL125)</f>
        <v>8.4255576491011203E-3</v>
      </c>
      <c r="AM136" s="810">
        <f t="shared" si="487"/>
        <v>8.4255576491011203E-3</v>
      </c>
      <c r="AN136" s="810">
        <f t="shared" si="487"/>
        <v>8.4255576491011203E-3</v>
      </c>
      <c r="AO136" s="810">
        <f t="shared" si="487"/>
        <v>8.4255576491011203E-3</v>
      </c>
      <c r="AP136" s="810">
        <f t="shared" si="487"/>
        <v>8.4255576491011203E-3</v>
      </c>
      <c r="AQ136" s="811">
        <f t="shared" si="487"/>
        <v>8.4255576491011203E-3</v>
      </c>
      <c r="AS136" s="743" t="str">
        <f>AS115</f>
        <v>Cost price of the inventory</v>
      </c>
      <c r="AV136" s="810">
        <f>IF(AV122=0,$F$10,AV125)</f>
        <v>9.3118936252128259E-3</v>
      </c>
      <c r="AW136" s="810">
        <f t="shared" ref="AW136:BB136" ca="1" si="488">IF(AW122=0,AV136,AW125)</f>
        <v>1.0110062587297941E-2</v>
      </c>
      <c r="AX136" s="810">
        <f t="shared" ca="1" si="488"/>
        <v>1.0312263839043899E-2</v>
      </c>
      <c r="AY136" s="810">
        <f t="shared" ca="1" si="488"/>
        <v>1.0518509115824777E-2</v>
      </c>
      <c r="AZ136" s="810">
        <f t="shared" ca="1" si="488"/>
        <v>1.0728879298141272E-2</v>
      </c>
      <c r="BA136" s="810">
        <f t="shared" ca="1" si="488"/>
        <v>1.0943456884104098E-2</v>
      </c>
      <c r="BB136" s="811">
        <f t="shared" ca="1" si="488"/>
        <v>1.1162326021786179E-2</v>
      </c>
      <c r="BD136" s="743" t="str">
        <f>BD115</f>
        <v>Cost price of the inventory</v>
      </c>
      <c r="BG136" s="810">
        <f>IF(BG122=0,$G$10,BG125)</f>
        <v>1.8623228547982189E-2</v>
      </c>
      <c r="BH136" s="810">
        <f t="shared" ref="BH136:BM136" si="489">IF(BH122=0,BG136,BH125)</f>
        <v>1.8623228547982189E-2</v>
      </c>
      <c r="BI136" s="810">
        <f t="shared" si="489"/>
        <v>1.8623228547982189E-2</v>
      </c>
      <c r="BJ136" s="810">
        <f t="shared" si="489"/>
        <v>2.1036387133724563E-2</v>
      </c>
      <c r="BK136" s="810">
        <f t="shared" si="489"/>
        <v>2.1457114876399057E-2</v>
      </c>
      <c r="BL136" s="810">
        <f t="shared" si="489"/>
        <v>2.1886257173927035E-2</v>
      </c>
      <c r="BM136" s="811">
        <f t="shared" si="489"/>
        <v>2.2323982317405577E-2</v>
      </c>
    </row>
    <row r="137" spans="12:65" ht="13.5" thickBot="1">
      <c r="L137" s="746"/>
      <c r="M137" s="768"/>
      <c r="N137" s="768"/>
      <c r="O137" s="798">
        <f t="shared" ref="O137:U137" si="490">O123*O136</f>
        <v>0</v>
      </c>
      <c r="P137" s="798">
        <f t="shared" si="490"/>
        <v>6.8833894353363823</v>
      </c>
      <c r="Q137" s="798">
        <f t="shared" si="490"/>
        <v>10.182857828247954</v>
      </c>
      <c r="R137" s="798">
        <f t="shared" si="490"/>
        <v>11.809325256705092</v>
      </c>
      <c r="S137" s="798">
        <f t="shared" si="490"/>
        <v>11.835884381780412</v>
      </c>
      <c r="T137" s="798">
        <f t="shared" si="490"/>
        <v>12.105497442902166</v>
      </c>
      <c r="U137" s="799">
        <f t="shared" si="490"/>
        <v>12.34760739176021</v>
      </c>
      <c r="W137" s="765"/>
      <c r="X137" s="755"/>
      <c r="Y137" s="755"/>
      <c r="Z137" s="795">
        <f t="shared" ref="Z137:AF137" si="491">Z123*Z136</f>
        <v>15.459383125719489</v>
      </c>
      <c r="AA137" s="795">
        <f t="shared" si="491"/>
        <v>15.459383125719489</v>
      </c>
      <c r="AB137" s="795">
        <f t="shared" si="491"/>
        <v>15.459383125719489</v>
      </c>
      <c r="AC137" s="795">
        <f t="shared" si="491"/>
        <v>15.459383125719489</v>
      </c>
      <c r="AD137" s="795">
        <f t="shared" si="491"/>
        <v>15.459383125719489</v>
      </c>
      <c r="AE137" s="795">
        <f t="shared" si="491"/>
        <v>15.459383125719489</v>
      </c>
      <c r="AF137" s="797">
        <f t="shared" si="491"/>
        <v>15.459383125719489</v>
      </c>
      <c r="AH137" s="765"/>
      <c r="AI137" s="755"/>
      <c r="AJ137" s="755"/>
      <c r="AK137" s="795">
        <f t="shared" ref="AK137:AQ137" si="492">AK123*AK136</f>
        <v>0</v>
      </c>
      <c r="AL137" s="795">
        <f t="shared" si="492"/>
        <v>48.767127672997283</v>
      </c>
      <c r="AM137" s="795">
        <f t="shared" si="492"/>
        <v>48.767127672997283</v>
      </c>
      <c r="AN137" s="795">
        <f t="shared" si="492"/>
        <v>48.767127672997283</v>
      </c>
      <c r="AO137" s="795">
        <f t="shared" si="492"/>
        <v>48.767127672997283</v>
      </c>
      <c r="AP137" s="795">
        <f t="shared" si="492"/>
        <v>48.767127672997283</v>
      </c>
      <c r="AQ137" s="797">
        <f t="shared" si="492"/>
        <v>48.767127672997283</v>
      </c>
      <c r="AS137" s="746"/>
      <c r="AT137" s="768"/>
      <c r="AU137" s="768"/>
      <c r="AV137" s="798">
        <f t="shared" ref="AV137:BB137" si="493">AV123*AV136</f>
        <v>0</v>
      </c>
      <c r="AW137" s="798">
        <f t="shared" ca="1" si="493"/>
        <v>75.825469404734562</v>
      </c>
      <c r="AX137" s="798">
        <f t="shared" ca="1" si="493"/>
        <v>70.659631825128798</v>
      </c>
      <c r="AY137" s="798">
        <f t="shared" ca="1" si="493"/>
        <v>112.84256579456822</v>
      </c>
      <c r="AZ137" s="798">
        <f t="shared" ca="1" si="493"/>
        <v>127.88824123384397</v>
      </c>
      <c r="BA137" s="798">
        <f t="shared" ca="1" si="493"/>
        <v>127.98372825959743</v>
      </c>
      <c r="BB137" s="799">
        <f t="shared" ca="1" si="493"/>
        <v>131.04570749576973</v>
      </c>
      <c r="BD137" s="746"/>
      <c r="BE137" s="768"/>
      <c r="BF137" s="768"/>
      <c r="BG137" s="798">
        <f t="shared" ref="BG137:BM137" si="494">BG123*BG136</f>
        <v>0</v>
      </c>
      <c r="BH137" s="798">
        <f t="shared" si="494"/>
        <v>0</v>
      </c>
      <c r="BI137" s="798">
        <f t="shared" si="494"/>
        <v>0</v>
      </c>
      <c r="BJ137" s="798">
        <f t="shared" si="494"/>
        <v>23.981481332446002</v>
      </c>
      <c r="BK137" s="798">
        <f t="shared" si="494"/>
        <v>27.2934501227796</v>
      </c>
      <c r="BL137" s="798">
        <f t="shared" si="494"/>
        <v>32.522978160455573</v>
      </c>
      <c r="BM137" s="799">
        <f t="shared" si="494"/>
        <v>32.21350648401625</v>
      </c>
    </row>
    <row r="138" spans="12:65">
      <c r="L138" s="759" t="s">
        <v>639</v>
      </c>
      <c r="M138" s="742"/>
      <c r="N138" s="742"/>
      <c r="O138" s="742"/>
      <c r="P138" s="742"/>
      <c r="Q138" s="742"/>
      <c r="R138" s="742"/>
      <c r="S138" s="742"/>
      <c r="T138" s="742"/>
      <c r="U138" s="760"/>
      <c r="W138" s="759" t="str">
        <f>L138</f>
        <v>Pellets</v>
      </c>
      <c r="X138" s="742"/>
      <c r="Y138" s="742"/>
      <c r="Z138" s="742"/>
      <c r="AA138" s="742"/>
      <c r="AB138" s="742"/>
      <c r="AC138" s="742"/>
      <c r="AD138" s="742"/>
      <c r="AE138" s="742"/>
      <c r="AF138" s="760"/>
      <c r="AH138" s="759" t="s">
        <v>639</v>
      </c>
      <c r="AI138" s="742"/>
      <c r="AJ138" s="742"/>
      <c r="AK138" s="742"/>
      <c r="AL138" s="742"/>
      <c r="AM138" s="742"/>
      <c r="AN138" s="742"/>
      <c r="AO138" s="742"/>
      <c r="AP138" s="742"/>
      <c r="AQ138" s="760"/>
      <c r="AS138" s="759" t="s">
        <v>639</v>
      </c>
      <c r="AT138" s="742"/>
      <c r="AU138" s="742"/>
      <c r="AV138" s="742"/>
      <c r="AW138" s="742"/>
      <c r="AX138" s="742"/>
      <c r="AY138" s="742"/>
      <c r="AZ138" s="742"/>
      <c r="BA138" s="742"/>
      <c r="BB138" s="760"/>
      <c r="BD138" s="759" t="s">
        <v>639</v>
      </c>
      <c r="BE138" s="742"/>
      <c r="BF138" s="742"/>
      <c r="BG138" s="742"/>
      <c r="BH138" s="742"/>
      <c r="BI138" s="742"/>
      <c r="BJ138" s="742"/>
      <c r="BK138" s="742"/>
      <c r="BL138" s="742"/>
      <c r="BM138" s="760"/>
    </row>
    <row r="139" spans="12:65">
      <c r="L139" s="493" t="str">
        <f>L118</f>
        <v>Margin new purchse</v>
      </c>
      <c r="M139" s="756">
        <v>0.1</v>
      </c>
      <c r="O139" s="464"/>
      <c r="U139" s="761"/>
      <c r="W139" s="493" t="str">
        <f>W118</f>
        <v>Margin new purchse</v>
      </c>
      <c r="X139" s="756">
        <v>0.1</v>
      </c>
      <c r="Z139" s="464"/>
      <c r="AF139" s="761"/>
      <c r="AH139" s="493" t="str">
        <f>AH118</f>
        <v>Margin new purchse</v>
      </c>
      <c r="AI139" s="756">
        <v>0.1</v>
      </c>
      <c r="AK139" s="464"/>
      <c r="AQ139" s="761"/>
      <c r="AS139" s="493" t="str">
        <f>AS118</f>
        <v>Margin new purchse</v>
      </c>
      <c r="AT139" s="756">
        <v>0.1</v>
      </c>
      <c r="AV139" s="464"/>
      <c r="BB139" s="761"/>
      <c r="BD139" s="493" t="str">
        <f>BD118</f>
        <v>Margin new purchse</v>
      </c>
      <c r="BE139" s="756">
        <v>0.1</v>
      </c>
      <c r="BG139" s="464"/>
      <c r="BM139" s="761"/>
    </row>
    <row r="140" spans="12:65">
      <c r="L140" s="493"/>
      <c r="U140" s="761"/>
      <c r="W140" s="493"/>
      <c r="AF140" s="761"/>
      <c r="AH140" s="493"/>
      <c r="AQ140" s="761"/>
      <c r="AS140" s="493"/>
      <c r="BB140" s="761"/>
      <c r="BD140" s="493"/>
      <c r="BM140" s="761"/>
    </row>
    <row r="141" spans="12:65">
      <c r="L141" s="743" t="s">
        <v>814</v>
      </c>
      <c r="O141" s="115">
        <f t="shared" ref="O141:U141" si="495">O120</f>
        <v>0</v>
      </c>
      <c r="P141" s="115">
        <f t="shared" si="495"/>
        <v>2266</v>
      </c>
      <c r="Q141" s="115">
        <f t="shared" si="495"/>
        <v>3739</v>
      </c>
      <c r="R141" s="115">
        <f t="shared" si="495"/>
        <v>4394</v>
      </c>
      <c r="S141" s="115">
        <f t="shared" si="495"/>
        <v>4416</v>
      </c>
      <c r="T141" s="115">
        <f t="shared" si="495"/>
        <v>4416</v>
      </c>
      <c r="U141" s="508">
        <f t="shared" si="495"/>
        <v>4416</v>
      </c>
      <c r="W141" s="743" t="s">
        <v>814</v>
      </c>
      <c r="Z141" s="115">
        <f t="shared" ref="Z141:AF141" si="496">Z120</f>
        <v>5267</v>
      </c>
      <c r="AA141" s="115">
        <f t="shared" si="496"/>
        <v>0</v>
      </c>
      <c r="AB141" s="115">
        <f t="shared" si="496"/>
        <v>0</v>
      </c>
      <c r="AC141" s="115">
        <f t="shared" si="496"/>
        <v>0</v>
      </c>
      <c r="AD141" s="115">
        <f t="shared" si="496"/>
        <v>0</v>
      </c>
      <c r="AE141" s="115">
        <f t="shared" si="496"/>
        <v>0</v>
      </c>
      <c r="AF141" s="508">
        <f t="shared" si="496"/>
        <v>0</v>
      </c>
      <c r="AH141" s="743" t="s">
        <v>814</v>
      </c>
      <c r="AK141" s="115">
        <f t="shared" ref="AK141:AQ141" si="497">AK120</f>
        <v>0</v>
      </c>
      <c r="AL141" s="115">
        <f t="shared" si="497"/>
        <v>57877</v>
      </c>
      <c r="AM141" s="115">
        <f t="shared" si="497"/>
        <v>0</v>
      </c>
      <c r="AN141" s="115">
        <f t="shared" si="497"/>
        <v>0</v>
      </c>
      <c r="AO141" s="115">
        <f t="shared" si="497"/>
        <v>0</v>
      </c>
      <c r="AP141" s="115">
        <f t="shared" si="497"/>
        <v>0</v>
      </c>
      <c r="AQ141" s="508">
        <f t="shared" si="497"/>
        <v>0</v>
      </c>
      <c r="AS141" s="743" t="s">
        <v>814</v>
      </c>
      <c r="AV141" s="115">
        <f t="shared" ref="AV141:BB141" si="498">AV120</f>
        <v>0</v>
      </c>
      <c r="AW141" s="115">
        <f t="shared" ca="1" si="498"/>
        <v>37500</v>
      </c>
      <c r="AX141" s="115">
        <f t="shared" ca="1" si="498"/>
        <v>41761</v>
      </c>
      <c r="AY141" s="115">
        <f t="shared" ca="1" si="498"/>
        <v>60491</v>
      </c>
      <c r="AZ141" s="115">
        <f t="shared" ca="1" si="498"/>
        <v>70328</v>
      </c>
      <c r="BA141" s="115">
        <f t="shared" ca="1" si="498"/>
        <v>70395</v>
      </c>
      <c r="BB141" s="508">
        <f t="shared" ca="1" si="498"/>
        <v>70395</v>
      </c>
      <c r="BD141" s="743" t="s">
        <v>814</v>
      </c>
      <c r="BG141" s="115">
        <f t="shared" ref="BG141:BM141" si="499">BG120</f>
        <v>0</v>
      </c>
      <c r="BH141" s="115">
        <f t="shared" si="499"/>
        <v>0</v>
      </c>
      <c r="BI141" s="115">
        <f t="shared" si="499"/>
        <v>0</v>
      </c>
      <c r="BJ141" s="115">
        <f t="shared" si="499"/>
        <v>5700</v>
      </c>
      <c r="BK141" s="115">
        <f t="shared" si="499"/>
        <v>7500</v>
      </c>
      <c r="BL141" s="115">
        <f t="shared" si="499"/>
        <v>8700</v>
      </c>
      <c r="BM141" s="508">
        <f t="shared" si="499"/>
        <v>8700</v>
      </c>
    </row>
    <row r="142" spans="12:65">
      <c r="L142" s="493" t="s">
        <v>817</v>
      </c>
      <c r="O142" s="464">
        <f>O141/'Prod info'!$O$305</f>
        <v>0</v>
      </c>
      <c r="P142" s="464">
        <f>P141/'Prod info'!$O$305</f>
        <v>5.3952380952380956</v>
      </c>
      <c r="Q142" s="464">
        <f>Q141/'Prod info'!$O$305</f>
        <v>8.9023809523809518</v>
      </c>
      <c r="R142" s="464">
        <f>R141/'Prod info'!$O$305</f>
        <v>10.461904761904762</v>
      </c>
      <c r="S142" s="464">
        <f>S141/'Prod info'!$O$305</f>
        <v>10.514285714285714</v>
      </c>
      <c r="T142" s="464">
        <f>T141/'Prod info'!$O$305</f>
        <v>10.514285714285714</v>
      </c>
      <c r="U142" s="468">
        <f>U141/'Prod info'!$O$305</f>
        <v>10.514285714285714</v>
      </c>
      <c r="W142" s="493" t="s">
        <v>817</v>
      </c>
      <c r="Z142" s="464">
        <f>Z141/'Prod info'!$O$305</f>
        <v>12.540476190476191</v>
      </c>
      <c r="AA142" s="464">
        <f>AA141/'Prod info'!$O$305</f>
        <v>0</v>
      </c>
      <c r="AB142" s="464">
        <f>AB141/'Prod info'!$O$305</f>
        <v>0</v>
      </c>
      <c r="AC142" s="464">
        <f>AC141/'Prod info'!$O$305</f>
        <v>0</v>
      </c>
      <c r="AD142" s="464">
        <f>AD141/'Prod info'!$O$305</f>
        <v>0</v>
      </c>
      <c r="AE142" s="464">
        <f>AE141/'Prod info'!$O$305</f>
        <v>0</v>
      </c>
      <c r="AF142" s="468">
        <f>AF141/'Prod info'!$O$305</f>
        <v>0</v>
      </c>
      <c r="AH142" s="493" t="s">
        <v>817</v>
      </c>
      <c r="AK142" s="464">
        <f>AK141/'Prod info'!$O$305</f>
        <v>0</v>
      </c>
      <c r="AL142" s="464">
        <f>AL141/'Prod info'!$O$305</f>
        <v>137.80238095238096</v>
      </c>
      <c r="AM142" s="464">
        <f>AM141/'Prod info'!$O$305</f>
        <v>0</v>
      </c>
      <c r="AN142" s="464">
        <f>AN141/'Prod info'!$O$305</f>
        <v>0</v>
      </c>
      <c r="AO142" s="464">
        <f>AO141/'Prod info'!$O$305</f>
        <v>0</v>
      </c>
      <c r="AP142" s="464">
        <f>AP141/'Prod info'!$O$305</f>
        <v>0</v>
      </c>
      <c r="AQ142" s="468">
        <f>AQ141/'Prod info'!$O$305</f>
        <v>0</v>
      </c>
      <c r="AS142" s="493" t="s">
        <v>817</v>
      </c>
      <c r="AV142" s="464">
        <f>AV141/'Prod info'!$O$305</f>
        <v>0</v>
      </c>
      <c r="AW142" s="464">
        <f ca="1">AW141/'Prod info'!$O$305</f>
        <v>89.285714285714292</v>
      </c>
      <c r="AX142" s="464">
        <f ca="1">AX141/'Prod info'!$O$305</f>
        <v>99.430952380952377</v>
      </c>
      <c r="AY142" s="464">
        <f ca="1">AY141/'Prod info'!$O$305</f>
        <v>144.02619047619046</v>
      </c>
      <c r="AZ142" s="464">
        <f ca="1">AZ141/'Prod info'!$O$305</f>
        <v>167.44761904761904</v>
      </c>
      <c r="BA142" s="464">
        <f ca="1">BA141/'Prod info'!$O$305</f>
        <v>167.60714285714286</v>
      </c>
      <c r="BB142" s="468">
        <f ca="1">BB141/'Prod info'!$O$305</f>
        <v>167.60714285714286</v>
      </c>
      <c r="BD142" s="493" t="s">
        <v>817</v>
      </c>
      <c r="BG142" s="464">
        <f>BG141/'Prod info'!$O$305</f>
        <v>0</v>
      </c>
      <c r="BH142" s="464">
        <f>BH141/'Prod info'!$O$305</f>
        <v>0</v>
      </c>
      <c r="BI142" s="464">
        <f>BI141/'Prod info'!$O$305</f>
        <v>0</v>
      </c>
      <c r="BJ142" s="464">
        <f>BJ141/'Prod info'!$O$305</f>
        <v>13.571428571428571</v>
      </c>
      <c r="BK142" s="464">
        <f>BK141/'Prod info'!$O$305</f>
        <v>17.857142857142858</v>
      </c>
      <c r="BL142" s="464">
        <f>BL141/'Prod info'!$O$305</f>
        <v>20.714285714285715</v>
      </c>
      <c r="BM142" s="468">
        <f>BM141/'Prod info'!$O$305</f>
        <v>20.714285714285715</v>
      </c>
    </row>
    <row r="143" spans="12:65">
      <c r="L143" s="493" t="s">
        <v>664</v>
      </c>
      <c r="O143" s="115">
        <v>0</v>
      </c>
      <c r="P143" s="732">
        <f t="shared" ref="P143:U143" si="500">O145</f>
        <v>0</v>
      </c>
      <c r="Q143" s="732">
        <f t="shared" si="500"/>
        <v>0</v>
      </c>
      <c r="R143" s="732">
        <f t="shared" si="500"/>
        <v>1</v>
      </c>
      <c r="S143" s="732">
        <f t="shared" si="500"/>
        <v>0</v>
      </c>
      <c r="T143" s="732">
        <f t="shared" si="500"/>
        <v>1</v>
      </c>
      <c r="U143" s="762">
        <f t="shared" si="500"/>
        <v>0</v>
      </c>
      <c r="W143" s="493" t="s">
        <v>664</v>
      </c>
      <c r="Z143" s="115">
        <v>0</v>
      </c>
      <c r="AA143" s="732">
        <f t="shared" ref="AA143:AF143" si="501">Z145</f>
        <v>1</v>
      </c>
      <c r="AB143" s="732">
        <f t="shared" si="501"/>
        <v>1</v>
      </c>
      <c r="AC143" s="732">
        <f t="shared" si="501"/>
        <v>1</v>
      </c>
      <c r="AD143" s="732">
        <f t="shared" si="501"/>
        <v>1</v>
      </c>
      <c r="AE143" s="732">
        <f t="shared" si="501"/>
        <v>1</v>
      </c>
      <c r="AF143" s="762">
        <f t="shared" si="501"/>
        <v>1</v>
      </c>
      <c r="AH143" s="493" t="s">
        <v>664</v>
      </c>
      <c r="AK143" s="115">
        <f>'Inv. start'!L22</f>
        <v>0</v>
      </c>
      <c r="AL143" s="732">
        <f t="shared" ref="AL143:AQ143" si="502">AK145</f>
        <v>0</v>
      </c>
      <c r="AM143" s="732">
        <f t="shared" si="502"/>
        <v>14</v>
      </c>
      <c r="AN143" s="732">
        <f t="shared" si="502"/>
        <v>14</v>
      </c>
      <c r="AO143" s="732">
        <f t="shared" si="502"/>
        <v>14</v>
      </c>
      <c r="AP143" s="732">
        <f t="shared" si="502"/>
        <v>14</v>
      </c>
      <c r="AQ143" s="762">
        <f t="shared" si="502"/>
        <v>14</v>
      </c>
      <c r="AS143" s="493" t="s">
        <v>664</v>
      </c>
      <c r="AV143" s="115">
        <f>'Inv. start'!V22</f>
        <v>0</v>
      </c>
      <c r="AW143" s="732">
        <f t="shared" ref="AW143:BB143" si="503">AV145</f>
        <v>0</v>
      </c>
      <c r="AX143" s="732">
        <f t="shared" ca="1" si="503"/>
        <v>8</v>
      </c>
      <c r="AY143" s="732">
        <f t="shared" ca="1" si="503"/>
        <v>9</v>
      </c>
      <c r="AZ143" s="732">
        <f t="shared" ca="1" si="503"/>
        <v>13</v>
      </c>
      <c r="BA143" s="732">
        <f t="shared" ca="1" si="503"/>
        <v>15</v>
      </c>
      <c r="BB143" s="762">
        <f t="shared" ca="1" si="503"/>
        <v>15</v>
      </c>
      <c r="BD143" s="493" t="s">
        <v>664</v>
      </c>
      <c r="BG143" s="115">
        <f>'Inv. start'!AG22</f>
        <v>0</v>
      </c>
      <c r="BH143" s="732">
        <f t="shared" ref="BH143:BM143" si="504">BG145</f>
        <v>0</v>
      </c>
      <c r="BI143" s="732">
        <f t="shared" si="504"/>
        <v>0</v>
      </c>
      <c r="BJ143" s="732">
        <f t="shared" si="504"/>
        <v>0</v>
      </c>
      <c r="BK143" s="732">
        <f t="shared" si="504"/>
        <v>1</v>
      </c>
      <c r="BL143" s="732">
        <f t="shared" si="504"/>
        <v>2</v>
      </c>
      <c r="BM143" s="762">
        <f t="shared" si="504"/>
        <v>2</v>
      </c>
    </row>
    <row r="144" spans="12:65">
      <c r="L144" s="493" t="s">
        <v>615</v>
      </c>
      <c r="O144" s="114">
        <f>ROUND(IF(O143-O142&lt;0,-(O143-O142)*(1+$M$139)),0)</f>
        <v>0</v>
      </c>
      <c r="P144" s="114">
        <f t="shared" ref="P144:U144" si="505">ROUND(IF(P143-P142&lt;0,-(P143-P142)*(1+$M$76)),0)</f>
        <v>6</v>
      </c>
      <c r="Q144" s="114">
        <f t="shared" si="505"/>
        <v>10</v>
      </c>
      <c r="R144" s="114">
        <f t="shared" si="505"/>
        <v>10</v>
      </c>
      <c r="S144" s="114">
        <f t="shared" si="505"/>
        <v>12</v>
      </c>
      <c r="T144" s="114">
        <f t="shared" si="505"/>
        <v>10</v>
      </c>
      <c r="U144" s="561">
        <f t="shared" si="505"/>
        <v>12</v>
      </c>
      <c r="W144" s="493" t="s">
        <v>615</v>
      </c>
      <c r="Z144" s="114">
        <f>ROUND(IF(Z143-Z142&lt;0,-(Z143-Z142)*(1+$M$139)),0)</f>
        <v>14</v>
      </c>
      <c r="AA144" s="114">
        <f t="shared" ref="AA144:AF144" si="506">ROUND(IF(AA143-AA142&lt;0,-(AA143-AA142)*(1+$M$76)),0)</f>
        <v>0</v>
      </c>
      <c r="AB144" s="114">
        <f t="shared" si="506"/>
        <v>0</v>
      </c>
      <c r="AC144" s="114">
        <f t="shared" si="506"/>
        <v>0</v>
      </c>
      <c r="AD144" s="114">
        <f t="shared" si="506"/>
        <v>0</v>
      </c>
      <c r="AE144" s="114">
        <f t="shared" si="506"/>
        <v>0</v>
      </c>
      <c r="AF144" s="561">
        <f t="shared" si="506"/>
        <v>0</v>
      </c>
      <c r="AH144" s="493" t="s">
        <v>615</v>
      </c>
      <c r="AK144" s="114">
        <f>ROUND(IF(AK143-AK142&lt;0,-(AK143-AK142)*(1+$AI$139)),0)</f>
        <v>0</v>
      </c>
      <c r="AL144" s="114">
        <f t="shared" ref="AL144:AQ144" si="507">ROUND(IF(AL143-AL142&lt;0,-(AL143-AL142)*(1+$M$76)),0)</f>
        <v>152</v>
      </c>
      <c r="AM144" s="114">
        <f t="shared" si="507"/>
        <v>0</v>
      </c>
      <c r="AN144" s="114">
        <f t="shared" si="507"/>
        <v>0</v>
      </c>
      <c r="AO144" s="114">
        <f t="shared" si="507"/>
        <v>0</v>
      </c>
      <c r="AP144" s="114">
        <f t="shared" si="507"/>
        <v>0</v>
      </c>
      <c r="AQ144" s="561">
        <f t="shared" si="507"/>
        <v>0</v>
      </c>
      <c r="AS144" s="493" t="s">
        <v>615</v>
      </c>
      <c r="AV144" s="114">
        <f>ROUND(IF(AV143-AV142&lt;0,-(AV143-AV142)*(1+$AT$139)),0)</f>
        <v>0</v>
      </c>
      <c r="AW144" s="114">
        <f t="shared" ref="AW144:BB144" ca="1" si="508">ROUND(IF(AW143-AW142&lt;0,-(AW143-AW142)*(1+$AT$139)),0)</f>
        <v>98</v>
      </c>
      <c r="AX144" s="114">
        <f t="shared" ca="1" si="508"/>
        <v>101</v>
      </c>
      <c r="AY144" s="114">
        <f t="shared" ca="1" si="508"/>
        <v>149</v>
      </c>
      <c r="AZ144" s="114">
        <f t="shared" ca="1" si="508"/>
        <v>170</v>
      </c>
      <c r="BA144" s="114">
        <f t="shared" ca="1" si="508"/>
        <v>168</v>
      </c>
      <c r="BB144" s="561">
        <f t="shared" ca="1" si="508"/>
        <v>168</v>
      </c>
      <c r="BD144" s="493" t="s">
        <v>615</v>
      </c>
      <c r="BG144" s="114">
        <f t="shared" ref="BG144:BM144" si="509">ROUND(IF(BG143-BG142&lt;0,-(BG143-BG142)*(1+$AT$139)),0)</f>
        <v>0</v>
      </c>
      <c r="BH144" s="114">
        <f t="shared" si="509"/>
        <v>0</v>
      </c>
      <c r="BI144" s="114">
        <f t="shared" si="509"/>
        <v>0</v>
      </c>
      <c r="BJ144" s="114">
        <f t="shared" si="509"/>
        <v>15</v>
      </c>
      <c r="BK144" s="114">
        <f t="shared" si="509"/>
        <v>19</v>
      </c>
      <c r="BL144" s="114">
        <f t="shared" si="509"/>
        <v>21</v>
      </c>
      <c r="BM144" s="561">
        <f t="shared" si="509"/>
        <v>21</v>
      </c>
    </row>
    <row r="145" spans="12:65">
      <c r="L145" s="493" t="s">
        <v>816</v>
      </c>
      <c r="O145" s="734">
        <f t="shared" ref="O145:U145" si="510">FLOOR(O143+O144-O142,1)</f>
        <v>0</v>
      </c>
      <c r="P145" s="734">
        <f t="shared" si="510"/>
        <v>0</v>
      </c>
      <c r="Q145" s="734">
        <f t="shared" si="510"/>
        <v>1</v>
      </c>
      <c r="R145" s="734">
        <f t="shared" si="510"/>
        <v>0</v>
      </c>
      <c r="S145" s="734">
        <f t="shared" si="510"/>
        <v>1</v>
      </c>
      <c r="T145" s="734">
        <f t="shared" si="510"/>
        <v>0</v>
      </c>
      <c r="U145" s="763">
        <f t="shared" si="510"/>
        <v>1</v>
      </c>
      <c r="W145" s="493" t="s">
        <v>816</v>
      </c>
      <c r="Z145" s="734">
        <f t="shared" ref="Z145:AF145" si="511">FLOOR(Z143+Z144-Z142,1)</f>
        <v>1</v>
      </c>
      <c r="AA145" s="734">
        <f t="shared" si="511"/>
        <v>1</v>
      </c>
      <c r="AB145" s="734">
        <f t="shared" si="511"/>
        <v>1</v>
      </c>
      <c r="AC145" s="734">
        <f t="shared" si="511"/>
        <v>1</v>
      </c>
      <c r="AD145" s="734">
        <f t="shared" si="511"/>
        <v>1</v>
      </c>
      <c r="AE145" s="734">
        <f t="shared" si="511"/>
        <v>1</v>
      </c>
      <c r="AF145" s="763">
        <f t="shared" si="511"/>
        <v>1</v>
      </c>
      <c r="AH145" s="493" t="s">
        <v>816</v>
      </c>
      <c r="AK145" s="734">
        <f t="shared" ref="AK145:AQ145" si="512">FLOOR(AK143+AK144-AK142,1)</f>
        <v>0</v>
      </c>
      <c r="AL145" s="734">
        <f t="shared" si="512"/>
        <v>14</v>
      </c>
      <c r="AM145" s="734">
        <f t="shared" si="512"/>
        <v>14</v>
      </c>
      <c r="AN145" s="734">
        <f t="shared" si="512"/>
        <v>14</v>
      </c>
      <c r="AO145" s="734">
        <f t="shared" si="512"/>
        <v>14</v>
      </c>
      <c r="AP145" s="734">
        <f t="shared" si="512"/>
        <v>14</v>
      </c>
      <c r="AQ145" s="763">
        <f t="shared" si="512"/>
        <v>14</v>
      </c>
      <c r="AS145" s="493" t="s">
        <v>816</v>
      </c>
      <c r="AV145" s="734">
        <f>FLOOR(AV143+AV144-AV142,1)</f>
        <v>0</v>
      </c>
      <c r="AW145" s="734">
        <f t="shared" ref="AW145:BB145" ca="1" si="513">FLOOR(AW143+AW144-AW142,1)</f>
        <v>8</v>
      </c>
      <c r="AX145" s="734">
        <f t="shared" ca="1" si="513"/>
        <v>9</v>
      </c>
      <c r="AY145" s="734">
        <f t="shared" ca="1" si="513"/>
        <v>13</v>
      </c>
      <c r="AZ145" s="734">
        <f t="shared" ca="1" si="513"/>
        <v>15</v>
      </c>
      <c r="BA145" s="734">
        <f t="shared" ca="1" si="513"/>
        <v>15</v>
      </c>
      <c r="BB145" s="763">
        <f t="shared" ca="1" si="513"/>
        <v>15</v>
      </c>
      <c r="BD145" s="493" t="s">
        <v>816</v>
      </c>
      <c r="BG145" s="734">
        <f t="shared" ref="BG145:BM145" si="514">FLOOR(BG143+BG144-BG142,1)</f>
        <v>0</v>
      </c>
      <c r="BH145" s="734">
        <f t="shared" si="514"/>
        <v>0</v>
      </c>
      <c r="BI145" s="734">
        <f t="shared" si="514"/>
        <v>0</v>
      </c>
      <c r="BJ145" s="734">
        <f t="shared" si="514"/>
        <v>1</v>
      </c>
      <c r="BK145" s="734">
        <f t="shared" si="514"/>
        <v>2</v>
      </c>
      <c r="BL145" s="734">
        <f t="shared" si="514"/>
        <v>2</v>
      </c>
      <c r="BM145" s="763">
        <f t="shared" si="514"/>
        <v>2</v>
      </c>
    </row>
    <row r="146" spans="12:65">
      <c r="L146" s="493"/>
      <c r="U146" s="761"/>
      <c r="W146" s="493"/>
      <c r="AF146" s="761"/>
      <c r="AH146" s="493"/>
      <c r="AQ146" s="761"/>
      <c r="AS146" s="493"/>
      <c r="BB146" s="761"/>
      <c r="BD146" s="493"/>
      <c r="BM146" s="761"/>
    </row>
    <row r="147" spans="12:65">
      <c r="L147" s="493" t="s">
        <v>818</v>
      </c>
      <c r="O147" s="738">
        <f>IF(O144&gt;0,$C$13*Opex!D29,O158)</f>
        <v>16.158245948522403</v>
      </c>
      <c r="P147" s="738">
        <f t="shared" ref="P147:U147" si="515">IF(P144&gt;0,E13,P158)</f>
        <v>17.543249999999997</v>
      </c>
      <c r="Q147" s="738">
        <f t="shared" si="515"/>
        <v>17.894114999999996</v>
      </c>
      <c r="R147" s="738">
        <f t="shared" si="515"/>
        <v>18.251997299999996</v>
      </c>
      <c r="S147" s="738">
        <f t="shared" si="515"/>
        <v>18.617037245999995</v>
      </c>
      <c r="T147" s="738">
        <f t="shared" si="515"/>
        <v>18.989377990919994</v>
      </c>
      <c r="U147" s="770">
        <f t="shared" si="515"/>
        <v>19.369165550738394</v>
      </c>
      <c r="W147" s="493" t="s">
        <v>818</v>
      </c>
      <c r="Z147" s="738">
        <f>IF(Z144&gt;0,$C$13*Opex!D29,Z158)</f>
        <v>16.95</v>
      </c>
      <c r="AA147" s="738">
        <f t="shared" ref="AA147:AF147" si="516">IF(AA144&gt;0,E13,AA158)</f>
        <v>16.95</v>
      </c>
      <c r="AB147" s="738">
        <f t="shared" si="516"/>
        <v>16.95</v>
      </c>
      <c r="AC147" s="738">
        <f t="shared" si="516"/>
        <v>16.95</v>
      </c>
      <c r="AD147" s="738">
        <f t="shared" si="516"/>
        <v>16.95</v>
      </c>
      <c r="AE147" s="738">
        <f t="shared" si="516"/>
        <v>16.95</v>
      </c>
      <c r="AF147" s="770">
        <f t="shared" si="516"/>
        <v>16.95</v>
      </c>
      <c r="AH147" s="493" t="s">
        <v>818</v>
      </c>
      <c r="AK147" s="738">
        <f>IF(AK144&gt;0,$C$13*Opex!D29,AK158)</f>
        <v>16.158245948522403</v>
      </c>
      <c r="AL147" s="738">
        <f t="shared" ref="AL147:AQ147" si="517">IF(AL144&gt;0,E13,AL158)</f>
        <v>17.543249999999997</v>
      </c>
      <c r="AM147" s="738">
        <f t="shared" si="517"/>
        <v>17.543249999999997</v>
      </c>
      <c r="AN147" s="738">
        <f t="shared" si="517"/>
        <v>17.543249999999997</v>
      </c>
      <c r="AO147" s="738">
        <f t="shared" si="517"/>
        <v>17.543249999999997</v>
      </c>
      <c r="AP147" s="738">
        <f t="shared" si="517"/>
        <v>17.543249999999997</v>
      </c>
      <c r="AQ147" s="770">
        <f t="shared" si="517"/>
        <v>17.543249999999997</v>
      </c>
      <c r="AS147" s="493" t="s">
        <v>818</v>
      </c>
      <c r="AV147" s="738">
        <f>IF(AV144&gt;0,$C$13*Opex!D29,AV158)</f>
        <v>16.158245948522403</v>
      </c>
      <c r="AW147" s="738">
        <f ca="1">IF(AW144&gt;0,$C$13*Opex!E29,AW158)</f>
        <v>17.543249999999997</v>
      </c>
      <c r="AX147" s="738">
        <f ca="1">IF(AX144&gt;0,$C$13*Opex!F29,AX158)</f>
        <v>17.894114999999996</v>
      </c>
      <c r="AY147" s="738">
        <f ca="1">IF(AY144&gt;0,$C$13*Opex!G29,AY158)</f>
        <v>18.251997299999996</v>
      </c>
      <c r="AZ147" s="738">
        <f ca="1">IF(AZ144&gt;0,$C$13*Opex!H29,AZ158)</f>
        <v>18.617037245999995</v>
      </c>
      <c r="BA147" s="738">
        <f ca="1">IF(BA144&gt;0,$C$13*Opex!I29,BA158)</f>
        <v>18.989377990919994</v>
      </c>
      <c r="BB147" s="770">
        <f ca="1">IF(BB144&gt;0,$C$13*Opex!J29,BB158)</f>
        <v>19.369165550738394</v>
      </c>
      <c r="BD147" s="493" t="s">
        <v>818</v>
      </c>
      <c r="BG147" s="738">
        <f>IF(BG144&gt;0,$C$13*Opex!D29,BG158)</f>
        <v>16.158245948522403</v>
      </c>
      <c r="BH147" s="738">
        <f>IF(BH144&gt;0,$C$13*Opex!E29,BH158)</f>
        <v>16.158245948522403</v>
      </c>
      <c r="BI147" s="738">
        <f>IF(BI144&gt;0,$C$13*Opex!F29,BI158)</f>
        <v>16.158245948522403</v>
      </c>
      <c r="BJ147" s="738">
        <f>IF(BJ144&gt;0,$C$13*Opex!G29,BJ158)</f>
        <v>18.251997299999996</v>
      </c>
      <c r="BK147" s="738">
        <f>IF(BK144&gt;0,$C$13*Opex!H29,BK158)</f>
        <v>18.617037245999995</v>
      </c>
      <c r="BL147" s="738">
        <f>IF(BL144&gt;0,$C$13*Opex!I29,BL158)</f>
        <v>18.989377990919994</v>
      </c>
      <c r="BM147" s="770">
        <f>IF(BM144&gt;0,$C$13*Opex!J29,BM158)</f>
        <v>19.369165550738394</v>
      </c>
    </row>
    <row r="148" spans="12:65">
      <c r="L148" s="743" t="s">
        <v>85</v>
      </c>
      <c r="O148" s="562">
        <f t="shared" ref="O148:U148" si="518">O144*O147</f>
        <v>0</v>
      </c>
      <c r="P148" s="562">
        <f t="shared" si="518"/>
        <v>105.25949999999997</v>
      </c>
      <c r="Q148" s="562">
        <f t="shared" si="518"/>
        <v>178.94114999999996</v>
      </c>
      <c r="R148" s="562">
        <f t="shared" si="518"/>
        <v>182.51997299999996</v>
      </c>
      <c r="S148" s="562">
        <f t="shared" si="518"/>
        <v>223.40444695199994</v>
      </c>
      <c r="T148" s="562">
        <f t="shared" si="518"/>
        <v>189.89377990919994</v>
      </c>
      <c r="U148" s="563">
        <f t="shared" si="518"/>
        <v>232.42998660886073</v>
      </c>
      <c r="W148" s="743" t="s">
        <v>85</v>
      </c>
      <c r="Z148" s="562">
        <f t="shared" ref="Z148:AF148" si="519">Z144*Z147</f>
        <v>237.29999999999998</v>
      </c>
      <c r="AA148" s="562">
        <f t="shared" si="519"/>
        <v>0</v>
      </c>
      <c r="AB148" s="562">
        <f t="shared" si="519"/>
        <v>0</v>
      </c>
      <c r="AC148" s="562">
        <f t="shared" si="519"/>
        <v>0</v>
      </c>
      <c r="AD148" s="562">
        <f t="shared" si="519"/>
        <v>0</v>
      </c>
      <c r="AE148" s="562">
        <f t="shared" si="519"/>
        <v>0</v>
      </c>
      <c r="AF148" s="563">
        <f t="shared" si="519"/>
        <v>0</v>
      </c>
      <c r="AH148" s="743" t="s">
        <v>85</v>
      </c>
      <c r="AK148" s="562">
        <f t="shared" ref="AK148:AQ148" si="520">AK144*AK147</f>
        <v>0</v>
      </c>
      <c r="AL148" s="562">
        <f t="shared" si="520"/>
        <v>2666.5739999999996</v>
      </c>
      <c r="AM148" s="562">
        <f t="shared" si="520"/>
        <v>0</v>
      </c>
      <c r="AN148" s="562">
        <f t="shared" si="520"/>
        <v>0</v>
      </c>
      <c r="AO148" s="562">
        <f t="shared" si="520"/>
        <v>0</v>
      </c>
      <c r="AP148" s="562">
        <f t="shared" si="520"/>
        <v>0</v>
      </c>
      <c r="AQ148" s="563">
        <f t="shared" si="520"/>
        <v>0</v>
      </c>
      <c r="AS148" s="743" t="s">
        <v>85</v>
      </c>
      <c r="AV148" s="562">
        <f t="shared" ref="AV148:BB148" si="521">AV144*AV147</f>
        <v>0</v>
      </c>
      <c r="AW148" s="562">
        <f t="shared" ca="1" si="521"/>
        <v>1719.2384999999997</v>
      </c>
      <c r="AX148" s="562">
        <f t="shared" ca="1" si="521"/>
        <v>1807.3056149999995</v>
      </c>
      <c r="AY148" s="562">
        <f t="shared" ca="1" si="521"/>
        <v>2719.5475976999992</v>
      </c>
      <c r="AZ148" s="562">
        <f t="shared" ca="1" si="521"/>
        <v>3164.8963318199994</v>
      </c>
      <c r="BA148" s="562">
        <f t="shared" ca="1" si="521"/>
        <v>3190.2155024745589</v>
      </c>
      <c r="BB148" s="563">
        <f t="shared" ca="1" si="521"/>
        <v>3254.0198125240504</v>
      </c>
      <c r="BD148" s="743" t="s">
        <v>85</v>
      </c>
      <c r="BG148" s="562">
        <f t="shared" ref="BG148:BM148" si="522">BG144*BG147</f>
        <v>0</v>
      </c>
      <c r="BH148" s="562">
        <f t="shared" si="522"/>
        <v>0</v>
      </c>
      <c r="BI148" s="562">
        <f t="shared" si="522"/>
        <v>0</v>
      </c>
      <c r="BJ148" s="562">
        <f t="shared" si="522"/>
        <v>273.77995949999996</v>
      </c>
      <c r="BK148" s="562">
        <f t="shared" si="522"/>
        <v>353.72370767399991</v>
      </c>
      <c r="BL148" s="562">
        <f t="shared" si="522"/>
        <v>398.77693780931986</v>
      </c>
      <c r="BM148" s="563">
        <f t="shared" si="522"/>
        <v>406.7524765655063</v>
      </c>
    </row>
    <row r="149" spans="12:65">
      <c r="L149" s="743"/>
      <c r="O149" s="562"/>
      <c r="P149" s="562"/>
      <c r="Q149" s="562"/>
      <c r="R149" s="562"/>
      <c r="S149" s="562"/>
      <c r="T149" s="562"/>
      <c r="U149" s="563"/>
      <c r="W149" s="743"/>
      <c r="Z149" s="562"/>
      <c r="AA149" s="562"/>
      <c r="AB149" s="562"/>
      <c r="AC149" s="562"/>
      <c r="AD149" s="562"/>
      <c r="AE149" s="562"/>
      <c r="AF149" s="563"/>
      <c r="AH149" s="743"/>
      <c r="AK149" s="562"/>
      <c r="AL149" s="562"/>
      <c r="AM149" s="562"/>
      <c r="AN149" s="562"/>
      <c r="AO149" s="562"/>
      <c r="AP149" s="562"/>
      <c r="AQ149" s="563"/>
      <c r="AS149" s="743"/>
      <c r="AV149" s="562"/>
      <c r="AW149" s="562"/>
      <c r="AX149" s="562"/>
      <c r="AY149" s="562"/>
      <c r="AZ149" s="562"/>
      <c r="BA149" s="562"/>
      <c r="BB149" s="563"/>
      <c r="BD149" s="743"/>
      <c r="BG149" s="562"/>
      <c r="BH149" s="562"/>
      <c r="BI149" s="562"/>
      <c r="BJ149" s="562"/>
      <c r="BK149" s="562"/>
      <c r="BL149" s="562"/>
      <c r="BM149" s="563"/>
    </row>
    <row r="150" spans="12:65">
      <c r="L150" s="493" t="s">
        <v>880</v>
      </c>
      <c r="O150" s="732">
        <f>O147*O143</f>
        <v>0</v>
      </c>
      <c r="P150" s="732">
        <f t="shared" ref="P150:U150" si="523">O153</f>
        <v>0</v>
      </c>
      <c r="Q150" s="732">
        <f t="shared" si="523"/>
        <v>0</v>
      </c>
      <c r="R150" s="732">
        <f t="shared" si="523"/>
        <v>17.894114999999996</v>
      </c>
      <c r="S150" s="732">
        <f t="shared" si="523"/>
        <v>0</v>
      </c>
      <c r="T150" s="732">
        <f t="shared" si="523"/>
        <v>18.617037245999995</v>
      </c>
      <c r="U150" s="762">
        <f t="shared" si="523"/>
        <v>0</v>
      </c>
      <c r="W150" s="493" t="s">
        <v>880</v>
      </c>
      <c r="Z150" s="732">
        <f>Z147*Z143</f>
        <v>0</v>
      </c>
      <c r="AA150" s="732">
        <f t="shared" ref="AA150:AF150" si="524">Z153</f>
        <v>16.95</v>
      </c>
      <c r="AB150" s="732">
        <f t="shared" si="524"/>
        <v>16.95</v>
      </c>
      <c r="AC150" s="732">
        <f t="shared" si="524"/>
        <v>16.95</v>
      </c>
      <c r="AD150" s="732">
        <f t="shared" si="524"/>
        <v>16.95</v>
      </c>
      <c r="AE150" s="732">
        <f t="shared" si="524"/>
        <v>16.95</v>
      </c>
      <c r="AF150" s="762">
        <f t="shared" si="524"/>
        <v>16.95</v>
      </c>
      <c r="AG150" s="731"/>
      <c r="AH150" s="493" t="s">
        <v>880</v>
      </c>
      <c r="AK150" s="732">
        <f>AK147*AK143</f>
        <v>0</v>
      </c>
      <c r="AL150" s="732">
        <f t="shared" ref="AL150:AQ150" si="525">AK153</f>
        <v>0</v>
      </c>
      <c r="AM150" s="732">
        <f t="shared" si="525"/>
        <v>245.60549999999995</v>
      </c>
      <c r="AN150" s="732">
        <f t="shared" si="525"/>
        <v>245.60549999999995</v>
      </c>
      <c r="AO150" s="732">
        <f t="shared" si="525"/>
        <v>245.60549999999995</v>
      </c>
      <c r="AP150" s="732">
        <f t="shared" si="525"/>
        <v>245.60549999999995</v>
      </c>
      <c r="AQ150" s="762">
        <f t="shared" si="525"/>
        <v>245.60549999999995</v>
      </c>
      <c r="AR150" s="731"/>
      <c r="AS150" s="493" t="s">
        <v>880</v>
      </c>
      <c r="AV150" s="732">
        <f>AV147*AV143</f>
        <v>0</v>
      </c>
      <c r="AW150" s="732">
        <f t="shared" ref="AW150:BB150" si="526">AV153</f>
        <v>0</v>
      </c>
      <c r="AX150" s="732">
        <f t="shared" ca="1" si="526"/>
        <v>140.34599999999998</v>
      </c>
      <c r="AY150" s="732">
        <f t="shared" ca="1" si="526"/>
        <v>161.04703499999997</v>
      </c>
      <c r="AZ150" s="732">
        <f t="shared" ca="1" si="526"/>
        <v>237.27596489999993</v>
      </c>
      <c r="BA150" s="732">
        <f t="shared" ca="1" si="526"/>
        <v>279.25555868999993</v>
      </c>
      <c r="BB150" s="762">
        <f t="shared" ca="1" si="526"/>
        <v>284.84066986379992</v>
      </c>
      <c r="BD150" s="493" t="s">
        <v>880</v>
      </c>
      <c r="BG150" s="732">
        <f>BG147*BG143</f>
        <v>0</v>
      </c>
      <c r="BH150" s="732">
        <f t="shared" ref="BH150:BM150" si="527">BG153</f>
        <v>0</v>
      </c>
      <c r="BI150" s="732">
        <f t="shared" si="527"/>
        <v>0</v>
      </c>
      <c r="BJ150" s="732">
        <f t="shared" si="527"/>
        <v>0</v>
      </c>
      <c r="BK150" s="732">
        <f t="shared" si="527"/>
        <v>18.251997299999996</v>
      </c>
      <c r="BL150" s="732">
        <f t="shared" si="527"/>
        <v>37.234074491999991</v>
      </c>
      <c r="BM150" s="762">
        <f t="shared" si="527"/>
        <v>37.978755981839988</v>
      </c>
    </row>
    <row r="151" spans="12:65">
      <c r="L151" s="493" t="s">
        <v>877</v>
      </c>
      <c r="O151" s="115">
        <f t="shared" ref="O151:U151" si="528">-(O152+O150-O153)</f>
        <v>0</v>
      </c>
      <c r="P151" s="115">
        <f t="shared" si="528"/>
        <v>-105.25949999999997</v>
      </c>
      <c r="Q151" s="115">
        <f t="shared" si="528"/>
        <v>-161.04703499999997</v>
      </c>
      <c r="R151" s="115">
        <f t="shared" si="528"/>
        <v>-200.41408799999996</v>
      </c>
      <c r="S151" s="115">
        <f t="shared" si="528"/>
        <v>-204.78740970599995</v>
      </c>
      <c r="T151" s="115">
        <f t="shared" si="528"/>
        <v>-208.51081715519993</v>
      </c>
      <c r="U151" s="508">
        <f t="shared" si="528"/>
        <v>-213.06082105812234</v>
      </c>
      <c r="W151" s="493" t="s">
        <v>877</v>
      </c>
      <c r="Z151" s="115">
        <f t="shared" ref="Z151:AF151" si="529">-(Z152+Z150-Z153)</f>
        <v>-220.35</v>
      </c>
      <c r="AA151" s="115">
        <f t="shared" si="529"/>
        <v>0</v>
      </c>
      <c r="AB151" s="115">
        <f t="shared" si="529"/>
        <v>0</v>
      </c>
      <c r="AC151" s="115">
        <f t="shared" si="529"/>
        <v>0</v>
      </c>
      <c r="AD151" s="115">
        <f t="shared" si="529"/>
        <v>0</v>
      </c>
      <c r="AE151" s="115">
        <f t="shared" si="529"/>
        <v>0</v>
      </c>
      <c r="AF151" s="508">
        <f t="shared" si="529"/>
        <v>0</v>
      </c>
      <c r="AG151" s="731"/>
      <c r="AH151" s="493" t="s">
        <v>877</v>
      </c>
      <c r="AK151" s="115">
        <f t="shared" ref="AK151:AQ151" si="530">-(AK152+AK150-AK153)</f>
        <v>0</v>
      </c>
      <c r="AL151" s="115">
        <f t="shared" si="530"/>
        <v>-2420.9684999999995</v>
      </c>
      <c r="AM151" s="115">
        <f t="shared" si="530"/>
        <v>0</v>
      </c>
      <c r="AN151" s="115">
        <f t="shared" si="530"/>
        <v>0</v>
      </c>
      <c r="AO151" s="115">
        <f t="shared" si="530"/>
        <v>0</v>
      </c>
      <c r="AP151" s="115">
        <f t="shared" si="530"/>
        <v>0</v>
      </c>
      <c r="AQ151" s="508">
        <f t="shared" si="530"/>
        <v>0</v>
      </c>
      <c r="AR151" s="731"/>
      <c r="AS151" s="493" t="s">
        <v>877</v>
      </c>
      <c r="AV151" s="115">
        <f t="shared" ref="AV151:BB151" si="531">-(AV152+AV150-AV153)</f>
        <v>0</v>
      </c>
      <c r="AW151" s="115">
        <f t="shared" ca="1" si="531"/>
        <v>-1578.8924999999997</v>
      </c>
      <c r="AX151" s="115">
        <f t="shared" ca="1" si="531"/>
        <v>-1786.6045799999995</v>
      </c>
      <c r="AY151" s="115">
        <f t="shared" ca="1" si="531"/>
        <v>-2643.3186677999993</v>
      </c>
      <c r="AZ151" s="115">
        <f t="shared" ca="1" si="531"/>
        <v>-3122.9167380299996</v>
      </c>
      <c r="BA151" s="115">
        <f t="shared" ca="1" si="531"/>
        <v>-3184.6303913007587</v>
      </c>
      <c r="BB151" s="508">
        <f t="shared" ca="1" si="531"/>
        <v>-3248.3229991267744</v>
      </c>
      <c r="BD151" s="493" t="s">
        <v>877</v>
      </c>
      <c r="BG151" s="115">
        <f t="shared" ref="BG151:BM151" si="532">-(BG152+BG150-BG153)</f>
        <v>0</v>
      </c>
      <c r="BH151" s="115">
        <f t="shared" si="532"/>
        <v>0</v>
      </c>
      <c r="BI151" s="115">
        <f t="shared" si="532"/>
        <v>0</v>
      </c>
      <c r="BJ151" s="115">
        <f t="shared" si="532"/>
        <v>-255.52796219999996</v>
      </c>
      <c r="BK151" s="115">
        <f t="shared" si="532"/>
        <v>-334.74163048199989</v>
      </c>
      <c r="BL151" s="115">
        <f t="shared" si="532"/>
        <v>-398.03225631947987</v>
      </c>
      <c r="BM151" s="508">
        <f t="shared" si="532"/>
        <v>-405.99290144586951</v>
      </c>
    </row>
    <row r="152" spans="12:65">
      <c r="L152" s="493" t="s">
        <v>878</v>
      </c>
      <c r="O152" s="816">
        <f>O144*O147</f>
        <v>0</v>
      </c>
      <c r="P152" s="816">
        <f t="shared" ref="P152:U152" si="533">P144*P147</f>
        <v>105.25949999999997</v>
      </c>
      <c r="Q152" s="816">
        <f t="shared" si="533"/>
        <v>178.94114999999996</v>
      </c>
      <c r="R152" s="816">
        <f t="shared" si="533"/>
        <v>182.51997299999996</v>
      </c>
      <c r="S152" s="816">
        <f t="shared" si="533"/>
        <v>223.40444695199994</v>
      </c>
      <c r="T152" s="816">
        <f t="shared" si="533"/>
        <v>189.89377990919994</v>
      </c>
      <c r="U152" s="817">
        <f t="shared" si="533"/>
        <v>232.42998660886073</v>
      </c>
      <c r="W152" s="493" t="s">
        <v>878</v>
      </c>
      <c r="Z152" s="816">
        <f>Z144*Z147</f>
        <v>237.29999999999998</v>
      </c>
      <c r="AA152" s="816">
        <f t="shared" ref="AA152:AF152" si="534">AA144*AA147</f>
        <v>0</v>
      </c>
      <c r="AB152" s="816">
        <f t="shared" si="534"/>
        <v>0</v>
      </c>
      <c r="AC152" s="816">
        <f t="shared" si="534"/>
        <v>0</v>
      </c>
      <c r="AD152" s="816">
        <f t="shared" si="534"/>
        <v>0</v>
      </c>
      <c r="AE152" s="816">
        <f t="shared" si="534"/>
        <v>0</v>
      </c>
      <c r="AF152" s="817">
        <f t="shared" si="534"/>
        <v>0</v>
      </c>
      <c r="AG152" s="731"/>
      <c r="AH152" s="493" t="s">
        <v>878</v>
      </c>
      <c r="AK152" s="816">
        <f>AK144*AK147</f>
        <v>0</v>
      </c>
      <c r="AL152" s="816">
        <f t="shared" ref="AL152:AQ152" si="535">AL144*AL147</f>
        <v>2666.5739999999996</v>
      </c>
      <c r="AM152" s="816">
        <f t="shared" si="535"/>
        <v>0</v>
      </c>
      <c r="AN152" s="816">
        <f t="shared" si="535"/>
        <v>0</v>
      </c>
      <c r="AO152" s="816">
        <f t="shared" si="535"/>
        <v>0</v>
      </c>
      <c r="AP152" s="816">
        <f t="shared" si="535"/>
        <v>0</v>
      </c>
      <c r="AQ152" s="817">
        <f t="shared" si="535"/>
        <v>0</v>
      </c>
      <c r="AR152" s="731"/>
      <c r="AS152" s="493" t="s">
        <v>878</v>
      </c>
      <c r="AV152" s="816">
        <f>AV144*AV147</f>
        <v>0</v>
      </c>
      <c r="AW152" s="816">
        <f t="shared" ref="AW152:BB152" ca="1" si="536">AW144*AW147</f>
        <v>1719.2384999999997</v>
      </c>
      <c r="AX152" s="816">
        <f t="shared" ca="1" si="536"/>
        <v>1807.3056149999995</v>
      </c>
      <c r="AY152" s="816">
        <f t="shared" ca="1" si="536"/>
        <v>2719.5475976999992</v>
      </c>
      <c r="AZ152" s="816">
        <f t="shared" ca="1" si="536"/>
        <v>3164.8963318199994</v>
      </c>
      <c r="BA152" s="816">
        <f t="shared" ca="1" si="536"/>
        <v>3190.2155024745589</v>
      </c>
      <c r="BB152" s="817">
        <f t="shared" ca="1" si="536"/>
        <v>3254.0198125240504</v>
      </c>
      <c r="BD152" s="493" t="s">
        <v>878</v>
      </c>
      <c r="BG152" s="816">
        <f>BG144*BG147</f>
        <v>0</v>
      </c>
      <c r="BH152" s="816">
        <f t="shared" ref="BH152:BM152" si="537">BH144*BH147</f>
        <v>0</v>
      </c>
      <c r="BI152" s="816">
        <f t="shared" si="537"/>
        <v>0</v>
      </c>
      <c r="BJ152" s="816">
        <f t="shared" si="537"/>
        <v>273.77995949999996</v>
      </c>
      <c r="BK152" s="816">
        <f t="shared" si="537"/>
        <v>353.72370767399991</v>
      </c>
      <c r="BL152" s="816">
        <f t="shared" si="537"/>
        <v>398.77693780931986</v>
      </c>
      <c r="BM152" s="817">
        <f t="shared" si="537"/>
        <v>406.7524765655063</v>
      </c>
    </row>
    <row r="153" spans="12:65">
      <c r="L153" s="743" t="s">
        <v>879</v>
      </c>
      <c r="O153" s="732">
        <f>O159</f>
        <v>0</v>
      </c>
      <c r="P153" s="732">
        <f t="shared" ref="P153:U153" si="538">P159</f>
        <v>0</v>
      </c>
      <c r="Q153" s="732">
        <f t="shared" si="538"/>
        <v>17.894114999999996</v>
      </c>
      <c r="R153" s="732">
        <f t="shared" si="538"/>
        <v>0</v>
      </c>
      <c r="S153" s="732">
        <f t="shared" si="538"/>
        <v>18.617037245999995</v>
      </c>
      <c r="T153" s="732">
        <f t="shared" si="538"/>
        <v>0</v>
      </c>
      <c r="U153" s="762">
        <f t="shared" si="538"/>
        <v>19.369165550738394</v>
      </c>
      <c r="W153" s="743" t="s">
        <v>879</v>
      </c>
      <c r="Z153" s="732">
        <f>Z159</f>
        <v>16.95</v>
      </c>
      <c r="AA153" s="732">
        <f t="shared" ref="AA153:AF153" si="539">AA159</f>
        <v>16.95</v>
      </c>
      <c r="AB153" s="732">
        <f t="shared" si="539"/>
        <v>16.95</v>
      </c>
      <c r="AC153" s="732">
        <f t="shared" si="539"/>
        <v>16.95</v>
      </c>
      <c r="AD153" s="732">
        <f t="shared" si="539"/>
        <v>16.95</v>
      </c>
      <c r="AE153" s="732">
        <f t="shared" si="539"/>
        <v>16.95</v>
      </c>
      <c r="AF153" s="762">
        <f t="shared" si="539"/>
        <v>16.95</v>
      </c>
      <c r="AG153" s="731"/>
      <c r="AH153" s="743" t="s">
        <v>879</v>
      </c>
      <c r="AK153" s="732">
        <f>AK159</f>
        <v>0</v>
      </c>
      <c r="AL153" s="732">
        <f t="shared" ref="AL153:AQ153" si="540">AL159</f>
        <v>245.60549999999995</v>
      </c>
      <c r="AM153" s="732">
        <f t="shared" si="540"/>
        <v>245.60549999999995</v>
      </c>
      <c r="AN153" s="732">
        <f t="shared" si="540"/>
        <v>245.60549999999995</v>
      </c>
      <c r="AO153" s="732">
        <f t="shared" si="540"/>
        <v>245.60549999999995</v>
      </c>
      <c r="AP153" s="732">
        <f t="shared" si="540"/>
        <v>245.60549999999995</v>
      </c>
      <c r="AQ153" s="762">
        <f t="shared" si="540"/>
        <v>245.60549999999995</v>
      </c>
      <c r="AR153" s="731"/>
      <c r="AS153" s="743" t="s">
        <v>879</v>
      </c>
      <c r="AV153" s="732">
        <f>AV159</f>
        <v>0</v>
      </c>
      <c r="AW153" s="732">
        <f t="shared" ref="AW153:BB153" ca="1" si="541">AW159</f>
        <v>140.34599999999998</v>
      </c>
      <c r="AX153" s="732">
        <f t="shared" ca="1" si="541"/>
        <v>161.04703499999997</v>
      </c>
      <c r="AY153" s="732">
        <f t="shared" ca="1" si="541"/>
        <v>237.27596489999993</v>
      </c>
      <c r="AZ153" s="732">
        <f t="shared" ca="1" si="541"/>
        <v>279.25555868999993</v>
      </c>
      <c r="BA153" s="732">
        <f t="shared" ca="1" si="541"/>
        <v>284.84066986379992</v>
      </c>
      <c r="BB153" s="762">
        <f t="shared" ca="1" si="541"/>
        <v>290.53748326107592</v>
      </c>
      <c r="BD153" s="743" t="s">
        <v>879</v>
      </c>
      <c r="BG153" s="732">
        <f>BG159</f>
        <v>0</v>
      </c>
      <c r="BH153" s="732">
        <f t="shared" ref="BH153:BM153" si="542">BH159</f>
        <v>0</v>
      </c>
      <c r="BI153" s="732">
        <f t="shared" si="542"/>
        <v>0</v>
      </c>
      <c r="BJ153" s="732">
        <f t="shared" si="542"/>
        <v>18.251997299999996</v>
      </c>
      <c r="BK153" s="732">
        <f t="shared" si="542"/>
        <v>37.234074491999991</v>
      </c>
      <c r="BL153" s="732">
        <f t="shared" si="542"/>
        <v>37.978755981839988</v>
      </c>
      <c r="BM153" s="762">
        <f t="shared" si="542"/>
        <v>38.738331101476788</v>
      </c>
    </row>
    <row r="154" spans="12:65">
      <c r="L154" s="743"/>
      <c r="O154" s="562"/>
      <c r="P154" s="562"/>
      <c r="Q154" s="562"/>
      <c r="R154" s="562"/>
      <c r="S154" s="562"/>
      <c r="T154" s="562"/>
      <c r="U154" s="563"/>
      <c r="W154" s="743"/>
      <c r="Z154" s="562"/>
      <c r="AA154" s="562"/>
      <c r="AB154" s="562"/>
      <c r="AC154" s="562"/>
      <c r="AD154" s="562"/>
      <c r="AE154" s="562"/>
      <c r="AF154" s="563"/>
      <c r="AH154" s="743"/>
      <c r="AK154" s="562"/>
      <c r="AL154" s="562"/>
      <c r="AM154" s="562"/>
      <c r="AN154" s="562"/>
      <c r="AO154" s="562"/>
      <c r="AP154" s="562"/>
      <c r="AQ154" s="563"/>
      <c r="AS154" s="743"/>
      <c r="AV154" s="562"/>
      <c r="AW154" s="562"/>
      <c r="AX154" s="562"/>
      <c r="AY154" s="562"/>
      <c r="AZ154" s="562"/>
      <c r="BA154" s="562"/>
      <c r="BB154" s="563"/>
      <c r="BD154" s="743"/>
      <c r="BG154" s="562"/>
      <c r="BH154" s="562"/>
      <c r="BI154" s="562"/>
      <c r="BJ154" s="562"/>
      <c r="BK154" s="562"/>
      <c r="BL154" s="562"/>
      <c r="BM154" s="563"/>
    </row>
    <row r="155" spans="12:65">
      <c r="L155" s="493" t="str">
        <f>L133</f>
        <v>Costs production</v>
      </c>
      <c r="O155" s="115">
        <f>-O151</f>
        <v>0</v>
      </c>
      <c r="P155" s="115">
        <f t="shared" ref="P155:U155" si="543">-P151</f>
        <v>105.25949999999997</v>
      </c>
      <c r="Q155" s="115">
        <f t="shared" si="543"/>
        <v>161.04703499999997</v>
      </c>
      <c r="R155" s="115">
        <f t="shared" si="543"/>
        <v>200.41408799999996</v>
      </c>
      <c r="S155" s="115">
        <f t="shared" si="543"/>
        <v>204.78740970599995</v>
      </c>
      <c r="T155" s="115">
        <f t="shared" si="543"/>
        <v>208.51081715519993</v>
      </c>
      <c r="U155" s="508">
        <f t="shared" si="543"/>
        <v>213.06082105812234</v>
      </c>
      <c r="W155" s="493" t="str">
        <f>W133</f>
        <v>Costs production</v>
      </c>
      <c r="Z155" s="115">
        <f>-Z151</f>
        <v>220.35</v>
      </c>
      <c r="AA155" s="115">
        <f t="shared" ref="AA155:AF155" si="544">-AA151</f>
        <v>0</v>
      </c>
      <c r="AB155" s="115">
        <f t="shared" si="544"/>
        <v>0</v>
      </c>
      <c r="AC155" s="115">
        <f t="shared" si="544"/>
        <v>0</v>
      </c>
      <c r="AD155" s="115">
        <f t="shared" si="544"/>
        <v>0</v>
      </c>
      <c r="AE155" s="115">
        <f t="shared" si="544"/>
        <v>0</v>
      </c>
      <c r="AF155" s="508">
        <f t="shared" si="544"/>
        <v>0</v>
      </c>
      <c r="AH155" s="493" t="str">
        <f>AH133</f>
        <v>Costs production</v>
      </c>
      <c r="AK155" s="115">
        <f>-AK151</f>
        <v>0</v>
      </c>
      <c r="AL155" s="115">
        <f t="shared" ref="AL155:AQ155" si="545">-AL151</f>
        <v>2420.9684999999995</v>
      </c>
      <c r="AM155" s="115">
        <f t="shared" si="545"/>
        <v>0</v>
      </c>
      <c r="AN155" s="115">
        <f t="shared" si="545"/>
        <v>0</v>
      </c>
      <c r="AO155" s="115">
        <f t="shared" si="545"/>
        <v>0</v>
      </c>
      <c r="AP155" s="115">
        <f t="shared" si="545"/>
        <v>0</v>
      </c>
      <c r="AQ155" s="508">
        <f t="shared" si="545"/>
        <v>0</v>
      </c>
      <c r="AS155" s="493" t="str">
        <f>AS133</f>
        <v>Costs production</v>
      </c>
      <c r="AV155" s="115">
        <f>-AV151</f>
        <v>0</v>
      </c>
      <c r="AW155" s="115">
        <f t="shared" ref="AW155:BB155" ca="1" si="546">-AW151</f>
        <v>1578.8924999999997</v>
      </c>
      <c r="AX155" s="115">
        <f t="shared" ca="1" si="546"/>
        <v>1786.6045799999995</v>
      </c>
      <c r="AY155" s="115">
        <f t="shared" ca="1" si="546"/>
        <v>2643.3186677999993</v>
      </c>
      <c r="AZ155" s="115">
        <f t="shared" ca="1" si="546"/>
        <v>3122.9167380299996</v>
      </c>
      <c r="BA155" s="115">
        <f t="shared" ca="1" si="546"/>
        <v>3184.6303913007587</v>
      </c>
      <c r="BB155" s="508">
        <f t="shared" ca="1" si="546"/>
        <v>3248.3229991267744</v>
      </c>
      <c r="BD155" s="493" t="str">
        <f>BD133</f>
        <v>Costs production</v>
      </c>
      <c r="BG155" s="115">
        <f>-BG151</f>
        <v>0</v>
      </c>
      <c r="BH155" s="115">
        <f t="shared" ref="BH155:BM155" si="547">-BH151</f>
        <v>0</v>
      </c>
      <c r="BI155" s="115">
        <f t="shared" si="547"/>
        <v>0</v>
      </c>
      <c r="BJ155" s="115">
        <f t="shared" si="547"/>
        <v>255.52796219999996</v>
      </c>
      <c r="BK155" s="115">
        <f t="shared" si="547"/>
        <v>334.74163048199989</v>
      </c>
      <c r="BL155" s="115">
        <f t="shared" si="547"/>
        <v>398.03225631947987</v>
      </c>
      <c r="BM155" s="508">
        <f t="shared" si="547"/>
        <v>405.99290144586951</v>
      </c>
    </row>
    <row r="156" spans="12:65">
      <c r="L156" s="493" t="str">
        <f>L134</f>
        <v>Per bottle</v>
      </c>
      <c r="O156" s="758">
        <f t="shared" ref="O156:U156" si="548">IF(O142=0,O158,O155/O142)</f>
        <v>16.158245948522403</v>
      </c>
      <c r="P156" s="758">
        <f t="shared" si="548"/>
        <v>19.509704324801405</v>
      </c>
      <c r="Q156" s="758">
        <f t="shared" si="548"/>
        <v>18.090332896496388</v>
      </c>
      <c r="R156" s="758">
        <f t="shared" si="548"/>
        <v>19.156558252162036</v>
      </c>
      <c r="S156" s="758">
        <f t="shared" si="548"/>
        <v>19.477063423124996</v>
      </c>
      <c r="T156" s="758">
        <f t="shared" si="548"/>
        <v>19.831191848999993</v>
      </c>
      <c r="U156" s="463">
        <f t="shared" si="548"/>
        <v>20.263936785419244</v>
      </c>
      <c r="W156" s="493" t="str">
        <f>W134</f>
        <v>Per bottle</v>
      </c>
      <c r="Z156" s="758">
        <f t="shared" ref="Z156:AF156" si="549">IF(Z142=0,Z158,Z155/Z142)</f>
        <v>17.571103094740838</v>
      </c>
      <c r="AA156" s="758">
        <f t="shared" si="549"/>
        <v>16.95</v>
      </c>
      <c r="AB156" s="758">
        <f t="shared" si="549"/>
        <v>16.95</v>
      </c>
      <c r="AC156" s="758">
        <f t="shared" si="549"/>
        <v>16.95</v>
      </c>
      <c r="AD156" s="758">
        <f t="shared" si="549"/>
        <v>16.95</v>
      </c>
      <c r="AE156" s="758">
        <f t="shared" si="549"/>
        <v>16.95</v>
      </c>
      <c r="AF156" s="463">
        <f t="shared" si="549"/>
        <v>16.95</v>
      </c>
      <c r="AH156" s="493" t="str">
        <f>AH134</f>
        <v>Per bottle</v>
      </c>
      <c r="AK156" s="758">
        <f t="shared" ref="AK156:AQ156" si="550">IF(AK142=0,AK158,AK155/AK142)</f>
        <v>16.158245948522403</v>
      </c>
      <c r="AL156" s="758">
        <f t="shared" si="550"/>
        <v>17.568408348739563</v>
      </c>
      <c r="AM156" s="758">
        <f t="shared" si="550"/>
        <v>17.543249999999997</v>
      </c>
      <c r="AN156" s="758">
        <f t="shared" si="550"/>
        <v>17.543249999999997</v>
      </c>
      <c r="AO156" s="758">
        <f t="shared" si="550"/>
        <v>17.543249999999997</v>
      </c>
      <c r="AP156" s="758">
        <f t="shared" si="550"/>
        <v>17.543249999999997</v>
      </c>
      <c r="AQ156" s="463">
        <f t="shared" si="550"/>
        <v>17.543249999999997</v>
      </c>
      <c r="AS156" s="493" t="str">
        <f>AS134</f>
        <v>Per bottle</v>
      </c>
      <c r="AV156" s="758">
        <f t="shared" ref="AV156:BB156" si="551">IF(AV142=0,AV158,AV155/AV142)</f>
        <v>16.158245948522403</v>
      </c>
      <c r="AW156" s="758">
        <f t="shared" ca="1" si="551"/>
        <v>17.683595999999994</v>
      </c>
      <c r="AX156" s="758">
        <f t="shared" ca="1" si="551"/>
        <v>17.968293948899685</v>
      </c>
      <c r="AY156" s="758">
        <f t="shared" ca="1" si="551"/>
        <v>18.353041617364564</v>
      </c>
      <c r="AZ156" s="758">
        <f t="shared" ca="1" si="551"/>
        <v>18.650111335067113</v>
      </c>
      <c r="BA156" s="758">
        <f t="shared" ca="1" si="551"/>
        <v>19.000564874583688</v>
      </c>
      <c r="BB156" s="463">
        <f t="shared" ca="1" si="551"/>
        <v>19.380576172075365</v>
      </c>
      <c r="BD156" s="493" t="str">
        <f>BD134</f>
        <v>Per bottle</v>
      </c>
      <c r="BG156" s="758">
        <f t="shared" ref="BG156:BM156" si="552">IF(BG142=0,BG158,BG155/BG142)</f>
        <v>16.158245948522403</v>
      </c>
      <c r="BH156" s="758">
        <f t="shared" si="552"/>
        <v>16.158245948522403</v>
      </c>
      <c r="BI156" s="758">
        <f t="shared" si="552"/>
        <v>16.158245948522403</v>
      </c>
      <c r="BJ156" s="758">
        <f t="shared" si="552"/>
        <v>18.828376162105261</v>
      </c>
      <c r="BK156" s="758">
        <f t="shared" si="552"/>
        <v>18.745531306991992</v>
      </c>
      <c r="BL156" s="758">
        <f t="shared" si="552"/>
        <v>19.215350305078339</v>
      </c>
      <c r="BM156" s="463">
        <f t="shared" si="552"/>
        <v>19.599657311179907</v>
      </c>
    </row>
    <row r="157" spans="12:65">
      <c r="L157" s="743"/>
      <c r="O157" s="758"/>
      <c r="P157" s="758"/>
      <c r="Q157" s="758"/>
      <c r="R157" s="758"/>
      <c r="S157" s="758"/>
      <c r="T157" s="758"/>
      <c r="U157" s="463"/>
      <c r="W157" s="743"/>
      <c r="Z157" s="758"/>
      <c r="AA157" s="758"/>
      <c r="AB157" s="758"/>
      <c r="AC157" s="758"/>
      <c r="AD157" s="758"/>
      <c r="AE157" s="758"/>
      <c r="AF157" s="463"/>
      <c r="AH157" s="743"/>
      <c r="AK157" s="758"/>
      <c r="AL157" s="758"/>
      <c r="AM157" s="758"/>
      <c r="AN157" s="758"/>
      <c r="AO157" s="758"/>
      <c r="AP157" s="758"/>
      <c r="AQ157" s="463"/>
      <c r="AS157" s="743"/>
      <c r="AV157" s="758"/>
      <c r="AW157" s="758"/>
      <c r="AX157" s="758"/>
      <c r="AY157" s="758"/>
      <c r="AZ157" s="758"/>
      <c r="BA157" s="758"/>
      <c r="BB157" s="463"/>
      <c r="BD157" s="743"/>
      <c r="BG157" s="758"/>
      <c r="BH157" s="758"/>
      <c r="BI157" s="758"/>
      <c r="BJ157" s="758"/>
      <c r="BK157" s="758"/>
      <c r="BL157" s="758"/>
      <c r="BM157" s="463"/>
    </row>
    <row r="158" spans="12:65">
      <c r="L158" s="743" t="str">
        <f>L136</f>
        <v>Cost price of the inventory</v>
      </c>
      <c r="O158" s="810">
        <f>IF(O144=0,$C$13,O147)</f>
        <v>16.158245948522403</v>
      </c>
      <c r="P158" s="810">
        <f t="shared" ref="P158:U158" si="553">IF(P144=0,O158,P147)</f>
        <v>17.543249999999997</v>
      </c>
      <c r="Q158" s="810">
        <f t="shared" si="553"/>
        <v>17.894114999999996</v>
      </c>
      <c r="R158" s="810">
        <f t="shared" si="553"/>
        <v>18.251997299999996</v>
      </c>
      <c r="S158" s="810">
        <f t="shared" si="553"/>
        <v>18.617037245999995</v>
      </c>
      <c r="T158" s="810">
        <f t="shared" si="553"/>
        <v>18.989377990919994</v>
      </c>
      <c r="U158" s="811">
        <f t="shared" si="553"/>
        <v>19.369165550738394</v>
      </c>
      <c r="W158" s="743" t="str">
        <f>W136</f>
        <v>Cost price of the inventory</v>
      </c>
      <c r="Z158" s="810">
        <f>IF(Z144=0,$C$13,Z147)</f>
        <v>16.95</v>
      </c>
      <c r="AA158" s="810">
        <f t="shared" ref="AA158:AF158" si="554">IF(AA144=0,Z158,AA147)</f>
        <v>16.95</v>
      </c>
      <c r="AB158" s="810">
        <f t="shared" si="554"/>
        <v>16.95</v>
      </c>
      <c r="AC158" s="810">
        <f t="shared" si="554"/>
        <v>16.95</v>
      </c>
      <c r="AD158" s="810">
        <f t="shared" si="554"/>
        <v>16.95</v>
      </c>
      <c r="AE158" s="810">
        <f t="shared" si="554"/>
        <v>16.95</v>
      </c>
      <c r="AF158" s="811">
        <f t="shared" si="554"/>
        <v>16.95</v>
      </c>
      <c r="AH158" s="743" t="str">
        <f>AH136</f>
        <v>Cost price of the inventory</v>
      </c>
      <c r="AK158" s="810">
        <f>IF(AK144=0,$C$13,AK147)</f>
        <v>16.158245948522403</v>
      </c>
      <c r="AL158" s="810">
        <f t="shared" ref="AL158:AQ158" si="555">IF(AL144=0,AK158,AL147)</f>
        <v>17.543249999999997</v>
      </c>
      <c r="AM158" s="810">
        <f t="shared" si="555"/>
        <v>17.543249999999997</v>
      </c>
      <c r="AN158" s="810">
        <f t="shared" si="555"/>
        <v>17.543249999999997</v>
      </c>
      <c r="AO158" s="810">
        <f t="shared" si="555"/>
        <v>17.543249999999997</v>
      </c>
      <c r="AP158" s="810">
        <f t="shared" si="555"/>
        <v>17.543249999999997</v>
      </c>
      <c r="AQ158" s="811">
        <f t="shared" si="555"/>
        <v>17.543249999999997</v>
      </c>
      <c r="AS158" s="743" t="str">
        <f>AS136</f>
        <v>Cost price of the inventory</v>
      </c>
      <c r="AV158" s="810">
        <f>IF(AV144=0,$C$13,AV147)</f>
        <v>16.158245948522403</v>
      </c>
      <c r="AW158" s="810">
        <f t="shared" ref="AW158:BB158" ca="1" si="556">IF(AW144=0,AV158,AW147)</f>
        <v>17.543249999999997</v>
      </c>
      <c r="AX158" s="810">
        <f t="shared" ca="1" si="556"/>
        <v>17.894114999999996</v>
      </c>
      <c r="AY158" s="810">
        <f t="shared" ca="1" si="556"/>
        <v>18.251997299999996</v>
      </c>
      <c r="AZ158" s="810">
        <f t="shared" ca="1" si="556"/>
        <v>18.617037245999995</v>
      </c>
      <c r="BA158" s="810">
        <f t="shared" ca="1" si="556"/>
        <v>18.989377990919994</v>
      </c>
      <c r="BB158" s="811">
        <f t="shared" ca="1" si="556"/>
        <v>19.369165550738394</v>
      </c>
      <c r="BD158" s="743" t="str">
        <f>BD136</f>
        <v>Cost price of the inventory</v>
      </c>
      <c r="BG158" s="810">
        <f>IF(BG144=0,$C$13,BG147)</f>
        <v>16.158245948522403</v>
      </c>
      <c r="BH158" s="810">
        <f t="shared" ref="BH158:BM158" si="557">IF(BH144=0,BG158,BH147)</f>
        <v>16.158245948522403</v>
      </c>
      <c r="BI158" s="810">
        <f t="shared" si="557"/>
        <v>16.158245948522403</v>
      </c>
      <c r="BJ158" s="810">
        <f t="shared" si="557"/>
        <v>18.251997299999996</v>
      </c>
      <c r="BK158" s="810">
        <f t="shared" si="557"/>
        <v>18.617037245999995</v>
      </c>
      <c r="BL158" s="810">
        <f t="shared" si="557"/>
        <v>18.989377990919994</v>
      </c>
      <c r="BM158" s="811">
        <f t="shared" si="557"/>
        <v>19.369165550738394</v>
      </c>
    </row>
    <row r="159" spans="12:65" ht="13.5" thickBot="1">
      <c r="L159" s="746"/>
      <c r="M159" s="768"/>
      <c r="N159" s="768"/>
      <c r="O159" s="798">
        <f t="shared" ref="O159:U159" si="558">O145*O158</f>
        <v>0</v>
      </c>
      <c r="P159" s="798">
        <f t="shared" si="558"/>
        <v>0</v>
      </c>
      <c r="Q159" s="798">
        <f t="shared" si="558"/>
        <v>17.894114999999996</v>
      </c>
      <c r="R159" s="798">
        <f t="shared" si="558"/>
        <v>0</v>
      </c>
      <c r="S159" s="798">
        <f t="shared" si="558"/>
        <v>18.617037245999995</v>
      </c>
      <c r="T159" s="798">
        <f t="shared" si="558"/>
        <v>0</v>
      </c>
      <c r="U159" s="799">
        <f t="shared" si="558"/>
        <v>19.369165550738394</v>
      </c>
      <c r="W159" s="746"/>
      <c r="X159" s="768"/>
      <c r="Y159" s="768"/>
      <c r="Z159" s="798">
        <f t="shared" ref="Z159:AF159" si="559">Z145*Z158</f>
        <v>16.95</v>
      </c>
      <c r="AA159" s="798">
        <f t="shared" si="559"/>
        <v>16.95</v>
      </c>
      <c r="AB159" s="798">
        <f t="shared" si="559"/>
        <v>16.95</v>
      </c>
      <c r="AC159" s="798">
        <f t="shared" si="559"/>
        <v>16.95</v>
      </c>
      <c r="AD159" s="798">
        <f t="shared" si="559"/>
        <v>16.95</v>
      </c>
      <c r="AE159" s="798">
        <f t="shared" si="559"/>
        <v>16.95</v>
      </c>
      <c r="AF159" s="799">
        <f t="shared" si="559"/>
        <v>16.95</v>
      </c>
      <c r="AH159" s="746"/>
      <c r="AI159" s="768"/>
      <c r="AJ159" s="768"/>
      <c r="AK159" s="798">
        <f t="shared" ref="AK159:AQ159" si="560">AK145*AK158</f>
        <v>0</v>
      </c>
      <c r="AL159" s="798">
        <f t="shared" si="560"/>
        <v>245.60549999999995</v>
      </c>
      <c r="AM159" s="798">
        <f t="shared" si="560"/>
        <v>245.60549999999995</v>
      </c>
      <c r="AN159" s="798">
        <f t="shared" si="560"/>
        <v>245.60549999999995</v>
      </c>
      <c r="AO159" s="798">
        <f t="shared" si="560"/>
        <v>245.60549999999995</v>
      </c>
      <c r="AP159" s="798">
        <f t="shared" si="560"/>
        <v>245.60549999999995</v>
      </c>
      <c r="AQ159" s="799">
        <f t="shared" si="560"/>
        <v>245.60549999999995</v>
      </c>
      <c r="AS159" s="746"/>
      <c r="AT159" s="768"/>
      <c r="AU159" s="768"/>
      <c r="AV159" s="798">
        <f t="shared" ref="AV159:BB159" si="561">AV145*AV158</f>
        <v>0</v>
      </c>
      <c r="AW159" s="798">
        <f t="shared" ca="1" si="561"/>
        <v>140.34599999999998</v>
      </c>
      <c r="AX159" s="798">
        <f t="shared" ca="1" si="561"/>
        <v>161.04703499999997</v>
      </c>
      <c r="AY159" s="798">
        <f t="shared" ca="1" si="561"/>
        <v>237.27596489999993</v>
      </c>
      <c r="AZ159" s="798">
        <f t="shared" ca="1" si="561"/>
        <v>279.25555868999993</v>
      </c>
      <c r="BA159" s="798">
        <f t="shared" ca="1" si="561"/>
        <v>284.84066986379992</v>
      </c>
      <c r="BB159" s="799">
        <f t="shared" ca="1" si="561"/>
        <v>290.53748326107592</v>
      </c>
      <c r="BD159" s="746"/>
      <c r="BE159" s="768"/>
      <c r="BF159" s="768"/>
      <c r="BG159" s="798">
        <f t="shared" ref="BG159:BM159" si="562">BG145*BG158</f>
        <v>0</v>
      </c>
      <c r="BH159" s="798">
        <f t="shared" si="562"/>
        <v>0</v>
      </c>
      <c r="BI159" s="798">
        <f t="shared" si="562"/>
        <v>0</v>
      </c>
      <c r="BJ159" s="798">
        <f t="shared" si="562"/>
        <v>18.251997299999996</v>
      </c>
      <c r="BK159" s="798">
        <f t="shared" si="562"/>
        <v>37.234074491999991</v>
      </c>
      <c r="BL159" s="798">
        <f t="shared" si="562"/>
        <v>37.978755981839988</v>
      </c>
      <c r="BM159" s="799">
        <f t="shared" si="562"/>
        <v>38.738331101476788</v>
      </c>
    </row>
  </sheetData>
  <sheetProtection password="CD53" sheet="1" objects="1" scenarios="1" selectLockedCell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2" tint="-0.249977111117893"/>
  </sheetPr>
  <dimension ref="A2:X199"/>
  <sheetViews>
    <sheetView zoomScale="60" zoomScaleNormal="60" workbookViewId="0">
      <selection activeCell="L68" sqref="L68"/>
    </sheetView>
  </sheetViews>
  <sheetFormatPr defaultRowHeight="12.75"/>
  <cols>
    <col min="1" max="1" width="19.28515625" style="78" customWidth="1"/>
    <col min="2" max="2" width="19.7109375" style="222" bestFit="1" customWidth="1"/>
    <col min="3" max="3" width="19.7109375" style="78" bestFit="1" customWidth="1"/>
    <col min="4" max="4" width="20.42578125" style="78" bestFit="1" customWidth="1"/>
    <col min="5" max="5" width="13.28515625" style="78" customWidth="1"/>
    <col min="6" max="6" width="28.42578125" style="78" bestFit="1" customWidth="1"/>
    <col min="7" max="7" width="2.5703125" style="120" customWidth="1"/>
    <col min="8" max="8" width="21.85546875" style="730" customWidth="1"/>
    <col min="9" max="9" width="11.85546875" style="731" bestFit="1" customWidth="1"/>
    <col min="10" max="10" width="11.85546875" style="730" bestFit="1" customWidth="1"/>
    <col min="11" max="11" width="17" style="730" customWidth="1"/>
    <col min="12" max="12" width="12.28515625" style="730" bestFit="1" customWidth="1"/>
    <col min="13" max="13" width="14" style="78" bestFit="1" customWidth="1"/>
    <col min="14" max="14" width="3.140625" style="78" customWidth="1"/>
    <col min="15" max="15" width="4.85546875" style="78" customWidth="1"/>
    <col min="16" max="16" width="22.28515625" style="78" customWidth="1"/>
    <col min="17" max="17" width="9" style="78" bestFit="1" customWidth="1"/>
    <col min="18" max="18" width="8.7109375" style="78" bestFit="1" customWidth="1"/>
    <col min="19" max="19" width="9" style="78" bestFit="1" customWidth="1"/>
    <col min="20" max="20" width="10.85546875" style="78" bestFit="1" customWidth="1"/>
    <col min="21" max="41" width="9.140625" style="78"/>
    <col min="42" max="42" width="14.85546875" style="78" bestFit="1" customWidth="1"/>
    <col min="43" max="43" width="16.42578125" style="78" bestFit="1" customWidth="1"/>
    <col min="44" max="44" width="28.42578125" style="78" bestFit="1" customWidth="1"/>
    <col min="45" max="45" width="45.5703125" style="78" bestFit="1" customWidth="1"/>
    <col min="46" max="46" width="41.85546875" style="78" bestFit="1" customWidth="1"/>
    <col min="47" max="47" width="12.28515625" style="78" bestFit="1" customWidth="1"/>
    <col min="48" max="48" width="9.5703125" style="78" customWidth="1"/>
    <col min="49" max="49" width="35.28515625" style="78" customWidth="1"/>
    <col min="50" max="50" width="9.140625" style="78"/>
    <col min="51" max="51" width="96" style="78" bestFit="1" customWidth="1"/>
    <col min="52" max="52" width="43.28515625" style="78" bestFit="1" customWidth="1"/>
    <col min="53" max="53" width="44" style="78" bestFit="1" customWidth="1"/>
    <col min="54" max="54" width="28" style="78" bestFit="1" customWidth="1"/>
    <col min="55" max="55" width="9.140625" style="78"/>
    <col min="56" max="59" width="9.140625" style="78" customWidth="1"/>
    <col min="60" max="297" width="9.140625" style="78"/>
    <col min="298" max="298" width="14.85546875" style="78" bestFit="1" customWidth="1"/>
    <col min="299" max="299" width="16.42578125" style="78" bestFit="1" customWidth="1"/>
    <col min="300" max="300" width="28.42578125" style="78" bestFit="1" customWidth="1"/>
    <col min="301" max="301" width="45.5703125" style="78" bestFit="1" customWidth="1"/>
    <col min="302" max="302" width="41.85546875" style="78" bestFit="1" customWidth="1"/>
    <col min="303" max="303" width="12.28515625" style="78" bestFit="1" customWidth="1"/>
    <col min="304" max="304" width="9.5703125" style="78" customWidth="1"/>
    <col min="305" max="305" width="35.28515625" style="78" customWidth="1"/>
    <col min="306" max="306" width="9.140625" style="78"/>
    <col min="307" max="307" width="96" style="78" bestFit="1" customWidth="1"/>
    <col min="308" max="308" width="43.28515625" style="78" bestFit="1" customWidth="1"/>
    <col min="309" max="309" width="44" style="78" bestFit="1" customWidth="1"/>
    <col min="310" max="310" width="28" style="78" bestFit="1" customWidth="1"/>
    <col min="311" max="311" width="9.140625" style="78"/>
    <col min="312" max="315" width="9.140625" style="78" customWidth="1"/>
    <col min="316" max="553" width="9.140625" style="78"/>
    <col min="554" max="554" width="14.85546875" style="78" bestFit="1" customWidth="1"/>
    <col min="555" max="555" width="16.42578125" style="78" bestFit="1" customWidth="1"/>
    <col min="556" max="556" width="28.42578125" style="78" bestFit="1" customWidth="1"/>
    <col min="557" max="557" width="45.5703125" style="78" bestFit="1" customWidth="1"/>
    <col min="558" max="558" width="41.85546875" style="78" bestFit="1" customWidth="1"/>
    <col min="559" max="559" width="12.28515625" style="78" bestFit="1" customWidth="1"/>
    <col min="560" max="560" width="9.5703125" style="78" customWidth="1"/>
    <col min="561" max="561" width="35.28515625" style="78" customWidth="1"/>
    <col min="562" max="562" width="9.140625" style="78"/>
    <col min="563" max="563" width="96" style="78" bestFit="1" customWidth="1"/>
    <col min="564" max="564" width="43.28515625" style="78" bestFit="1" customWidth="1"/>
    <col min="565" max="565" width="44" style="78" bestFit="1" customWidth="1"/>
    <col min="566" max="566" width="28" style="78" bestFit="1" customWidth="1"/>
    <col min="567" max="567" width="9.140625" style="78"/>
    <col min="568" max="571" width="9.140625" style="78" customWidth="1"/>
    <col min="572" max="809" width="9.140625" style="78"/>
    <col min="810" max="810" width="14.85546875" style="78" bestFit="1" customWidth="1"/>
    <col min="811" max="811" width="16.42578125" style="78" bestFit="1" customWidth="1"/>
    <col min="812" max="812" width="28.42578125" style="78" bestFit="1" customWidth="1"/>
    <col min="813" max="813" width="45.5703125" style="78" bestFit="1" customWidth="1"/>
    <col min="814" max="814" width="41.85546875" style="78" bestFit="1" customWidth="1"/>
    <col min="815" max="815" width="12.28515625" style="78" bestFit="1" customWidth="1"/>
    <col min="816" max="816" width="9.5703125" style="78" customWidth="1"/>
    <col min="817" max="817" width="35.28515625" style="78" customWidth="1"/>
    <col min="818" max="818" width="9.140625" style="78"/>
    <col min="819" max="819" width="96" style="78" bestFit="1" customWidth="1"/>
    <col min="820" max="820" width="43.28515625" style="78" bestFit="1" customWidth="1"/>
    <col min="821" max="821" width="44" style="78" bestFit="1" customWidth="1"/>
    <col min="822" max="822" width="28" style="78" bestFit="1" customWidth="1"/>
    <col min="823" max="823" width="9.140625" style="78"/>
    <col min="824" max="827" width="9.140625" style="78" customWidth="1"/>
    <col min="828" max="1065" width="9.140625" style="78"/>
    <col min="1066" max="1066" width="14.85546875" style="78" bestFit="1" customWidth="1"/>
    <col min="1067" max="1067" width="16.42578125" style="78" bestFit="1" customWidth="1"/>
    <col min="1068" max="1068" width="28.42578125" style="78" bestFit="1" customWidth="1"/>
    <col min="1069" max="1069" width="45.5703125" style="78" bestFit="1" customWidth="1"/>
    <col min="1070" max="1070" width="41.85546875" style="78" bestFit="1" customWidth="1"/>
    <col min="1071" max="1071" width="12.28515625" style="78" bestFit="1" customWidth="1"/>
    <col min="1072" max="1072" width="9.5703125" style="78" customWidth="1"/>
    <col min="1073" max="1073" width="35.28515625" style="78" customWidth="1"/>
    <col min="1074" max="1074" width="9.140625" style="78"/>
    <col min="1075" max="1075" width="96" style="78" bestFit="1" customWidth="1"/>
    <col min="1076" max="1076" width="43.28515625" style="78" bestFit="1" customWidth="1"/>
    <col min="1077" max="1077" width="44" style="78" bestFit="1" customWidth="1"/>
    <col min="1078" max="1078" width="28" style="78" bestFit="1" customWidth="1"/>
    <col min="1079" max="1079" width="9.140625" style="78"/>
    <col min="1080" max="1083" width="9.140625" style="78" customWidth="1"/>
    <col min="1084" max="1321" width="9.140625" style="78"/>
    <col min="1322" max="1322" width="14.85546875" style="78" bestFit="1" customWidth="1"/>
    <col min="1323" max="1323" width="16.42578125" style="78" bestFit="1" customWidth="1"/>
    <col min="1324" max="1324" width="28.42578125" style="78" bestFit="1" customWidth="1"/>
    <col min="1325" max="1325" width="45.5703125" style="78" bestFit="1" customWidth="1"/>
    <col min="1326" max="1326" width="41.85546875" style="78" bestFit="1" customWidth="1"/>
    <col min="1327" max="1327" width="12.28515625" style="78" bestFit="1" customWidth="1"/>
    <col min="1328" max="1328" width="9.5703125" style="78" customWidth="1"/>
    <col min="1329" max="1329" width="35.28515625" style="78" customWidth="1"/>
    <col min="1330" max="1330" width="9.140625" style="78"/>
    <col min="1331" max="1331" width="96" style="78" bestFit="1" customWidth="1"/>
    <col min="1332" max="1332" width="43.28515625" style="78" bestFit="1" customWidth="1"/>
    <col min="1333" max="1333" width="44" style="78" bestFit="1" customWidth="1"/>
    <col min="1334" max="1334" width="28" style="78" bestFit="1" customWidth="1"/>
    <col min="1335" max="1335" width="9.140625" style="78"/>
    <col min="1336" max="1339" width="9.140625" style="78" customWidth="1"/>
    <col min="1340" max="1577" width="9.140625" style="78"/>
    <col min="1578" max="1578" width="14.85546875" style="78" bestFit="1" customWidth="1"/>
    <col min="1579" max="1579" width="16.42578125" style="78" bestFit="1" customWidth="1"/>
    <col min="1580" max="1580" width="28.42578125" style="78" bestFit="1" customWidth="1"/>
    <col min="1581" max="1581" width="45.5703125" style="78" bestFit="1" customWidth="1"/>
    <col min="1582" max="1582" width="41.85546875" style="78" bestFit="1" customWidth="1"/>
    <col min="1583" max="1583" width="12.28515625" style="78" bestFit="1" customWidth="1"/>
    <col min="1584" max="1584" width="9.5703125" style="78" customWidth="1"/>
    <col min="1585" max="1585" width="35.28515625" style="78" customWidth="1"/>
    <col min="1586" max="1586" width="9.140625" style="78"/>
    <col min="1587" max="1587" width="96" style="78" bestFit="1" customWidth="1"/>
    <col min="1588" max="1588" width="43.28515625" style="78" bestFit="1" customWidth="1"/>
    <col min="1589" max="1589" width="44" style="78" bestFit="1" customWidth="1"/>
    <col min="1590" max="1590" width="28" style="78" bestFit="1" customWidth="1"/>
    <col min="1591" max="1591" width="9.140625" style="78"/>
    <col min="1592" max="1595" width="9.140625" style="78" customWidth="1"/>
    <col min="1596" max="1833" width="9.140625" style="78"/>
    <col min="1834" max="1834" width="14.85546875" style="78" bestFit="1" customWidth="1"/>
    <col min="1835" max="1835" width="16.42578125" style="78" bestFit="1" customWidth="1"/>
    <col min="1836" max="1836" width="28.42578125" style="78" bestFit="1" customWidth="1"/>
    <col min="1837" max="1837" width="45.5703125" style="78" bestFit="1" customWidth="1"/>
    <col min="1838" max="1838" width="41.85546875" style="78" bestFit="1" customWidth="1"/>
    <col min="1839" max="1839" width="12.28515625" style="78" bestFit="1" customWidth="1"/>
    <col min="1840" max="1840" width="9.5703125" style="78" customWidth="1"/>
    <col min="1841" max="1841" width="35.28515625" style="78" customWidth="1"/>
    <col min="1842" max="1842" width="9.140625" style="78"/>
    <col min="1843" max="1843" width="96" style="78" bestFit="1" customWidth="1"/>
    <col min="1844" max="1844" width="43.28515625" style="78" bestFit="1" customWidth="1"/>
    <col min="1845" max="1845" width="44" style="78" bestFit="1" customWidth="1"/>
    <col min="1846" max="1846" width="28" style="78" bestFit="1" customWidth="1"/>
    <col min="1847" max="1847" width="9.140625" style="78"/>
    <col min="1848" max="1851" width="9.140625" style="78" customWidth="1"/>
    <col min="1852" max="2089" width="9.140625" style="78"/>
    <col min="2090" max="2090" width="14.85546875" style="78" bestFit="1" customWidth="1"/>
    <col min="2091" max="2091" width="16.42578125" style="78" bestFit="1" customWidth="1"/>
    <col min="2092" max="2092" width="28.42578125" style="78" bestFit="1" customWidth="1"/>
    <col min="2093" max="2093" width="45.5703125" style="78" bestFit="1" customWidth="1"/>
    <col min="2094" max="2094" width="41.85546875" style="78" bestFit="1" customWidth="1"/>
    <col min="2095" max="2095" width="12.28515625" style="78" bestFit="1" customWidth="1"/>
    <col min="2096" max="2096" width="9.5703125" style="78" customWidth="1"/>
    <col min="2097" max="2097" width="35.28515625" style="78" customWidth="1"/>
    <col min="2098" max="2098" width="9.140625" style="78"/>
    <col min="2099" max="2099" width="96" style="78" bestFit="1" customWidth="1"/>
    <col min="2100" max="2100" width="43.28515625" style="78" bestFit="1" customWidth="1"/>
    <col min="2101" max="2101" width="44" style="78" bestFit="1" customWidth="1"/>
    <col min="2102" max="2102" width="28" style="78" bestFit="1" customWidth="1"/>
    <col min="2103" max="2103" width="9.140625" style="78"/>
    <col min="2104" max="2107" width="9.140625" style="78" customWidth="1"/>
    <col min="2108" max="2345" width="9.140625" style="78"/>
    <col min="2346" max="2346" width="14.85546875" style="78" bestFit="1" customWidth="1"/>
    <col min="2347" max="2347" width="16.42578125" style="78" bestFit="1" customWidth="1"/>
    <col min="2348" max="2348" width="28.42578125" style="78" bestFit="1" customWidth="1"/>
    <col min="2349" max="2349" width="45.5703125" style="78" bestFit="1" customWidth="1"/>
    <col min="2350" max="2350" width="41.85546875" style="78" bestFit="1" customWidth="1"/>
    <col min="2351" max="2351" width="12.28515625" style="78" bestFit="1" customWidth="1"/>
    <col min="2352" max="2352" width="9.5703125" style="78" customWidth="1"/>
    <col min="2353" max="2353" width="35.28515625" style="78" customWidth="1"/>
    <col min="2354" max="2354" width="9.140625" style="78"/>
    <col min="2355" max="2355" width="96" style="78" bestFit="1" customWidth="1"/>
    <col min="2356" max="2356" width="43.28515625" style="78" bestFit="1" customWidth="1"/>
    <col min="2357" max="2357" width="44" style="78" bestFit="1" customWidth="1"/>
    <col min="2358" max="2358" width="28" style="78" bestFit="1" customWidth="1"/>
    <col min="2359" max="2359" width="9.140625" style="78"/>
    <col min="2360" max="2363" width="9.140625" style="78" customWidth="1"/>
    <col min="2364" max="2601" width="9.140625" style="78"/>
    <col min="2602" max="2602" width="14.85546875" style="78" bestFit="1" customWidth="1"/>
    <col min="2603" max="2603" width="16.42578125" style="78" bestFit="1" customWidth="1"/>
    <col min="2604" max="2604" width="28.42578125" style="78" bestFit="1" customWidth="1"/>
    <col min="2605" max="2605" width="45.5703125" style="78" bestFit="1" customWidth="1"/>
    <col min="2606" max="2606" width="41.85546875" style="78" bestFit="1" customWidth="1"/>
    <col min="2607" max="2607" width="12.28515625" style="78" bestFit="1" customWidth="1"/>
    <col min="2608" max="2608" width="9.5703125" style="78" customWidth="1"/>
    <col min="2609" max="2609" width="35.28515625" style="78" customWidth="1"/>
    <col min="2610" max="2610" width="9.140625" style="78"/>
    <col min="2611" max="2611" width="96" style="78" bestFit="1" customWidth="1"/>
    <col min="2612" max="2612" width="43.28515625" style="78" bestFit="1" customWidth="1"/>
    <col min="2613" max="2613" width="44" style="78" bestFit="1" customWidth="1"/>
    <col min="2614" max="2614" width="28" style="78" bestFit="1" customWidth="1"/>
    <col min="2615" max="2615" width="9.140625" style="78"/>
    <col min="2616" max="2619" width="9.140625" style="78" customWidth="1"/>
    <col min="2620" max="2857" width="9.140625" style="78"/>
    <col min="2858" max="2858" width="14.85546875" style="78" bestFit="1" customWidth="1"/>
    <col min="2859" max="2859" width="16.42578125" style="78" bestFit="1" customWidth="1"/>
    <col min="2860" max="2860" width="28.42578125" style="78" bestFit="1" customWidth="1"/>
    <col min="2861" max="2861" width="45.5703125" style="78" bestFit="1" customWidth="1"/>
    <col min="2862" max="2862" width="41.85546875" style="78" bestFit="1" customWidth="1"/>
    <col min="2863" max="2863" width="12.28515625" style="78" bestFit="1" customWidth="1"/>
    <col min="2864" max="2864" width="9.5703125" style="78" customWidth="1"/>
    <col min="2865" max="2865" width="35.28515625" style="78" customWidth="1"/>
    <col min="2866" max="2866" width="9.140625" style="78"/>
    <col min="2867" max="2867" width="96" style="78" bestFit="1" customWidth="1"/>
    <col min="2868" max="2868" width="43.28515625" style="78" bestFit="1" customWidth="1"/>
    <col min="2869" max="2869" width="44" style="78" bestFit="1" customWidth="1"/>
    <col min="2870" max="2870" width="28" style="78" bestFit="1" customWidth="1"/>
    <col min="2871" max="2871" width="9.140625" style="78"/>
    <col min="2872" max="2875" width="9.140625" style="78" customWidth="1"/>
    <col min="2876" max="3113" width="9.140625" style="78"/>
    <col min="3114" max="3114" width="14.85546875" style="78" bestFit="1" customWidth="1"/>
    <col min="3115" max="3115" width="16.42578125" style="78" bestFit="1" customWidth="1"/>
    <col min="3116" max="3116" width="28.42578125" style="78" bestFit="1" customWidth="1"/>
    <col min="3117" max="3117" width="45.5703125" style="78" bestFit="1" customWidth="1"/>
    <col min="3118" max="3118" width="41.85546875" style="78" bestFit="1" customWidth="1"/>
    <col min="3119" max="3119" width="12.28515625" style="78" bestFit="1" customWidth="1"/>
    <col min="3120" max="3120" width="9.5703125" style="78" customWidth="1"/>
    <col min="3121" max="3121" width="35.28515625" style="78" customWidth="1"/>
    <col min="3122" max="3122" width="9.140625" style="78"/>
    <col min="3123" max="3123" width="96" style="78" bestFit="1" customWidth="1"/>
    <col min="3124" max="3124" width="43.28515625" style="78" bestFit="1" customWidth="1"/>
    <col min="3125" max="3125" width="44" style="78" bestFit="1" customWidth="1"/>
    <col min="3126" max="3126" width="28" style="78" bestFit="1" customWidth="1"/>
    <col min="3127" max="3127" width="9.140625" style="78"/>
    <col min="3128" max="3131" width="9.140625" style="78" customWidth="1"/>
    <col min="3132" max="3369" width="9.140625" style="78"/>
    <col min="3370" max="3370" width="14.85546875" style="78" bestFit="1" customWidth="1"/>
    <col min="3371" max="3371" width="16.42578125" style="78" bestFit="1" customWidth="1"/>
    <col min="3372" max="3372" width="28.42578125" style="78" bestFit="1" customWidth="1"/>
    <col min="3373" max="3373" width="45.5703125" style="78" bestFit="1" customWidth="1"/>
    <col min="3374" max="3374" width="41.85546875" style="78" bestFit="1" customWidth="1"/>
    <col min="3375" max="3375" width="12.28515625" style="78" bestFit="1" customWidth="1"/>
    <col min="3376" max="3376" width="9.5703125" style="78" customWidth="1"/>
    <col min="3377" max="3377" width="35.28515625" style="78" customWidth="1"/>
    <col min="3378" max="3378" width="9.140625" style="78"/>
    <col min="3379" max="3379" width="96" style="78" bestFit="1" customWidth="1"/>
    <col min="3380" max="3380" width="43.28515625" style="78" bestFit="1" customWidth="1"/>
    <col min="3381" max="3381" width="44" style="78" bestFit="1" customWidth="1"/>
    <col min="3382" max="3382" width="28" style="78" bestFit="1" customWidth="1"/>
    <col min="3383" max="3383" width="9.140625" style="78"/>
    <col min="3384" max="3387" width="9.140625" style="78" customWidth="1"/>
    <col min="3388" max="3625" width="9.140625" style="78"/>
    <col min="3626" max="3626" width="14.85546875" style="78" bestFit="1" customWidth="1"/>
    <col min="3627" max="3627" width="16.42578125" style="78" bestFit="1" customWidth="1"/>
    <col min="3628" max="3628" width="28.42578125" style="78" bestFit="1" customWidth="1"/>
    <col min="3629" max="3629" width="45.5703125" style="78" bestFit="1" customWidth="1"/>
    <col min="3630" max="3630" width="41.85546875" style="78" bestFit="1" customWidth="1"/>
    <col min="3631" max="3631" width="12.28515625" style="78" bestFit="1" customWidth="1"/>
    <col min="3632" max="3632" width="9.5703125" style="78" customWidth="1"/>
    <col min="3633" max="3633" width="35.28515625" style="78" customWidth="1"/>
    <col min="3634" max="3634" width="9.140625" style="78"/>
    <col min="3635" max="3635" width="96" style="78" bestFit="1" customWidth="1"/>
    <col min="3636" max="3636" width="43.28515625" style="78" bestFit="1" customWidth="1"/>
    <col min="3637" max="3637" width="44" style="78" bestFit="1" customWidth="1"/>
    <col min="3638" max="3638" width="28" style="78" bestFit="1" customWidth="1"/>
    <col min="3639" max="3639" width="9.140625" style="78"/>
    <col min="3640" max="3643" width="9.140625" style="78" customWidth="1"/>
    <col min="3644" max="3881" width="9.140625" style="78"/>
    <col min="3882" max="3882" width="14.85546875" style="78" bestFit="1" customWidth="1"/>
    <col min="3883" max="3883" width="16.42578125" style="78" bestFit="1" customWidth="1"/>
    <col min="3884" max="3884" width="28.42578125" style="78" bestFit="1" customWidth="1"/>
    <col min="3885" max="3885" width="45.5703125" style="78" bestFit="1" customWidth="1"/>
    <col min="3886" max="3886" width="41.85546875" style="78" bestFit="1" customWidth="1"/>
    <col min="3887" max="3887" width="12.28515625" style="78" bestFit="1" customWidth="1"/>
    <col min="3888" max="3888" width="9.5703125" style="78" customWidth="1"/>
    <col min="3889" max="3889" width="35.28515625" style="78" customWidth="1"/>
    <col min="3890" max="3890" width="9.140625" style="78"/>
    <col min="3891" max="3891" width="96" style="78" bestFit="1" customWidth="1"/>
    <col min="3892" max="3892" width="43.28515625" style="78" bestFit="1" customWidth="1"/>
    <col min="3893" max="3893" width="44" style="78" bestFit="1" customWidth="1"/>
    <col min="3894" max="3894" width="28" style="78" bestFit="1" customWidth="1"/>
    <col min="3895" max="3895" width="9.140625" style="78"/>
    <col min="3896" max="3899" width="9.140625" style="78" customWidth="1"/>
    <col min="3900" max="4137" width="9.140625" style="78"/>
    <col min="4138" max="4138" width="14.85546875" style="78" bestFit="1" customWidth="1"/>
    <col min="4139" max="4139" width="16.42578125" style="78" bestFit="1" customWidth="1"/>
    <col min="4140" max="4140" width="28.42578125" style="78" bestFit="1" customWidth="1"/>
    <col min="4141" max="4141" width="45.5703125" style="78" bestFit="1" customWidth="1"/>
    <col min="4142" max="4142" width="41.85546875" style="78" bestFit="1" customWidth="1"/>
    <col min="4143" max="4143" width="12.28515625" style="78" bestFit="1" customWidth="1"/>
    <col min="4144" max="4144" width="9.5703125" style="78" customWidth="1"/>
    <col min="4145" max="4145" width="35.28515625" style="78" customWidth="1"/>
    <col min="4146" max="4146" width="9.140625" style="78"/>
    <col min="4147" max="4147" width="96" style="78" bestFit="1" customWidth="1"/>
    <col min="4148" max="4148" width="43.28515625" style="78" bestFit="1" customWidth="1"/>
    <col min="4149" max="4149" width="44" style="78" bestFit="1" customWidth="1"/>
    <col min="4150" max="4150" width="28" style="78" bestFit="1" customWidth="1"/>
    <col min="4151" max="4151" width="9.140625" style="78"/>
    <col min="4152" max="4155" width="9.140625" style="78" customWidth="1"/>
    <col min="4156" max="4393" width="9.140625" style="78"/>
    <col min="4394" max="4394" width="14.85546875" style="78" bestFit="1" customWidth="1"/>
    <col min="4395" max="4395" width="16.42578125" style="78" bestFit="1" customWidth="1"/>
    <col min="4396" max="4396" width="28.42578125" style="78" bestFit="1" customWidth="1"/>
    <col min="4397" max="4397" width="45.5703125" style="78" bestFit="1" customWidth="1"/>
    <col min="4398" max="4398" width="41.85546875" style="78" bestFit="1" customWidth="1"/>
    <col min="4399" max="4399" width="12.28515625" style="78" bestFit="1" customWidth="1"/>
    <col min="4400" max="4400" width="9.5703125" style="78" customWidth="1"/>
    <col min="4401" max="4401" width="35.28515625" style="78" customWidth="1"/>
    <col min="4402" max="4402" width="9.140625" style="78"/>
    <col min="4403" max="4403" width="96" style="78" bestFit="1" customWidth="1"/>
    <col min="4404" max="4404" width="43.28515625" style="78" bestFit="1" customWidth="1"/>
    <col min="4405" max="4405" width="44" style="78" bestFit="1" customWidth="1"/>
    <col min="4406" max="4406" width="28" style="78" bestFit="1" customWidth="1"/>
    <col min="4407" max="4407" width="9.140625" style="78"/>
    <col min="4408" max="4411" width="9.140625" style="78" customWidth="1"/>
    <col min="4412" max="4649" width="9.140625" style="78"/>
    <col min="4650" max="4650" width="14.85546875" style="78" bestFit="1" customWidth="1"/>
    <col min="4651" max="4651" width="16.42578125" style="78" bestFit="1" customWidth="1"/>
    <col min="4652" max="4652" width="28.42578125" style="78" bestFit="1" customWidth="1"/>
    <col min="4653" max="4653" width="45.5703125" style="78" bestFit="1" customWidth="1"/>
    <col min="4654" max="4654" width="41.85546875" style="78" bestFit="1" customWidth="1"/>
    <col min="4655" max="4655" width="12.28515625" style="78" bestFit="1" customWidth="1"/>
    <col min="4656" max="4656" width="9.5703125" style="78" customWidth="1"/>
    <col min="4657" max="4657" width="35.28515625" style="78" customWidth="1"/>
    <col min="4658" max="4658" width="9.140625" style="78"/>
    <col min="4659" max="4659" width="96" style="78" bestFit="1" customWidth="1"/>
    <col min="4660" max="4660" width="43.28515625" style="78" bestFit="1" customWidth="1"/>
    <col min="4661" max="4661" width="44" style="78" bestFit="1" customWidth="1"/>
    <col min="4662" max="4662" width="28" style="78" bestFit="1" customWidth="1"/>
    <col min="4663" max="4663" width="9.140625" style="78"/>
    <col min="4664" max="4667" width="9.140625" style="78" customWidth="1"/>
    <col min="4668" max="4905" width="9.140625" style="78"/>
    <col min="4906" max="4906" width="14.85546875" style="78" bestFit="1" customWidth="1"/>
    <col min="4907" max="4907" width="16.42578125" style="78" bestFit="1" customWidth="1"/>
    <col min="4908" max="4908" width="28.42578125" style="78" bestFit="1" customWidth="1"/>
    <col min="4909" max="4909" width="45.5703125" style="78" bestFit="1" customWidth="1"/>
    <col min="4910" max="4910" width="41.85546875" style="78" bestFit="1" customWidth="1"/>
    <col min="4911" max="4911" width="12.28515625" style="78" bestFit="1" customWidth="1"/>
    <col min="4912" max="4912" width="9.5703125" style="78" customWidth="1"/>
    <col min="4913" max="4913" width="35.28515625" style="78" customWidth="1"/>
    <col min="4914" max="4914" width="9.140625" style="78"/>
    <col min="4915" max="4915" width="96" style="78" bestFit="1" customWidth="1"/>
    <col min="4916" max="4916" width="43.28515625" style="78" bestFit="1" customWidth="1"/>
    <col min="4917" max="4917" width="44" style="78" bestFit="1" customWidth="1"/>
    <col min="4918" max="4918" width="28" style="78" bestFit="1" customWidth="1"/>
    <col min="4919" max="4919" width="9.140625" style="78"/>
    <col min="4920" max="4923" width="9.140625" style="78" customWidth="1"/>
    <col min="4924" max="5161" width="9.140625" style="78"/>
    <col min="5162" max="5162" width="14.85546875" style="78" bestFit="1" customWidth="1"/>
    <col min="5163" max="5163" width="16.42578125" style="78" bestFit="1" customWidth="1"/>
    <col min="5164" max="5164" width="28.42578125" style="78" bestFit="1" customWidth="1"/>
    <col min="5165" max="5165" width="45.5703125" style="78" bestFit="1" customWidth="1"/>
    <col min="5166" max="5166" width="41.85546875" style="78" bestFit="1" customWidth="1"/>
    <col min="5167" max="5167" width="12.28515625" style="78" bestFit="1" customWidth="1"/>
    <col min="5168" max="5168" width="9.5703125" style="78" customWidth="1"/>
    <col min="5169" max="5169" width="35.28515625" style="78" customWidth="1"/>
    <col min="5170" max="5170" width="9.140625" style="78"/>
    <col min="5171" max="5171" width="96" style="78" bestFit="1" customWidth="1"/>
    <col min="5172" max="5172" width="43.28515625" style="78" bestFit="1" customWidth="1"/>
    <col min="5173" max="5173" width="44" style="78" bestFit="1" customWidth="1"/>
    <col min="5174" max="5174" width="28" style="78" bestFit="1" customWidth="1"/>
    <col min="5175" max="5175" width="9.140625" style="78"/>
    <col min="5176" max="5179" width="9.140625" style="78" customWidth="1"/>
    <col min="5180" max="5417" width="9.140625" style="78"/>
    <col min="5418" max="5418" width="14.85546875" style="78" bestFit="1" customWidth="1"/>
    <col min="5419" max="5419" width="16.42578125" style="78" bestFit="1" customWidth="1"/>
    <col min="5420" max="5420" width="28.42578125" style="78" bestFit="1" customWidth="1"/>
    <col min="5421" max="5421" width="45.5703125" style="78" bestFit="1" customWidth="1"/>
    <col min="5422" max="5422" width="41.85546875" style="78" bestFit="1" customWidth="1"/>
    <col min="5423" max="5423" width="12.28515625" style="78" bestFit="1" customWidth="1"/>
    <col min="5424" max="5424" width="9.5703125" style="78" customWidth="1"/>
    <col min="5425" max="5425" width="35.28515625" style="78" customWidth="1"/>
    <col min="5426" max="5426" width="9.140625" style="78"/>
    <col min="5427" max="5427" width="96" style="78" bestFit="1" customWidth="1"/>
    <col min="5428" max="5428" width="43.28515625" style="78" bestFit="1" customWidth="1"/>
    <col min="5429" max="5429" width="44" style="78" bestFit="1" customWidth="1"/>
    <col min="5430" max="5430" width="28" style="78" bestFit="1" customWidth="1"/>
    <col min="5431" max="5431" width="9.140625" style="78"/>
    <col min="5432" max="5435" width="9.140625" style="78" customWidth="1"/>
    <col min="5436" max="5673" width="9.140625" style="78"/>
    <col min="5674" max="5674" width="14.85546875" style="78" bestFit="1" customWidth="1"/>
    <col min="5675" max="5675" width="16.42578125" style="78" bestFit="1" customWidth="1"/>
    <col min="5676" max="5676" width="28.42578125" style="78" bestFit="1" customWidth="1"/>
    <col min="5677" max="5677" width="45.5703125" style="78" bestFit="1" customWidth="1"/>
    <col min="5678" max="5678" width="41.85546875" style="78" bestFit="1" customWidth="1"/>
    <col min="5679" max="5679" width="12.28515625" style="78" bestFit="1" customWidth="1"/>
    <col min="5680" max="5680" width="9.5703125" style="78" customWidth="1"/>
    <col min="5681" max="5681" width="35.28515625" style="78" customWidth="1"/>
    <col min="5682" max="5682" width="9.140625" style="78"/>
    <col min="5683" max="5683" width="96" style="78" bestFit="1" customWidth="1"/>
    <col min="5684" max="5684" width="43.28515625" style="78" bestFit="1" customWidth="1"/>
    <col min="5685" max="5685" width="44" style="78" bestFit="1" customWidth="1"/>
    <col min="5686" max="5686" width="28" style="78" bestFit="1" customWidth="1"/>
    <col min="5687" max="5687" width="9.140625" style="78"/>
    <col min="5688" max="5691" width="9.140625" style="78" customWidth="1"/>
    <col min="5692" max="5929" width="9.140625" style="78"/>
    <col min="5930" max="5930" width="14.85546875" style="78" bestFit="1" customWidth="1"/>
    <col min="5931" max="5931" width="16.42578125" style="78" bestFit="1" customWidth="1"/>
    <col min="5932" max="5932" width="28.42578125" style="78" bestFit="1" customWidth="1"/>
    <col min="5933" max="5933" width="45.5703125" style="78" bestFit="1" customWidth="1"/>
    <col min="5934" max="5934" width="41.85546875" style="78" bestFit="1" customWidth="1"/>
    <col min="5935" max="5935" width="12.28515625" style="78" bestFit="1" customWidth="1"/>
    <col min="5936" max="5936" width="9.5703125" style="78" customWidth="1"/>
    <col min="5937" max="5937" width="35.28515625" style="78" customWidth="1"/>
    <col min="5938" max="5938" width="9.140625" style="78"/>
    <col min="5939" max="5939" width="96" style="78" bestFit="1" customWidth="1"/>
    <col min="5940" max="5940" width="43.28515625" style="78" bestFit="1" customWidth="1"/>
    <col min="5941" max="5941" width="44" style="78" bestFit="1" customWidth="1"/>
    <col min="5942" max="5942" width="28" style="78" bestFit="1" customWidth="1"/>
    <col min="5943" max="5943" width="9.140625" style="78"/>
    <col min="5944" max="5947" width="9.140625" style="78" customWidth="1"/>
    <col min="5948" max="6185" width="9.140625" style="78"/>
    <col min="6186" max="6186" width="14.85546875" style="78" bestFit="1" customWidth="1"/>
    <col min="6187" max="6187" width="16.42578125" style="78" bestFit="1" customWidth="1"/>
    <col min="6188" max="6188" width="28.42578125" style="78" bestFit="1" customWidth="1"/>
    <col min="6189" max="6189" width="45.5703125" style="78" bestFit="1" customWidth="1"/>
    <col min="6190" max="6190" width="41.85546875" style="78" bestFit="1" customWidth="1"/>
    <col min="6191" max="6191" width="12.28515625" style="78" bestFit="1" customWidth="1"/>
    <col min="6192" max="6192" width="9.5703125" style="78" customWidth="1"/>
    <col min="6193" max="6193" width="35.28515625" style="78" customWidth="1"/>
    <col min="6194" max="6194" width="9.140625" style="78"/>
    <col min="6195" max="6195" width="96" style="78" bestFit="1" customWidth="1"/>
    <col min="6196" max="6196" width="43.28515625" style="78" bestFit="1" customWidth="1"/>
    <col min="6197" max="6197" width="44" style="78" bestFit="1" customWidth="1"/>
    <col min="6198" max="6198" width="28" style="78" bestFit="1" customWidth="1"/>
    <col min="6199" max="6199" width="9.140625" style="78"/>
    <col min="6200" max="6203" width="9.140625" style="78" customWidth="1"/>
    <col min="6204" max="6441" width="9.140625" style="78"/>
    <col min="6442" max="6442" width="14.85546875" style="78" bestFit="1" customWidth="1"/>
    <col min="6443" max="6443" width="16.42578125" style="78" bestFit="1" customWidth="1"/>
    <col min="6444" max="6444" width="28.42578125" style="78" bestFit="1" customWidth="1"/>
    <col min="6445" max="6445" width="45.5703125" style="78" bestFit="1" customWidth="1"/>
    <col min="6446" max="6446" width="41.85546875" style="78" bestFit="1" customWidth="1"/>
    <col min="6447" max="6447" width="12.28515625" style="78" bestFit="1" customWidth="1"/>
    <col min="6448" max="6448" width="9.5703125" style="78" customWidth="1"/>
    <col min="6449" max="6449" width="35.28515625" style="78" customWidth="1"/>
    <col min="6450" max="6450" width="9.140625" style="78"/>
    <col min="6451" max="6451" width="96" style="78" bestFit="1" customWidth="1"/>
    <col min="6452" max="6452" width="43.28515625" style="78" bestFit="1" customWidth="1"/>
    <col min="6453" max="6453" width="44" style="78" bestFit="1" customWidth="1"/>
    <col min="6454" max="6454" width="28" style="78" bestFit="1" customWidth="1"/>
    <col min="6455" max="6455" width="9.140625" style="78"/>
    <col min="6456" max="6459" width="9.140625" style="78" customWidth="1"/>
    <col min="6460" max="6697" width="9.140625" style="78"/>
    <col min="6698" max="6698" width="14.85546875" style="78" bestFit="1" customWidth="1"/>
    <col min="6699" max="6699" width="16.42578125" style="78" bestFit="1" customWidth="1"/>
    <col min="6700" max="6700" width="28.42578125" style="78" bestFit="1" customWidth="1"/>
    <col min="6701" max="6701" width="45.5703125" style="78" bestFit="1" customWidth="1"/>
    <col min="6702" max="6702" width="41.85546875" style="78" bestFit="1" customWidth="1"/>
    <col min="6703" max="6703" width="12.28515625" style="78" bestFit="1" customWidth="1"/>
    <col min="6704" max="6704" width="9.5703125" style="78" customWidth="1"/>
    <col min="6705" max="6705" width="35.28515625" style="78" customWidth="1"/>
    <col min="6706" max="6706" width="9.140625" style="78"/>
    <col min="6707" max="6707" width="96" style="78" bestFit="1" customWidth="1"/>
    <col min="6708" max="6708" width="43.28515625" style="78" bestFit="1" customWidth="1"/>
    <col min="6709" max="6709" width="44" style="78" bestFit="1" customWidth="1"/>
    <col min="6710" max="6710" width="28" style="78" bestFit="1" customWidth="1"/>
    <col min="6711" max="6711" width="9.140625" style="78"/>
    <col min="6712" max="6715" width="9.140625" style="78" customWidth="1"/>
    <col min="6716" max="6953" width="9.140625" style="78"/>
    <col min="6954" max="6954" width="14.85546875" style="78" bestFit="1" customWidth="1"/>
    <col min="6955" max="6955" width="16.42578125" style="78" bestFit="1" customWidth="1"/>
    <col min="6956" max="6956" width="28.42578125" style="78" bestFit="1" customWidth="1"/>
    <col min="6957" max="6957" width="45.5703125" style="78" bestFit="1" customWidth="1"/>
    <col min="6958" max="6958" width="41.85546875" style="78" bestFit="1" customWidth="1"/>
    <col min="6959" max="6959" width="12.28515625" style="78" bestFit="1" customWidth="1"/>
    <col min="6960" max="6960" width="9.5703125" style="78" customWidth="1"/>
    <col min="6961" max="6961" width="35.28515625" style="78" customWidth="1"/>
    <col min="6962" max="6962" width="9.140625" style="78"/>
    <col min="6963" max="6963" width="96" style="78" bestFit="1" customWidth="1"/>
    <col min="6964" max="6964" width="43.28515625" style="78" bestFit="1" customWidth="1"/>
    <col min="6965" max="6965" width="44" style="78" bestFit="1" customWidth="1"/>
    <col min="6966" max="6966" width="28" style="78" bestFit="1" customWidth="1"/>
    <col min="6967" max="6967" width="9.140625" style="78"/>
    <col min="6968" max="6971" width="9.140625" style="78" customWidth="1"/>
    <col min="6972" max="7209" width="9.140625" style="78"/>
    <col min="7210" max="7210" width="14.85546875" style="78" bestFit="1" customWidth="1"/>
    <col min="7211" max="7211" width="16.42578125" style="78" bestFit="1" customWidth="1"/>
    <col min="7212" max="7212" width="28.42578125" style="78" bestFit="1" customWidth="1"/>
    <col min="7213" max="7213" width="45.5703125" style="78" bestFit="1" customWidth="1"/>
    <col min="7214" max="7214" width="41.85546875" style="78" bestFit="1" customWidth="1"/>
    <col min="7215" max="7215" width="12.28515625" style="78" bestFit="1" customWidth="1"/>
    <col min="7216" max="7216" width="9.5703125" style="78" customWidth="1"/>
    <col min="7217" max="7217" width="35.28515625" style="78" customWidth="1"/>
    <col min="7218" max="7218" width="9.140625" style="78"/>
    <col min="7219" max="7219" width="96" style="78" bestFit="1" customWidth="1"/>
    <col min="7220" max="7220" width="43.28515625" style="78" bestFit="1" customWidth="1"/>
    <col min="7221" max="7221" width="44" style="78" bestFit="1" customWidth="1"/>
    <col min="7222" max="7222" width="28" style="78" bestFit="1" customWidth="1"/>
    <col min="7223" max="7223" width="9.140625" style="78"/>
    <col min="7224" max="7227" width="9.140625" style="78" customWidth="1"/>
    <col min="7228" max="7465" width="9.140625" style="78"/>
    <col min="7466" max="7466" width="14.85546875" style="78" bestFit="1" customWidth="1"/>
    <col min="7467" max="7467" width="16.42578125" style="78" bestFit="1" customWidth="1"/>
    <col min="7468" max="7468" width="28.42578125" style="78" bestFit="1" customWidth="1"/>
    <col min="7469" max="7469" width="45.5703125" style="78" bestFit="1" customWidth="1"/>
    <col min="7470" max="7470" width="41.85546875" style="78" bestFit="1" customWidth="1"/>
    <col min="7471" max="7471" width="12.28515625" style="78" bestFit="1" customWidth="1"/>
    <col min="7472" max="7472" width="9.5703125" style="78" customWidth="1"/>
    <col min="7473" max="7473" width="35.28515625" style="78" customWidth="1"/>
    <col min="7474" max="7474" width="9.140625" style="78"/>
    <col min="7475" max="7475" width="96" style="78" bestFit="1" customWidth="1"/>
    <col min="7476" max="7476" width="43.28515625" style="78" bestFit="1" customWidth="1"/>
    <col min="7477" max="7477" width="44" style="78" bestFit="1" customWidth="1"/>
    <col min="7478" max="7478" width="28" style="78" bestFit="1" customWidth="1"/>
    <col min="7479" max="7479" width="9.140625" style="78"/>
    <col min="7480" max="7483" width="9.140625" style="78" customWidth="1"/>
    <col min="7484" max="7721" width="9.140625" style="78"/>
    <col min="7722" max="7722" width="14.85546875" style="78" bestFit="1" customWidth="1"/>
    <col min="7723" max="7723" width="16.42578125" style="78" bestFit="1" customWidth="1"/>
    <col min="7724" max="7724" width="28.42578125" style="78" bestFit="1" customWidth="1"/>
    <col min="7725" max="7725" width="45.5703125" style="78" bestFit="1" customWidth="1"/>
    <col min="7726" max="7726" width="41.85546875" style="78" bestFit="1" customWidth="1"/>
    <col min="7727" max="7727" width="12.28515625" style="78" bestFit="1" customWidth="1"/>
    <col min="7728" max="7728" width="9.5703125" style="78" customWidth="1"/>
    <col min="7729" max="7729" width="35.28515625" style="78" customWidth="1"/>
    <col min="7730" max="7730" width="9.140625" style="78"/>
    <col min="7731" max="7731" width="96" style="78" bestFit="1" customWidth="1"/>
    <col min="7732" max="7732" width="43.28515625" style="78" bestFit="1" customWidth="1"/>
    <col min="7733" max="7733" width="44" style="78" bestFit="1" customWidth="1"/>
    <col min="7734" max="7734" width="28" style="78" bestFit="1" customWidth="1"/>
    <col min="7735" max="7735" width="9.140625" style="78"/>
    <col min="7736" max="7739" width="9.140625" style="78" customWidth="1"/>
    <col min="7740" max="7977" width="9.140625" style="78"/>
    <col min="7978" max="7978" width="14.85546875" style="78" bestFit="1" customWidth="1"/>
    <col min="7979" max="7979" width="16.42578125" style="78" bestFit="1" customWidth="1"/>
    <col min="7980" max="7980" width="28.42578125" style="78" bestFit="1" customWidth="1"/>
    <col min="7981" max="7981" width="45.5703125" style="78" bestFit="1" customWidth="1"/>
    <col min="7982" max="7982" width="41.85546875" style="78" bestFit="1" customWidth="1"/>
    <col min="7983" max="7983" width="12.28515625" style="78" bestFit="1" customWidth="1"/>
    <col min="7984" max="7984" width="9.5703125" style="78" customWidth="1"/>
    <col min="7985" max="7985" width="35.28515625" style="78" customWidth="1"/>
    <col min="7986" max="7986" width="9.140625" style="78"/>
    <col min="7987" max="7987" width="96" style="78" bestFit="1" customWidth="1"/>
    <col min="7988" max="7988" width="43.28515625" style="78" bestFit="1" customWidth="1"/>
    <col min="7989" max="7989" width="44" style="78" bestFit="1" customWidth="1"/>
    <col min="7990" max="7990" width="28" style="78" bestFit="1" customWidth="1"/>
    <col min="7991" max="7991" width="9.140625" style="78"/>
    <col min="7992" max="7995" width="9.140625" style="78" customWidth="1"/>
    <col min="7996" max="8233" width="9.140625" style="78"/>
    <col min="8234" max="8234" width="14.85546875" style="78" bestFit="1" customWidth="1"/>
    <col min="8235" max="8235" width="16.42578125" style="78" bestFit="1" customWidth="1"/>
    <col min="8236" max="8236" width="28.42578125" style="78" bestFit="1" customWidth="1"/>
    <col min="8237" max="8237" width="45.5703125" style="78" bestFit="1" customWidth="1"/>
    <col min="8238" max="8238" width="41.85546875" style="78" bestFit="1" customWidth="1"/>
    <col min="8239" max="8239" width="12.28515625" style="78" bestFit="1" customWidth="1"/>
    <col min="8240" max="8240" width="9.5703125" style="78" customWidth="1"/>
    <col min="8241" max="8241" width="35.28515625" style="78" customWidth="1"/>
    <col min="8242" max="8242" width="9.140625" style="78"/>
    <col min="8243" max="8243" width="96" style="78" bestFit="1" customWidth="1"/>
    <col min="8244" max="8244" width="43.28515625" style="78" bestFit="1" customWidth="1"/>
    <col min="8245" max="8245" width="44" style="78" bestFit="1" customWidth="1"/>
    <col min="8246" max="8246" width="28" style="78" bestFit="1" customWidth="1"/>
    <col min="8247" max="8247" width="9.140625" style="78"/>
    <col min="8248" max="8251" width="9.140625" style="78" customWidth="1"/>
    <col min="8252" max="8489" width="9.140625" style="78"/>
    <col min="8490" max="8490" width="14.85546875" style="78" bestFit="1" customWidth="1"/>
    <col min="8491" max="8491" width="16.42578125" style="78" bestFit="1" customWidth="1"/>
    <col min="8492" max="8492" width="28.42578125" style="78" bestFit="1" customWidth="1"/>
    <col min="8493" max="8493" width="45.5703125" style="78" bestFit="1" customWidth="1"/>
    <col min="8494" max="8494" width="41.85546875" style="78" bestFit="1" customWidth="1"/>
    <col min="8495" max="8495" width="12.28515625" style="78" bestFit="1" customWidth="1"/>
    <col min="8496" max="8496" width="9.5703125" style="78" customWidth="1"/>
    <col min="8497" max="8497" width="35.28515625" style="78" customWidth="1"/>
    <col min="8498" max="8498" width="9.140625" style="78"/>
    <col min="8499" max="8499" width="96" style="78" bestFit="1" customWidth="1"/>
    <col min="8500" max="8500" width="43.28515625" style="78" bestFit="1" customWidth="1"/>
    <col min="8501" max="8501" width="44" style="78" bestFit="1" customWidth="1"/>
    <col min="8502" max="8502" width="28" style="78" bestFit="1" customWidth="1"/>
    <col min="8503" max="8503" width="9.140625" style="78"/>
    <col min="8504" max="8507" width="9.140625" style="78" customWidth="1"/>
    <col min="8508" max="8745" width="9.140625" style="78"/>
    <col min="8746" max="8746" width="14.85546875" style="78" bestFit="1" customWidth="1"/>
    <col min="8747" max="8747" width="16.42578125" style="78" bestFit="1" customWidth="1"/>
    <col min="8748" max="8748" width="28.42578125" style="78" bestFit="1" customWidth="1"/>
    <col min="8749" max="8749" width="45.5703125" style="78" bestFit="1" customWidth="1"/>
    <col min="8750" max="8750" width="41.85546875" style="78" bestFit="1" customWidth="1"/>
    <col min="8751" max="8751" width="12.28515625" style="78" bestFit="1" customWidth="1"/>
    <col min="8752" max="8752" width="9.5703125" style="78" customWidth="1"/>
    <col min="8753" max="8753" width="35.28515625" style="78" customWidth="1"/>
    <col min="8754" max="8754" width="9.140625" style="78"/>
    <col min="8755" max="8755" width="96" style="78" bestFit="1" customWidth="1"/>
    <col min="8756" max="8756" width="43.28515625" style="78" bestFit="1" customWidth="1"/>
    <col min="8757" max="8757" width="44" style="78" bestFit="1" customWidth="1"/>
    <col min="8758" max="8758" width="28" style="78" bestFit="1" customWidth="1"/>
    <col min="8759" max="8759" width="9.140625" style="78"/>
    <col min="8760" max="8763" width="9.140625" style="78" customWidth="1"/>
    <col min="8764" max="9001" width="9.140625" style="78"/>
    <col min="9002" max="9002" width="14.85546875" style="78" bestFit="1" customWidth="1"/>
    <col min="9003" max="9003" width="16.42578125" style="78" bestFit="1" customWidth="1"/>
    <col min="9004" max="9004" width="28.42578125" style="78" bestFit="1" customWidth="1"/>
    <col min="9005" max="9005" width="45.5703125" style="78" bestFit="1" customWidth="1"/>
    <col min="9006" max="9006" width="41.85546875" style="78" bestFit="1" customWidth="1"/>
    <col min="9007" max="9007" width="12.28515625" style="78" bestFit="1" customWidth="1"/>
    <col min="9008" max="9008" width="9.5703125" style="78" customWidth="1"/>
    <col min="9009" max="9009" width="35.28515625" style="78" customWidth="1"/>
    <col min="9010" max="9010" width="9.140625" style="78"/>
    <col min="9011" max="9011" width="96" style="78" bestFit="1" customWidth="1"/>
    <col min="9012" max="9012" width="43.28515625" style="78" bestFit="1" customWidth="1"/>
    <col min="9013" max="9013" width="44" style="78" bestFit="1" customWidth="1"/>
    <col min="9014" max="9014" width="28" style="78" bestFit="1" customWidth="1"/>
    <col min="9015" max="9015" width="9.140625" style="78"/>
    <col min="9016" max="9019" width="9.140625" style="78" customWidth="1"/>
    <col min="9020" max="9257" width="9.140625" style="78"/>
    <col min="9258" max="9258" width="14.85546875" style="78" bestFit="1" customWidth="1"/>
    <col min="9259" max="9259" width="16.42578125" style="78" bestFit="1" customWidth="1"/>
    <col min="9260" max="9260" width="28.42578125" style="78" bestFit="1" customWidth="1"/>
    <col min="9261" max="9261" width="45.5703125" style="78" bestFit="1" customWidth="1"/>
    <col min="9262" max="9262" width="41.85546875" style="78" bestFit="1" customWidth="1"/>
    <col min="9263" max="9263" width="12.28515625" style="78" bestFit="1" customWidth="1"/>
    <col min="9264" max="9264" width="9.5703125" style="78" customWidth="1"/>
    <col min="9265" max="9265" width="35.28515625" style="78" customWidth="1"/>
    <col min="9266" max="9266" width="9.140625" style="78"/>
    <col min="9267" max="9267" width="96" style="78" bestFit="1" customWidth="1"/>
    <col min="9268" max="9268" width="43.28515625" style="78" bestFit="1" customWidth="1"/>
    <col min="9269" max="9269" width="44" style="78" bestFit="1" customWidth="1"/>
    <col min="9270" max="9270" width="28" style="78" bestFit="1" customWidth="1"/>
    <col min="9271" max="9271" width="9.140625" style="78"/>
    <col min="9272" max="9275" width="9.140625" style="78" customWidth="1"/>
    <col min="9276" max="9513" width="9.140625" style="78"/>
    <col min="9514" max="9514" width="14.85546875" style="78" bestFit="1" customWidth="1"/>
    <col min="9515" max="9515" width="16.42578125" style="78" bestFit="1" customWidth="1"/>
    <col min="9516" max="9516" width="28.42578125" style="78" bestFit="1" customWidth="1"/>
    <col min="9517" max="9517" width="45.5703125" style="78" bestFit="1" customWidth="1"/>
    <col min="9518" max="9518" width="41.85546875" style="78" bestFit="1" customWidth="1"/>
    <col min="9519" max="9519" width="12.28515625" style="78" bestFit="1" customWidth="1"/>
    <col min="9520" max="9520" width="9.5703125" style="78" customWidth="1"/>
    <col min="9521" max="9521" width="35.28515625" style="78" customWidth="1"/>
    <col min="9522" max="9522" width="9.140625" style="78"/>
    <col min="9523" max="9523" width="96" style="78" bestFit="1" customWidth="1"/>
    <col min="9524" max="9524" width="43.28515625" style="78" bestFit="1" customWidth="1"/>
    <col min="9525" max="9525" width="44" style="78" bestFit="1" customWidth="1"/>
    <col min="9526" max="9526" width="28" style="78" bestFit="1" customWidth="1"/>
    <col min="9527" max="9527" width="9.140625" style="78"/>
    <col min="9528" max="9531" width="9.140625" style="78" customWidth="1"/>
    <col min="9532" max="9769" width="9.140625" style="78"/>
    <col min="9770" max="9770" width="14.85546875" style="78" bestFit="1" customWidth="1"/>
    <col min="9771" max="9771" width="16.42578125" style="78" bestFit="1" customWidth="1"/>
    <col min="9772" max="9772" width="28.42578125" style="78" bestFit="1" customWidth="1"/>
    <col min="9773" max="9773" width="45.5703125" style="78" bestFit="1" customWidth="1"/>
    <col min="9774" max="9774" width="41.85546875" style="78" bestFit="1" customWidth="1"/>
    <col min="9775" max="9775" width="12.28515625" style="78" bestFit="1" customWidth="1"/>
    <col min="9776" max="9776" width="9.5703125" style="78" customWidth="1"/>
    <col min="9777" max="9777" width="35.28515625" style="78" customWidth="1"/>
    <col min="9778" max="9778" width="9.140625" style="78"/>
    <col min="9779" max="9779" width="96" style="78" bestFit="1" customWidth="1"/>
    <col min="9780" max="9780" width="43.28515625" style="78" bestFit="1" customWidth="1"/>
    <col min="9781" max="9781" width="44" style="78" bestFit="1" customWidth="1"/>
    <col min="9782" max="9782" width="28" style="78" bestFit="1" customWidth="1"/>
    <col min="9783" max="9783" width="9.140625" style="78"/>
    <col min="9784" max="9787" width="9.140625" style="78" customWidth="1"/>
    <col min="9788" max="10025" width="9.140625" style="78"/>
    <col min="10026" max="10026" width="14.85546875" style="78" bestFit="1" customWidth="1"/>
    <col min="10027" max="10027" width="16.42578125" style="78" bestFit="1" customWidth="1"/>
    <col min="10028" max="10028" width="28.42578125" style="78" bestFit="1" customWidth="1"/>
    <col min="10029" max="10029" width="45.5703125" style="78" bestFit="1" customWidth="1"/>
    <col min="10030" max="10030" width="41.85546875" style="78" bestFit="1" customWidth="1"/>
    <col min="10031" max="10031" width="12.28515625" style="78" bestFit="1" customWidth="1"/>
    <col min="10032" max="10032" width="9.5703125" style="78" customWidth="1"/>
    <col min="10033" max="10033" width="35.28515625" style="78" customWidth="1"/>
    <col min="10034" max="10034" width="9.140625" style="78"/>
    <col min="10035" max="10035" width="96" style="78" bestFit="1" customWidth="1"/>
    <col min="10036" max="10036" width="43.28515625" style="78" bestFit="1" customWidth="1"/>
    <col min="10037" max="10037" width="44" style="78" bestFit="1" customWidth="1"/>
    <col min="10038" max="10038" width="28" style="78" bestFit="1" customWidth="1"/>
    <col min="10039" max="10039" width="9.140625" style="78"/>
    <col min="10040" max="10043" width="9.140625" style="78" customWidth="1"/>
    <col min="10044" max="10281" width="9.140625" style="78"/>
    <col min="10282" max="10282" width="14.85546875" style="78" bestFit="1" customWidth="1"/>
    <col min="10283" max="10283" width="16.42578125" style="78" bestFit="1" customWidth="1"/>
    <col min="10284" max="10284" width="28.42578125" style="78" bestFit="1" customWidth="1"/>
    <col min="10285" max="10285" width="45.5703125" style="78" bestFit="1" customWidth="1"/>
    <col min="10286" max="10286" width="41.85546875" style="78" bestFit="1" customWidth="1"/>
    <col min="10287" max="10287" width="12.28515625" style="78" bestFit="1" customWidth="1"/>
    <col min="10288" max="10288" width="9.5703125" style="78" customWidth="1"/>
    <col min="10289" max="10289" width="35.28515625" style="78" customWidth="1"/>
    <col min="10290" max="10290" width="9.140625" style="78"/>
    <col min="10291" max="10291" width="96" style="78" bestFit="1" customWidth="1"/>
    <col min="10292" max="10292" width="43.28515625" style="78" bestFit="1" customWidth="1"/>
    <col min="10293" max="10293" width="44" style="78" bestFit="1" customWidth="1"/>
    <col min="10294" max="10294" width="28" style="78" bestFit="1" customWidth="1"/>
    <col min="10295" max="10295" width="9.140625" style="78"/>
    <col min="10296" max="10299" width="9.140625" style="78" customWidth="1"/>
    <col min="10300" max="10537" width="9.140625" style="78"/>
    <col min="10538" max="10538" width="14.85546875" style="78" bestFit="1" customWidth="1"/>
    <col min="10539" max="10539" width="16.42578125" style="78" bestFit="1" customWidth="1"/>
    <col min="10540" max="10540" width="28.42578125" style="78" bestFit="1" customWidth="1"/>
    <col min="10541" max="10541" width="45.5703125" style="78" bestFit="1" customWidth="1"/>
    <col min="10542" max="10542" width="41.85546875" style="78" bestFit="1" customWidth="1"/>
    <col min="10543" max="10543" width="12.28515625" style="78" bestFit="1" customWidth="1"/>
    <col min="10544" max="10544" width="9.5703125" style="78" customWidth="1"/>
    <col min="10545" max="10545" width="35.28515625" style="78" customWidth="1"/>
    <col min="10546" max="10546" width="9.140625" style="78"/>
    <col min="10547" max="10547" width="96" style="78" bestFit="1" customWidth="1"/>
    <col min="10548" max="10548" width="43.28515625" style="78" bestFit="1" customWidth="1"/>
    <col min="10549" max="10549" width="44" style="78" bestFit="1" customWidth="1"/>
    <col min="10550" max="10550" width="28" style="78" bestFit="1" customWidth="1"/>
    <col min="10551" max="10551" width="9.140625" style="78"/>
    <col min="10552" max="10555" width="9.140625" style="78" customWidth="1"/>
    <col min="10556" max="10793" width="9.140625" style="78"/>
    <col min="10794" max="10794" width="14.85546875" style="78" bestFit="1" customWidth="1"/>
    <col min="10795" max="10795" width="16.42578125" style="78" bestFit="1" customWidth="1"/>
    <col min="10796" max="10796" width="28.42578125" style="78" bestFit="1" customWidth="1"/>
    <col min="10797" max="10797" width="45.5703125" style="78" bestFit="1" customWidth="1"/>
    <col min="10798" max="10798" width="41.85546875" style="78" bestFit="1" customWidth="1"/>
    <col min="10799" max="10799" width="12.28515625" style="78" bestFit="1" customWidth="1"/>
    <col min="10800" max="10800" width="9.5703125" style="78" customWidth="1"/>
    <col min="10801" max="10801" width="35.28515625" style="78" customWidth="1"/>
    <col min="10802" max="10802" width="9.140625" style="78"/>
    <col min="10803" max="10803" width="96" style="78" bestFit="1" customWidth="1"/>
    <col min="10804" max="10804" width="43.28515625" style="78" bestFit="1" customWidth="1"/>
    <col min="10805" max="10805" width="44" style="78" bestFit="1" customWidth="1"/>
    <col min="10806" max="10806" width="28" style="78" bestFit="1" customWidth="1"/>
    <col min="10807" max="10807" width="9.140625" style="78"/>
    <col min="10808" max="10811" width="9.140625" style="78" customWidth="1"/>
    <col min="10812" max="11049" width="9.140625" style="78"/>
    <col min="11050" max="11050" width="14.85546875" style="78" bestFit="1" customWidth="1"/>
    <col min="11051" max="11051" width="16.42578125" style="78" bestFit="1" customWidth="1"/>
    <col min="11052" max="11052" width="28.42578125" style="78" bestFit="1" customWidth="1"/>
    <col min="11053" max="11053" width="45.5703125" style="78" bestFit="1" customWidth="1"/>
    <col min="11054" max="11054" width="41.85546875" style="78" bestFit="1" customWidth="1"/>
    <col min="11055" max="11055" width="12.28515625" style="78" bestFit="1" customWidth="1"/>
    <col min="11056" max="11056" width="9.5703125" style="78" customWidth="1"/>
    <col min="11057" max="11057" width="35.28515625" style="78" customWidth="1"/>
    <col min="11058" max="11058" width="9.140625" style="78"/>
    <col min="11059" max="11059" width="96" style="78" bestFit="1" customWidth="1"/>
    <col min="11060" max="11060" width="43.28515625" style="78" bestFit="1" customWidth="1"/>
    <col min="11061" max="11061" width="44" style="78" bestFit="1" customWidth="1"/>
    <col min="11062" max="11062" width="28" style="78" bestFit="1" customWidth="1"/>
    <col min="11063" max="11063" width="9.140625" style="78"/>
    <col min="11064" max="11067" width="9.140625" style="78" customWidth="1"/>
    <col min="11068" max="11305" width="9.140625" style="78"/>
    <col min="11306" max="11306" width="14.85546875" style="78" bestFit="1" customWidth="1"/>
    <col min="11307" max="11307" width="16.42578125" style="78" bestFit="1" customWidth="1"/>
    <col min="11308" max="11308" width="28.42578125" style="78" bestFit="1" customWidth="1"/>
    <col min="11309" max="11309" width="45.5703125" style="78" bestFit="1" customWidth="1"/>
    <col min="11310" max="11310" width="41.85546875" style="78" bestFit="1" customWidth="1"/>
    <col min="11311" max="11311" width="12.28515625" style="78" bestFit="1" customWidth="1"/>
    <col min="11312" max="11312" width="9.5703125" style="78" customWidth="1"/>
    <col min="11313" max="11313" width="35.28515625" style="78" customWidth="1"/>
    <col min="11314" max="11314" width="9.140625" style="78"/>
    <col min="11315" max="11315" width="96" style="78" bestFit="1" customWidth="1"/>
    <col min="11316" max="11316" width="43.28515625" style="78" bestFit="1" customWidth="1"/>
    <col min="11317" max="11317" width="44" style="78" bestFit="1" customWidth="1"/>
    <col min="11318" max="11318" width="28" style="78" bestFit="1" customWidth="1"/>
    <col min="11319" max="11319" width="9.140625" style="78"/>
    <col min="11320" max="11323" width="9.140625" style="78" customWidth="1"/>
    <col min="11324" max="11561" width="9.140625" style="78"/>
    <col min="11562" max="11562" width="14.85546875" style="78" bestFit="1" customWidth="1"/>
    <col min="11563" max="11563" width="16.42578125" style="78" bestFit="1" customWidth="1"/>
    <col min="11564" max="11564" width="28.42578125" style="78" bestFit="1" customWidth="1"/>
    <col min="11565" max="11565" width="45.5703125" style="78" bestFit="1" customWidth="1"/>
    <col min="11566" max="11566" width="41.85546875" style="78" bestFit="1" customWidth="1"/>
    <col min="11567" max="11567" width="12.28515625" style="78" bestFit="1" customWidth="1"/>
    <col min="11568" max="11568" width="9.5703125" style="78" customWidth="1"/>
    <col min="11569" max="11569" width="35.28515625" style="78" customWidth="1"/>
    <col min="11570" max="11570" width="9.140625" style="78"/>
    <col min="11571" max="11571" width="96" style="78" bestFit="1" customWidth="1"/>
    <col min="11572" max="11572" width="43.28515625" style="78" bestFit="1" customWidth="1"/>
    <col min="11573" max="11573" width="44" style="78" bestFit="1" customWidth="1"/>
    <col min="11574" max="11574" width="28" style="78" bestFit="1" customWidth="1"/>
    <col min="11575" max="11575" width="9.140625" style="78"/>
    <col min="11576" max="11579" width="9.140625" style="78" customWidth="1"/>
    <col min="11580" max="11817" width="9.140625" style="78"/>
    <col min="11818" max="11818" width="14.85546875" style="78" bestFit="1" customWidth="1"/>
    <col min="11819" max="11819" width="16.42578125" style="78" bestFit="1" customWidth="1"/>
    <col min="11820" max="11820" width="28.42578125" style="78" bestFit="1" customWidth="1"/>
    <col min="11821" max="11821" width="45.5703125" style="78" bestFit="1" customWidth="1"/>
    <col min="11822" max="11822" width="41.85546875" style="78" bestFit="1" customWidth="1"/>
    <col min="11823" max="11823" width="12.28515625" style="78" bestFit="1" customWidth="1"/>
    <col min="11824" max="11824" width="9.5703125" style="78" customWidth="1"/>
    <col min="11825" max="11825" width="35.28515625" style="78" customWidth="1"/>
    <col min="11826" max="11826" width="9.140625" style="78"/>
    <col min="11827" max="11827" width="96" style="78" bestFit="1" customWidth="1"/>
    <col min="11828" max="11828" width="43.28515625" style="78" bestFit="1" customWidth="1"/>
    <col min="11829" max="11829" width="44" style="78" bestFit="1" customWidth="1"/>
    <col min="11830" max="11830" width="28" style="78" bestFit="1" customWidth="1"/>
    <col min="11831" max="11831" width="9.140625" style="78"/>
    <col min="11832" max="11835" width="9.140625" style="78" customWidth="1"/>
    <col min="11836" max="12073" width="9.140625" style="78"/>
    <col min="12074" max="12074" width="14.85546875" style="78" bestFit="1" customWidth="1"/>
    <col min="12075" max="12075" width="16.42578125" style="78" bestFit="1" customWidth="1"/>
    <col min="12076" max="12076" width="28.42578125" style="78" bestFit="1" customWidth="1"/>
    <col min="12077" max="12077" width="45.5703125" style="78" bestFit="1" customWidth="1"/>
    <col min="12078" max="12078" width="41.85546875" style="78" bestFit="1" customWidth="1"/>
    <col min="12079" max="12079" width="12.28515625" style="78" bestFit="1" customWidth="1"/>
    <col min="12080" max="12080" width="9.5703125" style="78" customWidth="1"/>
    <col min="12081" max="12081" width="35.28515625" style="78" customWidth="1"/>
    <col min="12082" max="12082" width="9.140625" style="78"/>
    <col min="12083" max="12083" width="96" style="78" bestFit="1" customWidth="1"/>
    <col min="12084" max="12084" width="43.28515625" style="78" bestFit="1" customWidth="1"/>
    <col min="12085" max="12085" width="44" style="78" bestFit="1" customWidth="1"/>
    <col min="12086" max="12086" width="28" style="78" bestFit="1" customWidth="1"/>
    <col min="12087" max="12087" width="9.140625" style="78"/>
    <col min="12088" max="12091" width="9.140625" style="78" customWidth="1"/>
    <col min="12092" max="12329" width="9.140625" style="78"/>
    <col min="12330" max="12330" width="14.85546875" style="78" bestFit="1" customWidth="1"/>
    <col min="12331" max="12331" width="16.42578125" style="78" bestFit="1" customWidth="1"/>
    <col min="12332" max="12332" width="28.42578125" style="78" bestFit="1" customWidth="1"/>
    <col min="12333" max="12333" width="45.5703125" style="78" bestFit="1" customWidth="1"/>
    <col min="12334" max="12334" width="41.85546875" style="78" bestFit="1" customWidth="1"/>
    <col min="12335" max="12335" width="12.28515625" style="78" bestFit="1" customWidth="1"/>
    <col min="12336" max="12336" width="9.5703125" style="78" customWidth="1"/>
    <col min="12337" max="12337" width="35.28515625" style="78" customWidth="1"/>
    <col min="12338" max="12338" width="9.140625" style="78"/>
    <col min="12339" max="12339" width="96" style="78" bestFit="1" customWidth="1"/>
    <col min="12340" max="12340" width="43.28515625" style="78" bestFit="1" customWidth="1"/>
    <col min="12341" max="12341" width="44" style="78" bestFit="1" customWidth="1"/>
    <col min="12342" max="12342" width="28" style="78" bestFit="1" customWidth="1"/>
    <col min="12343" max="12343" width="9.140625" style="78"/>
    <col min="12344" max="12347" width="9.140625" style="78" customWidth="1"/>
    <col min="12348" max="12585" width="9.140625" style="78"/>
    <col min="12586" max="12586" width="14.85546875" style="78" bestFit="1" customWidth="1"/>
    <col min="12587" max="12587" width="16.42578125" style="78" bestFit="1" customWidth="1"/>
    <col min="12588" max="12588" width="28.42578125" style="78" bestFit="1" customWidth="1"/>
    <col min="12589" max="12589" width="45.5703125" style="78" bestFit="1" customWidth="1"/>
    <col min="12590" max="12590" width="41.85546875" style="78" bestFit="1" customWidth="1"/>
    <col min="12591" max="12591" width="12.28515625" style="78" bestFit="1" customWidth="1"/>
    <col min="12592" max="12592" width="9.5703125" style="78" customWidth="1"/>
    <col min="12593" max="12593" width="35.28515625" style="78" customWidth="1"/>
    <col min="12594" max="12594" width="9.140625" style="78"/>
    <col min="12595" max="12595" width="96" style="78" bestFit="1" customWidth="1"/>
    <col min="12596" max="12596" width="43.28515625" style="78" bestFit="1" customWidth="1"/>
    <col min="12597" max="12597" width="44" style="78" bestFit="1" customWidth="1"/>
    <col min="12598" max="12598" width="28" style="78" bestFit="1" customWidth="1"/>
    <col min="12599" max="12599" width="9.140625" style="78"/>
    <col min="12600" max="12603" width="9.140625" style="78" customWidth="1"/>
    <col min="12604" max="12841" width="9.140625" style="78"/>
    <col min="12842" max="12842" width="14.85546875" style="78" bestFit="1" customWidth="1"/>
    <col min="12843" max="12843" width="16.42578125" style="78" bestFit="1" customWidth="1"/>
    <col min="12844" max="12844" width="28.42578125" style="78" bestFit="1" customWidth="1"/>
    <col min="12845" max="12845" width="45.5703125" style="78" bestFit="1" customWidth="1"/>
    <col min="12846" max="12846" width="41.85546875" style="78" bestFit="1" customWidth="1"/>
    <col min="12847" max="12847" width="12.28515625" style="78" bestFit="1" customWidth="1"/>
    <col min="12848" max="12848" width="9.5703125" style="78" customWidth="1"/>
    <col min="12849" max="12849" width="35.28515625" style="78" customWidth="1"/>
    <col min="12850" max="12850" width="9.140625" style="78"/>
    <col min="12851" max="12851" width="96" style="78" bestFit="1" customWidth="1"/>
    <col min="12852" max="12852" width="43.28515625" style="78" bestFit="1" customWidth="1"/>
    <col min="12853" max="12853" width="44" style="78" bestFit="1" customWidth="1"/>
    <col min="12854" max="12854" width="28" style="78" bestFit="1" customWidth="1"/>
    <col min="12855" max="12855" width="9.140625" style="78"/>
    <col min="12856" max="12859" width="9.140625" style="78" customWidth="1"/>
    <col min="12860" max="13097" width="9.140625" style="78"/>
    <col min="13098" max="13098" width="14.85546875" style="78" bestFit="1" customWidth="1"/>
    <col min="13099" max="13099" width="16.42578125" style="78" bestFit="1" customWidth="1"/>
    <col min="13100" max="13100" width="28.42578125" style="78" bestFit="1" customWidth="1"/>
    <col min="13101" max="13101" width="45.5703125" style="78" bestFit="1" customWidth="1"/>
    <col min="13102" max="13102" width="41.85546875" style="78" bestFit="1" customWidth="1"/>
    <col min="13103" max="13103" width="12.28515625" style="78" bestFit="1" customWidth="1"/>
    <col min="13104" max="13104" width="9.5703125" style="78" customWidth="1"/>
    <col min="13105" max="13105" width="35.28515625" style="78" customWidth="1"/>
    <col min="13106" max="13106" width="9.140625" style="78"/>
    <col min="13107" max="13107" width="96" style="78" bestFit="1" customWidth="1"/>
    <col min="13108" max="13108" width="43.28515625" style="78" bestFit="1" customWidth="1"/>
    <col min="13109" max="13109" width="44" style="78" bestFit="1" customWidth="1"/>
    <col min="13110" max="13110" width="28" style="78" bestFit="1" customWidth="1"/>
    <col min="13111" max="13111" width="9.140625" style="78"/>
    <col min="13112" max="13115" width="9.140625" style="78" customWidth="1"/>
    <col min="13116" max="13353" width="9.140625" style="78"/>
    <col min="13354" max="13354" width="14.85546875" style="78" bestFit="1" customWidth="1"/>
    <col min="13355" max="13355" width="16.42578125" style="78" bestFit="1" customWidth="1"/>
    <col min="13356" max="13356" width="28.42578125" style="78" bestFit="1" customWidth="1"/>
    <col min="13357" max="13357" width="45.5703125" style="78" bestFit="1" customWidth="1"/>
    <col min="13358" max="13358" width="41.85546875" style="78" bestFit="1" customWidth="1"/>
    <col min="13359" max="13359" width="12.28515625" style="78" bestFit="1" customWidth="1"/>
    <col min="13360" max="13360" width="9.5703125" style="78" customWidth="1"/>
    <col min="13361" max="13361" width="35.28515625" style="78" customWidth="1"/>
    <col min="13362" max="13362" width="9.140625" style="78"/>
    <col min="13363" max="13363" width="96" style="78" bestFit="1" customWidth="1"/>
    <col min="13364" max="13364" width="43.28515625" style="78" bestFit="1" customWidth="1"/>
    <col min="13365" max="13365" width="44" style="78" bestFit="1" customWidth="1"/>
    <col min="13366" max="13366" width="28" style="78" bestFit="1" customWidth="1"/>
    <col min="13367" max="13367" width="9.140625" style="78"/>
    <col min="13368" max="13371" width="9.140625" style="78" customWidth="1"/>
    <col min="13372" max="13609" width="9.140625" style="78"/>
    <col min="13610" max="13610" width="14.85546875" style="78" bestFit="1" customWidth="1"/>
    <col min="13611" max="13611" width="16.42578125" style="78" bestFit="1" customWidth="1"/>
    <col min="13612" max="13612" width="28.42578125" style="78" bestFit="1" customWidth="1"/>
    <col min="13613" max="13613" width="45.5703125" style="78" bestFit="1" customWidth="1"/>
    <col min="13614" max="13614" width="41.85546875" style="78" bestFit="1" customWidth="1"/>
    <col min="13615" max="13615" width="12.28515625" style="78" bestFit="1" customWidth="1"/>
    <col min="13616" max="13616" width="9.5703125" style="78" customWidth="1"/>
    <col min="13617" max="13617" width="35.28515625" style="78" customWidth="1"/>
    <col min="13618" max="13618" width="9.140625" style="78"/>
    <col min="13619" max="13619" width="96" style="78" bestFit="1" customWidth="1"/>
    <col min="13620" max="13620" width="43.28515625" style="78" bestFit="1" customWidth="1"/>
    <col min="13621" max="13621" width="44" style="78" bestFit="1" customWidth="1"/>
    <col min="13622" max="13622" width="28" style="78" bestFit="1" customWidth="1"/>
    <col min="13623" max="13623" width="9.140625" style="78"/>
    <col min="13624" max="13627" width="9.140625" style="78" customWidth="1"/>
    <col min="13628" max="13865" width="9.140625" style="78"/>
    <col min="13866" max="13866" width="14.85546875" style="78" bestFit="1" customWidth="1"/>
    <col min="13867" max="13867" width="16.42578125" style="78" bestFit="1" customWidth="1"/>
    <col min="13868" max="13868" width="28.42578125" style="78" bestFit="1" customWidth="1"/>
    <col min="13869" max="13869" width="45.5703125" style="78" bestFit="1" customWidth="1"/>
    <col min="13870" max="13870" width="41.85546875" style="78" bestFit="1" customWidth="1"/>
    <col min="13871" max="13871" width="12.28515625" style="78" bestFit="1" customWidth="1"/>
    <col min="13872" max="13872" width="9.5703125" style="78" customWidth="1"/>
    <col min="13873" max="13873" width="35.28515625" style="78" customWidth="1"/>
    <col min="13874" max="13874" width="9.140625" style="78"/>
    <col min="13875" max="13875" width="96" style="78" bestFit="1" customWidth="1"/>
    <col min="13876" max="13876" width="43.28515625" style="78" bestFit="1" customWidth="1"/>
    <col min="13877" max="13877" width="44" style="78" bestFit="1" customWidth="1"/>
    <col min="13878" max="13878" width="28" style="78" bestFit="1" customWidth="1"/>
    <col min="13879" max="13879" width="9.140625" style="78"/>
    <col min="13880" max="13883" width="9.140625" style="78" customWidth="1"/>
    <col min="13884" max="14121" width="9.140625" style="78"/>
    <col min="14122" max="14122" width="14.85546875" style="78" bestFit="1" customWidth="1"/>
    <col min="14123" max="14123" width="16.42578125" style="78" bestFit="1" customWidth="1"/>
    <col min="14124" max="14124" width="28.42578125" style="78" bestFit="1" customWidth="1"/>
    <col min="14125" max="14125" width="45.5703125" style="78" bestFit="1" customWidth="1"/>
    <col min="14126" max="14126" width="41.85546875" style="78" bestFit="1" customWidth="1"/>
    <col min="14127" max="14127" width="12.28515625" style="78" bestFit="1" customWidth="1"/>
    <col min="14128" max="14128" width="9.5703125" style="78" customWidth="1"/>
    <col min="14129" max="14129" width="35.28515625" style="78" customWidth="1"/>
    <col min="14130" max="14130" width="9.140625" style="78"/>
    <col min="14131" max="14131" width="96" style="78" bestFit="1" customWidth="1"/>
    <col min="14132" max="14132" width="43.28515625" style="78" bestFit="1" customWidth="1"/>
    <col min="14133" max="14133" width="44" style="78" bestFit="1" customWidth="1"/>
    <col min="14134" max="14134" width="28" style="78" bestFit="1" customWidth="1"/>
    <col min="14135" max="14135" width="9.140625" style="78"/>
    <col min="14136" max="14139" width="9.140625" style="78" customWidth="1"/>
    <col min="14140" max="14377" width="9.140625" style="78"/>
    <col min="14378" max="14378" width="14.85546875" style="78" bestFit="1" customWidth="1"/>
    <col min="14379" max="14379" width="16.42578125" style="78" bestFit="1" customWidth="1"/>
    <col min="14380" max="14380" width="28.42578125" style="78" bestFit="1" customWidth="1"/>
    <col min="14381" max="14381" width="45.5703125" style="78" bestFit="1" customWidth="1"/>
    <col min="14382" max="14382" width="41.85546875" style="78" bestFit="1" customWidth="1"/>
    <col min="14383" max="14383" width="12.28515625" style="78" bestFit="1" customWidth="1"/>
    <col min="14384" max="14384" width="9.5703125" style="78" customWidth="1"/>
    <col min="14385" max="14385" width="35.28515625" style="78" customWidth="1"/>
    <col min="14386" max="14386" width="9.140625" style="78"/>
    <col min="14387" max="14387" width="96" style="78" bestFit="1" customWidth="1"/>
    <col min="14388" max="14388" width="43.28515625" style="78" bestFit="1" customWidth="1"/>
    <col min="14389" max="14389" width="44" style="78" bestFit="1" customWidth="1"/>
    <col min="14390" max="14390" width="28" style="78" bestFit="1" customWidth="1"/>
    <col min="14391" max="14391" width="9.140625" style="78"/>
    <col min="14392" max="14395" width="9.140625" style="78" customWidth="1"/>
    <col min="14396" max="14633" width="9.140625" style="78"/>
    <col min="14634" max="14634" width="14.85546875" style="78" bestFit="1" customWidth="1"/>
    <col min="14635" max="14635" width="16.42578125" style="78" bestFit="1" customWidth="1"/>
    <col min="14636" max="14636" width="28.42578125" style="78" bestFit="1" customWidth="1"/>
    <col min="14637" max="14637" width="45.5703125" style="78" bestFit="1" customWidth="1"/>
    <col min="14638" max="14638" width="41.85546875" style="78" bestFit="1" customWidth="1"/>
    <col min="14639" max="14639" width="12.28515625" style="78" bestFit="1" customWidth="1"/>
    <col min="14640" max="14640" width="9.5703125" style="78" customWidth="1"/>
    <col min="14641" max="14641" width="35.28515625" style="78" customWidth="1"/>
    <col min="14642" max="14642" width="9.140625" style="78"/>
    <col min="14643" max="14643" width="96" style="78" bestFit="1" customWidth="1"/>
    <col min="14644" max="14644" width="43.28515625" style="78" bestFit="1" customWidth="1"/>
    <col min="14645" max="14645" width="44" style="78" bestFit="1" customWidth="1"/>
    <col min="14646" max="14646" width="28" style="78" bestFit="1" customWidth="1"/>
    <col min="14647" max="14647" width="9.140625" style="78"/>
    <col min="14648" max="14651" width="9.140625" style="78" customWidth="1"/>
    <col min="14652" max="14889" width="9.140625" style="78"/>
    <col min="14890" max="14890" width="14.85546875" style="78" bestFit="1" customWidth="1"/>
    <col min="14891" max="14891" width="16.42578125" style="78" bestFit="1" customWidth="1"/>
    <col min="14892" max="14892" width="28.42578125" style="78" bestFit="1" customWidth="1"/>
    <col min="14893" max="14893" width="45.5703125" style="78" bestFit="1" customWidth="1"/>
    <col min="14894" max="14894" width="41.85546875" style="78" bestFit="1" customWidth="1"/>
    <col min="14895" max="14895" width="12.28515625" style="78" bestFit="1" customWidth="1"/>
    <col min="14896" max="14896" width="9.5703125" style="78" customWidth="1"/>
    <col min="14897" max="14897" width="35.28515625" style="78" customWidth="1"/>
    <col min="14898" max="14898" width="9.140625" style="78"/>
    <col min="14899" max="14899" width="96" style="78" bestFit="1" customWidth="1"/>
    <col min="14900" max="14900" width="43.28515625" style="78" bestFit="1" customWidth="1"/>
    <col min="14901" max="14901" width="44" style="78" bestFit="1" customWidth="1"/>
    <col min="14902" max="14902" width="28" style="78" bestFit="1" customWidth="1"/>
    <col min="14903" max="14903" width="9.140625" style="78"/>
    <col min="14904" max="14907" width="9.140625" style="78" customWidth="1"/>
    <col min="14908" max="15145" width="9.140625" style="78"/>
    <col min="15146" max="15146" width="14.85546875" style="78" bestFit="1" customWidth="1"/>
    <col min="15147" max="15147" width="16.42578125" style="78" bestFit="1" customWidth="1"/>
    <col min="15148" max="15148" width="28.42578125" style="78" bestFit="1" customWidth="1"/>
    <col min="15149" max="15149" width="45.5703125" style="78" bestFit="1" customWidth="1"/>
    <col min="15150" max="15150" width="41.85546875" style="78" bestFit="1" customWidth="1"/>
    <col min="15151" max="15151" width="12.28515625" style="78" bestFit="1" customWidth="1"/>
    <col min="15152" max="15152" width="9.5703125" style="78" customWidth="1"/>
    <col min="15153" max="15153" width="35.28515625" style="78" customWidth="1"/>
    <col min="15154" max="15154" width="9.140625" style="78"/>
    <col min="15155" max="15155" width="96" style="78" bestFit="1" customWidth="1"/>
    <col min="15156" max="15156" width="43.28515625" style="78" bestFit="1" customWidth="1"/>
    <col min="15157" max="15157" width="44" style="78" bestFit="1" customWidth="1"/>
    <col min="15158" max="15158" width="28" style="78" bestFit="1" customWidth="1"/>
    <col min="15159" max="15159" width="9.140625" style="78"/>
    <col min="15160" max="15163" width="9.140625" style="78" customWidth="1"/>
    <col min="15164" max="15401" width="9.140625" style="78"/>
    <col min="15402" max="15402" width="14.85546875" style="78" bestFit="1" customWidth="1"/>
    <col min="15403" max="15403" width="16.42578125" style="78" bestFit="1" customWidth="1"/>
    <col min="15404" max="15404" width="28.42578125" style="78" bestFit="1" customWidth="1"/>
    <col min="15405" max="15405" width="45.5703125" style="78" bestFit="1" customWidth="1"/>
    <col min="15406" max="15406" width="41.85546875" style="78" bestFit="1" customWidth="1"/>
    <col min="15407" max="15407" width="12.28515625" style="78" bestFit="1" customWidth="1"/>
    <col min="15408" max="15408" width="9.5703125" style="78" customWidth="1"/>
    <col min="15409" max="15409" width="35.28515625" style="78" customWidth="1"/>
    <col min="15410" max="15410" width="9.140625" style="78"/>
    <col min="15411" max="15411" width="96" style="78" bestFit="1" customWidth="1"/>
    <col min="15412" max="15412" width="43.28515625" style="78" bestFit="1" customWidth="1"/>
    <col min="15413" max="15413" width="44" style="78" bestFit="1" customWidth="1"/>
    <col min="15414" max="15414" width="28" style="78" bestFit="1" customWidth="1"/>
    <col min="15415" max="15415" width="9.140625" style="78"/>
    <col min="15416" max="15419" width="9.140625" style="78" customWidth="1"/>
    <col min="15420" max="15657" width="9.140625" style="78"/>
    <col min="15658" max="15658" width="14.85546875" style="78" bestFit="1" customWidth="1"/>
    <col min="15659" max="15659" width="16.42578125" style="78" bestFit="1" customWidth="1"/>
    <col min="15660" max="15660" width="28.42578125" style="78" bestFit="1" customWidth="1"/>
    <col min="15661" max="15661" width="45.5703125" style="78" bestFit="1" customWidth="1"/>
    <col min="15662" max="15662" width="41.85546875" style="78" bestFit="1" customWidth="1"/>
    <col min="15663" max="15663" width="12.28515625" style="78" bestFit="1" customWidth="1"/>
    <col min="15664" max="15664" width="9.5703125" style="78" customWidth="1"/>
    <col min="15665" max="15665" width="35.28515625" style="78" customWidth="1"/>
    <col min="15666" max="15666" width="9.140625" style="78"/>
    <col min="15667" max="15667" width="96" style="78" bestFit="1" customWidth="1"/>
    <col min="15668" max="15668" width="43.28515625" style="78" bestFit="1" customWidth="1"/>
    <col min="15669" max="15669" width="44" style="78" bestFit="1" customWidth="1"/>
    <col min="15670" max="15670" width="28" style="78" bestFit="1" customWidth="1"/>
    <col min="15671" max="15671" width="9.140625" style="78"/>
    <col min="15672" max="15675" width="9.140625" style="78" customWidth="1"/>
    <col min="15676" max="15913" width="9.140625" style="78"/>
    <col min="15914" max="15914" width="14.85546875" style="78" bestFit="1" customWidth="1"/>
    <col min="15915" max="15915" width="16.42578125" style="78" bestFit="1" customWidth="1"/>
    <col min="15916" max="15916" width="28.42578125" style="78" bestFit="1" customWidth="1"/>
    <col min="15917" max="15917" width="45.5703125" style="78" bestFit="1" customWidth="1"/>
    <col min="15918" max="15918" width="41.85546875" style="78" bestFit="1" customWidth="1"/>
    <col min="15919" max="15919" width="12.28515625" style="78" bestFit="1" customWidth="1"/>
    <col min="15920" max="15920" width="9.5703125" style="78" customWidth="1"/>
    <col min="15921" max="15921" width="35.28515625" style="78" customWidth="1"/>
    <col min="15922" max="15922" width="9.140625" style="78"/>
    <col min="15923" max="15923" width="96" style="78" bestFit="1" customWidth="1"/>
    <col min="15924" max="15924" width="43.28515625" style="78" bestFit="1" customWidth="1"/>
    <col min="15925" max="15925" width="44" style="78" bestFit="1" customWidth="1"/>
    <col min="15926" max="15926" width="28" style="78" bestFit="1" customWidth="1"/>
    <col min="15927" max="15927" width="9.140625" style="78"/>
    <col min="15928" max="15931" width="9.140625" style="78" customWidth="1"/>
    <col min="15932" max="16384" width="9.140625" style="78"/>
  </cols>
  <sheetData>
    <row r="2" spans="1:21">
      <c r="A2" s="221" t="s">
        <v>583</v>
      </c>
    </row>
    <row r="3" spans="1:21" ht="13.5" thickBot="1">
      <c r="A3" s="221"/>
    </row>
    <row r="4" spans="1:21" ht="13.5" thickBot="1">
      <c r="A4" s="238" t="s">
        <v>973</v>
      </c>
      <c r="B4" s="239"/>
      <c r="C4" s="239"/>
      <c r="D4" s="239"/>
      <c r="E4" s="239"/>
      <c r="F4" s="117"/>
      <c r="H4" s="739" t="s">
        <v>800</v>
      </c>
      <c r="I4" s="240"/>
      <c r="J4" s="740"/>
      <c r="K4" s="239"/>
      <c r="L4" s="239"/>
      <c r="M4" s="117"/>
      <c r="U4" s="221"/>
    </row>
    <row r="5" spans="1:21" ht="13.5" thickBot="1">
      <c r="A5" s="438"/>
      <c r="B5" s="227"/>
      <c r="C5" s="227"/>
      <c r="D5" s="227"/>
      <c r="E5" s="227"/>
      <c r="F5" s="164"/>
      <c r="H5" s="741"/>
      <c r="I5" s="165"/>
      <c r="J5" s="742"/>
      <c r="K5" s="227"/>
      <c r="L5" s="227"/>
      <c r="M5" s="164"/>
    </row>
    <row r="6" spans="1:21">
      <c r="A6" s="5" t="s">
        <v>607</v>
      </c>
      <c r="B6" s="227"/>
      <c r="C6" s="891">
        <v>2019</v>
      </c>
      <c r="D6" s="891">
        <f>C6+1</f>
        <v>2020</v>
      </c>
      <c r="E6" s="891">
        <f>D6+1</f>
        <v>2021</v>
      </c>
      <c r="F6" s="892" t="s">
        <v>26</v>
      </c>
      <c r="H6" s="743" t="s">
        <v>803</v>
      </c>
      <c r="I6" s="115"/>
      <c r="J6" s="940"/>
      <c r="K6" s="904"/>
      <c r="L6" s="904"/>
      <c r="M6" s="80"/>
    </row>
    <row r="7" spans="1:21">
      <c r="A7" s="8" t="str">
        <f>H9</f>
        <v>White</v>
      </c>
      <c r="B7" s="904"/>
      <c r="C7" s="115"/>
      <c r="D7" s="115"/>
      <c r="E7" s="115">
        <f>'Inv. start wine'!J205</f>
        <v>0</v>
      </c>
      <c r="F7" s="508">
        <f>SUM(C7:E7)</f>
        <v>0</v>
      </c>
      <c r="H7" s="493"/>
      <c r="I7" s="115"/>
      <c r="J7" s="940"/>
      <c r="K7" s="940"/>
      <c r="L7" s="940"/>
      <c r="M7" s="80"/>
    </row>
    <row r="8" spans="1:21">
      <c r="A8" s="8" t="str">
        <f>Costprice!B28</f>
        <v>Rose</v>
      </c>
      <c r="B8" s="904"/>
      <c r="C8" s="115"/>
      <c r="D8" s="115"/>
      <c r="E8" s="115">
        <f>'Inv. start wine'!J200</f>
        <v>3950</v>
      </c>
      <c r="F8" s="508">
        <f>SUM(C8:E8)</f>
        <v>3950</v>
      </c>
      <c r="H8" s="744" t="s">
        <v>339</v>
      </c>
      <c r="I8" s="736" t="s">
        <v>317</v>
      </c>
      <c r="J8" s="941" t="s">
        <v>318</v>
      </c>
      <c r="K8" s="920" t="s">
        <v>804</v>
      </c>
      <c r="L8" s="920" t="s">
        <v>805</v>
      </c>
      <c r="M8" s="634" t="s">
        <v>42</v>
      </c>
    </row>
    <row r="9" spans="1:21">
      <c r="A9" s="8" t="str">
        <f>Costprice!B29</f>
        <v>Classic</v>
      </c>
      <c r="B9" s="904"/>
      <c r="C9" s="115">
        <f>'Inv. start wine'!C155</f>
        <v>20183</v>
      </c>
      <c r="D9" s="115">
        <f>'Inv. start wine'!C193</f>
        <v>16025</v>
      </c>
      <c r="E9" s="115"/>
      <c r="F9" s="508">
        <f>SUM(C9:E9)</f>
        <v>36208</v>
      </c>
      <c r="H9" s="745" t="s">
        <v>196</v>
      </c>
      <c r="I9" s="115">
        <f>J9*RCV!$O$24</f>
        <v>0</v>
      </c>
      <c r="J9" s="115">
        <f>L9*K9</f>
        <v>0</v>
      </c>
      <c r="K9" s="904">
        <v>0.13755247475999999</v>
      </c>
      <c r="L9" s="925"/>
      <c r="M9" s="508">
        <f>'Inv. mat'!O65</f>
        <v>0</v>
      </c>
    </row>
    <row r="10" spans="1:21">
      <c r="A10" s="8" t="str">
        <f>Costprice!B30</f>
        <v>Premium</v>
      </c>
      <c r="B10" s="904"/>
      <c r="C10" s="115"/>
      <c r="D10" s="115">
        <f>'Inv. start wine'!J152</f>
        <v>0</v>
      </c>
      <c r="E10" s="115"/>
      <c r="F10" s="508">
        <f>SUM(C10:E10)</f>
        <v>0</v>
      </c>
      <c r="H10" s="745" t="str">
        <f>A8</f>
        <v>Rose</v>
      </c>
      <c r="I10" s="115">
        <f>J10*RCV!$O$24</f>
        <v>0</v>
      </c>
      <c r="J10" s="115">
        <f>L10*K10</f>
        <v>0</v>
      </c>
      <c r="K10" s="904">
        <v>0.13755247475999999</v>
      </c>
      <c r="L10" s="925"/>
      <c r="M10" s="508">
        <f>'Inv. mat'!Z65</f>
        <v>0</v>
      </c>
    </row>
    <row r="11" spans="1:21">
      <c r="A11" s="8" t="str">
        <f>Costprice!B31</f>
        <v>Selection individuelle</v>
      </c>
      <c r="B11" s="904"/>
      <c r="C11" s="115"/>
      <c r="D11" s="115"/>
      <c r="E11" s="115"/>
      <c r="F11" s="508">
        <f>SUM(C11:E11)</f>
        <v>0</v>
      </c>
      <c r="H11" s="745" t="str">
        <f>A9</f>
        <v>Classic</v>
      </c>
      <c r="I11" s="115">
        <f>J11*RCV!$O$24</f>
        <v>0</v>
      </c>
      <c r="J11" s="115">
        <f>L11*K11</f>
        <v>0</v>
      </c>
      <c r="K11" s="904">
        <v>0.13755247475999999</v>
      </c>
      <c r="L11" s="925"/>
      <c r="M11" s="508">
        <f>'Inv. mat'!AK65</f>
        <v>0</v>
      </c>
    </row>
    <row r="12" spans="1:21" ht="13.5" thickBot="1">
      <c r="A12" s="8"/>
      <c r="B12" s="904"/>
      <c r="C12" s="506">
        <f>SUM(C7:C11)</f>
        <v>20183</v>
      </c>
      <c r="D12" s="506">
        <f>SUM(D7:D11)</f>
        <v>16025</v>
      </c>
      <c r="E12" s="506">
        <f>SUM(E7:E11)</f>
        <v>3950</v>
      </c>
      <c r="F12" s="509">
        <f>SUM(F7:F11)</f>
        <v>40158</v>
      </c>
      <c r="H12" s="745" t="str">
        <f>A10</f>
        <v>Premium</v>
      </c>
      <c r="I12" s="115">
        <f>J12*RCV!$O$24</f>
        <v>0</v>
      </c>
      <c r="J12" s="115">
        <f>L12*K12</f>
        <v>0</v>
      </c>
      <c r="K12" s="904">
        <v>0.13755247475999999</v>
      </c>
      <c r="L12" s="925">
        <v>0</v>
      </c>
      <c r="M12" s="508">
        <f>'Inv. mat'!AV65</f>
        <v>0</v>
      </c>
    </row>
    <row r="13" spans="1:21" ht="13.5" thickTop="1">
      <c r="A13" s="8"/>
      <c r="B13" s="904"/>
      <c r="C13" s="904"/>
      <c r="D13" s="904"/>
      <c r="E13" s="904"/>
      <c r="F13" s="80"/>
      <c r="H13" s="745" t="str">
        <f>A11</f>
        <v>Selection individuelle</v>
      </c>
      <c r="I13" s="114">
        <f>J13*RCV!$O$24</f>
        <v>0</v>
      </c>
      <c r="J13" s="114">
        <f>L13*K13</f>
        <v>0</v>
      </c>
      <c r="K13" s="943">
        <v>0.13755247475999999</v>
      </c>
      <c r="L13" s="490"/>
      <c r="M13" s="561">
        <f>'Inv. mat'!BG65</f>
        <v>0</v>
      </c>
    </row>
    <row r="14" spans="1:21">
      <c r="A14" s="229" t="s">
        <v>346</v>
      </c>
      <c r="B14" s="904"/>
      <c r="C14" s="250">
        <f>C6</f>
        <v>2019</v>
      </c>
      <c r="D14" s="250">
        <f>D6</f>
        <v>2020</v>
      </c>
      <c r="E14" s="250">
        <f>E6</f>
        <v>2021</v>
      </c>
      <c r="F14" s="251" t="s">
        <v>26</v>
      </c>
      <c r="H14" s="745"/>
      <c r="I14" s="115"/>
      <c r="J14" s="115"/>
      <c r="K14" s="904"/>
      <c r="L14" s="940"/>
      <c r="M14" s="508"/>
    </row>
    <row r="15" spans="1:21">
      <c r="A15" s="789" t="str">
        <f>A7</f>
        <v>White</v>
      </c>
      <c r="B15" s="904"/>
      <c r="C15" s="115">
        <f>C7</f>
        <v>0</v>
      </c>
      <c r="D15" s="115">
        <f>D7</f>
        <v>0</v>
      </c>
      <c r="E15" s="904"/>
      <c r="F15" s="228">
        <f>E15+D15+C15+B15</f>
        <v>0</v>
      </c>
      <c r="H15" s="744" t="s">
        <v>801</v>
      </c>
      <c r="I15" s="115"/>
      <c r="J15" s="115"/>
      <c r="K15" s="904"/>
      <c r="L15" s="940"/>
      <c r="M15" s="508"/>
    </row>
    <row r="16" spans="1:21">
      <c r="A16" s="789" t="str">
        <f>A8</f>
        <v>Rose</v>
      </c>
      <c r="B16" s="904"/>
      <c r="C16" s="115">
        <f>C8</f>
        <v>0</v>
      </c>
      <c r="D16" s="115">
        <f>D8</f>
        <v>0</v>
      </c>
      <c r="E16" s="925"/>
      <c r="F16" s="228">
        <f>E16+D16+C16+B16</f>
        <v>0</v>
      </c>
      <c r="H16" s="745" t="str">
        <f>H9</f>
        <v>White</v>
      </c>
      <c r="I16" s="115">
        <f>J16*RCV!$O$24</f>
        <v>0</v>
      </c>
      <c r="J16" s="115">
        <f>L16*K16</f>
        <v>0</v>
      </c>
      <c r="K16" s="904">
        <v>0.6797062186693118</v>
      </c>
      <c r="L16" s="925"/>
      <c r="M16" s="508">
        <f>'Inv. mat'!O23</f>
        <v>0</v>
      </c>
    </row>
    <row r="17" spans="1:24">
      <c r="A17" s="789" t="str">
        <f>A9</f>
        <v>Classic</v>
      </c>
      <c r="B17" s="904"/>
      <c r="C17" s="115"/>
      <c r="D17" s="115"/>
      <c r="E17" s="904"/>
      <c r="F17" s="228">
        <f>E17+D17+C17+B17</f>
        <v>0</v>
      </c>
      <c r="H17" s="745" t="str">
        <f>H10</f>
        <v>Rose</v>
      </c>
      <c r="I17" s="115">
        <f>J17*RCV!$O$24</f>
        <v>0</v>
      </c>
      <c r="J17" s="115">
        <f>L17*K17</f>
        <v>0</v>
      </c>
      <c r="K17" s="904">
        <v>0.6797062186693118</v>
      </c>
      <c r="L17" s="925"/>
      <c r="M17" s="508">
        <f>'Inv. mat'!Z44</f>
        <v>0</v>
      </c>
    </row>
    <row r="18" spans="1:24">
      <c r="A18" s="789" t="str">
        <f>A10</f>
        <v>Premium</v>
      </c>
      <c r="B18" s="904"/>
      <c r="C18" s="115"/>
      <c r="D18" s="115"/>
      <c r="E18" s="904"/>
      <c r="F18" s="228">
        <f>E18+D18+C18+B18</f>
        <v>0</v>
      </c>
      <c r="H18" s="745" t="str">
        <f>H11</f>
        <v>Classic</v>
      </c>
      <c r="I18" s="115">
        <f>J18*RCV!$O$24</f>
        <v>0</v>
      </c>
      <c r="J18" s="115">
        <f>L18*K18</f>
        <v>0</v>
      </c>
      <c r="K18" s="904">
        <v>0.87069306194301133</v>
      </c>
      <c r="L18" s="925"/>
      <c r="M18" s="508">
        <f>'Inv. mat'!AK23</f>
        <v>0</v>
      </c>
    </row>
    <row r="19" spans="1:24">
      <c r="A19" s="789" t="str">
        <f>A11</f>
        <v>Selection individuelle</v>
      </c>
      <c r="B19" s="904"/>
      <c r="C19" s="115"/>
      <c r="D19" s="115"/>
      <c r="E19" s="904"/>
      <c r="F19" s="228">
        <f>E19+D19+C19+B19</f>
        <v>0</v>
      </c>
      <c r="H19" s="745" t="str">
        <f>H12</f>
        <v>Premium</v>
      </c>
      <c r="I19" s="115">
        <f>J19*RCV!$O$24</f>
        <v>6660.0415827949346</v>
      </c>
      <c r="J19" s="115">
        <f>L19*K19</f>
        <v>3405.2251897122628</v>
      </c>
      <c r="K19" s="904">
        <v>1.0394460286056968</v>
      </c>
      <c r="L19" s="925">
        <v>3276</v>
      </c>
      <c r="M19" s="508">
        <f>'Inv. mat'!AV23</f>
        <v>3405.2251897122628</v>
      </c>
    </row>
    <row r="20" spans="1:24" ht="13.5" thickBot="1">
      <c r="A20" s="8"/>
      <c r="B20" s="904"/>
      <c r="C20" s="506">
        <f>SUM(C15:C19)</f>
        <v>0</v>
      </c>
      <c r="D20" s="506">
        <f>SUM(D15:D19)</f>
        <v>0</v>
      </c>
      <c r="E20" s="506">
        <f>SUM(E15:E19)</f>
        <v>0</v>
      </c>
      <c r="F20" s="509">
        <f>SUM(F15:F19)</f>
        <v>0</v>
      </c>
      <c r="H20" s="745" t="str">
        <f>H13</f>
        <v>Selection individuelle</v>
      </c>
      <c r="I20" s="114">
        <f>J20*RCV!$O$24</f>
        <v>0</v>
      </c>
      <c r="J20" s="114">
        <f>L20*K20</f>
        <v>0</v>
      </c>
      <c r="K20" s="476">
        <v>1.5104073462417491</v>
      </c>
      <c r="L20" s="490"/>
      <c r="M20" s="561">
        <f>'Inv. mat'!BG23</f>
        <v>0</v>
      </c>
    </row>
    <row r="21" spans="1:24" ht="13.5" thickTop="1">
      <c r="A21" s="8"/>
      <c r="B21" s="904"/>
      <c r="C21" s="904"/>
      <c r="D21" s="904"/>
      <c r="E21" s="904"/>
      <c r="F21" s="80"/>
      <c r="H21" s="745"/>
      <c r="I21" s="944"/>
      <c r="J21" s="944"/>
      <c r="K21" s="904"/>
      <c r="L21" s="904"/>
      <c r="M21" s="508"/>
    </row>
    <row r="22" spans="1:24">
      <c r="A22" s="229" t="s">
        <v>1029</v>
      </c>
      <c r="B22" s="904"/>
      <c r="C22" s="250">
        <f>C14</f>
        <v>2019</v>
      </c>
      <c r="D22" s="250">
        <f>D14</f>
        <v>2020</v>
      </c>
      <c r="E22" s="250">
        <f>E14</f>
        <v>2021</v>
      </c>
      <c r="F22" s="251" t="s">
        <v>26</v>
      </c>
      <c r="H22" s="744" t="s">
        <v>639</v>
      </c>
      <c r="I22" s="114">
        <f>J22*RCV!$O$24</f>
        <v>0</v>
      </c>
      <c r="J22" s="114">
        <f>L22*K22</f>
        <v>0</v>
      </c>
      <c r="K22" s="272">
        <f>Opex!D186</f>
        <v>16.158245948522403</v>
      </c>
      <c r="L22" s="490"/>
      <c r="M22" s="561">
        <f>'Inv. mat'!AK150</f>
        <v>0</v>
      </c>
    </row>
    <row r="23" spans="1:24">
      <c r="A23" s="8" t="str">
        <f>A7</f>
        <v>White</v>
      </c>
      <c r="B23" s="904"/>
      <c r="C23" s="925">
        <f>C7-C15</f>
        <v>0</v>
      </c>
      <c r="D23" s="925">
        <f>D7-D15</f>
        <v>0</v>
      </c>
      <c r="E23" s="925">
        <f>E7-E15</f>
        <v>0</v>
      </c>
      <c r="F23" s="228">
        <f>F7-F15</f>
        <v>0</v>
      </c>
      <c r="H23" s="493"/>
      <c r="I23" s="115"/>
      <c r="J23" s="940"/>
      <c r="K23" s="904"/>
      <c r="L23" s="904"/>
      <c r="M23" s="508"/>
    </row>
    <row r="24" spans="1:24">
      <c r="A24" s="8" t="str">
        <f>A8</f>
        <v>Rose</v>
      </c>
      <c r="B24" s="904"/>
      <c r="C24" s="925">
        <f t="shared" ref="C24:F27" si="0">C8-C16</f>
        <v>0</v>
      </c>
      <c r="D24" s="925">
        <f t="shared" si="0"/>
        <v>0</v>
      </c>
      <c r="E24" s="925">
        <f>E8-E16</f>
        <v>3950</v>
      </c>
      <c r="F24" s="228">
        <f t="shared" si="0"/>
        <v>3950</v>
      </c>
      <c r="H24" s="744" t="s">
        <v>634</v>
      </c>
      <c r="I24" s="115"/>
      <c r="J24" s="115"/>
      <c r="K24" s="904"/>
      <c r="L24" s="904"/>
      <c r="M24" s="508"/>
    </row>
    <row r="25" spans="1:24">
      <c r="A25" s="8" t="str">
        <f>A9</f>
        <v>Classic</v>
      </c>
      <c r="B25" s="904"/>
      <c r="C25" s="925">
        <f t="shared" si="0"/>
        <v>20183</v>
      </c>
      <c r="D25" s="925">
        <f t="shared" si="0"/>
        <v>16025</v>
      </c>
      <c r="E25" s="925">
        <f t="shared" si="0"/>
        <v>0</v>
      </c>
      <c r="F25" s="228">
        <f t="shared" si="0"/>
        <v>36208</v>
      </c>
      <c r="H25" s="745" t="str">
        <f>H16</f>
        <v>White</v>
      </c>
      <c r="I25" s="115">
        <f>J25*RCV!$O$24</f>
        <v>0</v>
      </c>
      <c r="J25" s="115">
        <f>L25*K25</f>
        <v>0</v>
      </c>
      <c r="K25" s="904">
        <v>0.19556261628566901</v>
      </c>
      <c r="L25" s="925"/>
      <c r="M25" s="508">
        <f>'Inv. mat'!O107</f>
        <v>0</v>
      </c>
    </row>
    <row r="26" spans="1:24">
      <c r="A26" s="8" t="str">
        <f>A10</f>
        <v>Premium</v>
      </c>
      <c r="B26" s="904"/>
      <c r="C26" s="925">
        <f t="shared" si="0"/>
        <v>0</v>
      </c>
      <c r="D26" s="925">
        <f t="shared" si="0"/>
        <v>0</v>
      </c>
      <c r="E26" s="925">
        <f t="shared" si="0"/>
        <v>0</v>
      </c>
      <c r="F26" s="228">
        <f t="shared" si="0"/>
        <v>0</v>
      </c>
      <c r="H26" s="745" t="str">
        <f>H17</f>
        <v>Rose</v>
      </c>
      <c r="I26" s="115">
        <f>J26*RCV!$O$24</f>
        <v>0</v>
      </c>
      <c r="J26" s="115">
        <f>L26*K26</f>
        <v>0</v>
      </c>
      <c r="K26" s="904">
        <v>0.19556261628566901</v>
      </c>
      <c r="L26" s="925"/>
      <c r="M26" s="508">
        <f>'Inv. mat'!Z107</f>
        <v>0</v>
      </c>
    </row>
    <row r="27" spans="1:24">
      <c r="A27" s="8" t="str">
        <f>A11</f>
        <v>Selection individuelle</v>
      </c>
      <c r="B27" s="904"/>
      <c r="C27" s="925">
        <f t="shared" si="0"/>
        <v>0</v>
      </c>
      <c r="D27" s="925">
        <f t="shared" si="0"/>
        <v>0</v>
      </c>
      <c r="E27" s="925">
        <f t="shared" si="0"/>
        <v>0</v>
      </c>
      <c r="F27" s="228">
        <f t="shared" si="0"/>
        <v>0</v>
      </c>
      <c r="H27" s="745" t="str">
        <f>H18</f>
        <v>Classic</v>
      </c>
      <c r="I27" s="115">
        <f>J27*RCV!$O$24</f>
        <v>0</v>
      </c>
      <c r="J27" s="115">
        <f>L27*K27</f>
        <v>0</v>
      </c>
      <c r="K27" s="904">
        <v>0.16761073303917007</v>
      </c>
      <c r="L27" s="925"/>
      <c r="M27" s="508">
        <f>'Inv. mat'!AK107</f>
        <v>0</v>
      </c>
      <c r="X27" s="103"/>
    </row>
    <row r="28" spans="1:24" ht="13.5" thickBot="1">
      <c r="A28" s="8"/>
      <c r="B28" s="904"/>
      <c r="C28" s="931">
        <f>SUM(C23:C27)</f>
        <v>20183</v>
      </c>
      <c r="D28" s="931">
        <f>SUM(D23:D27)</f>
        <v>16025</v>
      </c>
      <c r="E28" s="931">
        <f>SUM(E23:E27)</f>
        <v>3950</v>
      </c>
      <c r="F28" s="932">
        <f>SUM(F23:F27)</f>
        <v>40158</v>
      </c>
      <c r="H28" s="745" t="s">
        <v>802</v>
      </c>
      <c r="I28" s="115">
        <f>J28*RCV!$O$24</f>
        <v>0</v>
      </c>
      <c r="J28" s="115">
        <f>L28*K28</f>
        <v>0</v>
      </c>
      <c r="K28" s="904">
        <v>0.16761073303917007</v>
      </c>
      <c r="L28" s="925"/>
      <c r="M28" s="508">
        <f>'Inv. mat'!AV107</f>
        <v>0</v>
      </c>
    </row>
    <row r="29" spans="1:24" ht="13.5" thickTop="1">
      <c r="A29" s="8"/>
      <c r="B29" s="904"/>
      <c r="C29" s="904"/>
      <c r="D29" s="904"/>
      <c r="E29" s="904"/>
      <c r="F29" s="80"/>
      <c r="H29" s="745" t="str">
        <f>H20</f>
        <v>Selection individuelle</v>
      </c>
      <c r="I29" s="114">
        <f>J29*RCV!$O$24</f>
        <v>0</v>
      </c>
      <c r="J29" s="114">
        <f>L29*K29</f>
        <v>0</v>
      </c>
      <c r="K29" s="476">
        <v>0.16761073303917007</v>
      </c>
      <c r="L29" s="490"/>
      <c r="M29" s="561">
        <f>'Inv. mat'!BG107</f>
        <v>0</v>
      </c>
    </row>
    <row r="30" spans="1:24">
      <c r="A30" s="229" t="s">
        <v>357</v>
      </c>
      <c r="B30" s="223"/>
      <c r="C30" s="250">
        <v>2019</v>
      </c>
      <c r="D30" s="250">
        <f>C30+1</f>
        <v>2020</v>
      </c>
      <c r="E30" s="250">
        <f>D30+1</f>
        <v>2021</v>
      </c>
      <c r="F30" s="251"/>
      <c r="H30" s="745"/>
      <c r="I30" s="115"/>
      <c r="J30" s="115"/>
      <c r="K30" s="904"/>
      <c r="L30" s="904"/>
      <c r="M30" s="508"/>
    </row>
    <row r="31" spans="1:24">
      <c r="A31" s="8" t="str">
        <f>A7</f>
        <v>White</v>
      </c>
      <c r="B31" s="223"/>
      <c r="C31" s="464">
        <f ca="1">Costprice!O12</f>
        <v>6.8319268345058832</v>
      </c>
      <c r="D31" s="464">
        <f t="shared" ref="D31:E35" ca="1" si="1">C31</f>
        <v>6.8319268345058832</v>
      </c>
      <c r="E31" s="464">
        <f t="shared" ca="1" si="1"/>
        <v>6.8319268345058832</v>
      </c>
      <c r="F31" s="468"/>
      <c r="H31" s="744" t="s">
        <v>338</v>
      </c>
      <c r="I31" s="115"/>
      <c r="J31" s="115"/>
      <c r="K31" s="904"/>
      <c r="L31" s="904"/>
      <c r="M31" s="508"/>
    </row>
    <row r="32" spans="1:24">
      <c r="A32" s="8" t="str">
        <f>A8</f>
        <v>Rose</v>
      </c>
      <c r="B32" s="223"/>
      <c r="C32" s="464">
        <f ca="1">Costprice!O24</f>
        <v>6.8319268345058832</v>
      </c>
      <c r="D32" s="464">
        <f t="shared" ca="1" si="1"/>
        <v>6.8319268345058832</v>
      </c>
      <c r="E32" s="464">
        <f t="shared" ca="1" si="1"/>
        <v>6.8319268345058832</v>
      </c>
      <c r="F32" s="468"/>
      <c r="H32" s="493" t="str">
        <f>H25</f>
        <v>White</v>
      </c>
      <c r="I32" s="115">
        <f>J32*RCV!$O$24</f>
        <v>0</v>
      </c>
      <c r="J32" s="115">
        <f>L32*K32</f>
        <v>0</v>
      </c>
      <c r="K32" s="904">
        <v>6.101030682625791E-2</v>
      </c>
      <c r="L32" s="925"/>
      <c r="M32" s="508"/>
    </row>
    <row r="33" spans="1:13">
      <c r="A33" s="8" t="str">
        <f>A9</f>
        <v>Classic</v>
      </c>
      <c r="B33" s="223"/>
      <c r="C33" s="464">
        <f ca="1">Costprice!O36</f>
        <v>6.8319268345058823</v>
      </c>
      <c r="D33" s="464">
        <f t="shared" ca="1" si="1"/>
        <v>6.8319268345058823</v>
      </c>
      <c r="E33" s="464">
        <f t="shared" ca="1" si="1"/>
        <v>6.8319268345058823</v>
      </c>
      <c r="F33" s="468"/>
      <c r="H33" s="493" t="str">
        <f>H26</f>
        <v>Rose</v>
      </c>
      <c r="I33" s="115">
        <f>J33*RCV!$O$24</f>
        <v>0</v>
      </c>
      <c r="J33" s="115">
        <f>L33*K33</f>
        <v>0</v>
      </c>
      <c r="K33" s="904">
        <v>6.101030682625791E-2</v>
      </c>
      <c r="L33" s="925"/>
      <c r="M33" s="508"/>
    </row>
    <row r="34" spans="1:13">
      <c r="A34" s="8" t="str">
        <f>A10</f>
        <v>Premium</v>
      </c>
      <c r="B34" s="223"/>
      <c r="C34" s="464">
        <f ca="1">Costprice!O48</f>
        <v>6.8319268345058823</v>
      </c>
      <c r="D34" s="464">
        <f t="shared" ca="1" si="1"/>
        <v>6.8319268345058823</v>
      </c>
      <c r="E34" s="464">
        <f t="shared" ca="1" si="1"/>
        <v>6.8319268345058823</v>
      </c>
      <c r="F34" s="468"/>
      <c r="H34" s="493" t="str">
        <f>H27</f>
        <v>Classic</v>
      </c>
      <c r="I34" s="115">
        <f>J34*RCV!$O$24</f>
        <v>0</v>
      </c>
      <c r="J34" s="115">
        <f>L34*K34</f>
        <v>0</v>
      </c>
      <c r="K34" s="904">
        <v>0.35534390485157719</v>
      </c>
      <c r="L34" s="925"/>
      <c r="M34" s="508">
        <f>'Inv. mat'!AK43</f>
        <v>0</v>
      </c>
    </row>
    <row r="35" spans="1:13">
      <c r="A35" s="8" t="str">
        <f>A11</f>
        <v>Selection individuelle</v>
      </c>
      <c r="B35" s="223"/>
      <c r="C35" s="464">
        <f ca="1">Costprice!O61</f>
        <v>6.8319268345058823</v>
      </c>
      <c r="D35" s="464">
        <f t="shared" ca="1" si="1"/>
        <v>6.8319268345058823</v>
      </c>
      <c r="E35" s="464">
        <f t="shared" ca="1" si="1"/>
        <v>6.8319268345058823</v>
      </c>
      <c r="F35" s="468"/>
      <c r="H35" s="745" t="str">
        <f>H19</f>
        <v>Premium</v>
      </c>
      <c r="I35" s="115">
        <f>J35*RCV!$O$24</f>
        <v>2432.472942990511</v>
      </c>
      <c r="J35" s="115">
        <f>L35*K35</f>
        <v>1243.7036669805202</v>
      </c>
      <c r="K35" s="904">
        <v>0.35534390485157719</v>
      </c>
      <c r="L35" s="925">
        <v>3500</v>
      </c>
      <c r="M35" s="508">
        <f>'Inv. mat'!AV44</f>
        <v>1243.7036669805202</v>
      </c>
    </row>
    <row r="36" spans="1:13" ht="13.5" thickBot="1">
      <c r="A36" s="8"/>
      <c r="B36" s="223"/>
      <c r="C36" s="506"/>
      <c r="D36" s="506"/>
      <c r="E36" s="506"/>
      <c r="F36" s="509"/>
      <c r="H36" s="493" t="str">
        <f>H20</f>
        <v>Selection individuelle</v>
      </c>
      <c r="I36" s="114">
        <f>J36*RCV!$O$24</f>
        <v>0</v>
      </c>
      <c r="J36" s="114">
        <f>L36*K36</f>
        <v>0</v>
      </c>
      <c r="K36" s="476">
        <v>0.35534390485157719</v>
      </c>
      <c r="L36" s="490"/>
      <c r="M36" s="561"/>
    </row>
    <row r="37" spans="1:13" ht="14.25" thickTop="1" thickBot="1">
      <c r="A37" s="8"/>
      <c r="B37" s="223"/>
      <c r="C37" s="904"/>
      <c r="D37" s="904"/>
      <c r="E37" s="904"/>
      <c r="F37" s="80"/>
      <c r="H37" s="493"/>
      <c r="I37" s="115"/>
      <c r="J37" s="940"/>
      <c r="K37" s="940"/>
      <c r="L37" s="940"/>
      <c r="M37" s="80"/>
    </row>
    <row r="38" spans="1:13">
      <c r="A38" s="229" t="s">
        <v>841</v>
      </c>
      <c r="B38" s="223"/>
      <c r="C38" s="250">
        <v>2019</v>
      </c>
      <c r="D38" s="250">
        <f>C38+1</f>
        <v>2020</v>
      </c>
      <c r="E38" s="250">
        <f>D38+1</f>
        <v>2021</v>
      </c>
      <c r="F38" s="251" t="s">
        <v>26</v>
      </c>
      <c r="H38" s="5" t="s">
        <v>803</v>
      </c>
      <c r="I38" s="511"/>
      <c r="J38" s="227"/>
      <c r="K38" s="227"/>
      <c r="L38" s="227"/>
      <c r="M38" s="164"/>
    </row>
    <row r="39" spans="1:13">
      <c r="A39" s="8" t="str">
        <f>A31</f>
        <v>White</v>
      </c>
      <c r="B39" s="223"/>
      <c r="C39" s="925">
        <f t="shared" ref="C39:E43" ca="1" si="2">C31*C7</f>
        <v>0</v>
      </c>
      <c r="D39" s="925">
        <f t="shared" ca="1" si="2"/>
        <v>0</v>
      </c>
      <c r="E39" s="925">
        <f ca="1">E31*E7</f>
        <v>0</v>
      </c>
      <c r="F39" s="228">
        <f ca="1">SUM(C39:E39)</f>
        <v>0</v>
      </c>
      <c r="H39" s="8" t="str">
        <f>H8</f>
        <v>Labels</v>
      </c>
      <c r="I39" s="904"/>
      <c r="J39" s="904"/>
      <c r="K39" s="904"/>
      <c r="L39" s="904"/>
      <c r="M39" s="228">
        <f>M9+M10+M11+M12+M13</f>
        <v>0</v>
      </c>
    </row>
    <row r="40" spans="1:13">
      <c r="A40" s="8" t="str">
        <f>A32</f>
        <v>Rose</v>
      </c>
      <c r="B40" s="223"/>
      <c r="C40" s="925">
        <f t="shared" ca="1" si="2"/>
        <v>0</v>
      </c>
      <c r="D40" s="925">
        <f t="shared" ca="1" si="2"/>
        <v>0</v>
      </c>
      <c r="E40" s="925">
        <f ca="1">E32*E8</f>
        <v>26986.110996298237</v>
      </c>
      <c r="F40" s="228">
        <f ca="1">SUM(C40:E40)</f>
        <v>26986.110996298237</v>
      </c>
      <c r="H40" s="8" t="str">
        <f>H15</f>
        <v>Bottles empty</v>
      </c>
      <c r="I40" s="904"/>
      <c r="J40" s="904"/>
      <c r="K40" s="904"/>
      <c r="L40" s="904"/>
      <c r="M40" s="228">
        <f>M16+M18+M19</f>
        <v>3405.2251897122628</v>
      </c>
    </row>
    <row r="41" spans="1:13">
      <c r="A41" s="8" t="str">
        <f>A33</f>
        <v>Classic</v>
      </c>
      <c r="B41" s="223"/>
      <c r="C41" s="925">
        <f ca="1">C33*C9</f>
        <v>137888.77930083222</v>
      </c>
      <c r="D41" s="925">
        <f t="shared" ca="1" si="2"/>
        <v>109481.62752295677</v>
      </c>
      <c r="E41" s="925">
        <f ca="1">E33*E9</f>
        <v>0</v>
      </c>
      <c r="F41" s="228">
        <f ca="1">SUM(C41:E41)</f>
        <v>247370.406823789</v>
      </c>
      <c r="H41" s="8" t="str">
        <f>H22</f>
        <v>Pellets</v>
      </c>
      <c r="I41" s="904"/>
      <c r="J41" s="904"/>
      <c r="K41" s="904"/>
      <c r="L41" s="904"/>
      <c r="M41" s="228">
        <f>M22</f>
        <v>0</v>
      </c>
    </row>
    <row r="42" spans="1:13">
      <c r="A42" s="8" t="str">
        <f>A34</f>
        <v>Premium</v>
      </c>
      <c r="B42" s="223"/>
      <c r="C42" s="925">
        <f t="shared" ca="1" si="2"/>
        <v>0</v>
      </c>
      <c r="D42" s="925">
        <f t="shared" ca="1" si="2"/>
        <v>0</v>
      </c>
      <c r="E42" s="925">
        <f t="shared" ca="1" si="2"/>
        <v>0</v>
      </c>
      <c r="F42" s="228">
        <f ca="1">SUM(C42:E42)</f>
        <v>0</v>
      </c>
      <c r="H42" s="8" t="str">
        <f>H24</f>
        <v>Boxes</v>
      </c>
      <c r="I42" s="904"/>
      <c r="J42" s="904"/>
      <c r="K42" s="904"/>
      <c r="L42" s="904"/>
      <c r="M42" s="228">
        <f>M28+M29</f>
        <v>0</v>
      </c>
    </row>
    <row r="43" spans="1:13">
      <c r="A43" s="8" t="str">
        <f>A35</f>
        <v>Selection individuelle</v>
      </c>
      <c r="B43" s="223"/>
      <c r="C43" s="925">
        <f t="shared" ca="1" si="2"/>
        <v>0</v>
      </c>
      <c r="D43" s="925">
        <f t="shared" ca="1" si="2"/>
        <v>0</v>
      </c>
      <c r="E43" s="925">
        <f t="shared" ca="1" si="2"/>
        <v>0</v>
      </c>
      <c r="F43" s="228">
        <f ca="1">SUM(C43:E43)</f>
        <v>0</v>
      </c>
      <c r="H43" s="8" t="str">
        <f>H31</f>
        <v>Cork</v>
      </c>
      <c r="I43" s="904"/>
      <c r="J43" s="904"/>
      <c r="K43" s="904"/>
      <c r="L43" s="904"/>
      <c r="M43" s="510">
        <f>M35</f>
        <v>1243.7036669805202</v>
      </c>
    </row>
    <row r="44" spans="1:13" ht="13.5" thickBot="1">
      <c r="A44" s="8"/>
      <c r="B44" s="223"/>
      <c r="C44" s="506">
        <f ca="1">SUM(C39:C43)</f>
        <v>137888.77930083222</v>
      </c>
      <c r="D44" s="506">
        <f ca="1">SUM(D39:D43)</f>
        <v>109481.62752295677</v>
      </c>
      <c r="E44" s="506">
        <f ca="1">SUM(E39:E43)</f>
        <v>26986.110996298237</v>
      </c>
      <c r="F44" s="509">
        <f ca="1">SUM(F39:F43)</f>
        <v>274356.51782008726</v>
      </c>
      <c r="H44" s="97" t="s">
        <v>835</v>
      </c>
      <c r="I44" s="236"/>
      <c r="J44" s="236"/>
      <c r="K44" s="236"/>
      <c r="L44" s="236"/>
      <c r="M44" s="608">
        <f>SUM(M39:M43)</f>
        <v>4648.9288566927826</v>
      </c>
    </row>
    <row r="45" spans="1:13" ht="13.5" thickTop="1">
      <c r="A45" s="8"/>
      <c r="B45" s="223"/>
      <c r="C45" s="930"/>
      <c r="D45" s="930"/>
      <c r="E45" s="930"/>
      <c r="F45" s="650"/>
      <c r="H45" s="78"/>
      <c r="I45" s="78"/>
      <c r="J45" s="78"/>
      <c r="K45" s="78"/>
      <c r="L45" s="78"/>
    </row>
    <row r="46" spans="1:13">
      <c r="A46" s="874" t="s">
        <v>1025</v>
      </c>
      <c r="B46" s="223"/>
      <c r="C46" s="250">
        <v>2019</v>
      </c>
      <c r="D46" s="250">
        <f>C46+1</f>
        <v>2020</v>
      </c>
      <c r="E46" s="250">
        <f>D46+1</f>
        <v>2021</v>
      </c>
      <c r="F46" s="251" t="s">
        <v>26</v>
      </c>
      <c r="H46" s="78"/>
      <c r="I46" s="78"/>
      <c r="J46" s="78"/>
      <c r="K46" s="78"/>
      <c r="L46" s="78"/>
    </row>
    <row r="47" spans="1:13">
      <c r="A47" s="789" t="str">
        <f>A39</f>
        <v>White</v>
      </c>
      <c r="B47" s="223"/>
      <c r="C47" s="223">
        <f ca="1">C15*C31</f>
        <v>0</v>
      </c>
      <c r="D47" s="223">
        <f t="shared" ref="C47:E51" ca="1" si="3">D15*D31</f>
        <v>0</v>
      </c>
      <c r="E47" s="223">
        <f t="shared" ca="1" si="3"/>
        <v>0</v>
      </c>
      <c r="F47" s="228">
        <f ca="1">E47+D47+C47+B47</f>
        <v>0</v>
      </c>
      <c r="H47" s="78"/>
      <c r="I47" s="78"/>
      <c r="J47" s="78"/>
      <c r="K47" s="78"/>
      <c r="L47" s="78"/>
    </row>
    <row r="48" spans="1:13">
      <c r="A48" s="789" t="str">
        <f>A40</f>
        <v>Rose</v>
      </c>
      <c r="B48" s="223"/>
      <c r="C48" s="223">
        <f ca="1">C16*C32</f>
        <v>0</v>
      </c>
      <c r="D48" s="223">
        <f t="shared" ca="1" si="3"/>
        <v>0</v>
      </c>
      <c r="E48" s="223">
        <f ca="1">E16*E32</f>
        <v>0</v>
      </c>
      <c r="F48" s="228">
        <f ca="1">E48+D48+C48+B48</f>
        <v>0</v>
      </c>
    </row>
    <row r="49" spans="1:17">
      <c r="A49" s="789" t="str">
        <f>A41</f>
        <v>Classic</v>
      </c>
      <c r="B49" s="223"/>
      <c r="C49" s="223">
        <f t="shared" ca="1" si="3"/>
        <v>0</v>
      </c>
      <c r="D49" s="223">
        <f t="shared" ca="1" si="3"/>
        <v>0</v>
      </c>
      <c r="E49" s="223">
        <f t="shared" ca="1" si="3"/>
        <v>0</v>
      </c>
      <c r="F49" s="228">
        <f ca="1">E49+D49+C49+B49</f>
        <v>0</v>
      </c>
      <c r="P49" s="221"/>
    </row>
    <row r="50" spans="1:17">
      <c r="A50" s="789" t="str">
        <f>A42</f>
        <v>Premium</v>
      </c>
      <c r="B50" s="223"/>
      <c r="C50" s="223">
        <f t="shared" ca="1" si="3"/>
        <v>0</v>
      </c>
      <c r="D50" s="223">
        <f t="shared" ca="1" si="3"/>
        <v>0</v>
      </c>
      <c r="E50" s="223">
        <f t="shared" ca="1" si="3"/>
        <v>0</v>
      </c>
      <c r="F50" s="228">
        <f ca="1">E50+D50+C50+B50</f>
        <v>0</v>
      </c>
      <c r="L50" s="732"/>
      <c r="Q50" s="103"/>
    </row>
    <row r="51" spans="1:17">
      <c r="A51" s="789" t="str">
        <f>A43</f>
        <v>Selection individuelle</v>
      </c>
      <c r="B51" s="223"/>
      <c r="C51" s="223">
        <f t="shared" ca="1" si="3"/>
        <v>0</v>
      </c>
      <c r="D51" s="223">
        <f t="shared" ca="1" si="3"/>
        <v>0</v>
      </c>
      <c r="E51" s="223">
        <f t="shared" ca="1" si="3"/>
        <v>0</v>
      </c>
      <c r="F51" s="228">
        <f ca="1">E51+D51+C51+B51</f>
        <v>0</v>
      </c>
      <c r="Q51" s="103"/>
    </row>
    <row r="52" spans="1:17" ht="13.5" thickBot="1">
      <c r="A52" s="8"/>
      <c r="B52" s="223"/>
      <c r="C52" s="497">
        <f ca="1">SUM(C47:C51)</f>
        <v>0</v>
      </c>
      <c r="D52" s="497">
        <f ca="1">SUM(D47:D51)</f>
        <v>0</v>
      </c>
      <c r="E52" s="497">
        <f ca="1">SUM(E47:E51)</f>
        <v>0</v>
      </c>
      <c r="F52" s="890">
        <f ca="1">SUM(F47:F51)</f>
        <v>0</v>
      </c>
      <c r="Q52" s="103"/>
    </row>
    <row r="53" spans="1:17" ht="13.5" thickTop="1">
      <c r="A53" s="8"/>
      <c r="B53" s="223"/>
      <c r="C53" s="904"/>
      <c r="D53" s="904"/>
      <c r="E53" s="904"/>
      <c r="F53" s="80"/>
      <c r="Q53" s="103"/>
    </row>
    <row r="54" spans="1:17">
      <c r="A54" s="229" t="s">
        <v>1026</v>
      </c>
      <c r="B54" s="223"/>
      <c r="C54" s="250">
        <v>2019</v>
      </c>
      <c r="D54" s="250">
        <f>C54+1</f>
        <v>2020</v>
      </c>
      <c r="E54" s="250">
        <f>D54+1</f>
        <v>2021</v>
      </c>
      <c r="F54" s="251" t="s">
        <v>26</v>
      </c>
      <c r="Q54" s="103"/>
    </row>
    <row r="55" spans="1:17">
      <c r="A55" s="789" t="str">
        <f>A47</f>
        <v>White</v>
      </c>
      <c r="B55" s="223"/>
      <c r="C55" s="223">
        <f ca="1">C39-C47</f>
        <v>0</v>
      </c>
      <c r="D55" s="223">
        <f ca="1">D39-D47</f>
        <v>0</v>
      </c>
      <c r="E55" s="223">
        <f ca="1">E39-E47</f>
        <v>0</v>
      </c>
      <c r="F55" s="228">
        <f ca="1">E55+D55+C55+B55</f>
        <v>0</v>
      </c>
      <c r="H55" s="738"/>
    </row>
    <row r="56" spans="1:17">
      <c r="A56" s="789" t="str">
        <f>A48</f>
        <v>Rose</v>
      </c>
      <c r="B56" s="223"/>
      <c r="C56" s="223">
        <f t="shared" ref="C56:E59" ca="1" si="4">C40-C48</f>
        <v>0</v>
      </c>
      <c r="D56" s="223">
        <f t="shared" ca="1" si="4"/>
        <v>0</v>
      </c>
      <c r="E56" s="223">
        <f ca="1">E40-E48</f>
        <v>26986.110996298237</v>
      </c>
      <c r="F56" s="228">
        <f ca="1">E56+D56+C56+B56</f>
        <v>26986.110996298237</v>
      </c>
      <c r="Q56" s="103"/>
    </row>
    <row r="57" spans="1:17">
      <c r="A57" s="789" t="str">
        <f>A49</f>
        <v>Classic</v>
      </c>
      <c r="B57" s="223"/>
      <c r="C57" s="223">
        <f ca="1">C41-C49</f>
        <v>137888.77930083222</v>
      </c>
      <c r="D57" s="223">
        <f t="shared" ca="1" si="4"/>
        <v>109481.62752295677</v>
      </c>
      <c r="E57" s="223">
        <f t="shared" ca="1" si="4"/>
        <v>0</v>
      </c>
      <c r="F57" s="228">
        <f ca="1">E57+D57+C57+B57</f>
        <v>247370.406823789</v>
      </c>
    </row>
    <row r="58" spans="1:17">
      <c r="A58" s="789" t="str">
        <f>A50</f>
        <v>Premium</v>
      </c>
      <c r="B58" s="223"/>
      <c r="C58" s="223">
        <f t="shared" ca="1" si="4"/>
        <v>0</v>
      </c>
      <c r="D58" s="223">
        <f ca="1">D42-D50</f>
        <v>0</v>
      </c>
      <c r="E58" s="223">
        <f ca="1">E42-E50</f>
        <v>0</v>
      </c>
      <c r="F58" s="228">
        <f ca="1">E58+D58+C58+B58</f>
        <v>0</v>
      </c>
    </row>
    <row r="59" spans="1:17">
      <c r="A59" s="789" t="str">
        <f>A51</f>
        <v>Selection individuelle</v>
      </c>
      <c r="B59" s="223"/>
      <c r="C59" s="223">
        <f t="shared" ca="1" si="4"/>
        <v>0</v>
      </c>
      <c r="D59" s="223">
        <f t="shared" ca="1" si="4"/>
        <v>0</v>
      </c>
      <c r="E59" s="223">
        <f t="shared" ca="1" si="4"/>
        <v>0</v>
      </c>
      <c r="F59" s="228">
        <f ca="1">E59+D59+C59+B59</f>
        <v>0</v>
      </c>
    </row>
    <row r="60" spans="1:17" ht="13.5" thickBot="1">
      <c r="A60" s="789"/>
      <c r="B60" s="223"/>
      <c r="C60" s="928">
        <f ca="1">SUM(C55:C59)</f>
        <v>137888.77930083222</v>
      </c>
      <c r="D60" s="928">
        <f ca="1">SUM(D55:D59)</f>
        <v>109481.62752295677</v>
      </c>
      <c r="E60" s="928">
        <f ca="1">SUM(E55:E59)</f>
        <v>26986.110996298237</v>
      </c>
      <c r="F60" s="929">
        <f ca="1">SUM(F55:F59)</f>
        <v>274356.51782008726</v>
      </c>
    </row>
    <row r="61" spans="1:17" ht="14.25" thickTop="1" thickBot="1">
      <c r="A61" s="97"/>
      <c r="B61" s="269"/>
      <c r="C61" s="236"/>
      <c r="D61" s="236"/>
      <c r="E61" s="236"/>
      <c r="F61" s="496"/>
    </row>
    <row r="62" spans="1:17" ht="13.5" thickBot="1">
      <c r="A62" s="8"/>
      <c r="B62" s="223"/>
      <c r="F62" s="80"/>
      <c r="J62" s="78"/>
      <c r="L62" s="78"/>
    </row>
    <row r="63" spans="1:17">
      <c r="A63" s="5" t="s">
        <v>972</v>
      </c>
      <c r="B63" s="227"/>
      <c r="C63" s="891">
        <f>C6</f>
        <v>2019</v>
      </c>
      <c r="D63" s="891">
        <f>D6</f>
        <v>2020</v>
      </c>
      <c r="E63" s="891">
        <f>E6</f>
        <v>2021</v>
      </c>
      <c r="F63" s="892" t="s">
        <v>26</v>
      </c>
      <c r="J63" s="78"/>
      <c r="L63" s="78"/>
    </row>
    <row r="64" spans="1:17">
      <c r="A64" s="8" t="s">
        <v>196</v>
      </c>
      <c r="B64" s="78"/>
      <c r="C64" s="87"/>
      <c r="D64" s="87"/>
      <c r="E64" s="87"/>
      <c r="F64" s="228">
        <f>SUM(C64:E64)</f>
        <v>0</v>
      </c>
      <c r="J64" s="78"/>
      <c r="L64" s="78"/>
    </row>
    <row r="65" spans="1:12">
      <c r="A65" s="8" t="str">
        <f>A8</f>
        <v>Rose</v>
      </c>
      <c r="B65" s="78"/>
      <c r="C65" s="87"/>
      <c r="D65" s="888"/>
      <c r="E65" s="888"/>
      <c r="F65" s="228">
        <f>SUM(C65:E65)</f>
        <v>0</v>
      </c>
      <c r="J65" s="78"/>
      <c r="L65" s="78"/>
    </row>
    <row r="66" spans="1:12">
      <c r="A66" s="8" t="str">
        <f>A9</f>
        <v>Classic</v>
      </c>
      <c r="B66" s="78"/>
      <c r="C66" s="115">
        <f>'Inv. start wine'!C148</f>
        <v>2475</v>
      </c>
      <c r="D66" s="115">
        <f>'Inv. start wine'!C186</f>
        <v>4725</v>
      </c>
      <c r="E66" s="115"/>
      <c r="F66" s="228">
        <f>SUM(C66:E66)</f>
        <v>7200</v>
      </c>
      <c r="J66" s="78"/>
      <c r="L66" s="78"/>
    </row>
    <row r="67" spans="1:12">
      <c r="A67" s="8" t="str">
        <f>A10</f>
        <v>Premium</v>
      </c>
      <c r="B67" s="78"/>
      <c r="C67" s="115">
        <v>0</v>
      </c>
      <c r="D67" s="115">
        <f>'Inv. start wine'!J146</f>
        <v>9225</v>
      </c>
      <c r="E67" s="115">
        <f>'Inv. start wine'!J188</f>
        <v>18900</v>
      </c>
      <c r="F67" s="228">
        <f>SUM(C67:E67)</f>
        <v>28125</v>
      </c>
      <c r="J67" s="103"/>
      <c r="L67" s="78"/>
    </row>
    <row r="68" spans="1:12">
      <c r="A68" s="8" t="str">
        <f>A11</f>
        <v>Selection individuelle</v>
      </c>
      <c r="B68" s="78"/>
      <c r="C68" s="115">
        <v>0</v>
      </c>
      <c r="D68" s="115">
        <v>0</v>
      </c>
      <c r="E68" s="115">
        <v>0</v>
      </c>
      <c r="F68" s="228">
        <f>SUM(C68:E68)</f>
        <v>0</v>
      </c>
      <c r="J68" s="78"/>
      <c r="L68" s="78"/>
    </row>
    <row r="69" spans="1:12" ht="13.5" thickBot="1">
      <c r="A69" s="8"/>
      <c r="B69" s="78"/>
      <c r="C69" s="506">
        <f>SUM(C64:C68)</f>
        <v>2475</v>
      </c>
      <c r="D69" s="506">
        <f>SUM(D64:D68)</f>
        <v>13950</v>
      </c>
      <c r="E69" s="506">
        <f>SUM(E64:E68)</f>
        <v>18900</v>
      </c>
      <c r="F69" s="509">
        <f>SUM(F64:F68)</f>
        <v>35325</v>
      </c>
      <c r="J69" s="78"/>
      <c r="L69" s="78"/>
    </row>
    <row r="70" spans="1:12" ht="13.5" thickTop="1">
      <c r="A70" s="8"/>
      <c r="B70" s="78"/>
      <c r="F70" s="80"/>
      <c r="J70" s="78"/>
      <c r="L70" s="78"/>
    </row>
    <row r="71" spans="1:12">
      <c r="A71" s="229" t="str">
        <f>A14</f>
        <v>Waste</v>
      </c>
      <c r="B71" s="78"/>
      <c r="C71" s="250">
        <v>2019</v>
      </c>
      <c r="D71" s="250">
        <f>C71+1</f>
        <v>2020</v>
      </c>
      <c r="E71" s="250">
        <f>D71+1</f>
        <v>2021</v>
      </c>
      <c r="F71" s="251" t="s">
        <v>26</v>
      </c>
      <c r="J71" s="78"/>
      <c r="L71" s="78"/>
    </row>
    <row r="72" spans="1:12">
      <c r="A72" s="8" t="str">
        <f>A64</f>
        <v>White</v>
      </c>
      <c r="B72" s="78"/>
      <c r="C72" s="731">
        <f t="shared" ref="C72:E73" si="5">C64</f>
        <v>0</v>
      </c>
      <c r="D72" s="731">
        <f t="shared" si="5"/>
        <v>0</v>
      </c>
      <c r="E72" s="731">
        <f t="shared" si="5"/>
        <v>0</v>
      </c>
      <c r="F72" s="508">
        <f>SUM(C72:E72)</f>
        <v>0</v>
      </c>
      <c r="J72" s="103"/>
      <c r="L72" s="78"/>
    </row>
    <row r="73" spans="1:12">
      <c r="A73" s="8" t="str">
        <f>A65</f>
        <v>Rose</v>
      </c>
      <c r="B73" s="78"/>
      <c r="C73" s="731">
        <f t="shared" si="5"/>
        <v>0</v>
      </c>
      <c r="D73" s="731">
        <f t="shared" si="5"/>
        <v>0</v>
      </c>
      <c r="E73" s="731">
        <f t="shared" si="5"/>
        <v>0</v>
      </c>
      <c r="F73" s="508">
        <f>SUM(C73:E73)</f>
        <v>0</v>
      </c>
      <c r="J73" s="78"/>
      <c r="L73" s="78"/>
    </row>
    <row r="74" spans="1:12">
      <c r="A74" s="8" t="str">
        <f>A66</f>
        <v>Classic</v>
      </c>
      <c r="B74" s="78"/>
      <c r="C74" s="731"/>
      <c r="D74" s="731"/>
      <c r="E74" s="731"/>
      <c r="F74" s="508">
        <f>SUM(C74:E74)</f>
        <v>0</v>
      </c>
      <c r="J74" s="78"/>
      <c r="L74" s="78"/>
    </row>
    <row r="75" spans="1:12">
      <c r="A75" s="8" t="str">
        <f>A67</f>
        <v>Premium</v>
      </c>
      <c r="B75" s="78"/>
      <c r="C75" s="731"/>
      <c r="D75" s="731"/>
      <c r="E75" s="731"/>
      <c r="F75" s="508">
        <f>SUM(C75:E75)</f>
        <v>0</v>
      </c>
      <c r="J75" s="78"/>
      <c r="L75" s="78"/>
    </row>
    <row r="76" spans="1:12">
      <c r="A76" s="8" t="str">
        <f>A68</f>
        <v>Selection individuelle</v>
      </c>
      <c r="B76" s="78"/>
      <c r="C76" s="731"/>
      <c r="D76" s="731"/>
      <c r="E76" s="731"/>
      <c r="F76" s="508">
        <f>SUM(C76:E76)</f>
        <v>0</v>
      </c>
      <c r="J76" s="78"/>
      <c r="L76" s="78"/>
    </row>
    <row r="77" spans="1:12" ht="13.5" thickBot="1">
      <c r="A77" s="8"/>
      <c r="B77" s="78"/>
      <c r="C77" s="506">
        <f>SUM(C72:C76)</f>
        <v>0</v>
      </c>
      <c r="D77" s="506">
        <f>SUM(D72:D76)</f>
        <v>0</v>
      </c>
      <c r="E77" s="506">
        <f>SUM(E72:E76)</f>
        <v>0</v>
      </c>
      <c r="F77" s="509">
        <f>SUM(F72:F76)</f>
        <v>0</v>
      </c>
      <c r="J77" s="78"/>
      <c r="L77" s="78"/>
    </row>
    <row r="78" spans="1:12" ht="13.5" thickTop="1">
      <c r="A78" s="8"/>
      <c r="B78" s="78"/>
      <c r="F78" s="80"/>
      <c r="J78" s="78"/>
      <c r="L78" s="78"/>
    </row>
    <row r="79" spans="1:12">
      <c r="A79" s="229" t="s">
        <v>1030</v>
      </c>
      <c r="B79" s="78"/>
      <c r="C79" s="250">
        <v>2019</v>
      </c>
      <c r="D79" s="250">
        <f>C79+1</f>
        <v>2020</v>
      </c>
      <c r="E79" s="250">
        <f>D79+1</f>
        <v>2021</v>
      </c>
      <c r="F79" s="251" t="s">
        <v>26</v>
      </c>
      <c r="J79" s="78"/>
      <c r="L79" s="78"/>
    </row>
    <row r="80" spans="1:12">
      <c r="A80" s="8" t="str">
        <f>A72</f>
        <v>White</v>
      </c>
      <c r="B80" s="78"/>
      <c r="C80" s="731">
        <f>C64-C72</f>
        <v>0</v>
      </c>
      <c r="D80" s="731">
        <f>D64-D72</f>
        <v>0</v>
      </c>
      <c r="E80" s="731">
        <f>E64-E72</f>
        <v>0</v>
      </c>
      <c r="F80" s="508">
        <f>SUM(C80:E80)</f>
        <v>0</v>
      </c>
      <c r="J80" s="78"/>
      <c r="K80" s="78"/>
      <c r="L80" s="78"/>
    </row>
    <row r="81" spans="1:12">
      <c r="A81" s="8" t="str">
        <f>A73</f>
        <v>Rose</v>
      </c>
      <c r="B81" s="78"/>
      <c r="C81" s="731">
        <f t="shared" ref="C81:E84" si="6">C65-C73</f>
        <v>0</v>
      </c>
      <c r="D81" s="731">
        <f t="shared" si="6"/>
        <v>0</v>
      </c>
      <c r="E81" s="731">
        <f t="shared" si="6"/>
        <v>0</v>
      </c>
      <c r="F81" s="508">
        <f>SUM(C81:E81)</f>
        <v>0</v>
      </c>
      <c r="J81" s="78"/>
      <c r="K81" s="78"/>
      <c r="L81" s="78"/>
    </row>
    <row r="82" spans="1:12">
      <c r="A82" s="8" t="str">
        <f>A74</f>
        <v>Classic</v>
      </c>
      <c r="B82" s="78"/>
      <c r="C82" s="731">
        <f>C66-C74</f>
        <v>2475</v>
      </c>
      <c r="D82" s="731">
        <f t="shared" si="6"/>
        <v>4725</v>
      </c>
      <c r="E82" s="731">
        <f t="shared" si="6"/>
        <v>0</v>
      </c>
      <c r="F82" s="508">
        <f>SUM(C82:E82)</f>
        <v>7200</v>
      </c>
      <c r="J82" s="78"/>
      <c r="K82" s="78"/>
      <c r="L82" s="78"/>
    </row>
    <row r="83" spans="1:12">
      <c r="A83" s="8" t="str">
        <f>A75</f>
        <v>Premium</v>
      </c>
      <c r="B83" s="78"/>
      <c r="C83" s="731">
        <f t="shared" si="6"/>
        <v>0</v>
      </c>
      <c r="D83" s="731">
        <f t="shared" si="6"/>
        <v>9225</v>
      </c>
      <c r="E83" s="731">
        <f t="shared" si="6"/>
        <v>18900</v>
      </c>
      <c r="F83" s="508">
        <f>SUM(C83:E83)</f>
        <v>28125</v>
      </c>
      <c r="J83" s="78"/>
      <c r="K83" s="78"/>
      <c r="L83" s="78"/>
    </row>
    <row r="84" spans="1:12">
      <c r="A84" s="8" t="str">
        <f>A76</f>
        <v>Selection individuelle</v>
      </c>
      <c r="B84" s="78"/>
      <c r="C84" s="731">
        <f t="shared" si="6"/>
        <v>0</v>
      </c>
      <c r="D84" s="731">
        <f t="shared" si="6"/>
        <v>0</v>
      </c>
      <c r="E84" s="731">
        <f t="shared" si="6"/>
        <v>0</v>
      </c>
      <c r="F84" s="508">
        <f>SUM(C84:E84)</f>
        <v>0</v>
      </c>
      <c r="J84" s="78"/>
      <c r="K84" s="78"/>
      <c r="L84" s="78"/>
    </row>
    <row r="85" spans="1:12" ht="13.5" thickBot="1">
      <c r="A85" s="8"/>
      <c r="B85" s="78"/>
      <c r="C85" s="931">
        <f>SUM(C80:C84)</f>
        <v>2475</v>
      </c>
      <c r="D85" s="931">
        <f>SUM(D80:D84)</f>
        <v>13950</v>
      </c>
      <c r="E85" s="931">
        <f>SUM(E80:E84)</f>
        <v>18900</v>
      </c>
      <c r="F85" s="932">
        <f>SUM(F80:F84)</f>
        <v>35325</v>
      </c>
      <c r="J85" s="78"/>
      <c r="K85" s="78"/>
      <c r="L85" s="78"/>
    </row>
    <row r="86" spans="1:12" ht="13.5" thickTop="1">
      <c r="A86" s="8"/>
      <c r="B86" s="78"/>
      <c r="F86" s="80"/>
      <c r="J86" s="78"/>
      <c r="K86" s="78"/>
      <c r="L86" s="78"/>
    </row>
    <row r="87" spans="1:12">
      <c r="A87" s="229" t="s">
        <v>357</v>
      </c>
      <c r="B87" s="223"/>
      <c r="C87" s="250">
        <v>2019</v>
      </c>
      <c r="D87" s="250">
        <f>C87+1</f>
        <v>2020</v>
      </c>
      <c r="E87" s="250">
        <f>D87+1</f>
        <v>2021</v>
      </c>
      <c r="F87" s="251"/>
      <c r="J87" s="78"/>
      <c r="K87" s="78"/>
      <c r="L87" s="78"/>
    </row>
    <row r="88" spans="1:12">
      <c r="A88" s="8" t="str">
        <f>A64</f>
        <v>White</v>
      </c>
      <c r="B88" s="223"/>
      <c r="C88" s="89">
        <f ca="1">Costprice!O12+Costprice!O13</f>
        <v>6.8319268345058832</v>
      </c>
      <c r="D88" s="89">
        <f t="shared" ref="D88:E92" ca="1" si="7">C88</f>
        <v>6.8319268345058832</v>
      </c>
      <c r="E88" s="89">
        <f t="shared" ca="1" si="7"/>
        <v>6.8319268345058832</v>
      </c>
      <c r="F88" s="228"/>
      <c r="J88" s="78"/>
      <c r="K88" s="78"/>
      <c r="L88" s="78"/>
    </row>
    <row r="89" spans="1:12">
      <c r="A89" s="8" t="str">
        <f>A65</f>
        <v>Rose</v>
      </c>
      <c r="B89" s="223"/>
      <c r="C89" s="89">
        <f ca="1">Costprice!O24+Costprice!O25</f>
        <v>6.8319268345058832</v>
      </c>
      <c r="D89" s="89">
        <f t="shared" ca="1" si="7"/>
        <v>6.8319268345058832</v>
      </c>
      <c r="E89" s="89">
        <f t="shared" ca="1" si="7"/>
        <v>6.8319268345058832</v>
      </c>
      <c r="F89" s="228"/>
      <c r="J89" s="78"/>
      <c r="K89" s="78"/>
      <c r="L89" s="78"/>
    </row>
    <row r="90" spans="1:12">
      <c r="A90" s="8" t="str">
        <f>A66</f>
        <v>Classic</v>
      </c>
      <c r="B90" s="223"/>
      <c r="C90" s="89">
        <f ca="1">Costprice!O36+Costprice!O37</f>
        <v>7.9657922786066333</v>
      </c>
      <c r="D90" s="89">
        <f ca="1">C90</f>
        <v>7.9657922786066333</v>
      </c>
      <c r="E90" s="89">
        <f t="shared" ca="1" si="7"/>
        <v>7.9657922786066333</v>
      </c>
      <c r="F90" s="228"/>
      <c r="J90" s="78"/>
      <c r="K90" s="78"/>
      <c r="L90" s="78"/>
    </row>
    <row r="91" spans="1:12">
      <c r="A91" s="8" t="str">
        <f>A67</f>
        <v>Premium</v>
      </c>
      <c r="B91" s="223"/>
      <c r="C91" s="89">
        <f ca="1">Costprice!O48+Costprice!O49</f>
        <v>7.9657922786066333</v>
      </c>
      <c r="D91" s="89">
        <f t="shared" ca="1" si="7"/>
        <v>7.9657922786066333</v>
      </c>
      <c r="E91" s="89">
        <f t="shared" ca="1" si="7"/>
        <v>7.9657922786066333</v>
      </c>
      <c r="F91" s="228"/>
      <c r="J91" s="78"/>
      <c r="K91" s="78"/>
      <c r="L91" s="103"/>
    </row>
    <row r="92" spans="1:12">
      <c r="A92" s="8" t="str">
        <f>A68</f>
        <v>Selection individuelle</v>
      </c>
      <c r="B92" s="223"/>
      <c r="C92" s="89">
        <f ca="1">Costprice!O61+Costprice!O62</f>
        <v>7.9657922786066333</v>
      </c>
      <c r="D92" s="89">
        <f t="shared" ca="1" si="7"/>
        <v>7.9657922786066333</v>
      </c>
      <c r="E92" s="89">
        <f t="shared" ca="1" si="7"/>
        <v>7.9657922786066333</v>
      </c>
      <c r="F92" s="228"/>
      <c r="J92" s="78"/>
      <c r="K92" s="78"/>
      <c r="L92" s="103"/>
    </row>
    <row r="93" spans="1:12" ht="13.5" thickBot="1">
      <c r="A93" s="8"/>
      <c r="B93" s="223"/>
      <c r="C93" s="506">
        <f ca="1">SUM(C88:C92)</f>
        <v>37.56123050483167</v>
      </c>
      <c r="D93" s="506">
        <f ca="1">SUM(D88:D92)</f>
        <v>37.56123050483167</v>
      </c>
      <c r="E93" s="506">
        <f ca="1">SUM(E88:E92)</f>
        <v>37.56123050483167</v>
      </c>
      <c r="F93" s="509"/>
      <c r="J93" s="78"/>
      <c r="K93" s="78"/>
      <c r="L93" s="78"/>
    </row>
    <row r="94" spans="1:12" ht="13.5" thickTop="1">
      <c r="A94" s="8"/>
      <c r="B94" s="223"/>
      <c r="F94" s="80"/>
      <c r="J94" s="78"/>
      <c r="K94" s="78"/>
      <c r="L94" s="78"/>
    </row>
    <row r="95" spans="1:12">
      <c r="A95" s="229" t="s">
        <v>841</v>
      </c>
      <c r="B95" s="223"/>
      <c r="C95" s="250">
        <v>2019</v>
      </c>
      <c r="D95" s="250">
        <f>C95+1</f>
        <v>2020</v>
      </c>
      <c r="E95" s="250">
        <f>D95+1</f>
        <v>2021</v>
      </c>
      <c r="F95" s="251" t="s">
        <v>26</v>
      </c>
      <c r="G95" s="504"/>
      <c r="J95" s="78"/>
      <c r="K95" s="78"/>
      <c r="L95" s="78"/>
    </row>
    <row r="96" spans="1:12">
      <c r="A96" s="8" t="str">
        <f>A88</f>
        <v>White</v>
      </c>
      <c r="B96" s="223"/>
      <c r="C96" s="103">
        <f t="shared" ref="C96:E100" ca="1" si="8">C88*C64</f>
        <v>0</v>
      </c>
      <c r="D96" s="103">
        <f t="shared" ca="1" si="8"/>
        <v>0</v>
      </c>
      <c r="E96" s="103">
        <f t="shared" ca="1" si="8"/>
        <v>0</v>
      </c>
      <c r="F96" s="228">
        <f ca="1">SUM(C96:E96)</f>
        <v>0</v>
      </c>
      <c r="J96" s="78"/>
      <c r="K96" s="78"/>
      <c r="L96" s="78"/>
    </row>
    <row r="97" spans="1:12">
      <c r="A97" s="8" t="str">
        <f>A89</f>
        <v>Rose</v>
      </c>
      <c r="B97" s="223"/>
      <c r="C97" s="103">
        <f t="shared" ca="1" si="8"/>
        <v>0</v>
      </c>
      <c r="D97" s="103">
        <f t="shared" ca="1" si="8"/>
        <v>0</v>
      </c>
      <c r="E97" s="103">
        <f t="shared" ca="1" si="8"/>
        <v>0</v>
      </c>
      <c r="F97" s="228">
        <f ca="1">SUM(C97:E97)</f>
        <v>0</v>
      </c>
      <c r="J97" s="103"/>
      <c r="K97" s="78"/>
      <c r="L97" s="78"/>
    </row>
    <row r="98" spans="1:12">
      <c r="A98" s="8" t="str">
        <f>A90</f>
        <v>Classic</v>
      </c>
      <c r="B98" s="223"/>
      <c r="C98" s="103">
        <f ca="1">C90*C66</f>
        <v>19715.335889551417</v>
      </c>
      <c r="D98" s="103">
        <f ca="1">D90*D66</f>
        <v>37638.36851641634</v>
      </c>
      <c r="E98" s="103">
        <f t="shared" ca="1" si="8"/>
        <v>0</v>
      </c>
      <c r="F98" s="228">
        <f ca="1">SUM(C98:E98)</f>
        <v>57353.704405967757</v>
      </c>
      <c r="J98" s="78"/>
      <c r="K98" s="78"/>
      <c r="L98" s="78"/>
    </row>
    <row r="99" spans="1:12">
      <c r="A99" s="8" t="str">
        <f>A91</f>
        <v>Premium</v>
      </c>
      <c r="B99" s="223"/>
      <c r="C99" s="103">
        <f t="shared" ca="1" si="8"/>
        <v>0</v>
      </c>
      <c r="D99" s="103">
        <f ca="1">D91*D67</f>
        <v>73484.433770146192</v>
      </c>
      <c r="E99" s="103">
        <f ca="1">E91*E67</f>
        <v>150553.47406566536</v>
      </c>
      <c r="F99" s="228">
        <f ca="1">SUM(C99:E99)</f>
        <v>224037.90783581155</v>
      </c>
      <c r="J99" s="78"/>
      <c r="K99" s="78"/>
      <c r="L99" s="78"/>
    </row>
    <row r="100" spans="1:12">
      <c r="A100" s="8" t="str">
        <f>A92</f>
        <v>Selection individuelle</v>
      </c>
      <c r="B100" s="223"/>
      <c r="C100" s="103">
        <f t="shared" ca="1" si="8"/>
        <v>0</v>
      </c>
      <c r="D100" s="103">
        <f t="shared" ca="1" si="8"/>
        <v>0</v>
      </c>
      <c r="E100" s="103">
        <f t="shared" ca="1" si="8"/>
        <v>0</v>
      </c>
      <c r="F100" s="228">
        <f ca="1">SUM(C100:E100)</f>
        <v>0</v>
      </c>
      <c r="J100" s="78"/>
      <c r="K100" s="78"/>
      <c r="L100" s="78"/>
    </row>
    <row r="101" spans="1:12" ht="13.5" thickBot="1">
      <c r="A101" s="8"/>
      <c r="B101" s="223"/>
      <c r="C101" s="506">
        <f ca="1">SUM(C96:C100)</f>
        <v>19715.335889551417</v>
      </c>
      <c r="D101" s="506">
        <f ca="1">SUM(D96:D100)</f>
        <v>111122.80228656254</v>
      </c>
      <c r="E101" s="506">
        <f ca="1">SUM(E96:E100)</f>
        <v>150553.47406566536</v>
      </c>
      <c r="F101" s="509">
        <f ca="1">SUM(F96:F100)</f>
        <v>281391.61224177934</v>
      </c>
      <c r="J101" s="78"/>
      <c r="K101" s="78"/>
      <c r="L101" s="78"/>
    </row>
    <row r="102" spans="1:12" ht="13.5" thickTop="1">
      <c r="A102" s="8"/>
      <c r="B102" s="223"/>
      <c r="C102" s="925"/>
      <c r="D102" s="925"/>
      <c r="E102" s="925"/>
      <c r="F102" s="650"/>
      <c r="J102" s="78"/>
      <c r="K102" s="78"/>
      <c r="L102" s="78"/>
    </row>
    <row r="103" spans="1:12">
      <c r="A103" s="874" t="s">
        <v>1025</v>
      </c>
      <c r="B103" s="223"/>
      <c r="C103" s="250">
        <v>2019</v>
      </c>
      <c r="D103" s="250">
        <f>C103+1</f>
        <v>2020</v>
      </c>
      <c r="E103" s="250">
        <f>D103+1</f>
        <v>2021</v>
      </c>
      <c r="F103" s="251" t="s">
        <v>26</v>
      </c>
    </row>
    <row r="104" spans="1:12">
      <c r="A104" s="789" t="str">
        <f>A96</f>
        <v>White</v>
      </c>
      <c r="B104" s="223"/>
      <c r="C104" s="223">
        <f t="shared" ref="C104:E108" ca="1" si="9">C72*C88</f>
        <v>0</v>
      </c>
      <c r="D104" s="223">
        <f t="shared" ca="1" si="9"/>
        <v>0</v>
      </c>
      <c r="E104" s="223">
        <f t="shared" ca="1" si="9"/>
        <v>0</v>
      </c>
      <c r="F104" s="228">
        <f ca="1">E104+D104+C104+B104</f>
        <v>0</v>
      </c>
    </row>
    <row r="105" spans="1:12">
      <c r="A105" s="789" t="str">
        <f>A97</f>
        <v>Rose</v>
      </c>
      <c r="B105" s="223"/>
      <c r="C105" s="223">
        <f t="shared" ca="1" si="9"/>
        <v>0</v>
      </c>
      <c r="D105" s="223">
        <f t="shared" ca="1" si="9"/>
        <v>0</v>
      </c>
      <c r="E105" s="223">
        <f t="shared" ca="1" si="9"/>
        <v>0</v>
      </c>
      <c r="F105" s="228">
        <f ca="1">E105+D105+C105+B105</f>
        <v>0</v>
      </c>
    </row>
    <row r="106" spans="1:12">
      <c r="A106" s="789" t="str">
        <f>A98</f>
        <v>Classic</v>
      </c>
      <c r="B106" s="223"/>
      <c r="C106" s="223">
        <f t="shared" ca="1" si="9"/>
        <v>0</v>
      </c>
      <c r="D106" s="223">
        <f t="shared" ca="1" si="9"/>
        <v>0</v>
      </c>
      <c r="E106" s="223">
        <f t="shared" ca="1" si="9"/>
        <v>0</v>
      </c>
      <c r="F106" s="228">
        <f ca="1">E106+D106+C106+B106</f>
        <v>0</v>
      </c>
    </row>
    <row r="107" spans="1:12">
      <c r="A107" s="789" t="str">
        <f>A99</f>
        <v>Premium</v>
      </c>
      <c r="B107" s="223"/>
      <c r="C107" s="223">
        <f t="shared" ca="1" si="9"/>
        <v>0</v>
      </c>
      <c r="D107" s="223">
        <f t="shared" ca="1" si="9"/>
        <v>0</v>
      </c>
      <c r="E107" s="223">
        <f t="shared" ca="1" si="9"/>
        <v>0</v>
      </c>
      <c r="F107" s="228">
        <f ca="1">E107+D107+C107+B107</f>
        <v>0</v>
      </c>
    </row>
    <row r="108" spans="1:12">
      <c r="A108" s="789" t="str">
        <f>A100</f>
        <v>Selection individuelle</v>
      </c>
      <c r="B108" s="223"/>
      <c r="C108" s="223">
        <f t="shared" ca="1" si="9"/>
        <v>0</v>
      </c>
      <c r="D108" s="223">
        <f t="shared" ca="1" si="9"/>
        <v>0</v>
      </c>
      <c r="E108" s="223">
        <f t="shared" ca="1" si="9"/>
        <v>0</v>
      </c>
      <c r="F108" s="228">
        <f ca="1">E108+D108+C108+B108</f>
        <v>0</v>
      </c>
    </row>
    <row r="109" spans="1:12" ht="13.5" thickBot="1">
      <c r="A109" s="8"/>
      <c r="B109" s="223"/>
      <c r="C109" s="497">
        <f ca="1">SUM(C104:C108)</f>
        <v>0</v>
      </c>
      <c r="D109" s="497">
        <f ca="1">SUM(D104:D108)</f>
        <v>0</v>
      </c>
      <c r="E109" s="497">
        <f ca="1">SUM(E104:E108)</f>
        <v>0</v>
      </c>
      <c r="F109" s="890">
        <f ca="1">SUM(F104:F108)</f>
        <v>0</v>
      </c>
    </row>
    <row r="110" spans="1:12" ht="13.5" thickTop="1">
      <c r="A110" s="8"/>
      <c r="B110" s="223"/>
      <c r="C110" s="904"/>
      <c r="D110" s="904"/>
      <c r="E110" s="904"/>
      <c r="F110" s="80"/>
    </row>
    <row r="111" spans="1:12">
      <c r="A111" s="229" t="s">
        <v>1026</v>
      </c>
      <c r="B111" s="223"/>
      <c r="C111" s="250">
        <v>2019</v>
      </c>
      <c r="D111" s="250">
        <f>C111+1</f>
        <v>2020</v>
      </c>
      <c r="E111" s="250">
        <f>D111+1</f>
        <v>2021</v>
      </c>
      <c r="F111" s="251" t="s">
        <v>26</v>
      </c>
    </row>
    <row r="112" spans="1:12">
      <c r="A112" s="789" t="str">
        <f>A104</f>
        <v>White</v>
      </c>
      <c r="B112" s="223"/>
      <c r="C112" s="223">
        <f ca="1">C96-C104</f>
        <v>0</v>
      </c>
      <c r="D112" s="223">
        <f ca="1">D96-D104</f>
        <v>0</v>
      </c>
      <c r="E112" s="223">
        <f ca="1">E96-E104</f>
        <v>0</v>
      </c>
      <c r="F112" s="228">
        <f ca="1">E112+D112+C112+B112</f>
        <v>0</v>
      </c>
    </row>
    <row r="113" spans="1:13">
      <c r="A113" s="789" t="str">
        <f>A105</f>
        <v>Rose</v>
      </c>
      <c r="B113" s="223"/>
      <c r="C113" s="223">
        <f t="shared" ref="C113:E116" ca="1" si="10">C97-C105</f>
        <v>0</v>
      </c>
      <c r="D113" s="223">
        <f t="shared" ca="1" si="10"/>
        <v>0</v>
      </c>
      <c r="E113" s="223">
        <f t="shared" ca="1" si="10"/>
        <v>0</v>
      </c>
      <c r="F113" s="228">
        <f ca="1">E113+D113+C113+B113</f>
        <v>0</v>
      </c>
    </row>
    <row r="114" spans="1:13">
      <c r="A114" s="789" t="str">
        <f>A106</f>
        <v>Classic</v>
      </c>
      <c r="B114" s="223"/>
      <c r="C114" s="223">
        <f t="shared" ca="1" si="10"/>
        <v>19715.335889551417</v>
      </c>
      <c r="D114" s="223">
        <f t="shared" ca="1" si="10"/>
        <v>37638.36851641634</v>
      </c>
      <c r="E114" s="223">
        <f t="shared" ca="1" si="10"/>
        <v>0</v>
      </c>
      <c r="F114" s="228">
        <f ca="1">E114+D114+C114+B114</f>
        <v>57353.704405967757</v>
      </c>
    </row>
    <row r="115" spans="1:13">
      <c r="A115" s="789" t="str">
        <f>A107</f>
        <v>Premium</v>
      </c>
      <c r="B115" s="223"/>
      <c r="C115" s="223">
        <f t="shared" ca="1" si="10"/>
        <v>0</v>
      </c>
      <c r="D115" s="223">
        <f t="shared" ca="1" si="10"/>
        <v>73484.433770146192</v>
      </c>
      <c r="E115" s="223">
        <f t="shared" ca="1" si="10"/>
        <v>150553.47406566536</v>
      </c>
      <c r="F115" s="228">
        <f ca="1">E115+D115+C115+B115</f>
        <v>224037.90783581155</v>
      </c>
    </row>
    <row r="116" spans="1:13">
      <c r="A116" s="789" t="str">
        <f>A108</f>
        <v>Selection individuelle</v>
      </c>
      <c r="B116" s="223"/>
      <c r="C116" s="223">
        <f t="shared" ca="1" si="10"/>
        <v>0</v>
      </c>
      <c r="D116" s="223">
        <f t="shared" ca="1" si="10"/>
        <v>0</v>
      </c>
      <c r="E116" s="223">
        <f t="shared" ca="1" si="10"/>
        <v>0</v>
      </c>
      <c r="F116" s="228">
        <f ca="1">E116+D116+C116+B116</f>
        <v>0</v>
      </c>
    </row>
    <row r="117" spans="1:13" ht="13.5" thickBot="1">
      <c r="A117" s="789"/>
      <c r="B117" s="223"/>
      <c r="C117" s="928">
        <f ca="1">SUM(C112:C116)</f>
        <v>19715.335889551417</v>
      </c>
      <c r="D117" s="928">
        <f ca="1">SUM(D112:D116)</f>
        <v>111122.80228656254</v>
      </c>
      <c r="E117" s="928">
        <f ca="1">SUM(E112:E116)</f>
        <v>150553.47406566536</v>
      </c>
      <c r="F117" s="929">
        <f ca="1">SUM(F112:F116)</f>
        <v>281391.61224177934</v>
      </c>
    </row>
    <row r="118" spans="1:13" ht="14.25" thickTop="1" thickBot="1">
      <c r="A118" s="97"/>
      <c r="B118" s="269"/>
      <c r="C118" s="236"/>
      <c r="D118" s="236"/>
      <c r="E118" s="236"/>
      <c r="F118" s="496"/>
    </row>
    <row r="119" spans="1:13" ht="13.5" thickBot="1">
      <c r="J119" s="78"/>
      <c r="K119" s="78"/>
      <c r="L119" s="78"/>
    </row>
    <row r="120" spans="1:13" ht="13.5" thickBot="1">
      <c r="A120" s="238" t="s">
        <v>1028</v>
      </c>
      <c r="B120" s="872"/>
      <c r="C120" s="239"/>
      <c r="D120" s="239"/>
      <c r="E120" s="239"/>
      <c r="F120" s="117"/>
      <c r="J120" s="78"/>
      <c r="K120" s="78"/>
      <c r="L120" s="78"/>
    </row>
    <row r="121" spans="1:13">
      <c r="A121" s="8"/>
      <c r="B121" s="889"/>
      <c r="C121" s="903"/>
      <c r="D121" s="903"/>
      <c r="E121" s="903"/>
      <c r="F121" s="674"/>
      <c r="J121" s="78"/>
      <c r="K121" s="78"/>
      <c r="L121" s="78"/>
    </row>
    <row r="122" spans="1:13">
      <c r="A122" s="229" t="s">
        <v>971</v>
      </c>
      <c r="B122" s="250">
        <f>C122-1</f>
        <v>2018</v>
      </c>
      <c r="C122" s="250">
        <f>C6</f>
        <v>2019</v>
      </c>
      <c r="D122" s="250">
        <f>D6</f>
        <v>2020</v>
      </c>
      <c r="E122" s="250">
        <f>E6</f>
        <v>2021</v>
      </c>
      <c r="F122" s="251" t="s">
        <v>26</v>
      </c>
      <c r="J122" s="78"/>
      <c r="K122" s="78"/>
      <c r="L122" s="78"/>
    </row>
    <row r="123" spans="1:13">
      <c r="A123" s="789" t="str">
        <f>A96</f>
        <v>White</v>
      </c>
      <c r="B123" s="115">
        <f>'Inv. start wine'!E50</f>
        <v>0</v>
      </c>
      <c r="C123" s="115">
        <f>'Inv. start wine'!E58</f>
        <v>495</v>
      </c>
      <c r="D123" s="115">
        <f>'Inv. start wine'!E67</f>
        <v>1863</v>
      </c>
      <c r="E123" s="904">
        <f>'Inv. start wine'!E75</f>
        <v>1756.5</v>
      </c>
      <c r="F123" s="228">
        <f>E123+D123+C123+B123</f>
        <v>4114.5</v>
      </c>
      <c r="H123" s="732"/>
      <c r="I123" s="732"/>
      <c r="J123" s="732"/>
      <c r="K123" s="732"/>
      <c r="L123" s="732"/>
      <c r="M123" s="732"/>
    </row>
    <row r="124" spans="1:13">
      <c r="A124" s="789" t="str">
        <f>'Inv. start wine'!B6</f>
        <v>Rose</v>
      </c>
      <c r="B124" s="115">
        <f>'Inv. start wine'!E51</f>
        <v>0</v>
      </c>
      <c r="C124" s="115">
        <f>'Inv. start wine'!E59</f>
        <v>0</v>
      </c>
      <c r="D124" s="115">
        <f>'Inv. start wine'!E68</f>
        <v>5449.5</v>
      </c>
      <c r="E124" s="904"/>
      <c r="F124" s="228">
        <f>E124+D124+C124+B124</f>
        <v>5449.5</v>
      </c>
      <c r="H124" s="732"/>
      <c r="I124" s="732"/>
      <c r="J124" s="732"/>
      <c r="K124" s="732"/>
      <c r="L124" s="732"/>
      <c r="M124" s="732"/>
    </row>
    <row r="125" spans="1:13">
      <c r="A125" s="789" t="str">
        <f>Costprice!W36</f>
        <v>Classic</v>
      </c>
      <c r="B125" s="115">
        <f>'Inv. start wine'!E52</f>
        <v>16186.5</v>
      </c>
      <c r="C125" s="115">
        <f>'Inv. start wine'!E60</f>
        <v>0</v>
      </c>
      <c r="D125" s="115">
        <f>'Inv. start wine'!E69</f>
        <v>0</v>
      </c>
      <c r="E125" s="904"/>
      <c r="F125" s="228">
        <f>E125+D125+C125+B125</f>
        <v>16186.5</v>
      </c>
      <c r="H125" s="732"/>
      <c r="I125" s="732"/>
      <c r="J125" s="732"/>
      <c r="K125" s="732"/>
      <c r="L125" s="732"/>
      <c r="M125" s="732"/>
    </row>
    <row r="126" spans="1:13">
      <c r="A126" s="789" t="str">
        <f>Costprice!W52</f>
        <v>Premium</v>
      </c>
      <c r="B126" s="115">
        <f>'Inv. start wine'!E53</f>
        <v>5436</v>
      </c>
      <c r="C126" s="115">
        <f>'Inv. start wine'!E61</f>
        <v>11011.5</v>
      </c>
      <c r="D126" s="115">
        <f>'Inv. start wine'!E70</f>
        <v>0</v>
      </c>
      <c r="E126" s="904"/>
      <c r="F126" s="228">
        <f>E126+D126+C126+B126</f>
        <v>16447.5</v>
      </c>
      <c r="H126" s="732"/>
      <c r="I126" s="732"/>
      <c r="J126" s="732"/>
      <c r="K126" s="732"/>
      <c r="L126" s="732"/>
      <c r="M126" s="732"/>
    </row>
    <row r="127" spans="1:13">
      <c r="A127" s="789" t="str">
        <f>Costprice!W68</f>
        <v>Selection individuelle</v>
      </c>
      <c r="B127" s="115">
        <f>'Inv. start wine'!E54</f>
        <v>898.5</v>
      </c>
      <c r="C127" s="115">
        <f>'Inv. start wine'!E62</f>
        <v>1835</v>
      </c>
      <c r="D127" s="115">
        <f>'Inv. start wine'!E71</f>
        <v>0</v>
      </c>
      <c r="E127" s="904"/>
      <c r="F127" s="228">
        <f>E127+D127+C127+B127</f>
        <v>2733.5</v>
      </c>
      <c r="H127" s="732"/>
      <c r="I127" s="732"/>
      <c r="J127" s="732"/>
      <c r="K127" s="732"/>
      <c r="L127" s="732"/>
      <c r="M127" s="732"/>
    </row>
    <row r="128" spans="1:13" ht="13.5" thickBot="1">
      <c r="A128" s="8"/>
      <c r="B128" s="497">
        <f>SUM(B123:B127)</f>
        <v>22521</v>
      </c>
      <c r="C128" s="497">
        <f>SUM(C123:C127)</f>
        <v>13341.5</v>
      </c>
      <c r="D128" s="497">
        <f>SUM(D123:D127)</f>
        <v>7312.5</v>
      </c>
      <c r="E128" s="497">
        <f>SUM(E123:E127)</f>
        <v>1756.5</v>
      </c>
      <c r="F128" s="890">
        <f>SUM(F123:F127)</f>
        <v>44931.5</v>
      </c>
      <c r="J128" s="78"/>
      <c r="K128" s="78"/>
      <c r="L128" s="78"/>
    </row>
    <row r="129" spans="1:12" ht="13.5" thickTop="1">
      <c r="A129" s="8"/>
      <c r="B129" s="223"/>
      <c r="C129" s="904"/>
      <c r="D129" s="904"/>
      <c r="E129" s="904"/>
      <c r="F129" s="80"/>
      <c r="J129" s="78"/>
      <c r="K129" s="78"/>
      <c r="L129" s="78"/>
    </row>
    <row r="130" spans="1:12">
      <c r="A130" s="229" t="s">
        <v>346</v>
      </c>
      <c r="B130" s="250">
        <f>B122</f>
        <v>2018</v>
      </c>
      <c r="C130" s="250">
        <f>C122</f>
        <v>2019</v>
      </c>
      <c r="D130" s="250">
        <f>D122</f>
        <v>2020</v>
      </c>
      <c r="E130" s="250">
        <f>E122</f>
        <v>2021</v>
      </c>
      <c r="F130" s="251" t="s">
        <v>26</v>
      </c>
      <c r="J130" s="78"/>
      <c r="K130" s="78"/>
      <c r="L130" s="78"/>
    </row>
    <row r="131" spans="1:12">
      <c r="A131" s="789" t="str">
        <f>A123</f>
        <v>White</v>
      </c>
      <c r="B131" s="115"/>
      <c r="C131" s="115">
        <f>C123</f>
        <v>495</v>
      </c>
      <c r="D131" s="115">
        <f>D123</f>
        <v>1863</v>
      </c>
      <c r="E131" s="904"/>
      <c r="F131" s="228">
        <f>E131+D131+C131+B131</f>
        <v>2358</v>
      </c>
      <c r="J131" s="78"/>
      <c r="K131" s="78"/>
      <c r="L131" s="78"/>
    </row>
    <row r="132" spans="1:12">
      <c r="A132" s="789" t="str">
        <f>A124</f>
        <v>Rose</v>
      </c>
      <c r="B132" s="115"/>
      <c r="C132" s="115"/>
      <c r="D132" s="115">
        <f>D124</f>
        <v>5449.5</v>
      </c>
      <c r="E132" s="904"/>
      <c r="F132" s="228">
        <f>E132+D132+C132+B132</f>
        <v>5449.5</v>
      </c>
      <c r="J132" s="78"/>
      <c r="K132" s="78"/>
      <c r="L132" s="78"/>
    </row>
    <row r="133" spans="1:12">
      <c r="A133" s="789" t="str">
        <f>A125</f>
        <v>Classic</v>
      </c>
      <c r="B133" s="115"/>
      <c r="C133" s="115"/>
      <c r="D133" s="115"/>
      <c r="E133" s="904"/>
      <c r="F133" s="228">
        <f>E133+D133+C133+B133</f>
        <v>0</v>
      </c>
      <c r="J133" s="78"/>
      <c r="K133" s="78"/>
      <c r="L133" s="78"/>
    </row>
    <row r="134" spans="1:12">
      <c r="A134" s="789" t="str">
        <f>A126</f>
        <v>Premium</v>
      </c>
      <c r="B134" s="115"/>
      <c r="C134" s="115"/>
      <c r="D134" s="115"/>
      <c r="E134" s="904"/>
      <c r="F134" s="228">
        <f>E134+D134+C134+B134</f>
        <v>0</v>
      </c>
      <c r="J134" s="78"/>
      <c r="K134" s="78"/>
      <c r="L134" s="78"/>
    </row>
    <row r="135" spans="1:12">
      <c r="A135" s="789" t="str">
        <f>A127</f>
        <v>Selection individuelle</v>
      </c>
      <c r="B135" s="115"/>
      <c r="C135" s="115"/>
      <c r="D135" s="115"/>
      <c r="E135" s="904"/>
      <c r="F135" s="228">
        <f>E135+D135+C135+B135</f>
        <v>0</v>
      </c>
      <c r="J135" s="78"/>
      <c r="K135" s="78"/>
      <c r="L135" s="78"/>
    </row>
    <row r="136" spans="1:12" ht="13.5" thickBot="1">
      <c r="A136" s="8"/>
      <c r="B136" s="497">
        <f>SUM(B131:B135)</f>
        <v>0</v>
      </c>
      <c r="C136" s="497">
        <f>SUM(C131:C135)</f>
        <v>495</v>
      </c>
      <c r="D136" s="497">
        <f>SUM(D131:D135)</f>
        <v>7312.5</v>
      </c>
      <c r="E136" s="497">
        <f>SUM(E131:E135)</f>
        <v>0</v>
      </c>
      <c r="F136" s="890">
        <f>SUM(F131:F135)</f>
        <v>7807.5</v>
      </c>
    </row>
    <row r="137" spans="1:12" ht="13.5" thickTop="1">
      <c r="A137" s="8"/>
      <c r="B137" s="223"/>
      <c r="C137" s="904"/>
      <c r="D137" s="904"/>
      <c r="E137" s="904"/>
      <c r="F137" s="80"/>
    </row>
    <row r="138" spans="1:12">
      <c r="A138" s="229" t="s">
        <v>1027</v>
      </c>
      <c r="B138" s="250">
        <f>B130</f>
        <v>2018</v>
      </c>
      <c r="C138" s="250">
        <f>C130</f>
        <v>2019</v>
      </c>
      <c r="D138" s="250">
        <f>D130</f>
        <v>2020</v>
      </c>
      <c r="E138" s="250">
        <f>E130</f>
        <v>2021</v>
      </c>
      <c r="F138" s="251" t="s">
        <v>26</v>
      </c>
    </row>
    <row r="139" spans="1:12">
      <c r="A139" s="789" t="str">
        <f>A131</f>
        <v>White</v>
      </c>
      <c r="B139" s="223">
        <f t="shared" ref="B139:E143" si="11">B123-B131</f>
        <v>0</v>
      </c>
      <c r="C139" s="223">
        <f t="shared" si="11"/>
        <v>0</v>
      </c>
      <c r="D139" s="223">
        <f t="shared" si="11"/>
        <v>0</v>
      </c>
      <c r="E139" s="223">
        <f t="shared" si="11"/>
        <v>1756.5</v>
      </c>
      <c r="F139" s="228">
        <f>E139+D139+C139+B139</f>
        <v>1756.5</v>
      </c>
      <c r="H139" s="116"/>
    </row>
    <row r="140" spans="1:12">
      <c r="A140" s="789" t="str">
        <f>A132</f>
        <v>Rose</v>
      </c>
      <c r="B140" s="223">
        <f t="shared" si="11"/>
        <v>0</v>
      </c>
      <c r="C140" s="223">
        <f t="shared" si="11"/>
        <v>0</v>
      </c>
      <c r="D140" s="223">
        <f t="shared" si="11"/>
        <v>0</v>
      </c>
      <c r="E140" s="223">
        <f t="shared" si="11"/>
        <v>0</v>
      </c>
      <c r="F140" s="228">
        <f>E140+D140+C140+B140</f>
        <v>0</v>
      </c>
      <c r="H140" s="116"/>
    </row>
    <row r="141" spans="1:12">
      <c r="A141" s="789" t="str">
        <f>A133</f>
        <v>Classic</v>
      </c>
      <c r="B141" s="223">
        <f t="shared" si="11"/>
        <v>16186.5</v>
      </c>
      <c r="C141" s="223">
        <f t="shared" si="11"/>
        <v>0</v>
      </c>
      <c r="D141" s="223">
        <f t="shared" si="11"/>
        <v>0</v>
      </c>
      <c r="E141" s="223">
        <f t="shared" si="11"/>
        <v>0</v>
      </c>
      <c r="F141" s="228">
        <f>E141+D141+C141+B141</f>
        <v>16186.5</v>
      </c>
      <c r="H141" s="116"/>
    </row>
    <row r="142" spans="1:12">
      <c r="A142" s="789" t="str">
        <f>A134</f>
        <v>Premium</v>
      </c>
      <c r="B142" s="223">
        <f t="shared" si="11"/>
        <v>5436</v>
      </c>
      <c r="C142" s="223">
        <f t="shared" si="11"/>
        <v>11011.5</v>
      </c>
      <c r="D142" s="223">
        <f t="shared" si="11"/>
        <v>0</v>
      </c>
      <c r="E142" s="223">
        <f t="shared" si="11"/>
        <v>0</v>
      </c>
      <c r="F142" s="228">
        <f>E142+D142+C142+B142</f>
        <v>16447.5</v>
      </c>
      <c r="H142" s="116"/>
    </row>
    <row r="143" spans="1:12">
      <c r="A143" s="789" t="str">
        <f>A135</f>
        <v>Selection individuelle</v>
      </c>
      <c r="B143" s="223">
        <f t="shared" si="11"/>
        <v>898.5</v>
      </c>
      <c r="C143" s="223">
        <f t="shared" si="11"/>
        <v>1835</v>
      </c>
      <c r="D143" s="223">
        <f t="shared" si="11"/>
        <v>0</v>
      </c>
      <c r="E143" s="223">
        <f t="shared" si="11"/>
        <v>0</v>
      </c>
      <c r="F143" s="228">
        <f>E143+D143+C143+B143</f>
        <v>2733.5</v>
      </c>
      <c r="H143" s="116"/>
    </row>
    <row r="144" spans="1:12" ht="13.5" thickBot="1">
      <c r="A144" s="8"/>
      <c r="B144" s="928">
        <f>SUM(B139:B143)</f>
        <v>22521</v>
      </c>
      <c r="C144" s="928">
        <f>SUM(C139:C143)</f>
        <v>12846.5</v>
      </c>
      <c r="D144" s="928">
        <f>SUM(D139:D143)</f>
        <v>0</v>
      </c>
      <c r="E144" s="928">
        <f>SUM(E139:E143)</f>
        <v>1756.5</v>
      </c>
      <c r="F144" s="929">
        <f>SUM(F139:F143)</f>
        <v>37124</v>
      </c>
    </row>
    <row r="145" spans="1:6" ht="13.5" thickTop="1">
      <c r="A145" s="8"/>
      <c r="B145" s="223"/>
      <c r="C145" s="904"/>
      <c r="D145" s="904"/>
      <c r="E145" s="904"/>
      <c r="F145" s="80"/>
    </row>
    <row r="146" spans="1:6">
      <c r="A146" s="229" t="s">
        <v>357</v>
      </c>
      <c r="B146" s="250">
        <f>C146-1</f>
        <v>2018</v>
      </c>
      <c r="C146" s="250">
        <v>2019</v>
      </c>
      <c r="D146" s="250">
        <f>C146+1</f>
        <v>2020</v>
      </c>
      <c r="E146" s="250">
        <f>D146+1</f>
        <v>2021</v>
      </c>
      <c r="F146" s="251"/>
    </row>
    <row r="147" spans="1:6">
      <c r="A147" s="789" t="str">
        <f>A123</f>
        <v>White</v>
      </c>
      <c r="B147" s="924">
        <f ca="1">Costprice!O12+Costprice!O13+Costprice!O14</f>
        <v>8.7103770536430467</v>
      </c>
      <c r="C147" s="924">
        <f t="shared" ref="C147:E151" ca="1" si="12">B147</f>
        <v>8.7103770536430467</v>
      </c>
      <c r="D147" s="924">
        <f t="shared" ca="1" si="12"/>
        <v>8.7103770536430467</v>
      </c>
      <c r="E147" s="924">
        <f t="shared" ca="1" si="12"/>
        <v>8.7103770536430467</v>
      </c>
      <c r="F147" s="80"/>
    </row>
    <row r="148" spans="1:6">
      <c r="A148" s="789" t="str">
        <f>A124</f>
        <v>Rose</v>
      </c>
      <c r="B148" s="924">
        <f ca="1">Costprice!O24+Costprice!O25+Costprice!O26</f>
        <v>8.739259767019611</v>
      </c>
      <c r="C148" s="924">
        <f t="shared" ca="1" si="12"/>
        <v>8.739259767019611</v>
      </c>
      <c r="D148" s="924">
        <f t="shared" ca="1" si="12"/>
        <v>8.739259767019611</v>
      </c>
      <c r="E148" s="924">
        <f t="shared" ca="1" si="12"/>
        <v>8.739259767019611</v>
      </c>
      <c r="F148" s="228"/>
    </row>
    <row r="149" spans="1:6">
      <c r="A149" s="789" t="str">
        <f>A125</f>
        <v>Classic</v>
      </c>
      <c r="B149" s="924">
        <f ca="1">Costprice!O36+Costprice!O37+Costprice!O38</f>
        <v>9.8731252111203602</v>
      </c>
      <c r="C149" s="924">
        <f t="shared" ca="1" si="12"/>
        <v>9.8731252111203602</v>
      </c>
      <c r="D149" s="924">
        <f t="shared" ca="1" si="12"/>
        <v>9.8731252111203602</v>
      </c>
      <c r="E149" s="924">
        <f t="shared" ca="1" si="12"/>
        <v>9.8731252111203602</v>
      </c>
      <c r="F149" s="228"/>
    </row>
    <row r="150" spans="1:6">
      <c r="A150" s="789" t="str">
        <f>A126</f>
        <v>Premium</v>
      </c>
      <c r="B150" s="924">
        <f ca="1">Costprice!O48+Costprice!O49+Costprice!O50</f>
        <v>9.8731252111203602</v>
      </c>
      <c r="C150" s="924">
        <f t="shared" ca="1" si="12"/>
        <v>9.8731252111203602</v>
      </c>
      <c r="D150" s="924">
        <f t="shared" ca="1" si="12"/>
        <v>9.8731252111203602</v>
      </c>
      <c r="E150" s="924">
        <f t="shared" ca="1" si="12"/>
        <v>9.8731252111203602</v>
      </c>
      <c r="F150" s="228"/>
    </row>
    <row r="151" spans="1:6">
      <c r="A151" s="789" t="str">
        <f>A127</f>
        <v>Selection individuelle</v>
      </c>
      <c r="B151" s="272">
        <f ca="1">Costprice!O61+Costprice!O62+Costprice!O63</f>
        <v>10.427864079056244</v>
      </c>
      <c r="C151" s="272">
        <f t="shared" ca="1" si="12"/>
        <v>10.427864079056244</v>
      </c>
      <c r="D151" s="272">
        <f t="shared" ca="1" si="12"/>
        <v>10.427864079056244</v>
      </c>
      <c r="E151" s="272">
        <f t="shared" ca="1" si="12"/>
        <v>10.427864079056244</v>
      </c>
      <c r="F151" s="510"/>
    </row>
    <row r="152" spans="1:6">
      <c r="A152" s="8"/>
      <c r="B152" s="223"/>
      <c r="C152" s="904"/>
      <c r="D152" s="904"/>
      <c r="E152" s="904"/>
      <c r="F152" s="80"/>
    </row>
    <row r="153" spans="1:6">
      <c r="A153" s="874" t="s">
        <v>841</v>
      </c>
      <c r="B153" s="250">
        <f>B146</f>
        <v>2018</v>
      </c>
      <c r="C153" s="250">
        <v>2019</v>
      </c>
      <c r="D153" s="250">
        <f>C153+1</f>
        <v>2020</v>
      </c>
      <c r="E153" s="250">
        <f>D153+1</f>
        <v>2021</v>
      </c>
      <c r="F153" s="251" t="s">
        <v>26</v>
      </c>
    </row>
    <row r="154" spans="1:6">
      <c r="A154" s="789" t="str">
        <f>A147</f>
        <v>White</v>
      </c>
      <c r="B154" s="925">
        <f t="shared" ref="B154:E158" ca="1" si="13">B147*B123</f>
        <v>0</v>
      </c>
      <c r="C154" s="925">
        <f ca="1">C147*C123</f>
        <v>4311.6366415533084</v>
      </c>
      <c r="D154" s="925">
        <f ca="1">D147*D123</f>
        <v>16227.432450936996</v>
      </c>
      <c r="E154" s="925">
        <f ca="1">E147*E123</f>
        <v>15299.777294724012</v>
      </c>
      <c r="F154" s="228">
        <f ca="1">E154+D154+C154+B154</f>
        <v>35838.846387214318</v>
      </c>
    </row>
    <row r="155" spans="1:6">
      <c r="A155" s="789" t="str">
        <f>A148</f>
        <v>Rose</v>
      </c>
      <c r="B155" s="925">
        <f t="shared" ca="1" si="13"/>
        <v>0</v>
      </c>
      <c r="C155" s="925">
        <f t="shared" ca="1" si="13"/>
        <v>0</v>
      </c>
      <c r="D155" s="925">
        <f ca="1">D148*D124</f>
        <v>47624.596100373368</v>
      </c>
      <c r="E155" s="925">
        <f t="shared" ca="1" si="13"/>
        <v>0</v>
      </c>
      <c r="F155" s="228">
        <f ca="1">E155+D155+C155+B155</f>
        <v>47624.596100373368</v>
      </c>
    </row>
    <row r="156" spans="1:6">
      <c r="A156" s="789" t="str">
        <f>A149</f>
        <v>Classic</v>
      </c>
      <c r="B156" s="925">
        <f ca="1">B149*B125</f>
        <v>159811.3412297997</v>
      </c>
      <c r="C156" s="925">
        <f t="shared" ca="1" si="13"/>
        <v>0</v>
      </c>
      <c r="D156" s="925">
        <f t="shared" ca="1" si="13"/>
        <v>0</v>
      </c>
      <c r="E156" s="925">
        <f t="shared" ca="1" si="13"/>
        <v>0</v>
      </c>
      <c r="F156" s="228">
        <f ca="1">E156+D156+C156+B156</f>
        <v>159811.3412297997</v>
      </c>
    </row>
    <row r="157" spans="1:6">
      <c r="A157" s="789" t="str">
        <f>A150</f>
        <v>Premium</v>
      </c>
      <c r="B157" s="925">
        <f ca="1">B150*B126</f>
        <v>53670.308647650279</v>
      </c>
      <c r="C157" s="925">
        <f ca="1">C150*C126</f>
        <v>108717.91826225184</v>
      </c>
      <c r="D157" s="925">
        <f t="shared" ca="1" si="13"/>
        <v>0</v>
      </c>
      <c r="E157" s="925">
        <f t="shared" ca="1" si="13"/>
        <v>0</v>
      </c>
      <c r="F157" s="228">
        <f ca="1">E157+D157+C157+B157</f>
        <v>162388.22690990212</v>
      </c>
    </row>
    <row r="158" spans="1:6">
      <c r="A158" s="789" t="str">
        <f>A151</f>
        <v>Selection individuelle</v>
      </c>
      <c r="B158" s="925">
        <f ca="1">B151*B127</f>
        <v>9369.4358750320353</v>
      </c>
      <c r="C158" s="925">
        <f ca="1">C151*C127</f>
        <v>19135.130585068207</v>
      </c>
      <c r="D158" s="925">
        <f t="shared" ca="1" si="13"/>
        <v>0</v>
      </c>
      <c r="E158" s="925">
        <f t="shared" ca="1" si="13"/>
        <v>0</v>
      </c>
      <c r="F158" s="228">
        <f ca="1">E158+D158+C158+B158</f>
        <v>28504.566460100243</v>
      </c>
    </row>
    <row r="159" spans="1:6">
      <c r="A159" s="8"/>
      <c r="B159" s="926">
        <f ca="1">SUM(B154:B158)</f>
        <v>222851.085752482</v>
      </c>
      <c r="C159" s="926">
        <f ca="1">SUM(C154:C158)</f>
        <v>132164.68548887337</v>
      </c>
      <c r="D159" s="926">
        <f ca="1">SUM(D154:D158)</f>
        <v>63852.028551310366</v>
      </c>
      <c r="E159" s="926">
        <f ca="1">SUM(E154:E158)</f>
        <v>15299.777294724012</v>
      </c>
      <c r="F159" s="927">
        <f ca="1">SUM(F154:F158)</f>
        <v>434167.57708738977</v>
      </c>
    </row>
    <row r="160" spans="1:6">
      <c r="A160" s="8"/>
      <c r="B160" s="223"/>
      <c r="C160" s="904"/>
      <c r="D160" s="904"/>
      <c r="E160" s="904"/>
      <c r="F160" s="80"/>
    </row>
    <row r="161" spans="1:6">
      <c r="A161" s="874" t="s">
        <v>1025</v>
      </c>
      <c r="B161" s="250">
        <f>B153</f>
        <v>2018</v>
      </c>
      <c r="C161" s="250">
        <v>2019</v>
      </c>
      <c r="D161" s="250">
        <f>C161+1</f>
        <v>2020</v>
      </c>
      <c r="E161" s="250">
        <f>D161+1</f>
        <v>2021</v>
      </c>
      <c r="F161" s="251" t="s">
        <v>26</v>
      </c>
    </row>
    <row r="162" spans="1:6">
      <c r="A162" s="789" t="str">
        <f>A154</f>
        <v>White</v>
      </c>
      <c r="B162" s="223">
        <f t="shared" ref="B162:E166" ca="1" si="14">B131*B147</f>
        <v>0</v>
      </c>
      <c r="C162" s="223">
        <f ca="1">C131*C147</f>
        <v>4311.6366415533084</v>
      </c>
      <c r="D162" s="223">
        <f ca="1">D131*D147</f>
        <v>16227.432450936996</v>
      </c>
      <c r="E162" s="223">
        <f t="shared" ca="1" si="14"/>
        <v>0</v>
      </c>
      <c r="F162" s="228">
        <f ca="1">E162+D162+C162+B162</f>
        <v>20539.069092490303</v>
      </c>
    </row>
    <row r="163" spans="1:6">
      <c r="A163" s="789" t="str">
        <f>A155</f>
        <v>Rose</v>
      </c>
      <c r="B163" s="223">
        <f t="shared" ca="1" si="14"/>
        <v>0</v>
      </c>
      <c r="C163" s="223">
        <f t="shared" ca="1" si="14"/>
        <v>0</v>
      </c>
      <c r="D163" s="223">
        <f ca="1">D132*D148</f>
        <v>47624.596100373368</v>
      </c>
      <c r="E163" s="223">
        <f t="shared" ca="1" si="14"/>
        <v>0</v>
      </c>
      <c r="F163" s="228">
        <f ca="1">E163+D163+C163+B163</f>
        <v>47624.596100373368</v>
      </c>
    </row>
    <row r="164" spans="1:6">
      <c r="A164" s="789" t="str">
        <f>A156</f>
        <v>Classic</v>
      </c>
      <c r="B164" s="223">
        <f t="shared" ca="1" si="14"/>
        <v>0</v>
      </c>
      <c r="C164" s="223">
        <f t="shared" ca="1" si="14"/>
        <v>0</v>
      </c>
      <c r="D164" s="223">
        <f t="shared" ca="1" si="14"/>
        <v>0</v>
      </c>
      <c r="E164" s="223">
        <f t="shared" ca="1" si="14"/>
        <v>0</v>
      </c>
      <c r="F164" s="228">
        <f ca="1">E164+D164+C164+B164</f>
        <v>0</v>
      </c>
    </row>
    <row r="165" spans="1:6">
      <c r="A165" s="789" t="str">
        <f>A157</f>
        <v>Premium</v>
      </c>
      <c r="B165" s="223">
        <f t="shared" ca="1" si="14"/>
        <v>0</v>
      </c>
      <c r="C165" s="223">
        <f t="shared" ca="1" si="14"/>
        <v>0</v>
      </c>
      <c r="D165" s="223">
        <f t="shared" ca="1" si="14"/>
        <v>0</v>
      </c>
      <c r="E165" s="223">
        <f t="shared" ca="1" si="14"/>
        <v>0</v>
      </c>
      <c r="F165" s="228">
        <f ca="1">E165+D165+C165+B165</f>
        <v>0</v>
      </c>
    </row>
    <row r="166" spans="1:6">
      <c r="A166" s="789" t="str">
        <f>A158</f>
        <v>Selection individuelle</v>
      </c>
      <c r="B166" s="223">
        <f t="shared" ca="1" si="14"/>
        <v>0</v>
      </c>
      <c r="C166" s="223">
        <f t="shared" ca="1" si="14"/>
        <v>0</v>
      </c>
      <c r="D166" s="223">
        <f t="shared" ca="1" si="14"/>
        <v>0</v>
      </c>
      <c r="E166" s="223">
        <f t="shared" ca="1" si="14"/>
        <v>0</v>
      </c>
      <c r="F166" s="228">
        <f ca="1">E166+D166+C166+B166</f>
        <v>0</v>
      </c>
    </row>
    <row r="167" spans="1:6" ht="13.5" thickBot="1">
      <c r="A167" s="8"/>
      <c r="B167" s="497">
        <f ca="1">SUM(B162:B166)</f>
        <v>0</v>
      </c>
      <c r="C167" s="497">
        <f ca="1">SUM(C162:C166)</f>
        <v>4311.6366415533084</v>
      </c>
      <c r="D167" s="497">
        <f ca="1">SUM(D162:D166)</f>
        <v>63852.028551310366</v>
      </c>
      <c r="E167" s="497">
        <f ca="1">SUM(E162:E166)</f>
        <v>0</v>
      </c>
      <c r="F167" s="890">
        <f ca="1">SUM(F162:F166)</f>
        <v>68163.665192863671</v>
      </c>
    </row>
    <row r="168" spans="1:6" ht="13.5" thickTop="1">
      <c r="A168" s="8"/>
      <c r="B168" s="223"/>
      <c r="C168" s="904"/>
      <c r="D168" s="904"/>
      <c r="E168" s="904"/>
      <c r="F168" s="80"/>
    </row>
    <row r="169" spans="1:6">
      <c r="A169" s="229" t="s">
        <v>1026</v>
      </c>
      <c r="B169" s="250">
        <f>B161</f>
        <v>2018</v>
      </c>
      <c r="C169" s="250">
        <v>2019</v>
      </c>
      <c r="D169" s="250">
        <f>C169+1</f>
        <v>2020</v>
      </c>
      <c r="E169" s="250">
        <f>D169+1</f>
        <v>2021</v>
      </c>
      <c r="F169" s="251" t="s">
        <v>26</v>
      </c>
    </row>
    <row r="170" spans="1:6">
      <c r="A170" s="789" t="str">
        <f>A162</f>
        <v>White</v>
      </c>
      <c r="B170" s="223">
        <f t="shared" ref="B170:E174" ca="1" si="15">B154-B162</f>
        <v>0</v>
      </c>
      <c r="C170" s="223">
        <f t="shared" ca="1" si="15"/>
        <v>0</v>
      </c>
      <c r="D170" s="223">
        <f t="shared" ca="1" si="15"/>
        <v>0</v>
      </c>
      <c r="E170" s="223">
        <f ca="1">E154-E162</f>
        <v>15299.777294724012</v>
      </c>
      <c r="F170" s="228">
        <f ca="1">E170+D170+C170+B170</f>
        <v>15299.777294724012</v>
      </c>
    </row>
    <row r="171" spans="1:6">
      <c r="A171" s="789" t="str">
        <f>A163</f>
        <v>Rose</v>
      </c>
      <c r="B171" s="223">
        <f t="shared" ca="1" si="15"/>
        <v>0</v>
      </c>
      <c r="C171" s="223">
        <f t="shared" ca="1" si="15"/>
        <v>0</v>
      </c>
      <c r="D171" s="223">
        <f t="shared" ca="1" si="15"/>
        <v>0</v>
      </c>
      <c r="E171" s="223">
        <f t="shared" ca="1" si="15"/>
        <v>0</v>
      </c>
      <c r="F171" s="228">
        <f ca="1">E171+D171+C171+B171</f>
        <v>0</v>
      </c>
    </row>
    <row r="172" spans="1:6">
      <c r="A172" s="789" t="str">
        <f>A164</f>
        <v>Classic</v>
      </c>
      <c r="B172" s="223">
        <f t="shared" ca="1" si="15"/>
        <v>159811.3412297997</v>
      </c>
      <c r="C172" s="223">
        <f t="shared" ca="1" si="15"/>
        <v>0</v>
      </c>
      <c r="D172" s="223">
        <f t="shared" ca="1" si="15"/>
        <v>0</v>
      </c>
      <c r="E172" s="223">
        <f t="shared" ca="1" si="15"/>
        <v>0</v>
      </c>
      <c r="F172" s="228">
        <f ca="1">E172+D172+C172+B172</f>
        <v>159811.3412297997</v>
      </c>
    </row>
    <row r="173" spans="1:6">
      <c r="A173" s="789" t="str">
        <f>A165</f>
        <v>Premium</v>
      </c>
      <c r="B173" s="223">
        <f t="shared" ca="1" si="15"/>
        <v>53670.308647650279</v>
      </c>
      <c r="C173" s="223">
        <f t="shared" ca="1" si="15"/>
        <v>108717.91826225184</v>
      </c>
      <c r="D173" s="223">
        <f t="shared" ca="1" si="15"/>
        <v>0</v>
      </c>
      <c r="E173" s="223">
        <f t="shared" ca="1" si="15"/>
        <v>0</v>
      </c>
      <c r="F173" s="228">
        <f ca="1">E173+D173+C173+B173</f>
        <v>162388.22690990212</v>
      </c>
    </row>
    <row r="174" spans="1:6">
      <c r="A174" s="789" t="str">
        <f>A166</f>
        <v>Selection individuelle</v>
      </c>
      <c r="B174" s="223">
        <f t="shared" ca="1" si="15"/>
        <v>9369.4358750320353</v>
      </c>
      <c r="C174" s="223">
        <f t="shared" ca="1" si="15"/>
        <v>19135.130585068207</v>
      </c>
      <c r="D174" s="223">
        <f t="shared" ca="1" si="15"/>
        <v>0</v>
      </c>
      <c r="E174" s="223">
        <f t="shared" ca="1" si="15"/>
        <v>0</v>
      </c>
      <c r="F174" s="228">
        <f ca="1">E174+D174+C174+B174</f>
        <v>28504.566460100243</v>
      </c>
    </row>
    <row r="175" spans="1:6" ht="13.5" thickBot="1">
      <c r="A175" s="789"/>
      <c r="B175" s="928">
        <f ca="1">SUM(B170:B174)</f>
        <v>222851.085752482</v>
      </c>
      <c r="C175" s="928">
        <f ca="1">SUM(C170:C174)</f>
        <v>127853.04884732005</v>
      </c>
      <c r="D175" s="928">
        <f ca="1">SUM(D170:D174)</f>
        <v>0</v>
      </c>
      <c r="E175" s="928">
        <f ca="1">SUM(E170:E174)</f>
        <v>15299.777294724012</v>
      </c>
      <c r="F175" s="929">
        <f ca="1">SUM(F170:F174)</f>
        <v>366003.9118945261</v>
      </c>
    </row>
    <row r="176" spans="1:6" ht="14.25" thickTop="1" thickBot="1">
      <c r="A176" s="97"/>
      <c r="B176" s="269"/>
      <c r="C176" s="236"/>
      <c r="D176" s="236"/>
      <c r="E176" s="236"/>
      <c r="F176" s="496"/>
    </row>
    <row r="177" spans="1:7">
      <c r="A177" s="438"/>
      <c r="B177" s="873"/>
      <c r="C177" s="227"/>
      <c r="D177" s="227"/>
      <c r="E177" s="227"/>
      <c r="F177" s="164"/>
    </row>
    <row r="178" spans="1:7">
      <c r="A178" s="8" t="s">
        <v>832</v>
      </c>
      <c r="B178" s="920"/>
      <c r="C178" s="904"/>
      <c r="D178" s="904"/>
      <c r="E178" s="904"/>
      <c r="F178" s="228">
        <f ca="1">F117+F60</f>
        <v>555748.1300618666</v>
      </c>
    </row>
    <row r="179" spans="1:7">
      <c r="A179" s="8" t="s">
        <v>346</v>
      </c>
      <c r="B179" s="920"/>
      <c r="C179" s="904"/>
      <c r="D179" s="904"/>
      <c r="E179" s="904"/>
      <c r="F179" s="510">
        <f ca="1">F52+F109</f>
        <v>0</v>
      </c>
      <c r="G179" s="730"/>
    </row>
    <row r="180" spans="1:7">
      <c r="A180" s="8" t="str">
        <f>A178</f>
        <v>Total work in progress</v>
      </c>
      <c r="B180" s="920"/>
      <c r="C180" s="904"/>
      <c r="D180" s="904"/>
      <c r="E180" s="904"/>
      <c r="F180" s="650">
        <f ca="1">F178-F179</f>
        <v>555748.1300618666</v>
      </c>
      <c r="G180" s="730"/>
    </row>
    <row r="181" spans="1:7">
      <c r="A181" s="8"/>
      <c r="B181" s="920"/>
      <c r="C181" s="904"/>
      <c r="D181" s="904"/>
      <c r="E181" s="904"/>
      <c r="F181" s="228"/>
    </row>
    <row r="182" spans="1:7">
      <c r="A182" s="8" t="s">
        <v>974</v>
      </c>
      <c r="B182" s="223"/>
      <c r="C182" s="904"/>
      <c r="D182" s="904"/>
      <c r="E182" s="904"/>
      <c r="F182" s="228">
        <f ca="1">F159</f>
        <v>434167.57708738977</v>
      </c>
    </row>
    <row r="183" spans="1:7">
      <c r="A183" s="8" t="str">
        <f>A179</f>
        <v>Waste</v>
      </c>
      <c r="B183" s="223"/>
      <c r="C183" s="904"/>
      <c r="D183" s="904"/>
      <c r="E183" s="904"/>
      <c r="F183" s="510">
        <f ca="1">F167</f>
        <v>68163.665192863671</v>
      </c>
    </row>
    <row r="184" spans="1:7">
      <c r="A184" s="8" t="str">
        <f>A182</f>
        <v xml:space="preserve">Total Stock </v>
      </c>
      <c r="B184" s="223"/>
      <c r="C184" s="904"/>
      <c r="D184" s="904"/>
      <c r="E184" s="904"/>
      <c r="F184" s="650">
        <f ca="1">F182-F183</f>
        <v>366003.9118945261</v>
      </c>
    </row>
    <row r="185" spans="1:7">
      <c r="A185" s="8"/>
      <c r="B185" s="223"/>
      <c r="C185" s="904"/>
      <c r="D185" s="904"/>
      <c r="E185" s="904"/>
      <c r="F185" s="228"/>
    </row>
    <row r="186" spans="1:7">
      <c r="A186" s="8" t="s">
        <v>811</v>
      </c>
      <c r="B186" s="223"/>
      <c r="C186" s="904"/>
      <c r="D186" s="904"/>
      <c r="E186" s="904"/>
      <c r="F186" s="650">
        <f>M44</f>
        <v>4648.9288566927826</v>
      </c>
    </row>
    <row r="187" spans="1:7">
      <c r="A187" s="8"/>
      <c r="B187" s="223"/>
      <c r="C187" s="904"/>
      <c r="D187" s="904"/>
      <c r="E187" s="904"/>
      <c r="F187" s="228"/>
    </row>
    <row r="188" spans="1:7">
      <c r="A188" s="8" t="s">
        <v>841</v>
      </c>
      <c r="B188" s="223"/>
      <c r="C188" s="904"/>
      <c r="D188" s="904"/>
      <c r="E188" s="904"/>
      <c r="F188" s="894">
        <f ca="1">F180+F184+F186</f>
        <v>926400.97081308544</v>
      </c>
    </row>
    <row r="189" spans="1:7" ht="13.5" thickBot="1">
      <c r="A189" s="8" t="s">
        <v>42</v>
      </c>
      <c r="B189" s="223"/>
      <c r="C189" s="904"/>
      <c r="D189" s="904"/>
      <c r="E189" s="904"/>
      <c r="F189" s="230">
        <f>RCE!P43</f>
        <v>254899.69987166577</v>
      </c>
    </row>
    <row r="190" spans="1:7" ht="13.5" thickBot="1">
      <c r="A190" s="113" t="s">
        <v>836</v>
      </c>
      <c r="B190" s="872"/>
      <c r="C190" s="239"/>
      <c r="D190" s="239"/>
      <c r="E190" s="239"/>
      <c r="F190" s="893">
        <f ca="1">F188-F189</f>
        <v>671501.27094141964</v>
      </c>
    </row>
    <row r="191" spans="1:7">
      <c r="B191" s="78"/>
    </row>
    <row r="192" spans="1:7">
      <c r="B192" s="78"/>
    </row>
    <row r="193" spans="2:2">
      <c r="B193" s="78"/>
    </row>
    <row r="194" spans="2:2">
      <c r="B194" s="78"/>
    </row>
    <row r="195" spans="2:2">
      <c r="B195" s="78"/>
    </row>
    <row r="196" spans="2:2">
      <c r="B196" s="78"/>
    </row>
    <row r="197" spans="2:2">
      <c r="B197" s="78"/>
    </row>
    <row r="198" spans="2:2">
      <c r="B198" s="78"/>
    </row>
    <row r="199" spans="2:2">
      <c r="B199" s="78"/>
    </row>
  </sheetData>
  <sheetProtection password="CD53" sheet="1" objects="1" scenarios="1" selectLockedCells="1"/>
  <dataValidations count="1">
    <dataValidation type="list" allowBlank="1" showInputMessage="1" showErrorMessage="1" sqref="K80:K102 K119:K122 K128:K135">
      <formula1>"Classic,Premium,Selection Individuelle"</formula1>
    </dataValidation>
  </dataValidations>
  <pageMargins left="0.7" right="0.7" top="0.75" bottom="0.75" header="0.3" footer="0.3"/>
  <pageSetup paperSize="9" orientation="portrait" r:id="rId1"/>
  <ignoredErrors>
    <ignoredError sqref="I14:M15 I21:M24 I16:J20 L16:M20 I9:J13 L9:M13 I25:J29 L25:M29"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pageSetUpPr fitToPage="1"/>
  </sheetPr>
  <dimension ref="A1:AV116"/>
  <sheetViews>
    <sheetView zoomScale="60" zoomScaleNormal="60" workbookViewId="0">
      <selection activeCell="B7" sqref="B7"/>
    </sheetView>
  </sheetViews>
  <sheetFormatPr defaultColWidth="9.140625" defaultRowHeight="12.75" outlineLevelCol="2"/>
  <cols>
    <col min="1" max="1" width="34" style="1304" bestFit="1" customWidth="1"/>
    <col min="2" max="2" width="16" style="1304" customWidth="1"/>
    <col min="3" max="3" width="3.28515625" style="1304" customWidth="1"/>
    <col min="4" max="4" width="2.28515625" style="1304" customWidth="1"/>
    <col min="5" max="5" width="23" style="1304" customWidth="1"/>
    <col min="6" max="6" width="11.85546875" style="1304" bestFit="1" customWidth="1"/>
    <col min="7" max="7" width="18.28515625" style="1304" customWidth="1"/>
    <col min="8" max="8" width="16.5703125" style="1304" bestFit="1" customWidth="1"/>
    <col min="9" max="9" width="16.28515625" style="1304" bestFit="1" customWidth="1"/>
    <col min="10" max="10" width="15.5703125" style="1304" bestFit="1" customWidth="1"/>
    <col min="11" max="13" width="16.28515625" style="1304" bestFit="1" customWidth="1"/>
    <col min="14" max="17" width="15.85546875" style="1304" bestFit="1" customWidth="1"/>
    <col min="18" max="18" width="9.7109375" style="1304" bestFit="1" customWidth="1"/>
    <col min="19" max="19" width="9.85546875" style="1582" bestFit="1" customWidth="1"/>
    <col min="20" max="20" width="5.85546875" style="1304" hidden="1" customWidth="1" outlineLevel="1"/>
    <col min="21" max="22" width="4.5703125" style="1304" hidden="1" customWidth="1" outlineLevel="1"/>
    <col min="23" max="24" width="9.85546875" style="1304" hidden="1" customWidth="1" outlineLevel="1"/>
    <col min="25" max="25" width="15.28515625" style="1304" hidden="1" customWidth="1" outlineLevel="2"/>
    <col min="26" max="27" width="12.42578125" style="1304" hidden="1" customWidth="1" outlineLevel="2"/>
    <col min="28" max="28" width="11.42578125" style="1304" hidden="1" customWidth="1" outlineLevel="2"/>
    <col min="29" max="29" width="5.85546875" style="1304" hidden="1" customWidth="1" outlineLevel="1" collapsed="1"/>
    <col min="30" max="31" width="4.5703125" style="1304" hidden="1" customWidth="1" outlineLevel="1"/>
    <col min="32" max="33" width="9.85546875" style="1304" hidden="1" customWidth="1" outlineLevel="1"/>
    <col min="34" max="34" width="15.28515625" style="1304" hidden="1" customWidth="1" outlineLevel="2"/>
    <col min="35" max="36" width="12.42578125" style="1304" hidden="1" customWidth="1" outlineLevel="2"/>
    <col min="37" max="37" width="11.42578125" style="1304" hidden="1" customWidth="1" outlineLevel="2"/>
    <col min="38" max="38" width="9.140625" style="1304" hidden="1" customWidth="1" outlineLevel="1" collapsed="1"/>
    <col min="39" max="40" width="4.5703125" style="1304" hidden="1" customWidth="1" outlineLevel="1"/>
    <col min="41" max="42" width="9.85546875" style="1304" hidden="1" customWidth="1" outlineLevel="1"/>
    <col min="43" max="43" width="15.28515625" style="1304" hidden="1" customWidth="1" outlineLevel="2"/>
    <col min="44" max="45" width="12.42578125" style="1304" hidden="1" customWidth="1" outlineLevel="2"/>
    <col min="46" max="46" width="11.42578125" style="1304" hidden="1" customWidth="1" outlineLevel="2"/>
    <col min="47" max="47" width="9.140625" style="1304" hidden="1" customWidth="1" outlineLevel="1" collapsed="1"/>
    <col min="48" max="48" width="9.140625" style="1304" collapsed="1"/>
    <col min="49" max="16384" width="9.140625" style="1304"/>
  </cols>
  <sheetData>
    <row r="1" spans="1:46" ht="15.75" thickBot="1">
      <c r="A1" s="1698" t="s">
        <v>17</v>
      </c>
      <c r="B1" s="1699"/>
      <c r="G1" s="1700"/>
      <c r="H1" s="1700"/>
      <c r="I1" s="1700"/>
      <c r="J1" s="1700"/>
      <c r="K1" s="1700"/>
      <c r="L1" s="1700"/>
      <c r="M1" s="1700"/>
      <c r="N1" s="1700"/>
      <c r="O1" s="1700"/>
      <c r="P1" s="1700"/>
      <c r="Q1" s="1700"/>
      <c r="S1" s="1582" t="s">
        <v>148</v>
      </c>
      <c r="U1" s="1304" t="s">
        <v>149</v>
      </c>
      <c r="AD1" s="1304" t="s">
        <v>150</v>
      </c>
      <c r="AM1" s="1304" t="s">
        <v>151</v>
      </c>
    </row>
    <row r="2" spans="1:46" ht="15.75" thickBot="1">
      <c r="A2" s="1701"/>
      <c r="C2" s="1294"/>
      <c r="D2" s="1294"/>
      <c r="E2" s="1705" t="s">
        <v>2</v>
      </c>
      <c r="F2" s="1503"/>
      <c r="G2" s="1503">
        <v>1</v>
      </c>
      <c r="H2" s="1503">
        <v>2</v>
      </c>
      <c r="I2" s="1503">
        <v>3</v>
      </c>
      <c r="J2" s="1503">
        <v>4</v>
      </c>
      <c r="K2" s="1503">
        <v>5</v>
      </c>
      <c r="L2" s="1503">
        <v>6</v>
      </c>
      <c r="M2" s="1503">
        <v>7</v>
      </c>
      <c r="N2" s="1503">
        <v>8</v>
      </c>
      <c r="O2" s="1503">
        <v>9</v>
      </c>
      <c r="P2" s="1503">
        <v>10</v>
      </c>
      <c r="Q2" s="1504">
        <v>11</v>
      </c>
      <c r="T2" s="142"/>
      <c r="U2" s="142"/>
      <c r="V2" s="142"/>
      <c r="W2" s="142"/>
      <c r="X2" s="142"/>
      <c r="Y2" s="142"/>
      <c r="Z2" s="142" t="s">
        <v>152</v>
      </c>
      <c r="AA2" s="142"/>
      <c r="AB2" s="142" t="s">
        <v>153</v>
      </c>
      <c r="AC2" s="142"/>
      <c r="AD2" s="142"/>
      <c r="AE2" s="142"/>
      <c r="AF2" s="142"/>
      <c r="AG2" s="142"/>
      <c r="AH2" s="142"/>
      <c r="AI2" s="142" t="s">
        <v>152</v>
      </c>
      <c r="AJ2" s="142"/>
      <c r="AK2" s="142" t="s">
        <v>153</v>
      </c>
      <c r="AM2" s="142"/>
      <c r="AN2" s="142"/>
      <c r="AO2" s="142"/>
      <c r="AP2" s="142"/>
      <c r="AQ2" s="142"/>
      <c r="AR2" s="142" t="s">
        <v>152</v>
      </c>
      <c r="AS2" s="142"/>
      <c r="AT2" s="142" t="s">
        <v>153</v>
      </c>
    </row>
    <row r="3" spans="1:46" ht="13.5" thickBot="1">
      <c r="A3" s="1702" t="s">
        <v>11</v>
      </c>
      <c r="B3" s="1703">
        <v>12</v>
      </c>
      <c r="C3" s="1704"/>
      <c r="D3" s="1294"/>
      <c r="E3" s="1525"/>
      <c r="F3" s="2044"/>
      <c r="G3" s="1294">
        <f>Bond!F4</f>
        <v>2023</v>
      </c>
      <c r="H3" s="1294">
        <f t="shared" ref="H3:Q3" si="0">G3+1</f>
        <v>2024</v>
      </c>
      <c r="I3" s="1294">
        <f t="shared" si="0"/>
        <v>2025</v>
      </c>
      <c r="J3" s="1294">
        <f t="shared" si="0"/>
        <v>2026</v>
      </c>
      <c r="K3" s="1294">
        <f t="shared" si="0"/>
        <v>2027</v>
      </c>
      <c r="L3" s="1294">
        <f t="shared" si="0"/>
        <v>2028</v>
      </c>
      <c r="M3" s="1294">
        <f t="shared" si="0"/>
        <v>2029</v>
      </c>
      <c r="N3" s="1294">
        <f t="shared" si="0"/>
        <v>2030</v>
      </c>
      <c r="O3" s="1294">
        <f t="shared" si="0"/>
        <v>2031</v>
      </c>
      <c r="P3" s="1294">
        <f t="shared" si="0"/>
        <v>2032</v>
      </c>
      <c r="Q3" s="1295">
        <f t="shared" si="0"/>
        <v>2033</v>
      </c>
      <c r="T3" s="143"/>
      <c r="U3" s="143"/>
      <c r="V3" s="143"/>
      <c r="W3" s="143"/>
      <c r="X3" s="143"/>
      <c r="Y3" s="144">
        <f>IF(IF(AND($B$7&gt;=DATE($G$3,1,1),$B$7&lt;DATE($G$3,2,1)),$B$6,0)=0,0,IF(AND($B$7&gt;=DATE($G$3,1,1),$B$7&lt;DATE($G$3,2,1)),$B$6,0))</f>
        <v>0</v>
      </c>
      <c r="Z3" s="143"/>
      <c r="AA3" s="143"/>
      <c r="AB3" s="143"/>
      <c r="AC3" s="143"/>
      <c r="AD3" s="143"/>
      <c r="AE3" s="143"/>
      <c r="AF3" s="143"/>
      <c r="AG3" s="143"/>
      <c r="AH3" s="144">
        <f>IF(IF(AND($B$18&gt;=DATE($G$3,1,1),$B$18&lt;DATE($G$3,2,1)),$B$17,0)=0,0,IF(AND($B$18&gt;=DATE($G$3,1,1),$B$18&lt;DATE($G$3,2,1)),$B$17,0))</f>
        <v>0</v>
      </c>
      <c r="AI3" s="143"/>
      <c r="AJ3" s="143"/>
      <c r="AK3" s="143"/>
      <c r="AM3" s="143"/>
      <c r="AN3" s="143"/>
      <c r="AO3" s="143"/>
      <c r="AP3" s="143"/>
      <c r="AQ3" s="144">
        <f>IF(IF(AND($B$29&gt;=DATE($G$3,1,1),$B$29&lt;DATE($G$3,2,1)),$B$28,0)=0,0,IF(AND($B$29&gt;=DATE($G$3,1,1),$B$29&lt;DATE($G$3,2,1)),$B$28,0))</f>
        <v>0</v>
      </c>
      <c r="AR3" s="143"/>
      <c r="AS3" s="143"/>
      <c r="AT3" s="143"/>
    </row>
    <row r="4" spans="1:46" ht="13.5" thickBot="1">
      <c r="A4" s="1701"/>
      <c r="B4" s="1294"/>
      <c r="C4" s="1294"/>
      <c r="D4" s="1294"/>
      <c r="E4" s="145"/>
      <c r="F4" s="2044"/>
      <c r="G4" s="146"/>
      <c r="H4" s="147"/>
      <c r="I4" s="147"/>
      <c r="J4" s="147"/>
      <c r="K4" s="147"/>
      <c r="L4" s="147"/>
      <c r="M4" s="147"/>
      <c r="N4" s="147"/>
      <c r="O4" s="147"/>
      <c r="P4" s="147"/>
      <c r="Q4" s="148"/>
      <c r="T4" s="143"/>
      <c r="U4" s="149"/>
      <c r="V4" s="149"/>
      <c r="W4" s="150">
        <f>IF(W3&gt;0,W3+1,IF(Y3=0,0,1))</f>
        <v>0</v>
      </c>
      <c r="X4" s="151" t="s">
        <v>154</v>
      </c>
      <c r="Y4" s="144">
        <f>IF(IF(AND($B$7&gt;=DATE($G$3,2,1),$B$7&lt;DATE($G$3,3,1)),$B$6,0)=0,Y3-Z4,IF(AND($B$7&gt;=DATE($G$3,2,1),$B$7&lt;DATE($G$3,3,1)),$B$6,0))</f>
        <v>0</v>
      </c>
      <c r="Z4" s="143">
        <f t="shared" ref="Z4:Z35" si="1">IF(Y3&lt;1,0,((((Y3)*$B$13)/12)/(1-(1+$B$13/12)^-ROUND((($B$11*12)-W3),0)))-AB4)</f>
        <v>0</v>
      </c>
      <c r="AA4" s="143">
        <f t="shared" ref="AA4:AA35" si="2">Y3*$B$13</f>
        <v>0</v>
      </c>
      <c r="AB4" s="143">
        <f>AA4/12</f>
        <v>0</v>
      </c>
      <c r="AC4" s="143"/>
      <c r="AD4" s="149"/>
      <c r="AE4" s="149"/>
      <c r="AF4" s="150">
        <f>IF(AF3&gt;0,AF3+1,IF(AH3=0,0,1))</f>
        <v>0</v>
      </c>
      <c r="AG4" s="151" t="s">
        <v>154</v>
      </c>
      <c r="AH4" s="144">
        <f>IF(IF(AND($B$18&gt;=DATE($G$3,2,1),$B$18&lt;DATE($G$3,3,1)),$B$17,0)=0,AH3-AI4,IF(AND($B$18&gt;=DATE($G$3,2,1),$B$18&lt;DATE($G$3,3,1)),$B$17,0))</f>
        <v>0</v>
      </c>
      <c r="AI4" s="143">
        <f t="shared" ref="AI4:AI35" si="3">IF(AH3&lt;1,0,((((AH3)*$B$24)/12)/(1-(1+$B$24/12)^-ROUND((($B$22*12)-AF3),0)))-AK4)</f>
        <v>0</v>
      </c>
      <c r="AJ4" s="143">
        <f t="shared" ref="AJ4:AJ35" si="4">AH3*$B$24</f>
        <v>0</v>
      </c>
      <c r="AK4" s="143">
        <f>AJ4/12</f>
        <v>0</v>
      </c>
      <c r="AM4" s="149"/>
      <c r="AN4" s="149"/>
      <c r="AO4" s="150">
        <f>IF(AO3&gt;0,AO3+1,IF(AQ3=0,0,1))</f>
        <v>0</v>
      </c>
      <c r="AP4" s="151" t="s">
        <v>154</v>
      </c>
      <c r="AQ4" s="144">
        <f>IF(IF(AND($B$29&gt;=DATE($G$3,2,1),$B$29&lt;DATE($G$3,3,1)),$B$28,0)=0,AQ3-AR4,IF(AND($B$29&gt;=DATE($G$3,2,1),$B$29&lt;DATE($G$3,3,1)),$B$28,0))</f>
        <v>0</v>
      </c>
      <c r="AR4" s="143">
        <f t="shared" ref="AR4:AR35" si="5">IF(AQ3&lt;1,0,((((AQ3)*$B$35)/12)/(1-(1+$B$35/12)^-(($B$33*12)-AO3)))-AT4)</f>
        <v>0</v>
      </c>
      <c r="AS4" s="143">
        <f t="shared" ref="AS4:AS35" si="6">AQ3*$B$35</f>
        <v>0</v>
      </c>
      <c r="AT4" s="143">
        <f>AS4/12</f>
        <v>0</v>
      </c>
    </row>
    <row r="5" spans="1:46" ht="13.5" thickBot="1">
      <c r="A5" s="1539" t="s">
        <v>179</v>
      </c>
      <c r="B5" s="2702" t="s">
        <v>172</v>
      </c>
      <c r="C5" s="152"/>
      <c r="D5" s="1294"/>
      <c r="E5" s="2703"/>
      <c r="F5" s="2704"/>
      <c r="G5" s="153"/>
      <c r="H5" s="153"/>
      <c r="I5" s="153"/>
      <c r="J5" s="153"/>
      <c r="K5" s="153"/>
      <c r="L5" s="153"/>
      <c r="M5" s="153"/>
      <c r="N5" s="153"/>
      <c r="O5" s="153"/>
      <c r="P5" s="153"/>
      <c r="Q5" s="154"/>
      <c r="T5" s="143"/>
      <c r="U5" s="143"/>
      <c r="V5" s="143"/>
      <c r="W5" s="150">
        <f t="shared" ref="W5:W60" si="7">IF(W4&gt;0,W4+1,IF(Y4=0,0,1))</f>
        <v>0</v>
      </c>
      <c r="X5" s="151" t="s">
        <v>155</v>
      </c>
      <c r="Y5" s="144">
        <f>IF(IF(AND($B$7&gt;=DATE($G$3,3,1),$B$7&lt;DATE($G$3,4,1)),$B$6,0)=0,Y4-Z5,IF(AND($B$7&gt;=DATE($G$3,3,1),$B$7&lt;DATE($G$3,4,1)),$B$6,0))</f>
        <v>0</v>
      </c>
      <c r="Z5" s="143">
        <f t="shared" si="1"/>
        <v>0</v>
      </c>
      <c r="AA5" s="143">
        <f t="shared" si="2"/>
        <v>0</v>
      </c>
      <c r="AB5" s="143">
        <f t="shared" ref="AB5:AB60" si="8">AA5/12</f>
        <v>0</v>
      </c>
      <c r="AC5" s="143"/>
      <c r="AD5" s="143"/>
      <c r="AE5" s="143"/>
      <c r="AF5" s="150">
        <f t="shared" ref="AF5:AF60" si="9">IF(AF4&gt;0,AF4+1,IF(AH4=0,0,1))</f>
        <v>0</v>
      </c>
      <c r="AG5" s="151" t="s">
        <v>155</v>
      </c>
      <c r="AH5" s="144">
        <f>IF(IF(AND($B$18&gt;=DATE($G$3,3,1),$B$18&lt;DATE($G$3,4,1)),$B$17,0)=0,AH4-AI5,IF(AND($B$18&gt;=DATE($G$3,3,1),$B$18&lt;DATE($G$3,4,1)),$B$17,0))</f>
        <v>0</v>
      </c>
      <c r="AI5" s="143">
        <f t="shared" si="3"/>
        <v>0</v>
      </c>
      <c r="AJ5" s="143">
        <f t="shared" si="4"/>
        <v>0</v>
      </c>
      <c r="AK5" s="143">
        <f t="shared" ref="AK5:AK60" si="10">AJ5/12</f>
        <v>0</v>
      </c>
      <c r="AN5" s="143"/>
      <c r="AO5" s="150">
        <f t="shared" ref="AO5:AO60" si="11">IF(AO4&gt;0,AO4+1,IF(AQ4=0,0,1))</f>
        <v>0</v>
      </c>
      <c r="AP5" s="151" t="s">
        <v>155</v>
      </c>
      <c r="AQ5" s="144">
        <f>IF(IF(AND($B$29&gt;=DATE($G$3,3,1),$B$29&lt;DATE($G$3,4,1)),$B$28,0)=0,AQ4-AR5,IF(AND($B$29&gt;=DATE($G$3,3,1),$B$29&lt;DATE($G$3,4,1)),$B$28,0))</f>
        <v>0</v>
      </c>
      <c r="AR5" s="143">
        <f t="shared" si="5"/>
        <v>0</v>
      </c>
      <c r="AS5" s="143">
        <f t="shared" si="6"/>
        <v>0</v>
      </c>
      <c r="AT5" s="143">
        <f>AS5/12</f>
        <v>0</v>
      </c>
    </row>
    <row r="6" spans="1:46">
      <c r="A6" s="1299" t="s">
        <v>22</v>
      </c>
      <c r="B6" s="3">
        <f>IF(B7=Bond!B14,SUM(Bond!F40:P40),4900000)</f>
        <v>4900000</v>
      </c>
      <c r="C6" s="152"/>
      <c r="D6" s="1294"/>
      <c r="E6" s="1293" t="s">
        <v>13</v>
      </c>
      <c r="F6" s="1304" t="s">
        <v>0</v>
      </c>
      <c r="Q6" s="1725"/>
      <c r="T6" s="143"/>
      <c r="U6" s="155"/>
      <c r="V6" s="155"/>
      <c r="W6" s="150">
        <f t="shared" si="7"/>
        <v>0</v>
      </c>
      <c r="X6" s="151" t="s">
        <v>156</v>
      </c>
      <c r="Y6" s="144">
        <f>IF(IF(AND($B$7&gt;=DATE($G$3,4,1),$B$7&lt;DATE($G$3,5,1)),$B$6,0)=0,Y5-Z6,IF(AND($B$7&gt;=DATE($G$3,4,1),$B$7&lt;DATE($G$3,5,1)),$B$6,0))</f>
        <v>0</v>
      </c>
      <c r="Z6" s="143">
        <f t="shared" si="1"/>
        <v>0</v>
      </c>
      <c r="AA6" s="143">
        <f t="shared" si="2"/>
        <v>0</v>
      </c>
      <c r="AB6" s="143">
        <f t="shared" si="8"/>
        <v>0</v>
      </c>
      <c r="AC6" s="143"/>
      <c r="AD6" s="155"/>
      <c r="AE6" s="155"/>
      <c r="AF6" s="150">
        <f t="shared" si="9"/>
        <v>0</v>
      </c>
      <c r="AG6" s="151" t="s">
        <v>156</v>
      </c>
      <c r="AH6" s="144">
        <f>IF(IF(AND($B$18&gt;=DATE($G$3,4,1),$B$18&lt;DATE($G$3,5,1)),$B$17,0)=0,AH5-AI6,IF(AND($B$18&gt;=DATE($G$3,4,1),$B$18&lt;DATE($G$3,5,1)),$B$17,0))</f>
        <v>0</v>
      </c>
      <c r="AI6" s="143">
        <f t="shared" si="3"/>
        <v>0</v>
      </c>
      <c r="AJ6" s="143">
        <f t="shared" si="4"/>
        <v>0</v>
      </c>
      <c r="AK6" s="143">
        <f t="shared" si="10"/>
        <v>0</v>
      </c>
      <c r="AN6" s="155"/>
      <c r="AO6" s="150">
        <f t="shared" si="11"/>
        <v>0</v>
      </c>
      <c r="AP6" s="151" t="s">
        <v>156</v>
      </c>
      <c r="AQ6" s="144">
        <f>IF(IF(AND($B$29&gt;=DATE($G$3,4,1),$B$29&lt;DATE($G$3,5,1)),$B$28,0)=0,AQ5-AR6,IF(AND($B$29&gt;=DATE($G$3,4,1),$B$29&lt;DATE($G$3,5,1)),$B$28,0))</f>
        <v>0</v>
      </c>
      <c r="AR6" s="143">
        <f t="shared" si="5"/>
        <v>0</v>
      </c>
      <c r="AS6" s="143">
        <f t="shared" si="6"/>
        <v>0</v>
      </c>
      <c r="AT6" s="143">
        <f t="shared" ref="AT6:AT60" si="12">AS6/12</f>
        <v>0</v>
      </c>
    </row>
    <row r="7" spans="1:46">
      <c r="A7" s="1299" t="s">
        <v>15</v>
      </c>
      <c r="B7" s="1731">
        <f>IF(Bond!J5&gt;0,Bond!B14,DATE(Bond!G4,12,31))</f>
        <v>46752</v>
      </c>
      <c r="C7" s="1294"/>
      <c r="D7" s="1294"/>
      <c r="E7" s="1299" t="s">
        <v>157</v>
      </c>
      <c r="G7" s="1541">
        <f>IF($B$3&gt;=G2,IF($B$5="Linear",IF((AND(G3&gt;$B$8,$B$9&gt;=DATE(G3,12,31)))=TRUE,G14*$B$13*(365/360),IF((AND(G3&gt;$B$8,$B$9&lt;=DATE(G3,12,31),$B$9&gt;DATE(G3,1,1)))=TRUE,(($B$9-DATE(G3,1,1)+1)/365.25)*G14*$B$13,IF(AND(G3=$B$8,$B$9&gt;DATE(G3,12,31))=TRUE,((DATE(G3,12,31)-$B$7+1)/365)*$B$13*((G14+G17)/2),0))),IF($B$5="Annuity",SUM(AB4:AB15),IF($B$3&gt;=G2,IF($B$5="Composite",G15,0),0))),0)++IF($B$3&gt;=G2,IF($B$5="interest-only",IF(G3=$B$8,G14*$B$13*(DATE(G3,12,31)-$B$7+1)/365*(365/360),0)+IF(AND(G3&gt;$B$8,G3&lt;$B$10),G14*$B$13*(365/360),0)+IF(G3=$B$10,G14*$B$13*($B$9-DATE(G3,1,1)+1)/365*(365/360),0),0),)</f>
        <v>0</v>
      </c>
      <c r="H7" s="1541">
        <f>IF($B$3&gt;=H2,IF($B$5="Linear",IF((AND(H3&gt;$B$8,$B$9&gt;=DATE(H3,12,31)))=TRUE,H14*$B$13*(365/360),IF((AND(H3&gt;$B$8,$B$9&lt;=DATE(H3,12,31),$B$9&gt;DATE(H3,1,1)))=TRUE,(($B$9-DATE(H3,1,1)+1)/365.25)*H14*$B$13,IF(AND(H3=$B$8,$B$9&gt;DATE(H3,12,31))=TRUE,((DATE(H3,12,31)-$B$7+1)/365)*$B$13*((H14+H17)/2),0))),IF($B$5="Annuity",SUM(AB16:AB27),IF($B$3&gt;=H2,IF($B$5="Composite",H15,0),0))),0)++IF($B$3&gt;=H2,IF($B$5="interest-only",IF(H3=$B$8,H14*$B$13*(DATE(H3,12,31)-$B$7+1)/365*(365/360),0)+IF(AND(H3&gt;$B$8,H3&lt;$B$10),H14*$B$13*(365/360),0)+IF(H3=$B$10,H14*$B$13*($B$9-DATE(H3,1,1)+1)/365*(365/360),0),0),)</f>
        <v>0</v>
      </c>
      <c r="I7" s="1541">
        <f>IF($B$3&gt;=I2,IF($B$5="Linear",IF((AND(I3&gt;$B$8,$B$9&gt;=DATE(I3,12,31)))=TRUE,I14*$B$13*(365/360),IF((AND(I3&gt;$B$8,$B$9&lt;=DATE(I3,12,31),$B$9&gt;DATE(I3,1,1)))=TRUE,(($B$9-DATE(I3,1,1)+1)/365.25)*I14*$B$13,IF(AND(I3=$B$8,$B$9&gt;DATE(I3,12,31))=TRUE,((DATE(I3,12,31)-$B$7+1)/365)*$B$13*((I14+I17)/2),0))),IF($B$5="Annuity",SUM(AB28:AB39),IF($B$3&gt;=I2,IF($B$5="Composite",I15,0),0))),0)++IF($B$3&gt;=I2,IF($B$5="interest-only",IF(I3=$B$8,I14*$B$13*(DATE(I3,12,31)-$B$7+1)/365*(365/360),0)+IF(AND(I3&gt;$B$8,I3&lt;$B$10),I14*$B$13*(365/360),0)+IF(I3=$B$10,I14*$B$13*($B$9-DATE(I3,1,1)+1)/365*(365/360),0),0),)</f>
        <v>0</v>
      </c>
      <c r="J7" s="1541">
        <f>IF($B$3&gt;=J2,IF($B$5="Linear",IF((AND(J3&gt;$B$8,$B$9&gt;=DATE(J3,12,31)))=TRUE,J14*$B$13*(365/360),IF((AND(J3&gt;$B$8,$B$9&lt;=DATE(J3,12,31),$B$9&gt;DATE(J3,1,1)))=TRUE,(($B$9-DATE(J3,1,1)+1)/365.25)*J14*$B$13,IF(AND(J3=$B$8,$B$9&gt;DATE(J3,12,31))=TRUE,((DATE(J3,12,31)-$B$7+1)/365)*$B$13*((J14+J17)/2),0))),IF($B$5="Annuity",SUM(AB40:AB51),IF($B$3&gt;=J2,IF($B$5="Composite",J15,0),0))),0)++IF($B$3&gt;=J2,IF($B$5="interest-only",IF(J3=$B$8,J14*$B$13*(DATE(J3,12,31)-$B$7+1)/365*(365/360),0)+IF(AND(J3&gt;$B$8,J3&lt;$B$10),J14*$B$13*(365/360),0)+IF(J3=$B$10,J14*$B$13*($B$9-DATE(J3,1,1)+1)/365*(365/360),0),0),)</f>
        <v>0</v>
      </c>
      <c r="K7" s="1541">
        <f>IF($B$3&gt;=K2,IF($B$5="Linear",IF((AND(K3&gt;$B$8,$B$9&gt;=DATE(K3,12,31)))=TRUE,K14*$B$13*(365/360),IF((AND(K3&gt;$B$8,$B$9&lt;=DATE(K3,12,31),$B$9&gt;DATE(K3,1,1)))=TRUE,(($B$9-DATE(K3,1,1)+1)/365.25)*K14*$B$13,IF(AND(K3=$B$8,$B$9&gt;DATE(K3,12,31))=TRUE,((DATE(K3,12,31)-$B$7+1)/365)*$B$13*((K14+K17)/2),0))),IF($B$5="Annuity",SUM(AB52:AB60),IF($B$3&gt;=K2,IF($B$5="Composite",K15,0),0))),0)++IF($B$3&gt;=K2,IF($B$5="interest-only",IF(K3=$B$8,K14*$B$13*(DATE(K3,12,31)-$B$7+1)/365*(365/360),0)+IF(AND(K3&gt;$B$8,K3&lt;$B$10),K14*$B$13*(365/360),0)+IF(K3=$B$10,K14*$B$13*($B$9-DATE(K3,1,1)+1)/365*(365/360),0),0),)</f>
        <v>134.24657534246575</v>
      </c>
      <c r="L7" s="1541">
        <f>IF($B$3&gt;=L2,IF($B$5="Linear",IF((AND(L3&gt;$B$8,$B$9&gt;=DATE(L3,12,31)))=TRUE,L14*$B$13*(365/360),IF((AND(L3&gt;$B$8,$B$9&lt;=DATE(L3,12,31),$B$9&gt;DATE(L3,1,1)))=TRUE,(($B$9-DATE(L3,1,1)+1)/365.25)*L14*$B$13,IF(AND(L3=$B$8,$B$9&gt;DATE(L3,12,31))=TRUE,((DATE(L3,12,31)-$B$7+1)/365)*$B$13*((L14+L17)/2),0))),IF($B$5="Annuity",SUM(#REF!),IF($B$3&gt;=L2,IF($B$5="Composite",L15,0),0))),0)++IF($B$3&gt;=L2,IF($B$5="interest-only",IF(L3=$B$8,L14*$B$13*(DATE(L3,12,31)-$B$7+1)/365*(365/360),0)+IF(AND(L3&gt;$B$8,L3&lt;$B$10),L14*$B$13*(365/360),0)+IF(L3=$B$10,L14*$B$13*($B$9-DATE(L3,1,1)+1)/365*(365/360),0),0),)</f>
        <v>49680.555555555555</v>
      </c>
      <c r="M7" s="1541">
        <f>IF($B$3&gt;=M2,IF($B$5="Linear",IF((AND(M3&gt;$B$8,$B$9&gt;=DATE(M3,12,31)))=TRUE,M14*$B$13*(365/360),IF((AND(M3&gt;$B$8,$B$9&lt;=DATE(M3,12,31),$B$9&gt;DATE(M3,1,1)))=TRUE,(($B$9-DATE(M3,1,1)+1)/365.25)*M14*$B$13,IF(AND(M3=$B$8,$B$9&gt;DATE(M3,12,31))=TRUE,((DATE(M3,12,31)-$B$7+1)/365)*$B$13*((M14+M17)/2),0))),IF($B$5="Annuity",SUM(#REF!),IF($B$3&gt;=M2,IF($B$5="Composite",M15,0),0))),0)++IF($B$3&gt;=M2,IF($B$5="interest-only",IF(M3=$B$8,M14*$B$13*(DATE(M3,12,31)-$B$7+1)/365*(365/360),0)+IF(AND(M3&gt;$B$8,M3&lt;$B$10),M14*$B$13*(365/360),0)+IF(M3=$B$10,M14*$B$13*($B$9-DATE(M3,1,1)+1)/365*(365/360),0),0),)</f>
        <v>49680.555555555555</v>
      </c>
      <c r="N7" s="1541">
        <f>IF($B$3&gt;=N2,IF($B$5="Linear",IF((AND(N3&gt;$B$8,$B$9&gt;=DATE(N3,12,31)))=TRUE,N14*$B$13*(365/360),IF((AND(N3&gt;$B$8,$B$9&lt;=DATE(N3,12,31),$B$9&gt;DATE(N3,1,1)))=TRUE,(($B$9-DATE(N3,1,1)+1)/365.25)*N14*$B$13,IF(AND(N3=$B$8,$B$9&gt;DATE(N3,12,31))=TRUE,((DATE(N3,12,31)-$B$7+1)/365)*$B$13*((N14+N17)/2),0))),IF($B$5="Annuity",SUM(#REF!),IF($B$3&gt;=N2,IF($B$5="Composite",N15,0),0))),0)++IF($B$3&gt;=N2,IF($B$5="interest-only",IF(N3=$B$8,N14*$B$13*(DATE(N3,12,31)-$B$7+1)/365*(365/360),0)+IF(AND(N3&gt;$B$8,N3&lt;$B$10),N14*$B$13*(365/360),0)+IF(N3=$B$10,N14*$B$13*($B$9-DATE(N3,1,1)+1)/365*(365/360),0),0),)</f>
        <v>49680.555555555555</v>
      </c>
      <c r="O7" s="1541">
        <f>IF($B$3&gt;=O2,IF($B$5="Linear",IF((AND(O3&gt;$B$8,$B$9&gt;=DATE(O3,12,31)))=TRUE,O14*$B$13*(365/360),IF((AND(O3&gt;$B$8,$B$9&lt;=DATE(O3,12,31),$B$9&gt;DATE(O3,1,1)))=TRUE,(($B$9-DATE(O3,1,1)+1)/365.25)*O14*$B$13,IF(AND(O3=$B$8,$B$9&gt;DATE(O3,12,31))=TRUE,((DATE(O3,12,31)-$B$7+1)/365)*$B$13*((O14+O17)/2),0))),IF($B$5="Annuity",SUM(#REF!),IF($B$3&gt;=O2,IF($B$5="Composite",O15,0),0))),0)++IF($B$3&gt;=O2,IF($B$5="interest-only",IF(O3=$B$8,O14*$B$13*(DATE(O3,12,31)-$B$7+1)/365*(365/360),0)+IF(AND(O3&gt;$B$8,O3&lt;$B$10),O14*$B$13*(365/360),0)+IF(O3=$B$10,O14*$B$13*($B$9-DATE(O3,1,1)+1)/365*(365/360),0),0),)</f>
        <v>49680.555555555555</v>
      </c>
      <c r="P7" s="1541">
        <f>IF($B$3&gt;=P2,IF($B$5="Linear",IF((AND(P3&gt;$B$8,$B$9&gt;=DATE(P3,12,31)))=TRUE,P14*$B$13*(365/360),IF((AND(P3&gt;$B$8,$B$9&lt;=DATE(P3,12,31),$B$9&gt;DATE(P3,1,1)))=TRUE,(($B$9-DATE(P3,1,1)+1)/365.25)*P14*$B$13,IF(AND(P3=$B$8,$B$9&gt;DATE(P3,12,31))=TRUE,((DATE(P3,12,31)-$B$7+1)/365)*$B$13*((P14+P17)/2),0))),IF($B$5="Annuity",SUM(#REF!),IF($B$3&gt;=P2,IF($B$5="Composite",P15,0),0))),0)++IF($B$3&gt;=P2,IF($B$5="interest-only",IF(P3=$B$8,P14*$B$13*(DATE(P3,12,31)-$B$7+1)/365*(365/360),0)+IF(AND(P3&gt;$B$8,P3&lt;$B$10),P14*$B$13*(365/360),0)+IF(P3=$B$10,P14*$B$13*($B$9-DATE(P3,1,1)+1)/365*(365/360),0),0),)</f>
        <v>0</v>
      </c>
      <c r="Q7" s="1530">
        <f>IF($B$3&gt;=Q2,IF($B$5="Linear",IF((AND(Q3&gt;$B$8,$B$9&gt;=DATE(Q3,12,31)))=TRUE,Q14*$B$13*(365/360),IF((AND(Q3&gt;$B$8,$B$9&lt;=DATE(Q3,12,31),$B$9&gt;DATE(Q3,1,1)))=TRUE,(($B$9-DATE(Q3,1,1)+1)/365.25)*Q14*$B$13,IF(AND(Q3=$B$8,$B$9&gt;DATE(Q3,12,31))=TRUE,((DATE(Q3,12,31)-$B$7+1)/365)*$B$13*((Q14+Q17)/2),0))),IF($B$5="Annuity",SUM(#REF!),IF($B$3&gt;=Q2,IF($B$5="Composite",Q15,0),0))),0)++IF($B$3&gt;=Q2,IF($B$5="interest-only",IF(Q3=$B$8,Q14*$B$13*(DATE(Q3,12,31)-$B$7+1)/365*(365/360),0)+IF(AND(Q3&gt;$B$8,Q3&lt;$B$10),Q14*$B$13*(365/360),0)+IF(Q3=$B$10,Q14*$B$13*($B$9-DATE(Q3,1,1)+1)/365*(365/360),0),0),)</f>
        <v>0</v>
      </c>
      <c r="T7" s="143"/>
      <c r="U7" s="156"/>
      <c r="V7" s="156"/>
      <c r="W7" s="150">
        <f t="shared" si="7"/>
        <v>0</v>
      </c>
      <c r="X7" s="151" t="s">
        <v>158</v>
      </c>
      <c r="Y7" s="144">
        <f>IF(IF(AND($B$7&gt;=DATE($G$3,5,1),$B$7&lt;DATE($G$3,6,1)),$B$6,0)=0,Y6-Z7,IF(AND($B$7&gt;=DATE($G$3,5,1),$B$7&lt;DATE($G$3,6,1)),$B$6,0))</f>
        <v>0</v>
      </c>
      <c r="Z7" s="143">
        <f t="shared" si="1"/>
        <v>0</v>
      </c>
      <c r="AA7" s="143">
        <f t="shared" si="2"/>
        <v>0</v>
      </c>
      <c r="AB7" s="143">
        <f>AA7/12</f>
        <v>0</v>
      </c>
      <c r="AC7" s="143"/>
      <c r="AD7" s="156"/>
      <c r="AE7" s="156"/>
      <c r="AF7" s="150">
        <f t="shared" si="9"/>
        <v>0</v>
      </c>
      <c r="AG7" s="151" t="s">
        <v>158</v>
      </c>
      <c r="AH7" s="144">
        <f>IF(IF(AND($B$18&gt;=DATE($G$3,5,1),$B$18&lt;DATE($G$3,6,1)),$B$17,0)=0,AH6-AI7,IF(AND($B$18&gt;=DATE($G$3,5,1),$B$18&lt;DATE($G$3,6,1)),$B$17,0))</f>
        <v>0</v>
      </c>
      <c r="AI7" s="143">
        <f t="shared" si="3"/>
        <v>0</v>
      </c>
      <c r="AJ7" s="143">
        <f t="shared" si="4"/>
        <v>0</v>
      </c>
      <c r="AK7" s="143">
        <f>AJ7/12</f>
        <v>0</v>
      </c>
      <c r="AN7" s="156"/>
      <c r="AO7" s="150">
        <f t="shared" si="11"/>
        <v>0</v>
      </c>
      <c r="AP7" s="151" t="s">
        <v>158</v>
      </c>
      <c r="AQ7" s="144">
        <f>IF(IF(AND($B$29&gt;=DATE($G$3,5,1),$B$29&lt;DATE($G$3,6,1)),$B$28,0)=0,AQ6-AR7,IF(AND($B$29&gt;=DATE($G$3,5,1),$B$29&lt;DATE($G$3,6,1)),$B$28,0))</f>
        <v>0</v>
      </c>
      <c r="AR7" s="143">
        <f t="shared" si="5"/>
        <v>0</v>
      </c>
      <c r="AS7" s="143">
        <f t="shared" si="6"/>
        <v>0</v>
      </c>
      <c r="AT7" s="143">
        <f>AS7/12</f>
        <v>0</v>
      </c>
    </row>
    <row r="8" spans="1:46">
      <c r="A8" s="1299" t="s">
        <v>24</v>
      </c>
      <c r="B8" s="1305">
        <f>YEAR(B7)</f>
        <v>2027</v>
      </c>
      <c r="C8" s="152"/>
      <c r="D8" s="1294"/>
      <c r="E8" s="1299" t="s">
        <v>159</v>
      </c>
      <c r="G8" s="1541">
        <f>IF($B$3&gt;=G2,IF($B$16="Linear",IF((AND(G3&gt;$B$19,$B$20&gt;=DATE(G3,12,31)))=TRUE,G24*$B$24*(365/360),IF((AND(G3&gt;$B$19,$B$20&lt;=DATE(G3,12,31),$B$20&gt;DATE(G3,1,1)))=TRUE,(($B$20-DATE(G3,1,1)+1)/365.25)*G24*$B$24,IF(AND(G3=$B$19,$B$20&gt;DATE(G3,12,31))=TRUE,((DATE(G3,12,31)-$B$18+1)/365)*$B$24*((G24+G27)/2),0))),IF($B$16="Annuity",SUM(AK4:AK15),IF($B$3&gt;=G2,IF($B$16="Composite",G25,0),0))),0)++IF($B$3&gt;=G2,IF($B$16="interest-only",IF(G3=$B$19,G24*$B$24*(DATE(G3,12,31)-$B$18+1)/365*(365/360),0)+IF(AND(G3&gt;$B$19,G3&lt;$B$21),G24*$B$24*(365/360),0)+IF(G3=$B$21,G24*$B$24*($B$20-DATE(G3,1,1)+1)/365*(365/360),0),0),)</f>
        <v>0</v>
      </c>
      <c r="H8" s="1541">
        <f>IF($B$3&gt;=H2,IF($B$16="Linear",IF((AND(H3&gt;$B$19,$B$20&gt;=DATE(H3,12,31)))=TRUE,H24*$B$24*(365/360),IF((AND(H3&gt;$B$19,$B$20&lt;=DATE(H3,12,31),$B$20&gt;DATE(H3,1,1)))=TRUE,(($B$20-DATE(H3,1,1)+1)/365.25)*H24*$B$24,IF(AND(H3=$B$19,$B$20&gt;DATE(H3,12,31))=TRUE,((DATE(H3,12,31)-$B$18+1)/365)*$B$24*((H24+H27)/2),0))),IF($B$16="Annuity",SUM(AK16:AK27),IF($B$3&gt;=H2,IF($B$16="Composite",H25,0),0))),0)++IF($B$3&gt;=H2,IF($B$16="interest-only",IF(H3=$B$19,H24*$B$24*(DATE(H3,12,31)-$B$18+1)/365*(365/360),0)+IF(AND(H3&gt;$B$19,H3&lt;$B$21),H24*$B$24*(365/360),0)+IF(H3=$B$21,H24*$B$24*($B$20-DATE(H3,1,1)+1)/365*(365/360),0),0),)</f>
        <v>0</v>
      </c>
      <c r="I8" s="1541">
        <f>IF($B$3&gt;=I2,IF($B$16="Linear",IF((AND(I3&gt;$B$19,$B$20&gt;=DATE(I3,12,31)))=TRUE,I24*$B$24*(365/360),IF((AND(I3&gt;$B$19,$B$20&lt;=DATE(I3,12,31),$B$20&gt;DATE(I3,1,1)))=TRUE,(($B$20-DATE(I3,1,1)+1)/365.25)*I24*$B$24,IF(AND(I3=$B$19,$B$20&gt;DATE(I3,12,31))=TRUE,((DATE(I3,12,31)-$B$18+1)/365)*$B$24*((I24+I27)/2),0))),IF($B$16="Annuity",SUM(AK28:AK39),IF($B$3&gt;=I2,IF($B$16="Composite",I25,0),0))),0)++IF($B$3&gt;=I2,IF($B$16="interest-only",IF(I3=$B$19,I24*$B$24*(DATE(I3,12,31)-$B$18+1)/365*(365/360),0)+IF(AND(I3&gt;$B$19,I3&lt;$B$21),I24*$B$24*(365/360),0)+IF(I3=$B$21,I24*$B$24*($B$20-DATE(I3,1,1)+1)/365*(365/360),0),0),)</f>
        <v>0</v>
      </c>
      <c r="J8" s="1541">
        <f>IF($B$3&gt;=J2,IF($B$16="Linear",IF((AND(J3&gt;$B$19,$B$20&gt;=DATE(J3,12,31)))=TRUE,J24*$B$24*(365/360),IF((AND(J3&gt;$B$19,$B$20&lt;=DATE(J3,12,31),$B$20&gt;DATE(J3,1,1)))=TRUE,(($B$20-DATE(J3,1,1)+1)/365.25)*J24*$B$24,IF(AND(J3=$B$19,$B$20&gt;DATE(J3,12,31))=TRUE,((DATE(J3,12,31)-$B$18+1)/365)*$B$24*((J24+J27)/2),0))),IF($B$16="Annuity",SUM(AK40:AK51),IF($B$3&gt;=J2,IF($B$16="Composite",J25,0),0))),0)++IF($B$3&gt;=J2,IF($B$16="interest-only",IF(J3=$B$19,J24*$B$24*(DATE(J3,12,31)-$B$18+1)/365*(365/360),0)+IF(AND(J3&gt;$B$19,J3&lt;$B$21),J24*$B$24*(365/360),0)+IF(J3=$B$21,J24*$B$24*($B$20-DATE(J3,1,1)+1)/365*(365/360),0),0),)</f>
        <v>0</v>
      </c>
      <c r="K8" s="1541">
        <f>IF($B$3&gt;=K2,IF($B$16="Linear",IF((AND(K3&gt;$B$19,$B$20&gt;=DATE(K3,12,31)))=TRUE,K24*$B$24*(365/360),IF((AND(K3&gt;$B$19,$B$20&lt;=DATE(K3,12,31),$B$20&gt;DATE(K3,1,1)))=TRUE,(($B$20-DATE(K3,1,1)+1)/365.25)*K24*$B$24,IF(AND(K3=$B$19,$B$20&gt;DATE(K3,12,31))=TRUE,((DATE(K3,12,31)-$B$18+1)/365)*$B$24*((K24+K27)/2),0))),IF($B$16="Annuity",SUM(AK52:AK60),IF($B$3&gt;=K2,IF($B$16="Composite",K25,0),0))),0)++IF($B$3&gt;=K2,IF($B$16="interest-only",IF(K3=$B$19,K24*$B$24*(DATE(K3,12,31)-$B$18+1)/365*(365/360),0)+IF(AND(K3&gt;$B$19,K3&lt;$B$21),K24*$B$24*(365/360),0)+IF(K3=$B$21,K24*$B$24*($B$20-DATE(K3,1,1)+1)/365*(365/360),0),0),)</f>
        <v>0</v>
      </c>
      <c r="L8" s="1541">
        <f>IF($B$3&gt;=L2,IF($B$16="Linear",IF((AND(L3&gt;$B$19,$B$20&gt;=DATE(L3,12,31)))=TRUE,L24*$B$24*(365/360),IF((AND(L3&gt;$B$19,$B$20&lt;=DATE(L3,12,31),$B$20&gt;DATE(L3,1,1)))=TRUE,(($B$20-DATE(L3,1,1)+1)/365.25)*L24*$B$24,IF(AND(L3=$B$19,$B$20&gt;DATE(L3,12,31))=TRUE,((DATE(L3,12,31)-$B$18+1)/365)*$B$24*((L24+L27)/2),0))),IF($B$16="Annuity",SUM(#REF!),IF($B$3&gt;=L2,IF($B$16="Composite",L25,0),0))),0)++IF($B$3&gt;=L2,IF($B$16="interest-only",IF(L3=$B$19,L24*$B$24*(DATE(L3,12,31)-$B$18+1)/365*(365/360),0)+IF(AND(L3&gt;$B$19,L3&lt;$B$21),L24*$B$24*(365/360),0)+IF(L3=$B$21,L24*$B$24*($B$20-DATE(L3,1,1)+1)/365*(365/360),0),0),)</f>
        <v>0</v>
      </c>
      <c r="M8" s="1541">
        <f>IF($B$3&gt;=M2,IF($B$16="Linear",IF((AND(M3&gt;$B$19,$B$20&gt;=DATE(M3,12,31)))=TRUE,M24*$B$24*(365/360),IF((AND(M3&gt;$B$19,$B$20&lt;=DATE(M3,12,31),$B$20&gt;DATE(M3,1,1)))=TRUE,(($B$20-DATE(M3,1,1)+1)/365.25)*M24*$B$24,IF(AND(M3=$B$19,$B$20&gt;DATE(M3,12,31))=TRUE,((DATE(M3,12,31)-$B$18+1)/365)*$B$24*((M24+M27)/2),0))),IF($B$16="Annuity",SUM(#REF!),IF($B$3&gt;=M2,IF($B$16="Composite",M25,0),0))),0)++IF($B$3&gt;=M2,IF($B$16="interest-only",IF(M3=$B$19,M24*$B$24*(DATE(M3,12,31)-$B$18+1)/365*(365/360),0)+IF(AND(M3&gt;$B$19,M3&lt;$B$21),M24*$B$24*(365/360),0)+IF(M3=$B$21,M24*$B$24*($B$20-DATE(M3,1,1)+1)/365*(365/360),0),0),)</f>
        <v>0</v>
      </c>
      <c r="N8" s="1541">
        <f>IF($B$3&gt;=N2,IF($B$16="Linear",IF((AND(N3&gt;$B$19,$B$20&gt;=DATE(N3,12,31)))=TRUE,N24*$B$24*(365/360),IF((AND(N3&gt;$B$19,$B$20&lt;=DATE(N3,12,31),$B$20&gt;DATE(N3,1,1)))=TRUE,(($B$20-DATE(N3,1,1)+1)/365.25)*N24*$B$24,IF(AND(N3=$B$19,$B$20&gt;DATE(N3,12,31))=TRUE,((DATE(N3,12,31)-$B$18+1)/365)*$B$24*((N24+N27)/2),0))),IF($B$16="Annuity",SUM(#REF!),IF($B$3&gt;=N2,IF($B$16="Composite",N25,0),0))),0)++IF($B$3&gt;=N2,IF($B$16="interest-only",IF(N3=$B$19,N24*$B$24*(DATE(N3,12,31)-$B$18+1)/365*(365/360),0)+IF(AND(N3&gt;$B$19,N3&lt;$B$21),N24*$B$24*(365/360),0)+IF(N3=$B$21,N24*$B$24*($B$20-DATE(N3,1,1)+1)/365*(365/360),0),0),)</f>
        <v>0</v>
      </c>
      <c r="O8" s="1541">
        <f>IF($B$3&gt;=O2,IF($B$16="Linear",IF((AND(O3&gt;$B$19,$B$20&gt;=DATE(O3,12,31)))=TRUE,O24*$B$24*(365/360),IF((AND(O3&gt;$B$19,$B$20&lt;=DATE(O3,12,31),$B$20&gt;DATE(O3,1,1)))=TRUE,(($B$20-DATE(O3,1,1)+1)/365.25)*O24*$B$24,IF(AND(O3=$B$19,$B$20&gt;DATE(O3,12,31))=TRUE,((DATE(O3,12,31)-$B$18+1)/365)*$B$24*((O24+O27)/2),0))),IF($B$16="Annuity",SUM(#REF!),IF($B$3&gt;=O2,IF($B$16="Composite",O25,0),0))),0)++IF($B$3&gt;=O2,IF($B$16="interest-only",IF(O3=$B$19,O24*$B$24*(DATE(O3,12,31)-$B$18+1)/365*(365/360),0)+IF(AND(O3&gt;$B$19,O3&lt;$B$21),O24*$B$24*(365/360),0)+IF(O3=$B$21,O24*$B$24*($B$20-DATE(O3,1,1)+1)/365*(365/360),0),0),)</f>
        <v>0</v>
      </c>
      <c r="P8" s="1541">
        <f>IF($B$3&gt;=P2,IF($B$16="Linear",IF((AND(P3&gt;$B$19,$B$20&gt;=DATE(P3,12,31)))=TRUE,P24*$B$24*(365/360),IF((AND(P3&gt;$B$19,$B$20&lt;=DATE(P3,12,31),$B$20&gt;DATE(P3,1,1)))=TRUE,(($B$20-DATE(P3,1,1)+1)/365.25)*P24*$B$24,IF(AND(P3=$B$19,$B$20&gt;DATE(P3,12,31))=TRUE,((DATE(P3,12,31)-$B$18+1)/365)*$B$24*((P24+P27)/2),0))),IF($B$16="Annuity",SUM(#REF!),IF($B$3&gt;=P2,IF($B$16="Composite",P25,0),0))),0)++IF($B$3&gt;=P2,IF($B$16="interest-only",IF(P3=$B$19,P24*$B$24*(DATE(P3,12,31)-$B$18+1)/365*(365/360),0)+IF(AND(P3&gt;$B$19,P3&lt;$B$21),P24*$B$24*(365/360),0)+IF(P3=$B$21,P24*$B$24*($B$20-DATE(P3,1,1)+1)/365*(365/360),0),0),)</f>
        <v>0</v>
      </c>
      <c r="Q8" s="1530">
        <f>IF($B$3&gt;=Q2,IF($B$16="Linear",IF((AND(Q3&gt;$B$19,$B$20&gt;=DATE(Q3,12,31)))=TRUE,Q24*$B$24*(365/360),IF((AND(Q3&gt;$B$19,$B$20&lt;=DATE(Q3,12,31),$B$20&gt;DATE(Q3,1,1)))=TRUE,(($B$20-DATE(Q3,1,1)+1)/365.25)*Q24*$B$24,IF(AND(Q3=$B$19,$B$20&gt;DATE(Q3,12,31))=TRUE,((DATE(Q3,12,31)-$B$18+1)/365)*$B$24*((Q24+Q27)/2),0))),IF($B$16="Annuity",SUM(#REF!),IF($B$3&gt;=Q2,IF($B$16="Composite",Q25,0),0))),0)++IF($B$3&gt;=Q2,IF($B$16="interest-only",IF(Q3=$B$19,Q24*$B$24*(DATE(Q3,12,31)-$B$18+1)/365*(365/360),0)+IF(AND(Q3&gt;$B$19,Q3&lt;$B$21),Q24*$B$24*(365/360),0)+IF(Q3=$B$21,Q24*$B$24*($B$20-DATE(Q3,1,1)+1)/365*(365/360),0),0),)</f>
        <v>0</v>
      </c>
      <c r="T8" s="143"/>
      <c r="U8" s="155"/>
      <c r="V8" s="155"/>
      <c r="W8" s="150">
        <f t="shared" si="7"/>
        <v>0</v>
      </c>
      <c r="X8" s="151" t="s">
        <v>160</v>
      </c>
      <c r="Y8" s="144">
        <f>IF(IF(AND($B$7&gt;=DATE($G$3,6,1),$B$7&lt;DATE($G$3,7,1)),$B$6,0)=0,Y7-Z8,IF(AND($B$7&gt;=DATE($G$3,6,1),$B$7&lt;DATE($G$3,7,1)),$B$6,0))</f>
        <v>0</v>
      </c>
      <c r="Z8" s="143">
        <f t="shared" si="1"/>
        <v>0</v>
      </c>
      <c r="AA8" s="143">
        <f t="shared" si="2"/>
        <v>0</v>
      </c>
      <c r="AB8" s="143">
        <f t="shared" si="8"/>
        <v>0</v>
      </c>
      <c r="AC8" s="143"/>
      <c r="AD8" s="155"/>
      <c r="AE8" s="155"/>
      <c r="AF8" s="150">
        <f t="shared" si="9"/>
        <v>0</v>
      </c>
      <c r="AG8" s="151" t="s">
        <v>160</v>
      </c>
      <c r="AH8" s="144">
        <f>IF(IF(AND($B$18&gt;=DATE($G$3,6,1),$B$18&lt;DATE($G$3,7,1)),$B$17,0)=0,AH7-AI8,IF(AND($B$18&gt;=DATE($G$3,6,1),$B$18&lt;DATE($G$3,7,1)),$B$17,0))</f>
        <v>0</v>
      </c>
      <c r="AI8" s="143">
        <f t="shared" si="3"/>
        <v>0</v>
      </c>
      <c r="AJ8" s="143">
        <f t="shared" si="4"/>
        <v>0</v>
      </c>
      <c r="AK8" s="143">
        <f t="shared" si="10"/>
        <v>0</v>
      </c>
      <c r="AN8" s="155"/>
      <c r="AO8" s="150">
        <f t="shared" si="11"/>
        <v>0</v>
      </c>
      <c r="AP8" s="151" t="s">
        <v>160</v>
      </c>
      <c r="AQ8" s="144">
        <f>IF(IF(AND($B$29&gt;=DATE($G$3,6,1),$B$29&lt;DATE($G$3,7,1)),$B$28,0)=0,AQ7-AR8,IF(AND($B$29&gt;=DATE($G$3,6,1),$B$29&lt;DATE($G$3,7,1)),$B$28,0))</f>
        <v>0</v>
      </c>
      <c r="AR8" s="143">
        <f t="shared" si="5"/>
        <v>0</v>
      </c>
      <c r="AS8" s="143">
        <f t="shared" si="6"/>
        <v>0</v>
      </c>
      <c r="AT8" s="143">
        <f t="shared" si="12"/>
        <v>0</v>
      </c>
    </row>
    <row r="9" spans="1:46" ht="13.5" thickBot="1">
      <c r="A9" s="1299" t="s">
        <v>27</v>
      </c>
      <c r="B9" s="1510">
        <f>B20</f>
        <v>48213</v>
      </c>
      <c r="C9" s="1720"/>
      <c r="D9" s="1294"/>
      <c r="E9" s="1299" t="s">
        <v>159</v>
      </c>
      <c r="G9" s="1532">
        <f>IF($B$3&gt;=G2,IF($B$27="Linear",IF((AND(G3&gt;$B$30,$B$31&gt;=DATE(G3,12,31)))=TRUE,G34*$B$35*(365/360),IF((AND(G3&gt;$B$30,$B$31&lt;=DATE(G3,12,31),$B$31&gt;DATE(G3,1,1)))=TRUE,(($B$31-DATE(G3,1,1)+1)/365.25)*G34*$B$35,IF(AND(G3=$B$30,$B$31&gt;DATE(G3,12,31))=TRUE,((DATE(G3,12,31)-$B$29+1)/365)*$B$35*((G34+G37)/2),0))),IF($B$27="Annuity",SUM(AT4:AT15),IF($B$3&gt;=G2,IF($B$27="Composite",G35,0),0))),0)++IF($B$3&gt;=G2,IF($B$27="interest-only",IF(G3=$B$30,G34*$B$35*(DATE(G3,12,31)-$B$29+1)/365*(365/360),0)+IF(AND(G3&gt;$B$30,G3&lt;$B$32),G34*$B$35*(365/360),0)+IF(G3=$B$32,G34*$B$35*($B$31-DATE(G3,1,1)+1)/365*(365/360),0),0),)</f>
        <v>0</v>
      </c>
      <c r="H9" s="1532">
        <f>IF($B$3&gt;=H2,IF($B$27="Linear",IF((AND(H3&gt;$B$30,$B$31&gt;=DATE(H3,12,31)))=TRUE,H34*$B$35*(365/360),IF((AND(H3&gt;$B$30,$B$31&lt;=DATE(H3,12,31),$B$31&gt;DATE(H3,1,1)))=TRUE,(($B$31-DATE(H3,1,1)+1)/365.25)*H34*$B$35,IF(AND(H3=$B$30,$B$31&gt;DATE(H3,12,31))=TRUE,((DATE(H3,12,31)-$B$29+1)/365)*$B$35*((H34+H37)/2),0))),IF($B$27="Annuity",SUM(AT16:AT27),IF($B$3&gt;=H2,IF($B$27="Composite",H35,0),0))),0)++IF($B$3&gt;=H2,IF($B$27="interest-only",IF(H3=$B$30,H34*$B$35*(DATE(H3,12,31)-$B$29+1)/365*(365/360),0)+IF(AND(H3&gt;$B$30,H3&lt;$B$32),H34*$B$35*(365/360),0)+IF(H3=$B$32,H34*$B$35*($B$31-DATE(H3,1,1)+1)/365*(365/360),0),0),)</f>
        <v>0</v>
      </c>
      <c r="I9" s="1532">
        <f>IF($B$3&gt;=I2,IF($B$27="Linear",IF((AND(I3&gt;$B$30,$B$31&gt;=DATE(I3,12,31)))=TRUE,I34*$B$35*(365/360),IF((AND(I3&gt;$B$30,$B$31&lt;=DATE(I3,12,31),$B$31&gt;DATE(I3,1,1)))=TRUE,(($B$31-DATE(I3,1,1)+1)/365.25)*I34*$B$35,IF(AND(I3=$B$30,$B$31&gt;DATE(I3,12,31))=TRUE,((DATE(I3,12,31)-$B$29+1)/365)*$B$35*((I34+I37)/2),0))),IF($B$27="Annuity",SUM(AT28:AT39),IF($B$3&gt;=I2,IF($B$27="Composite",I35,0),0))),0)++IF($B$3&gt;=I2,IF($B$27="interest-only",IF(I3=$B$30,I34*$B$35*(DATE(I3,12,31)-$B$29+1)/365*(365/360),0)+IF(AND(I3&gt;$B$30,I3&lt;$B$32),I34*$B$35*(365/360),0)+IF(I3=$B$32,I34*$B$35*($B$31-DATE(I3,1,1)+1)/365*(365/360),0),0),)</f>
        <v>0</v>
      </c>
      <c r="J9" s="1532">
        <f>IF($B$3&gt;=J2,IF($B$27="Linear",IF((AND(J3&gt;$B$30,$B$31&gt;=DATE(J3,12,31)))=TRUE,J34*$B$35*(365/360),IF((AND(J3&gt;$B$30,$B$31&lt;=DATE(J3,12,31),$B$31&gt;DATE(J3,1,1)))=TRUE,(($B$31-DATE(J3,1,1)+1)/365.25)*J34*$B$35,IF(AND(J3=$B$30,$B$31&gt;DATE(J3,12,31))=TRUE,((DATE(J3,12,31)-$B$29+1)/365)*$B$35*((J34+J37)/2),0))),IF($B$27="Annuity",SUM(AT40:AT51),IF($B$3&gt;=J2,IF($B$27="Composite",J35,0),0))),0)++IF($B$3&gt;=J2,IF($B$27="interest-only",IF(J3=$B$30,J34*$B$35*(DATE(J3,12,31)-$B$29+1)/365*(365/360),0)+IF(AND(J3&gt;$B$30,J3&lt;$B$32),J34*$B$35*(365/360),0)+IF(J3=$B$32,J34*$B$35*($B$31-DATE(J3,1,1)+1)/365*(365/360),0),0),)</f>
        <v>0</v>
      </c>
      <c r="K9" s="1532">
        <f>IF($B$3&gt;=K2,IF($B$27="Linear",IF((AND(K3&gt;$B$30,$B$31&gt;=DATE(K3,12,31)))=TRUE,K34*$B$35*(365/360),IF((AND(K3&gt;$B$30,$B$31&lt;=DATE(K3,12,31),$B$31&gt;DATE(K3,1,1)))=TRUE,(($B$31-DATE(K3,1,1)+1)/365.25)*K34*$B$35,IF(AND(K3=$B$30,$B$31&gt;DATE(K3,12,31))=TRUE,((DATE(K3,12,31)-$B$29+1)/365)*$B$35*((K34+K37)/2),0))),IF($B$27="Annuity",SUM(AT52:AT60),IF($B$3&gt;=K2,IF($B$27="Composite",K35,0),0))),0)++IF($B$3&gt;=K2,IF($B$27="interest-only",IF(K3=$B$30,K34*$B$35*(DATE(K3,12,31)-$B$29+1)/365*(365/360),0)+IF(AND(K3&gt;$B$30,K3&lt;$B$32),K34*$B$35*(365/360),0)+IF(K3=$B$32,K34*$B$35*($B$31-DATE(K3,1,1)+1)/365*(365/360),0),0),)</f>
        <v>0</v>
      </c>
      <c r="L9" s="1532">
        <f>IF($B$3&gt;=L2,IF($B$27="Linear",IF((AND(L3&gt;$B$30,$B$31&gt;=DATE(L3,12,31)))=TRUE,L34*$B$35*(365/360),IF((AND(L3&gt;$B$30,$B$31&lt;=DATE(L3,12,31),$B$31&gt;DATE(L3,1,1)))=TRUE,(($B$31-DATE(L3,1,1)+1)/365.25)*L34*$B$35,IF(AND(L3=$B$30,$B$31&gt;DATE(L3,12,31))=TRUE,((DATE(L3,12,31)-$B$29+1)/365)*$B$35*((L34+L37)/2),0))),IF($B$27="Annuity",SUM(#REF!),IF($B$3&gt;=L2,IF($B$27="Composite",L35,0),0))),0)++IF($B$3&gt;=L2,IF($B$27="interest-only",IF(L3=$B$30,L34*$B$35*(DATE(L3,12,31)-$B$29+1)/365*(365/360),0)+IF(AND(L3&gt;$B$30,L3&lt;$B$32),L34*$B$35*(365/360),0)+IF(L3=$B$32,L34*$B$35*($B$31-DATE(L3,1,1)+1)/365*(365/360),0),0),)</f>
        <v>0</v>
      </c>
      <c r="M9" s="1532">
        <f>IF($B$3&gt;=M2,IF($B$27="Linear",IF((AND(M3&gt;$B$30,$B$31&gt;=DATE(M3,12,31)))=TRUE,M34*$B$35*(365/360),IF((AND(M3&gt;$B$30,$B$31&lt;=DATE(M3,12,31),$B$31&gt;DATE(M3,1,1)))=TRUE,(($B$31-DATE(M3,1,1)+1)/365.25)*M34*$B$35,IF(AND(M3=$B$30,$B$31&gt;DATE(M3,12,31))=TRUE,((DATE(M3,12,31)-$B$29+1)/365)*$B$35*((M34+M37)/2),0))),IF($B$27="Annuity",SUM(#REF!),IF($B$3&gt;=M2,IF($B$27="Composite",M35,0),0))),0)++IF($B$3&gt;=M2,IF($B$27="interest-only",IF(M3=$B$30,M34*$B$35*(DATE(M3,12,31)-$B$29+1)/365*(365/360),0)+IF(AND(M3&gt;$B$30,M3&lt;$B$32),M34*$B$35*(365/360),0)+IF(M3=$B$32,M34*$B$35*($B$31-DATE(M3,1,1)+1)/365*(365/360),0),0),)</f>
        <v>0</v>
      </c>
      <c r="N9" s="1532">
        <f>IF($B$3&gt;=N2,IF($B$27="Linear",IF((AND(N3&gt;$B$30,$B$31&gt;=DATE(N3,12,31)))=TRUE,N34*$B$35*(365/360),IF((AND(N3&gt;$B$30,$B$31&lt;=DATE(N3,12,31),$B$31&gt;DATE(N3,1,1)))=TRUE,(($B$31-DATE(N3,1,1)+1)/365.25)*N34*$B$35,IF(AND(N3=$B$30,$B$31&gt;DATE(N3,12,31))=TRUE,((DATE(N3,12,31)-$B$29+1)/365)*$B$35*((N34+N37)/2),0))),IF($B$27="Annuity",SUM(#REF!),IF($B$3&gt;=N2,IF($B$27="Composite",N35,0),0))),0)++IF($B$3&gt;=N2,IF($B$27="interest-only",IF(N3=$B$30,N34*$B$35*(DATE(N3,12,31)-$B$29+1)/365*(365/360),0)+IF(AND(N3&gt;$B$30,N3&lt;$B$32),N34*$B$35*(365/360),0)+IF(N3=$B$32,N34*$B$35*($B$31-DATE(N3,1,1)+1)/365*(365/360),0),0),)</f>
        <v>0</v>
      </c>
      <c r="O9" s="1532">
        <f>IF($B$3&gt;=O2,IF($B$27="Linear",IF((AND(O3&gt;$B$30,$B$31&gt;=DATE(O3,12,31)))=TRUE,O34*$B$35*(365/360),IF((AND(O3&gt;$B$30,$B$31&lt;=DATE(O3,12,31),$B$31&gt;DATE(O3,1,1)))=TRUE,(($B$31-DATE(O3,1,1)+1)/365.25)*O34*$B$35,IF(AND(O3=$B$30,$B$31&gt;DATE(O3,12,31))=TRUE,((DATE(O3,12,31)-$B$29+1)/365)*$B$35*((O34+O37)/2),0))),IF($B$27="Annuity",SUM(#REF!),IF($B$3&gt;=O2,IF($B$27="Composite",O35,0),0))),0)++IF($B$3&gt;=O2,IF($B$27="interest-only",IF(O3=$B$30,O34*$B$35*(DATE(O3,12,31)-$B$29+1)/365*(365/360),0)+IF(AND(O3&gt;$B$30,O3&lt;$B$32),O34*$B$35*(365/360),0)+IF(O3=$B$32,O34*$B$35*($B$31-DATE(O3,1,1)+1)/365*(365/360),0),0),)</f>
        <v>0</v>
      </c>
      <c r="P9" s="1532">
        <f>IF($B$3&gt;=P2,IF($B$27="Linear",IF((AND(P3&gt;$B$30,$B$31&gt;=DATE(P3,12,31)))=TRUE,P34*$B$35*(365/360),IF((AND(P3&gt;$B$30,$B$31&lt;=DATE(P3,12,31),$B$31&gt;DATE(P3,1,1)))=TRUE,(($B$31-DATE(P3,1,1)+1)/365.25)*P34*$B$35,IF(AND(P3=$B$30,$B$31&gt;DATE(P3,12,31))=TRUE,((DATE(P3,12,31)-$B$29+1)/365)*$B$35*((P34+P37)/2),0))),IF($B$27="Annuity",SUM(#REF!),IF($B$3&gt;=P2,IF($B$27="Composite",P35,0),0))),0)++IF($B$3&gt;=P2,IF($B$27="interest-only",IF(P3=$B$30,P34*$B$35*(DATE(P3,12,31)-$B$29+1)/365*(365/360),0)+IF(AND(P3&gt;$B$30,P3&lt;$B$32),P34*$B$35*(365/360),0)+IF(P3=$B$32,P34*$B$35*($B$31-DATE(P3,1,1)+1)/365*(365/360),0),0),)</f>
        <v>0</v>
      </c>
      <c r="Q9" s="1533">
        <f>IF($B$3&gt;=Q2,IF($B$27="Linear",IF((AND(Q3&gt;$B$30,$B$31&gt;=DATE(Q3,12,31)))=TRUE,Q34*$B$35*(365/360),IF((AND(Q3&gt;$B$30,$B$31&lt;=DATE(Q3,12,31),$B$31&gt;DATE(Q3,1,1)))=TRUE,(($B$31-DATE(Q3,1,1)+1)/365.25)*Q34*$B$35,IF(AND(Q3=$B$30,$B$31&gt;DATE(Q3,12,31))=TRUE,((DATE(Q3,12,31)-$B$29+1)/365)*$B$35*((Q34+Q37)/2),0))),IF($B$27="Annuity",SUM(#REF!),IF($B$3&gt;=Q2,IF($B$27="Composite",Q35,0),0))),0)++IF($B$3&gt;=Q2,IF($B$27="interest-only",IF(Q3=$B$30,Q34*$B$35*(DATE(Q3,12,31)-$B$29+1)/365*(365/360),0)+IF(AND(Q3&gt;$B$30,Q3&lt;$B$32),Q34*$B$35*(365/360),0)+IF(Q3=$B$32,Q34*$B$35*($B$31-DATE(Q3,1,1)+1)/365*(365/360),0),0),)</f>
        <v>0</v>
      </c>
      <c r="T9" s="143"/>
      <c r="U9" s="143"/>
      <c r="V9" s="143"/>
      <c r="W9" s="150">
        <f t="shared" si="7"/>
        <v>0</v>
      </c>
      <c r="X9" s="151" t="s">
        <v>161</v>
      </c>
      <c r="Y9" s="144">
        <f>IF(IF(AND($B$7&gt;=DATE($G$3,7,1),$B$7&lt;DATE($G$3,8,1)),$B$6,0)=0,Y8-Z9,IF(AND($B$7&gt;=DATE($G$3,7,1),$B$7&lt;DATE($G$3,8,1)),$B$6,0))</f>
        <v>0</v>
      </c>
      <c r="Z9" s="143">
        <f t="shared" si="1"/>
        <v>0</v>
      </c>
      <c r="AA9" s="143">
        <f t="shared" si="2"/>
        <v>0</v>
      </c>
      <c r="AB9" s="143">
        <f>AA9/12</f>
        <v>0</v>
      </c>
      <c r="AC9" s="157"/>
      <c r="AD9" s="143"/>
      <c r="AE9" s="143"/>
      <c r="AF9" s="150">
        <f t="shared" si="9"/>
        <v>0</v>
      </c>
      <c r="AG9" s="151" t="s">
        <v>161</v>
      </c>
      <c r="AH9" s="144">
        <f>IF(IF(AND($B$18&gt;=DATE($G$3,7,1),$B$18&lt;DATE($G$3,8,1)),$B$17,0)=0,AH8-AI9,IF(AND($B$18&gt;=DATE($G$3,7,1),$B$18&lt;DATE($G$3,8,1)),$B$17,0))</f>
        <v>0</v>
      </c>
      <c r="AI9" s="143">
        <f t="shared" si="3"/>
        <v>0</v>
      </c>
      <c r="AJ9" s="143">
        <f t="shared" si="4"/>
        <v>0</v>
      </c>
      <c r="AK9" s="143">
        <f>AJ9/12</f>
        <v>0</v>
      </c>
      <c r="AN9" s="143"/>
      <c r="AO9" s="150">
        <f t="shared" si="11"/>
        <v>0</v>
      </c>
      <c r="AP9" s="151" t="s">
        <v>161</v>
      </c>
      <c r="AQ9" s="144">
        <f>IF(IF(AND($B$29&gt;=DATE($G$3,7,1),$B$29&lt;DATE($G$3,8,1)),$B$28,0)=0,AQ8-AR9,IF(AND($B$29&gt;=DATE($G$3,7,1),$B$29&lt;DATE($G$3,8,1)),$B$28,0))</f>
        <v>0</v>
      </c>
      <c r="AR9" s="143">
        <f t="shared" si="5"/>
        <v>0</v>
      </c>
      <c r="AS9" s="143">
        <f t="shared" si="6"/>
        <v>0</v>
      </c>
      <c r="AT9" s="143">
        <f>AS9/12</f>
        <v>0</v>
      </c>
    </row>
    <row r="10" spans="1:46" ht="13.5" thickTop="1">
      <c r="A10" s="1299" t="s">
        <v>25</v>
      </c>
      <c r="B10" s="1305">
        <f>IF(B9="",0,YEAR(B9))</f>
        <v>2031</v>
      </c>
      <c r="C10" s="1294"/>
      <c r="D10" s="2705"/>
      <c r="E10" s="1293" t="s">
        <v>12</v>
      </c>
      <c r="F10" s="2093"/>
      <c r="G10" s="2706">
        <f t="shared" ref="G10:Q10" si="13">IF($B$3&gt;=G2,SUM(G7:G9),0)</f>
        <v>0</v>
      </c>
      <c r="H10" s="2706">
        <f t="shared" si="13"/>
        <v>0</v>
      </c>
      <c r="I10" s="2706">
        <f t="shared" si="13"/>
        <v>0</v>
      </c>
      <c r="J10" s="2706">
        <f t="shared" si="13"/>
        <v>0</v>
      </c>
      <c r="K10" s="2706">
        <f t="shared" si="13"/>
        <v>134.24657534246575</v>
      </c>
      <c r="L10" s="2706">
        <f t="shared" si="13"/>
        <v>49680.555555555555</v>
      </c>
      <c r="M10" s="2706">
        <f t="shared" si="13"/>
        <v>49680.555555555555</v>
      </c>
      <c r="N10" s="2706">
        <f t="shared" si="13"/>
        <v>49680.555555555555</v>
      </c>
      <c r="O10" s="2706">
        <f t="shared" si="13"/>
        <v>49680.555555555555</v>
      </c>
      <c r="P10" s="2706">
        <f t="shared" si="13"/>
        <v>0</v>
      </c>
      <c r="Q10" s="2707">
        <f t="shared" si="13"/>
        <v>0</v>
      </c>
      <c r="T10" s="157"/>
      <c r="U10" s="143"/>
      <c r="V10" s="143"/>
      <c r="W10" s="150">
        <f t="shared" si="7"/>
        <v>0</v>
      </c>
      <c r="X10" s="151" t="s">
        <v>162</v>
      </c>
      <c r="Y10" s="144">
        <f>IF(IF(AND($B$7&gt;=DATE($G$3,8,1),$B$7&lt;DATE($G$3,9,1)),$B$6,0)=0,Y9-Z10,IF(AND($B$7&gt;=DATE($G$3,8,1),$B$7&lt;DATE($G$3,9,1)),$B$6,0))</f>
        <v>0</v>
      </c>
      <c r="Z10" s="143">
        <f t="shared" si="1"/>
        <v>0</v>
      </c>
      <c r="AA10" s="143">
        <f t="shared" si="2"/>
        <v>0</v>
      </c>
      <c r="AB10" s="143">
        <f>AA10/12</f>
        <v>0</v>
      </c>
      <c r="AC10" s="155"/>
      <c r="AD10" s="143"/>
      <c r="AE10" s="143"/>
      <c r="AF10" s="150">
        <f t="shared" si="9"/>
        <v>0</v>
      </c>
      <c r="AG10" s="151" t="s">
        <v>162</v>
      </c>
      <c r="AH10" s="144">
        <f>IF(IF(AND($B$18&gt;=DATE($G$3,8,1),$B$18&lt;DATE($G$3,9,1)),$B$17,0)=0,AH9-AI10,IF(AND($B$18&gt;=DATE($G$3,8,1),$B$18&lt;DATE($G$3,9,1)),$B$17,0))</f>
        <v>0</v>
      </c>
      <c r="AI10" s="143">
        <f t="shared" si="3"/>
        <v>0</v>
      </c>
      <c r="AJ10" s="143">
        <f t="shared" si="4"/>
        <v>0</v>
      </c>
      <c r="AK10" s="143">
        <f>AJ10/12</f>
        <v>0</v>
      </c>
      <c r="AN10" s="143"/>
      <c r="AO10" s="150">
        <f t="shared" si="11"/>
        <v>0</v>
      </c>
      <c r="AP10" s="151" t="s">
        <v>162</v>
      </c>
      <c r="AQ10" s="144">
        <f>IF(IF(AND($B$29&gt;=DATE($G$3,8,1),$B$29&lt;DATE($G$3,9,1)),$B$28,0)=0,AQ9-AR10,IF(AND($B$29&gt;=DATE($G$3,8,1),$B$29&lt;DATE($G$3,9,1)),$B$28,0))</f>
        <v>0</v>
      </c>
      <c r="AR10" s="143">
        <f t="shared" si="5"/>
        <v>0</v>
      </c>
      <c r="AS10" s="143">
        <f t="shared" si="6"/>
        <v>0</v>
      </c>
      <c r="AT10" s="143">
        <f>AS10/12</f>
        <v>0</v>
      </c>
    </row>
    <row r="11" spans="1:46" ht="13.5" thickBot="1">
      <c r="A11" s="1299" t="s">
        <v>23</v>
      </c>
      <c r="B11" s="2708">
        <v>10</v>
      </c>
      <c r="C11" s="158"/>
      <c r="D11" s="2705"/>
      <c r="E11" s="2709"/>
      <c r="F11" s="560"/>
      <c r="G11" s="1520"/>
      <c r="H11" s="1520"/>
      <c r="I11" s="1520"/>
      <c r="J11" s="1520"/>
      <c r="K11" s="1520"/>
      <c r="L11" s="1520"/>
      <c r="M11" s="1520"/>
      <c r="N11" s="1520"/>
      <c r="O11" s="1520"/>
      <c r="P11" s="1520"/>
      <c r="Q11" s="1521"/>
      <c r="T11" s="155"/>
      <c r="U11" s="143"/>
      <c r="V11" s="143"/>
      <c r="W11" s="150">
        <f t="shared" si="7"/>
        <v>0</v>
      </c>
      <c r="X11" s="151" t="s">
        <v>163</v>
      </c>
      <c r="Y11" s="144">
        <f>IF(IF(AND($B$7&gt;=DATE($G$3,9,1),$B$7&lt;DATE($G$3,10,1)),$B$6,0)=0,Y10-Z11,IF(AND($B$7&gt;=DATE($G$3,9,1),$B$7&lt;DATE($G$3,10,1)),$B$6,0))</f>
        <v>0</v>
      </c>
      <c r="Z11" s="143">
        <f t="shared" si="1"/>
        <v>0</v>
      </c>
      <c r="AA11" s="143">
        <f t="shared" si="2"/>
        <v>0</v>
      </c>
      <c r="AB11" s="143">
        <f t="shared" si="8"/>
        <v>0</v>
      </c>
      <c r="AC11" s="143"/>
      <c r="AD11" s="143"/>
      <c r="AE11" s="143"/>
      <c r="AF11" s="150">
        <f t="shared" si="9"/>
        <v>0</v>
      </c>
      <c r="AG11" s="151" t="s">
        <v>163</v>
      </c>
      <c r="AH11" s="144">
        <f>IF(IF(AND($B$17&gt;=DATE($G$3,9,1),$B$17&lt;DATE($G$3,10,1)),$B$16,0)=0,AH10-AI11,IF(AND($B$17&gt;=DATE($G$3,9,1),$B$17&lt;DATE($G$3,10,1)),$B$16,0))</f>
        <v>0</v>
      </c>
      <c r="AI11" s="143">
        <f t="shared" si="3"/>
        <v>0</v>
      </c>
      <c r="AJ11" s="143">
        <f t="shared" si="4"/>
        <v>0</v>
      </c>
      <c r="AK11" s="143">
        <f t="shared" si="10"/>
        <v>0</v>
      </c>
      <c r="AN11" s="143"/>
      <c r="AO11" s="150">
        <f t="shared" si="11"/>
        <v>0</v>
      </c>
      <c r="AP11" s="151" t="s">
        <v>163</v>
      </c>
      <c r="AQ11" s="144">
        <f>IF(IF(AND($B$29&gt;=DATE($G$3,9,1),$B$29&lt;DATE($G$3,10,1)),$B$28,0)=0,AQ10-AR11,IF(AND($B$29&gt;=DATE($G$3,9,1),$B$29&lt;DATE($G$3,10,1)),$B$28,0))</f>
        <v>0</v>
      </c>
      <c r="AR11" s="143">
        <f t="shared" si="5"/>
        <v>0</v>
      </c>
      <c r="AS11" s="143">
        <f t="shared" si="6"/>
        <v>0</v>
      </c>
      <c r="AT11" s="143">
        <f t="shared" si="12"/>
        <v>0</v>
      </c>
    </row>
    <row r="12" spans="1:46">
      <c r="A12" s="1299" t="s">
        <v>102</v>
      </c>
      <c r="B12" s="2710">
        <v>1</v>
      </c>
      <c r="C12" s="1732"/>
      <c r="D12" s="1294"/>
      <c r="E12" s="1294"/>
      <c r="F12" s="1294"/>
      <c r="G12" s="1294"/>
      <c r="H12" s="1294"/>
      <c r="I12" s="1294"/>
      <c r="J12" s="1294"/>
      <c r="K12" s="1294"/>
      <c r="L12" s="1294"/>
      <c r="M12" s="1294"/>
      <c r="N12" s="1294"/>
      <c r="O12" s="1294"/>
      <c r="P12" s="1294"/>
      <c r="Q12" s="1294"/>
      <c r="T12" s="143"/>
      <c r="U12" s="143"/>
      <c r="V12" s="143"/>
      <c r="W12" s="150">
        <f t="shared" si="7"/>
        <v>0</v>
      </c>
      <c r="X12" s="151" t="s">
        <v>164</v>
      </c>
      <c r="Y12" s="144">
        <f>IF(IF(AND($B$7&gt;=DATE($G$3,10,1),$B$7&lt;DATE($G$3,11,1)),$B$6,0)=0,Y11-Z12,IF(AND($B$7&gt;=DATE($G$3,10,1),$B$7&lt;DATE($G$3,11,1)),$B$6,0))</f>
        <v>0</v>
      </c>
      <c r="Z12" s="143">
        <f t="shared" si="1"/>
        <v>0</v>
      </c>
      <c r="AA12" s="143">
        <f t="shared" si="2"/>
        <v>0</v>
      </c>
      <c r="AB12" s="143">
        <f t="shared" si="8"/>
        <v>0</v>
      </c>
      <c r="AC12" s="143"/>
      <c r="AD12" s="143"/>
      <c r="AE12" s="143"/>
      <c r="AF12" s="150">
        <f t="shared" si="9"/>
        <v>0</v>
      </c>
      <c r="AG12" s="151" t="s">
        <v>164</v>
      </c>
      <c r="AH12" s="144">
        <f>IF(IF(AND($B$18&gt;=DATE($G$3,10,1),$B$18&lt;DATE($G$3,11,1)),$B$17,0)=0,AH11-AI12,IF(AND($B$18&gt;=DATE($G$3,10,1),$B$18&lt;DATE($G$3,11,1)),$B$17,0))</f>
        <v>0</v>
      </c>
      <c r="AI12" s="143">
        <f t="shared" si="3"/>
        <v>0</v>
      </c>
      <c r="AJ12" s="143">
        <f t="shared" si="4"/>
        <v>0</v>
      </c>
      <c r="AK12" s="143">
        <f t="shared" si="10"/>
        <v>0</v>
      </c>
      <c r="AN12" s="143"/>
      <c r="AO12" s="150">
        <f t="shared" si="11"/>
        <v>0</v>
      </c>
      <c r="AP12" s="151" t="s">
        <v>164</v>
      </c>
      <c r="AQ12" s="144">
        <f>IF(IF(AND($B$29&gt;=DATE($G$3,10,1),$B$29&lt;DATE($G$3,11,1)),$B$28,0)=0,AQ11-AR12,IF(AND($B$29&gt;=DATE($G$3,10,1),$B$29&lt;DATE($G$3,11,1)),$B$28,0))</f>
        <v>0</v>
      </c>
      <c r="AR12" s="143">
        <f t="shared" si="5"/>
        <v>0</v>
      </c>
      <c r="AS12" s="143">
        <f t="shared" si="6"/>
        <v>0</v>
      </c>
      <c r="AT12" s="143">
        <f t="shared" si="12"/>
        <v>0</v>
      </c>
    </row>
    <row r="13" spans="1:46" ht="13.5" thickBot="1">
      <c r="A13" s="1299" t="s">
        <v>173</v>
      </c>
      <c r="B13" s="2710">
        <v>0.01</v>
      </c>
      <c r="C13" s="1732"/>
      <c r="D13" s="1294"/>
      <c r="E13" s="1304" t="s">
        <v>14</v>
      </c>
      <c r="T13" s="143"/>
      <c r="U13" s="143"/>
      <c r="V13" s="143"/>
      <c r="W13" s="150">
        <f t="shared" si="7"/>
        <v>0</v>
      </c>
      <c r="X13" s="151" t="s">
        <v>165</v>
      </c>
      <c r="Y13" s="144">
        <f>IF(IF(AND($B$7&gt;=DATE($G$3,11,1),$B$7&lt;DATE($G$3,12,1)),$B$6,0)=0,Y12-Z13,IF(AND($B$7&gt;=DATE($G$3,11,1),$B$7&lt;DATE($G$3,12,1)),$B$6,0))</f>
        <v>0</v>
      </c>
      <c r="Z13" s="143">
        <f t="shared" si="1"/>
        <v>0</v>
      </c>
      <c r="AA13" s="143">
        <f t="shared" si="2"/>
        <v>0</v>
      </c>
      <c r="AB13" s="143">
        <f t="shared" si="8"/>
        <v>0</v>
      </c>
      <c r="AC13" s="143"/>
      <c r="AD13" s="143"/>
      <c r="AE13" s="143"/>
      <c r="AF13" s="150">
        <f t="shared" si="9"/>
        <v>0</v>
      </c>
      <c r="AG13" s="151" t="s">
        <v>165</v>
      </c>
      <c r="AH13" s="144">
        <f>IF(IF(AND($B$18&gt;=DATE($G$3,11,1),$B$18&lt;DATE($G$3,12,1)),$B$17,0)=0,AH12-AI13,IF(AND($B$18&gt;=DATE($G$3,11,1),$B$18&lt;DATE($G$3,12,1)),$B$17,0))</f>
        <v>0</v>
      </c>
      <c r="AI13" s="143">
        <f t="shared" si="3"/>
        <v>0</v>
      </c>
      <c r="AJ13" s="143">
        <f t="shared" si="4"/>
        <v>0</v>
      </c>
      <c r="AK13" s="143">
        <f t="shared" si="10"/>
        <v>0</v>
      </c>
      <c r="AN13" s="143"/>
      <c r="AO13" s="150">
        <f t="shared" si="11"/>
        <v>0</v>
      </c>
      <c r="AP13" s="151" t="s">
        <v>165</v>
      </c>
      <c r="AQ13" s="144">
        <f>IF(IF(AND($B$29&gt;=DATE($G$3,11,1),$B$29&lt;DATE($G$3,12,1)),$B$28,0)=0,AQ12-AR13,IF(AND($B$29&gt;=DATE($G$3,11,1),$B$29&lt;DATE($G$3,12,1)),$B$28,0))</f>
        <v>0</v>
      </c>
      <c r="AR13" s="143">
        <f t="shared" si="5"/>
        <v>0</v>
      </c>
      <c r="AS13" s="143">
        <f t="shared" si="6"/>
        <v>0</v>
      </c>
      <c r="AT13" s="143">
        <f t="shared" si="12"/>
        <v>0</v>
      </c>
    </row>
    <row r="14" spans="1:46" ht="13.5" thickBot="1">
      <c r="A14" s="2711" t="s">
        <v>4</v>
      </c>
      <c r="B14" s="2712">
        <v>0</v>
      </c>
      <c r="D14" s="1294"/>
      <c r="E14" s="1539" t="s">
        <v>8</v>
      </c>
      <c r="F14" s="1502"/>
      <c r="G14" s="1710">
        <f>IF($B$3&gt;=G2,IF((AND($B$8=G3))=TRUE,$B$6,0))</f>
        <v>0</v>
      </c>
      <c r="H14" s="1710">
        <f t="shared" ref="H14:Q14" si="14">IF($B$3&gt;=H2,IF((AND($B$8=H3))=TRUE,$B$6,IF((AND(H3&gt;$B$8))=TRUE,G17,0)),0)</f>
        <v>0</v>
      </c>
      <c r="I14" s="1710">
        <f t="shared" si="14"/>
        <v>0</v>
      </c>
      <c r="J14" s="1710">
        <f t="shared" si="14"/>
        <v>0</v>
      </c>
      <c r="K14" s="1710">
        <f t="shared" si="14"/>
        <v>4900000</v>
      </c>
      <c r="L14" s="1710">
        <f t="shared" si="14"/>
        <v>4900000</v>
      </c>
      <c r="M14" s="1710">
        <f t="shared" si="14"/>
        <v>4900000</v>
      </c>
      <c r="N14" s="1710">
        <f t="shared" si="14"/>
        <v>4900000</v>
      </c>
      <c r="O14" s="1710">
        <f t="shared" si="14"/>
        <v>4900000</v>
      </c>
      <c r="P14" s="1710">
        <f t="shared" si="14"/>
        <v>0</v>
      </c>
      <c r="Q14" s="1711">
        <f t="shared" si="14"/>
        <v>0</v>
      </c>
      <c r="T14" s="143"/>
      <c r="U14" s="143"/>
      <c r="V14" s="143"/>
      <c r="W14" s="150">
        <f t="shared" si="7"/>
        <v>0</v>
      </c>
      <c r="X14" s="151" t="s">
        <v>166</v>
      </c>
      <c r="Y14" s="144">
        <f>IF(IF(AND($B$7&gt;=DATE($G$3,12,1),$B$7&lt;DATE($H$3,1,1)),$B$6,0)=0,Y13-Z14,IF(AND($B$7&gt;=DATE($G$3,12,1),$B$7&lt;DATE($H$3,1,1)),$B$6,0))</f>
        <v>0</v>
      </c>
      <c r="Z14" s="143">
        <f t="shared" si="1"/>
        <v>0</v>
      </c>
      <c r="AA14" s="143">
        <f t="shared" si="2"/>
        <v>0</v>
      </c>
      <c r="AB14" s="143">
        <f t="shared" si="8"/>
        <v>0</v>
      </c>
      <c r="AC14" s="143"/>
      <c r="AD14" s="143"/>
      <c r="AE14" s="143"/>
      <c r="AF14" s="150">
        <f t="shared" si="9"/>
        <v>0</v>
      </c>
      <c r="AG14" s="151" t="s">
        <v>166</v>
      </c>
      <c r="AH14" s="144">
        <f>IF(IF(AND($B$18&gt;=DATE($G$3,12,1),$B$18&lt;DATE($H$3,1,1)),$B$17,0)=0,AH13-AI14,IF(AND($B$18&gt;=DATE($G$3,12,1),$B$18&lt;DATE($H$3,1,1)),$B$17,0))</f>
        <v>0</v>
      </c>
      <c r="AI14" s="143">
        <f t="shared" si="3"/>
        <v>0</v>
      </c>
      <c r="AJ14" s="143">
        <f t="shared" si="4"/>
        <v>0</v>
      </c>
      <c r="AK14" s="143">
        <f t="shared" si="10"/>
        <v>0</v>
      </c>
      <c r="AN14" s="143"/>
      <c r="AO14" s="150">
        <f t="shared" si="11"/>
        <v>0</v>
      </c>
      <c r="AP14" s="151" t="s">
        <v>166</v>
      </c>
      <c r="AQ14" s="144">
        <f>IF(IF(AND($B$29&gt;=DATE($G$3,12,1),$B$29&lt;DATE($H$3,1,1)),$B$28,0)=0,AQ13-AR14,IF(AND($B$29&gt;=DATE($G$3,12,1),$B$29&lt;DATE($H$3,1,1)),$B$28,0))</f>
        <v>0</v>
      </c>
      <c r="AR14" s="143">
        <f t="shared" si="5"/>
        <v>0</v>
      </c>
      <c r="AS14" s="143">
        <f t="shared" si="6"/>
        <v>0</v>
      </c>
      <c r="AT14" s="143">
        <f t="shared" si="12"/>
        <v>0</v>
      </c>
    </row>
    <row r="15" spans="1:46" ht="13.5" thickBot="1">
      <c r="C15" s="160"/>
      <c r="D15" s="1294"/>
      <c r="E15" s="1299" t="s">
        <v>7</v>
      </c>
      <c r="F15" s="1541"/>
      <c r="G15" s="1541">
        <f>-IF($B$3&gt;=G2,IF($B$5="Linear",IF((AND(G3&gt;$B$8,$B$9&gt;=DATE(G3,12,31)))=TRUE,($B$6)*$B$14,IF((AND(G3&gt;$B$8,$B$9&lt;=DATE(G3,12,31),$B$9&gt;DATE(G3,1,1)))=TRUE,(($B$9-DATE(G3,1,1)+1)/365)*($B$6)*$B$14,IF(AND(G3=$B$8,$B$9&gt;DATE(G3,12,31))=TRUE,((DATE(G3,12,31)-$B$7+1)/365)*$B$14*($B$6),0))),IF(B5="Annuity",SUM(Z4:Z15),IF($B$3&gt;=G2,-IF(B5="Composite",IF(AND(G2&lt;=B11,B3&gt;=G2)=TRUE,(G14)*B13,IF(AND((G2-$B$11)&gt;0,($B$11-G2)&lt;1)=TRUE,(G2-$B$11)*$B$13*G14,0)),0),0))),0)</f>
        <v>0</v>
      </c>
      <c r="H15" s="1541">
        <f>-IF($B$3&gt;=H2,IF($B$5="Linear",IF((AND(H3&gt;$B$8,$B$9&gt;=DATE(H3,12,31)))=TRUE,($B$6)*$B$14,IF((AND(H3&gt;$B$8,$B$9&lt;=DATE(H3,12,31),$B$9&gt;DATE(H3,1,1)))=TRUE,(($B$9-DATE(H3,1,1)+1)/365)*($B$6)*$B$14,IF(AND(H3=$B$8,$B$9&gt;DATE(H3,12,31))=TRUE,((DATE(H3,12,31)-$B$7+1)/365)*$B$14*($B$6),0))),+IF(B5="Annuity",SUM(Z16:Z27),-IF($B$3&gt;=H2,IF(B5="Composite",IF(AND(H2&lt;=B11,B3&gt;=H2)=TRUE,(H14)*B13,IF(AND((H2-$B$11)&gt;0,($B$11-H2)&lt;1)=TRUE,(H2-$B$11)*$B$13*H14,0)),0),0))),0)</f>
        <v>0</v>
      </c>
      <c r="I15" s="1541">
        <f>-IF($B$3&gt;=I2,IF($B$5="Linear",IF((AND(I3&gt;$B$8,$B$9&gt;=DATE(I3,12,31)))=TRUE,($B$6)*$B$14,IF((AND(I3&gt;$B$8,$B$9&lt;=DATE(I3,12,31),$B$9&gt;DATE(I3,1,1)))=TRUE,(($B$9-DATE(I3,1,1)+1)/365)*($B$6)*$B$14,IF(AND(I3=$B$8,$B$9&gt;DATE(I3,12,31))=TRUE,((DATE(I3,12,31)-$B$7+1)/365)*$B$14*($B$6),0))),+IF(B5="Annuity",SUM(Z28:Z39),-IF($B$3&gt;=I2,IF(B5="Composite",IF(AND(I2&lt;=B11,B3&gt;=I2)=TRUE,(I14)*B13,IF(AND((I2-$B$11)&gt;0,($B$11-I2)&lt;1)=TRUE,(I2-$B$11)*$B$13*I14,0)),0),0))),0)</f>
        <v>0</v>
      </c>
      <c r="J15" s="1541">
        <f>-IF($B$3&gt;=J2,IF($B$5="Linear",IF((AND(J3&gt;$B$8,$B$9&gt;=DATE(J3,12,31)))=TRUE,($B$6)*$B$14,IF((AND(J3&gt;$B$8,$B$9&lt;=DATE(J3,12,31),$B$9&gt;DATE(J3,1,1)))=TRUE,(($B$9-DATE(J3,1,1)+1)/365)*($B$6)*$B$14,IF(AND(J3=$B$8,$B$9&gt;DATE(J3,12,31))=TRUE,((DATE(J3,12,31)-$B$7+1)/365)*$B$14*($B$6),0))),+IF(B5="Annuity",SUM(Z40:Z51),IF($B$3&gt;=J2,-IF($B$5="Composite",IF(AND(J2&lt;=$B$11,$B$3&gt;=J2)=TRUE,(J14)*$B$13,IF(AND((J2-$B$11)&gt;0,($B$11-J2)&lt;1)=TRUE,(J2-$B$11)*$B$13*J14,0)),0),0))),0)</f>
        <v>0</v>
      </c>
      <c r="K15" s="1541">
        <f>-IF($B$3&gt;=K2,IF($B$5="Linear",IF((AND(K3&gt;$B$8,$B$9&gt;=DATE(K3,12,31)))=TRUE,($B$6)*$B$14,IF((AND(K3&gt;$B$8,$B$9&lt;=DATE(K3,12,31),$B$9&gt;DATE(K3,1,1)))=TRUE,(($B$9-DATE(K3,1,1)+1)/365)*($B$6)*$B$14,IF(AND(K3=$B$8,$B$9&gt;DATE(K3,12,31))=TRUE,((DATE(K3,12,31)-$B$7+1)/365)*$B$14*($B$6),0))),+IF(B5="Annuity",SUM(Z52:Z60),-IF($B$3&gt;=K2,IF($B$5="Composite",IF(AND(K2&lt;=$B$11,$B$3&gt;=K2)=TRUE,(K14)*$B$13,IF(AND((K2-$B$11)&gt;0,($B$11-K2)&lt;1)=TRUE,(K2-$B$11)*$B$13*K14,0)),0),0))),0)</f>
        <v>0</v>
      </c>
      <c r="L15" s="1541">
        <f>-IF($B$3&gt;=L2,IF($B$5="Linear",IF((AND(L3&gt;$B$8,$B$9&gt;=DATE(L3,12,31)))=TRUE,($B$6)*$B$14,IF((AND(L3&gt;$B$8,$B$9&lt;=DATE(L3,12,31),$B$9&gt;DATE(L3,1,1)))=TRUE,(($B$9-DATE(L3,1,1)+1)/365)*($B$6)*$B$14,IF(AND(L3=$B$8,$B$9&gt;DATE(L3,12,31))=TRUE,((DATE(L3,12,31)-$B$7+1)/365)*$B$14*($B$6),0))),+IF(B5="Annuity",SUM(#REF!),-IF($B$3&gt;=L2,IF($B$5="Composite",IF(AND(L2&lt;=$B$11,$B$3&gt;=L2)=TRUE,(L14)*$B$13,IF(AND((L2-$B$11)&gt;0,($B$11-L2)&lt;1)=TRUE,(L2-$B$11)*$B$13*L14,0)),0),0))),0)</f>
        <v>0</v>
      </c>
      <c r="M15" s="1541">
        <f>-IF($B$3&gt;=M2,IF($B$5="Linear",IF((AND(M3&gt;$B$8,$B$9&gt;=DATE(M3,12,31)))=TRUE,($B$6)*$B$14,IF((AND(M3&gt;$B$8,$B$9&lt;=DATE(M3,12,31),$B$9&gt;DATE(M3,1,1)))=TRUE,(($B$9-DATE(M3,1,1)+1)/365)*($B$6)*$B$14,IF(AND(M3=$B$8,$B$9&gt;DATE(M3,12,31))=TRUE,((DATE(M3,12,31)-$B$7+1)/365)*$B$14*($B$6),0))),+IF(B5="Annuity",SUM(#REF!),IF($B$3&gt;=M2,-IF($B$5="Composite",IF(AND(M2&lt;=$B$11,$B$3&gt;=M2)=TRUE,(M14)*$B$13,IF(AND((M2-$B$11)&gt;0,($B$11-M2)&lt;1)=TRUE,(M2-$B$11)*$B$13*M14,0)),0),0))),0)</f>
        <v>0</v>
      </c>
      <c r="N15" s="1541">
        <f>-IF($B$3&gt;=N2,IF($B$5="Linear",IF((AND(N3&gt;$B$8,$B$9&gt;=DATE(N3,12,31)))=TRUE,($B$6)*$B$14,IF((AND(N3&gt;$B$8,$B$9&lt;=DATE(N3,12,31),$B$9&gt;DATE(N3,1,1)))=TRUE,(($B$9-DATE(N3,1,1)+1)/365)*($B$6)*$B$14,IF(AND(N3=$B$8,$B$9&gt;DATE(N3,12,31))=TRUE,((DATE(N3,12,31)-$B$7+1)/365)*$B$14*($B$6),0))),+IF($B$5="Annuity",SUM(#REF!),IF($B$3&gt;=N2,-IF($B$5="Composite",IF(AND(N2&lt;=$B$11,$B$3&gt;=N2)=TRUE,(N14)*$B$13,IF(AND((N2-$B$11)&gt;0,($B$11-N2)&lt;1)=TRUE,(N2-$B$11)*$B$13*N14,0)),0),0))),0)</f>
        <v>0</v>
      </c>
      <c r="O15" s="1541">
        <f>-IF($B$3&gt;=O2,IF($B$5="Linear",IF((AND(O3&gt;$B$8,$B$9&gt;=DATE(O3,12,31)))=TRUE,($B$6)*$B$14,IF((AND(O3&gt;$B$8,$B$9&lt;=DATE(O3,12,31),$B$9&gt;DATE(O3,1,1)))=TRUE,(($B$9-DATE(O3,1,1)+1)/365)*($B$6)*$B$14,IF(AND(O3=$B$8,$B$9&gt;DATE(O3,12,31))=TRUE,((DATE(O3,12,31)-$B$7+1)/365)*$B$14*($B$6),0))),+IF(B5="Annuity",SUM(#REF!),-IF($B$3&gt;=O2,IF($B$5="Composite",IF(AND(O2&lt;=$B$11,$B$3&gt;=O2)=TRUE,(O14)*$B$13,IF(AND((O2-$B$11)&gt;0,($B$11-O2)&lt;1)=TRUE,(O2-$B$11)*$B$13*O14,0)),0),0))),0)</f>
        <v>0</v>
      </c>
      <c r="P15" s="1541">
        <f>-IF($B$3&gt;=P2,IF($B$5="Linear",IF((AND(P3&gt;$B$8,$B$9&gt;=DATE(P3,12,31)))=TRUE,($B$6)*$B$14,IF((AND(P3&gt;$B$8,$B$9&lt;=DATE(P3,12,31),$B$9&gt;DATE(P3,1,1)))=TRUE,(($B$9-DATE(P3,1,1)+1)/365)*($B$6)*$B$14,IF(AND(P3=$B$8,$B$9&gt;DATE(P3,12,31))=TRUE,((DATE(P3,12,31)-$B$7+1)/365)*$B$14*($B$6),0))),+IF(B5="Annuity",SUM(#REF!),-IF($B$3&gt;=P2,IF($B$5="Composite",IF(AND(P2&lt;=$B$11,$B$3&gt;=P2)=TRUE,(P14)*$B$13,IF(AND((P2-$B$11)&gt;0,($B$11-P2)&lt;1)=TRUE,(P2-$B$11)*$B$13*P14,0)),0),0))),0)</f>
        <v>0</v>
      </c>
      <c r="Q15" s="1530">
        <f>-IF($B$3&gt;=Q2,IF($B$5="Linear",IF((AND(Q3&gt;$B$8,$B$9&gt;=DATE(Q3,12,31)))=TRUE,($B$6)*$B$14,IF((AND(Q3&gt;$B$8,$B$9&lt;=DATE(Q3,12,31),$B$9&gt;DATE(Q3,1,1)))=TRUE,(($B$9-DATE(Q3,1,1)+1)/365)*($B$6)*$B$14,IF(AND(Q3=$B$8,$B$9&gt;DATE(Q3,12,31))=TRUE,((DATE(Q3,12,31)-$B$7+1)/365)*$B$14*($B$6),0))),+IF(B5="Annuity",SUM(#REF!),IF($B$3&gt;=Q2,IF($B$5="Composite",IF(AND(Q2&lt;=$B$11,$B$3&gt;=Q2)=TRUE,(Q14)*$B$13,IF(AND((Q2-$B$11)&gt;0,($B$11-Q2)&lt;1)=TRUE,(Q2-$B$11)*$B$13*Q14,0)),0),0))),0)</f>
        <v>0</v>
      </c>
      <c r="T15" s="1582">
        <f>G3</f>
        <v>2023</v>
      </c>
      <c r="U15" s="143" t="s">
        <v>167</v>
      </c>
      <c r="V15" s="159">
        <v>1</v>
      </c>
      <c r="W15" s="150">
        <f t="shared" si="7"/>
        <v>0</v>
      </c>
      <c r="X15" s="151" t="s">
        <v>168</v>
      </c>
      <c r="Y15" s="144">
        <f>IF(IF(AND($B$7&gt;=DATE($H$3,1,1),$B$7&lt;DATE($H$3,2,1)),$B$6,0)=0,Y14-Z15,IF(AND($B$7&gt;=DATE($H$3,1,1),$B$7&lt;DATE($H$3,2,1)),$B$6,0))</f>
        <v>0</v>
      </c>
      <c r="Z15" s="143">
        <f t="shared" si="1"/>
        <v>0</v>
      </c>
      <c r="AA15" s="143">
        <f t="shared" si="2"/>
        <v>0</v>
      </c>
      <c r="AB15" s="143">
        <f t="shared" si="8"/>
        <v>0</v>
      </c>
      <c r="AC15" s="143"/>
      <c r="AE15" s="159">
        <v>1</v>
      </c>
      <c r="AF15" s="150">
        <f t="shared" si="9"/>
        <v>0</v>
      </c>
      <c r="AG15" s="151" t="s">
        <v>168</v>
      </c>
      <c r="AH15" s="144">
        <f>IF(IF(AND($B$18&gt;=DATE($H$3,1,1),$B$18&lt;DATE($H$3,2,1)),$B$17,0)=0,AH14-AI15,IF(AND($B$18&gt;=DATE($H$3,1,1),$B$18&lt;DATE($H$3,2,1)),$B$17,0))</f>
        <v>0</v>
      </c>
      <c r="AI15" s="143">
        <f t="shared" si="3"/>
        <v>0</v>
      </c>
      <c r="AJ15" s="143">
        <f t="shared" si="4"/>
        <v>0</v>
      </c>
      <c r="AK15" s="143">
        <f t="shared" si="10"/>
        <v>0</v>
      </c>
      <c r="AN15" s="159">
        <v>1</v>
      </c>
      <c r="AO15" s="150">
        <f t="shared" si="11"/>
        <v>0</v>
      </c>
      <c r="AP15" s="151" t="s">
        <v>168</v>
      </c>
      <c r="AQ15" s="144">
        <f>IF(IF(AND($B$29&gt;=DATE($H$3,1,1),$B$29&lt;DATE($H$3,2,1)),$B$28,0)=0,AQ14-AR15,IF(AND($B$29&gt;=DATE($H$3,1,1),$B$29&lt;DATE($H$3,2,1)),$B$28,0))</f>
        <v>0</v>
      </c>
      <c r="AR15" s="143">
        <f t="shared" si="5"/>
        <v>0</v>
      </c>
      <c r="AS15" s="143">
        <f t="shared" si="6"/>
        <v>0</v>
      </c>
      <c r="AT15" s="143">
        <f t="shared" si="12"/>
        <v>0</v>
      </c>
    </row>
    <row r="16" spans="1:46">
      <c r="A16" s="1539" t="s">
        <v>180</v>
      </c>
      <c r="B16" s="2702" t="s">
        <v>172</v>
      </c>
      <c r="C16" s="160"/>
      <c r="D16" s="1294"/>
      <c r="E16" s="1299" t="s">
        <v>16</v>
      </c>
      <c r="F16" s="1541"/>
      <c r="G16" s="1541">
        <f t="shared" ref="G16:Q16" si="15">IF($B$3&gt;=G2,IF(AND($B$9&gt;DATE(G3,1,1),$B$9&lt;=DATE(G3,12,31))=TRUE,-G14-G15,IF($B$3=G2,-G14-G15,0)),0)</f>
        <v>0</v>
      </c>
      <c r="H16" s="1541">
        <f t="shared" si="15"/>
        <v>0</v>
      </c>
      <c r="I16" s="1541">
        <f t="shared" si="15"/>
        <v>0</v>
      </c>
      <c r="J16" s="1541">
        <f t="shared" si="15"/>
        <v>0</v>
      </c>
      <c r="K16" s="1541">
        <f t="shared" si="15"/>
        <v>0</v>
      </c>
      <c r="L16" s="1541">
        <f t="shared" si="15"/>
        <v>0</v>
      </c>
      <c r="M16" s="1541">
        <f t="shared" si="15"/>
        <v>0</v>
      </c>
      <c r="N16" s="1541">
        <f t="shared" si="15"/>
        <v>0</v>
      </c>
      <c r="O16" s="1541">
        <f t="shared" si="15"/>
        <v>-4900000</v>
      </c>
      <c r="P16" s="1541">
        <f t="shared" si="15"/>
        <v>0</v>
      </c>
      <c r="Q16" s="1530">
        <f t="shared" si="15"/>
        <v>0</v>
      </c>
      <c r="T16" s="1582"/>
      <c r="U16" s="143"/>
      <c r="V16" s="159"/>
      <c r="W16" s="150">
        <f t="shared" si="7"/>
        <v>0</v>
      </c>
      <c r="X16" s="151" t="s">
        <v>170</v>
      </c>
      <c r="Y16" s="144">
        <f>IF(IF(AND($B$7&gt;=DATE($H$3,2,1),$B$7&lt;DATE($H$3,3,1)),$B$6,0)=0,Y15-Z16,IF(AND($B$7&gt;=DATE($H$3,2,1),$B$7&lt;DATE($H$3,3,1)),$B$6,0))</f>
        <v>0</v>
      </c>
      <c r="Z16" s="143">
        <f t="shared" si="1"/>
        <v>0</v>
      </c>
      <c r="AA16" s="143">
        <f t="shared" si="2"/>
        <v>0</v>
      </c>
      <c r="AB16" s="143">
        <f t="shared" si="8"/>
        <v>0</v>
      </c>
      <c r="AC16" s="143"/>
      <c r="AE16" s="159"/>
      <c r="AF16" s="150">
        <f t="shared" si="9"/>
        <v>0</v>
      </c>
      <c r="AG16" s="151" t="s">
        <v>170</v>
      </c>
      <c r="AH16" s="144">
        <f>IF(IF(AND($B$18&gt;=DATE($H$3,2,1),$B$18&lt;DATE($H$3,3,1)),$B$17,0)=0,AH15-AI16,IF(AND($B$18&gt;=DATE($H$3,2,1),$B$18&lt;DATE($H$3,3,1)),$B$17,0))</f>
        <v>0</v>
      </c>
      <c r="AI16" s="143">
        <f t="shared" si="3"/>
        <v>0</v>
      </c>
      <c r="AJ16" s="143">
        <f t="shared" si="4"/>
        <v>0</v>
      </c>
      <c r="AK16" s="143">
        <f t="shared" si="10"/>
        <v>0</v>
      </c>
      <c r="AN16" s="159"/>
      <c r="AO16" s="150">
        <f t="shared" si="11"/>
        <v>0</v>
      </c>
      <c r="AP16" s="151" t="s">
        <v>170</v>
      </c>
      <c r="AQ16" s="144">
        <f>IF(IF(AND($B$29&gt;=DATE($H$3,2,1),$B$29&lt;DATE($H$3,3,1)),$B$28,0)=0,AQ15-AR16,IF(AND($B$29&gt;=DATE($H$3,2,1),$B$29&lt;DATE($H$3,3,1)),$B$28,0))</f>
        <v>0</v>
      </c>
      <c r="AR16" s="143">
        <f t="shared" si="5"/>
        <v>0</v>
      </c>
      <c r="AS16" s="143">
        <f t="shared" si="6"/>
        <v>0</v>
      </c>
      <c r="AT16" s="143">
        <f t="shared" si="12"/>
        <v>0</v>
      </c>
    </row>
    <row r="17" spans="1:46">
      <c r="A17" s="1299" t="s">
        <v>8</v>
      </c>
      <c r="B17" s="1518">
        <v>0</v>
      </c>
      <c r="C17" s="161"/>
      <c r="D17" s="1720"/>
      <c r="E17" s="1299" t="s">
        <v>6</v>
      </c>
      <c r="G17" s="1541">
        <f t="shared" ref="G17:Q17" si="16">IF($B$3&gt;=G2,G14+G15+G16,0)</f>
        <v>0</v>
      </c>
      <c r="H17" s="1541">
        <f t="shared" si="16"/>
        <v>0</v>
      </c>
      <c r="I17" s="1541">
        <f t="shared" si="16"/>
        <v>0</v>
      </c>
      <c r="J17" s="1541">
        <f t="shared" si="16"/>
        <v>0</v>
      </c>
      <c r="K17" s="1541">
        <f t="shared" si="16"/>
        <v>4900000</v>
      </c>
      <c r="L17" s="1541">
        <f t="shared" si="16"/>
        <v>4900000</v>
      </c>
      <c r="M17" s="1541">
        <f t="shared" si="16"/>
        <v>4900000</v>
      </c>
      <c r="N17" s="1541">
        <f t="shared" si="16"/>
        <v>4900000</v>
      </c>
      <c r="O17" s="1541">
        <f t="shared" si="16"/>
        <v>0</v>
      </c>
      <c r="P17" s="1541">
        <f t="shared" si="16"/>
        <v>0</v>
      </c>
      <c r="Q17" s="1530">
        <f t="shared" si="16"/>
        <v>0</v>
      </c>
      <c r="R17" s="1294"/>
      <c r="T17" s="1582"/>
      <c r="U17" s="143"/>
      <c r="V17" s="143"/>
      <c r="W17" s="150">
        <f t="shared" si="7"/>
        <v>0</v>
      </c>
      <c r="X17" s="151" t="s">
        <v>171</v>
      </c>
      <c r="Y17" s="144">
        <f>IF(IF(AND($B$7&gt;=DATE($H$3,3,1),$B$7&lt;DATE($H$3,4,1)),$B$6,0)=0,Y16-Z17,IF(AND($B$7&gt;=DATE($H$3,3,1),$B$7&lt;DATE($H$3,4,1)),$B$6,0))</f>
        <v>0</v>
      </c>
      <c r="Z17" s="143">
        <f t="shared" si="1"/>
        <v>0</v>
      </c>
      <c r="AA17" s="143">
        <f t="shared" si="2"/>
        <v>0</v>
      </c>
      <c r="AB17" s="143">
        <f t="shared" si="8"/>
        <v>0</v>
      </c>
      <c r="AC17" s="143"/>
      <c r="AE17" s="143"/>
      <c r="AF17" s="150">
        <f t="shared" si="9"/>
        <v>0</v>
      </c>
      <c r="AG17" s="151" t="s">
        <v>171</v>
      </c>
      <c r="AH17" s="144">
        <f>IF(IF(AND($B$18&gt;=DATE($H$3,3,1),$B$18&lt;DATE($H$3,4,1)),$B$17,0)=0,AH16-AI17,IF(AND($B$18&gt;=DATE($H$3,3,1),$B$18&lt;DATE($H$3,4,1)),$B$17,0))</f>
        <v>0</v>
      </c>
      <c r="AI17" s="143">
        <f t="shared" si="3"/>
        <v>0</v>
      </c>
      <c r="AJ17" s="143">
        <f t="shared" si="4"/>
        <v>0</v>
      </c>
      <c r="AK17" s="143">
        <f t="shared" si="10"/>
        <v>0</v>
      </c>
      <c r="AN17" s="143"/>
      <c r="AO17" s="150">
        <f t="shared" si="11"/>
        <v>0</v>
      </c>
      <c r="AP17" s="151" t="s">
        <v>171</v>
      </c>
      <c r="AQ17" s="144">
        <f>IF(IF(AND($B$29&gt;=DATE($H$3,3,1),$B$29&lt;DATE($H$3,4,1)),$B$28,0)=0,AQ16-AR17,IF(AND($B$29&gt;=DATE($H$3,3,1),$B$29&lt;DATE($H$3,4,1)),$B$28,0))</f>
        <v>0</v>
      </c>
      <c r="AR17" s="143">
        <f t="shared" si="5"/>
        <v>0</v>
      </c>
      <c r="AS17" s="143">
        <f t="shared" si="6"/>
        <v>0</v>
      </c>
      <c r="AT17" s="143">
        <f t="shared" si="12"/>
        <v>0</v>
      </c>
    </row>
    <row r="18" spans="1:46" ht="13.5" thickBot="1">
      <c r="A18" s="1299" t="s">
        <v>15</v>
      </c>
      <c r="B18" s="1731">
        <f>DATE(H3,1,1)</f>
        <v>45292</v>
      </c>
      <c r="C18" s="1541"/>
      <c r="D18" s="1720"/>
      <c r="E18" s="2713"/>
      <c r="F18" s="2714"/>
      <c r="G18" s="1532"/>
      <c r="H18" s="1532"/>
      <c r="I18" s="1532"/>
      <c r="J18" s="1532"/>
      <c r="K18" s="1532"/>
      <c r="L18" s="1532"/>
      <c r="M18" s="1532"/>
      <c r="N18" s="1532"/>
      <c r="O18" s="1532"/>
      <c r="P18" s="1532"/>
      <c r="Q18" s="1533"/>
      <c r="T18" s="1582"/>
      <c r="U18" s="143"/>
      <c r="V18" s="143"/>
      <c r="W18" s="150">
        <f t="shared" si="7"/>
        <v>0</v>
      </c>
      <c r="X18" s="151" t="s">
        <v>156</v>
      </c>
      <c r="Y18" s="144">
        <f>IF(IF(AND($B$7&gt;=DATE($H$3,4,1),$B$7&lt;DATE($H$3,5,1)),$B$6,0)=0,Y17-Z18,IF(AND($B$7&gt;=DATE($H$3,4,1),$B$7&lt;DATE($H$3,5,1)),$B$6,0))</f>
        <v>0</v>
      </c>
      <c r="Z18" s="143">
        <f t="shared" si="1"/>
        <v>0</v>
      </c>
      <c r="AA18" s="143">
        <f t="shared" si="2"/>
        <v>0</v>
      </c>
      <c r="AB18" s="143">
        <f t="shared" si="8"/>
        <v>0</v>
      </c>
      <c r="AC18" s="143"/>
      <c r="AE18" s="143"/>
      <c r="AF18" s="150">
        <f t="shared" si="9"/>
        <v>0</v>
      </c>
      <c r="AG18" s="151" t="s">
        <v>156</v>
      </c>
      <c r="AH18" s="144">
        <f>IF(IF(AND($B$18&gt;=DATE($H$3,4,1),$B$18&lt;DATE($H$3,5,1)),$B$17,0)=0,AH17-AI18,IF(AND($B$18&gt;=DATE($H$3,4,1),$B$18&lt;DATE($H$3,5,1)),$B$17,0))</f>
        <v>0</v>
      </c>
      <c r="AI18" s="143">
        <f t="shared" si="3"/>
        <v>0</v>
      </c>
      <c r="AJ18" s="143">
        <f t="shared" si="4"/>
        <v>0</v>
      </c>
      <c r="AK18" s="143">
        <f t="shared" si="10"/>
        <v>0</v>
      </c>
      <c r="AN18" s="143"/>
      <c r="AO18" s="150">
        <f t="shared" si="11"/>
        <v>0</v>
      </c>
      <c r="AP18" s="151" t="s">
        <v>156</v>
      </c>
      <c r="AQ18" s="144">
        <f>IF(IF(AND($B$29&gt;=DATE($H$3,4,1),$B$29&lt;DATE($H$3,5,1)),$B$28,0)=0,AQ17-AR18,IF(AND($B$29&gt;=DATE($H$3,4,1),$B$29&lt;DATE($H$3,5,1)),$B$28,0))</f>
        <v>0</v>
      </c>
      <c r="AR18" s="143">
        <f t="shared" si="5"/>
        <v>0</v>
      </c>
      <c r="AS18" s="143">
        <f t="shared" si="6"/>
        <v>0</v>
      </c>
      <c r="AT18" s="143">
        <f t="shared" si="12"/>
        <v>0</v>
      </c>
    </row>
    <row r="19" spans="1:46" ht="14.25" thickTop="1" thickBot="1">
      <c r="A19" s="1299" t="s">
        <v>24</v>
      </c>
      <c r="B19" s="1305">
        <f>YEAR(B18)</f>
        <v>2024</v>
      </c>
      <c r="D19" s="1294"/>
      <c r="E19" s="2715" t="s">
        <v>9</v>
      </c>
      <c r="F19" s="2716"/>
      <c r="G19" s="2717">
        <f>IF($B$3&gt;=G2,IF(AND($B$9&gt;DATE(2015,1,1))=TRUE,$B$14,0),0)</f>
        <v>0</v>
      </c>
      <c r="H19" s="2717">
        <f>IF($B$3&gt;=H2,IF(AND($B$9&gt;DATE(2016,1,1))=TRUE,$B$14,0),0)</f>
        <v>0</v>
      </c>
      <c r="I19" s="2717">
        <f>IF($B$3&gt;=I2,IF(AND($B$9&gt;DATE(2017,1,1))=TRUE,$B$14,0),0)</f>
        <v>0</v>
      </c>
      <c r="J19" s="2717">
        <f>IF($B$3&gt;=J2,IF(AND($B$9&gt;DATE(2018,1,1))=TRUE,$B$14,0),0)</f>
        <v>0</v>
      </c>
      <c r="K19" s="2717">
        <f>IF($B$3&gt;=K2,IF(AND($B$9&gt;DATE(2019,1,1))=TRUE,$B$14,0),0)</f>
        <v>0</v>
      </c>
      <c r="L19" s="2717">
        <f>IF($B$3&gt;=L2,IF(AND($B$9&gt;DATE(2020,1,1))=TRUE,$B$14,0),0)</f>
        <v>0</v>
      </c>
      <c r="M19" s="2717">
        <f>IF($B$3&gt;=M2,IF(AND($B$9&gt;DATE(2021,1,1))=TRUE,$B$14,0),0)</f>
        <v>0</v>
      </c>
      <c r="N19" s="2717">
        <f>IF($B$3&gt;=N2,IF(AND($B$9&gt;DATE(2022,1,1))=TRUE,$B$14,0),0)</f>
        <v>0</v>
      </c>
      <c r="O19" s="2717">
        <f>IF($B$3&gt;=O2,IF(AND($B$9&gt;DATE(2023,1,1))=TRUE,$B$14,0),0)</f>
        <v>0</v>
      </c>
      <c r="P19" s="2717">
        <f>IF($B$3&gt;=P2,IF(AND($B$9&gt;DATE(2024,1,1))=TRUE,$B$14,0),0)</f>
        <v>0</v>
      </c>
      <c r="Q19" s="2718">
        <f>IF($B$3&gt;=Q2,IF(AND($B$9&gt;DATE(2025,1,1))=TRUE,$B$14,0),0)</f>
        <v>0</v>
      </c>
      <c r="R19" s="2706"/>
      <c r="T19" s="1582"/>
      <c r="U19" s="143"/>
      <c r="V19" s="159"/>
      <c r="W19" s="150">
        <f t="shared" si="7"/>
        <v>0</v>
      </c>
      <c r="X19" s="151" t="s">
        <v>158</v>
      </c>
      <c r="Y19" s="144">
        <f>IF(IF(AND($B$7&gt;=DATE($H$3,5,1),$B$7&lt;DATE($H$3,6,1)),$B$6,0)=0,Y18-Z19,IF(AND($B$7&gt;=DATE($H$3,5,1),$B$7&lt;DATE($H$3,6,1)),$B$6,0))</f>
        <v>0</v>
      </c>
      <c r="Z19" s="143">
        <f t="shared" si="1"/>
        <v>0</v>
      </c>
      <c r="AA19" s="143">
        <f t="shared" si="2"/>
        <v>0</v>
      </c>
      <c r="AB19" s="143">
        <f t="shared" si="8"/>
        <v>0</v>
      </c>
      <c r="AC19" s="143"/>
      <c r="AE19" s="159"/>
      <c r="AF19" s="150">
        <f t="shared" si="9"/>
        <v>0</v>
      </c>
      <c r="AG19" s="151" t="s">
        <v>158</v>
      </c>
      <c r="AH19" s="144">
        <f>IF(IF(AND($B$18&gt;=DATE($H$3,5,1),$B$18&lt;DATE($H$3,6,1)),$B$17,0)=0,AH18-AI19,IF(AND($B$18&gt;=DATE($H$3,5,1),$B$18&lt;DATE($H$3,6,1)),$B$17,0))</f>
        <v>0</v>
      </c>
      <c r="AI19" s="143">
        <f t="shared" si="3"/>
        <v>0</v>
      </c>
      <c r="AJ19" s="143">
        <f t="shared" si="4"/>
        <v>0</v>
      </c>
      <c r="AK19" s="143">
        <f t="shared" si="10"/>
        <v>0</v>
      </c>
      <c r="AN19" s="159"/>
      <c r="AO19" s="150">
        <f t="shared" si="11"/>
        <v>0</v>
      </c>
      <c r="AP19" s="151" t="s">
        <v>158</v>
      </c>
      <c r="AQ19" s="144">
        <f>IF(IF(AND($B$29&gt;=DATE($H$3,5,1),$B$29&lt;DATE($H$3,6,1)),$B$28,0)=0,AQ18-AR19,IF(AND($B$29&gt;=DATE($H$3,5,1),$B$29&lt;DATE($H$3,6,1)),$B$28,0))</f>
        <v>0</v>
      </c>
      <c r="AR19" s="143">
        <f t="shared" si="5"/>
        <v>0</v>
      </c>
      <c r="AS19" s="143">
        <f t="shared" si="6"/>
        <v>0</v>
      </c>
      <c r="AT19" s="143">
        <f t="shared" si="12"/>
        <v>0</v>
      </c>
    </row>
    <row r="20" spans="1:46" ht="13.5" thickTop="1">
      <c r="A20" s="1299" t="s">
        <v>27</v>
      </c>
      <c r="B20" s="1510">
        <f>MROUND(IF(B18&gt;0,B18+(B22*365.25-1),""),1)</f>
        <v>48213</v>
      </c>
      <c r="E20" s="1299"/>
      <c r="G20" s="2719"/>
      <c r="H20" s="2719"/>
      <c r="I20" s="2719"/>
      <c r="J20" s="2719"/>
      <c r="K20" s="2719"/>
      <c r="L20" s="2719"/>
      <c r="M20" s="2719"/>
      <c r="N20" s="2719"/>
      <c r="O20" s="2719"/>
      <c r="P20" s="2719"/>
      <c r="Q20" s="2720"/>
      <c r="T20" s="1582"/>
      <c r="U20" s="143"/>
      <c r="V20" s="143"/>
      <c r="W20" s="150">
        <f t="shared" si="7"/>
        <v>0</v>
      </c>
      <c r="X20" s="151" t="s">
        <v>160</v>
      </c>
      <c r="Y20" s="144">
        <f>IF(IF(AND($B$7&gt;=DATE($H$3,6,1),$B$7&lt;DATE($H$3,7,1)),$B$6,0)=0,Y19-Z20,IF(AND($B$7&gt;=DATE($H$3,6,1),$B$7&lt;DATE($H$3,7,1)),$B$6,0))</f>
        <v>0</v>
      </c>
      <c r="Z20" s="143">
        <f t="shared" si="1"/>
        <v>0</v>
      </c>
      <c r="AA20" s="143">
        <f t="shared" si="2"/>
        <v>0</v>
      </c>
      <c r="AB20" s="143">
        <f t="shared" si="8"/>
        <v>0</v>
      </c>
      <c r="AC20" s="143"/>
      <c r="AE20" s="143"/>
      <c r="AF20" s="150">
        <f t="shared" si="9"/>
        <v>0</v>
      </c>
      <c r="AG20" s="151" t="s">
        <v>160</v>
      </c>
      <c r="AH20" s="144">
        <f>IF(IF(AND($B$18&gt;=DATE($H$3,6,1),$B$18&lt;DATE($H$3,7,1)),$B$17,0)=0,AH19-AI20,IF(AND($B$18&gt;=DATE($H$3,6,1),$B$18&lt;DATE($H$3,7,1)),$B$17,0))</f>
        <v>0</v>
      </c>
      <c r="AI20" s="143">
        <f t="shared" si="3"/>
        <v>0</v>
      </c>
      <c r="AJ20" s="143">
        <f t="shared" si="4"/>
        <v>0</v>
      </c>
      <c r="AK20" s="143">
        <f t="shared" si="10"/>
        <v>0</v>
      </c>
      <c r="AN20" s="143"/>
      <c r="AO20" s="150">
        <f t="shared" si="11"/>
        <v>0</v>
      </c>
      <c r="AP20" s="151" t="s">
        <v>160</v>
      </c>
      <c r="AQ20" s="144">
        <f>IF(IF(AND($B$29&gt;=DATE($H$3,6,1),$B$29&lt;DATE($H$3,7,1)),$B$28,0)=0,AQ19-AR20,IF(AND($B$29&gt;=DATE($H$3,6,1),$B$29&lt;DATE($H$3,7,1)),$B$28,0))</f>
        <v>0</v>
      </c>
      <c r="AR20" s="143">
        <f t="shared" si="5"/>
        <v>0</v>
      </c>
      <c r="AS20" s="143">
        <f t="shared" si="6"/>
        <v>0</v>
      </c>
      <c r="AT20" s="143">
        <f t="shared" si="12"/>
        <v>0</v>
      </c>
    </row>
    <row r="21" spans="1:46" ht="13.5" thickBot="1">
      <c r="A21" s="1299" t="s">
        <v>25</v>
      </c>
      <c r="B21" s="1305">
        <f>IF(B20="",0,YEAR(B20))</f>
        <v>2031</v>
      </c>
      <c r="D21" s="162"/>
      <c r="E21" s="1319"/>
      <c r="F21" s="2721"/>
      <c r="G21" s="2721"/>
      <c r="H21" s="2721"/>
      <c r="I21" s="2721"/>
      <c r="J21" s="2721"/>
      <c r="K21" s="2721"/>
      <c r="L21" s="2721"/>
      <c r="M21" s="2721"/>
      <c r="N21" s="2721"/>
      <c r="O21" s="2721"/>
      <c r="P21" s="2721"/>
      <c r="Q21" s="2722"/>
      <c r="T21" s="1582"/>
      <c r="U21" s="143"/>
      <c r="V21" s="159"/>
      <c r="W21" s="150">
        <f t="shared" si="7"/>
        <v>0</v>
      </c>
      <c r="X21" s="151" t="s">
        <v>161</v>
      </c>
      <c r="Y21" s="144">
        <f>IF(IF(AND($B$7&gt;=DATE($H$3,7,1),$B$7&lt;DATE($H$3,8,1)),$B$6,0)=0,Y20-Z21,IF(AND($B$7&gt;=DATE($H$3,7,1),$B$7&lt;DATE($H$3,8,1)),$B$6,0))</f>
        <v>0</v>
      </c>
      <c r="Z21" s="143">
        <f t="shared" si="1"/>
        <v>0</v>
      </c>
      <c r="AA21" s="143">
        <f t="shared" si="2"/>
        <v>0</v>
      </c>
      <c r="AB21" s="143">
        <f t="shared" si="8"/>
        <v>0</v>
      </c>
      <c r="AC21" s="143"/>
      <c r="AE21" s="159"/>
      <c r="AF21" s="150">
        <f t="shared" si="9"/>
        <v>0</v>
      </c>
      <c r="AG21" s="151" t="s">
        <v>161</v>
      </c>
      <c r="AH21" s="144">
        <f>IF(IF(AND($B$18&gt;=DATE($H$3,7,1),$B$18&lt;DATE($H$3,8,1)),$B$17,0)=0,AH20-AI21,IF(AND($B$18&gt;=DATE($H$3,7,1),$B$18&lt;DATE($H$3,8,1)),$B$17,0))</f>
        <v>0</v>
      </c>
      <c r="AI21" s="143">
        <f t="shared" si="3"/>
        <v>0</v>
      </c>
      <c r="AJ21" s="143">
        <f t="shared" si="4"/>
        <v>0</v>
      </c>
      <c r="AK21" s="143">
        <f t="shared" si="10"/>
        <v>0</v>
      </c>
      <c r="AN21" s="159"/>
      <c r="AO21" s="150">
        <f t="shared" si="11"/>
        <v>0</v>
      </c>
      <c r="AP21" s="151" t="s">
        <v>161</v>
      </c>
      <c r="AQ21" s="144">
        <f>IF(IF(AND($B$29&gt;=DATE($H$3,7,1),$B$29&lt;DATE($H$3,8,1)),$B$28,0)=0,AQ20-AR21,IF(AND($B$29&gt;=DATE($H$3,7,1),$B$29&lt;DATE($H$3,8,1)),$B$28,0))</f>
        <v>0</v>
      </c>
      <c r="AR21" s="143">
        <f t="shared" si="5"/>
        <v>0</v>
      </c>
      <c r="AS21" s="143">
        <f t="shared" si="6"/>
        <v>0</v>
      </c>
      <c r="AT21" s="143">
        <f t="shared" si="12"/>
        <v>0</v>
      </c>
    </row>
    <row r="22" spans="1:46">
      <c r="A22" s="1299" t="s">
        <v>23</v>
      </c>
      <c r="B22" s="2708">
        <v>8</v>
      </c>
      <c r="D22" s="162"/>
      <c r="T22" s="1582"/>
      <c r="U22" s="143"/>
      <c r="V22" s="143"/>
      <c r="W22" s="150">
        <f t="shared" si="7"/>
        <v>0</v>
      </c>
      <c r="X22" s="151" t="s">
        <v>162</v>
      </c>
      <c r="Y22" s="144">
        <f>IF(IF(AND($B$7&gt;=DATE($H$3,8,1),$B$7&lt;DATE($H$3,9,1)),$B$6,0)=0,Y21-Z22,IF(AND($B$7&gt;=DATE($H$3,8,1),$B$7&lt;DATE($H$3,9,1)),$B$6,0))</f>
        <v>0</v>
      </c>
      <c r="Z22" s="143">
        <f t="shared" si="1"/>
        <v>0</v>
      </c>
      <c r="AA22" s="143">
        <f t="shared" si="2"/>
        <v>0</v>
      </c>
      <c r="AB22" s="143">
        <f t="shared" si="8"/>
        <v>0</v>
      </c>
      <c r="AC22" s="143"/>
      <c r="AE22" s="143"/>
      <c r="AF22" s="150">
        <f t="shared" si="9"/>
        <v>0</v>
      </c>
      <c r="AG22" s="151" t="s">
        <v>162</v>
      </c>
      <c r="AH22" s="144">
        <f>IF(IF(AND($B$18&gt;=DATE($H$3,8,1),$B$18&lt;DATE($H$3,9,1)),$B$17,0)=0,AH21-AI22,IF(AND($B$18&gt;=DATE($H$3,8,1),$B$18&lt;DATE($H$3,9,1)),$B$17,0))</f>
        <v>0</v>
      </c>
      <c r="AI22" s="143">
        <f t="shared" si="3"/>
        <v>0</v>
      </c>
      <c r="AJ22" s="143">
        <f t="shared" si="4"/>
        <v>0</v>
      </c>
      <c r="AK22" s="143">
        <f t="shared" si="10"/>
        <v>0</v>
      </c>
      <c r="AN22" s="143"/>
      <c r="AO22" s="150">
        <f t="shared" si="11"/>
        <v>0</v>
      </c>
      <c r="AP22" s="151" t="s">
        <v>162</v>
      </c>
      <c r="AQ22" s="144">
        <f>IF(IF(AND($B$29&gt;=DATE($H$3,8,1),$B$29&lt;DATE($H$3,9,1)),$B$28,0)=0,AQ21-AR22,IF(AND($B$29&gt;=DATE($H$3,8,1),$B$29&lt;DATE($H$3,9,1)),$B$28,0))</f>
        <v>0</v>
      </c>
      <c r="AR22" s="143">
        <f t="shared" si="5"/>
        <v>0</v>
      </c>
      <c r="AS22" s="143">
        <f t="shared" si="6"/>
        <v>0</v>
      </c>
      <c r="AT22" s="143">
        <f t="shared" si="12"/>
        <v>0</v>
      </c>
    </row>
    <row r="23" spans="1:46" ht="13.5" thickBot="1">
      <c r="A23" s="1299" t="s">
        <v>102</v>
      </c>
      <c r="B23" s="1540">
        <v>1</v>
      </c>
      <c r="C23" s="1294"/>
      <c r="D23" s="162"/>
      <c r="E23" s="1304" t="s">
        <v>101</v>
      </c>
      <c r="T23" s="1582"/>
      <c r="U23" s="143"/>
      <c r="V23" s="159"/>
      <c r="W23" s="150">
        <f t="shared" si="7"/>
        <v>0</v>
      </c>
      <c r="X23" s="151" t="s">
        <v>163</v>
      </c>
      <c r="Y23" s="144">
        <f>IF(IF(AND($B$7&gt;=DATE($H$3,9,1),$B$7&lt;DATE($H$3,10,1)),$B$6,0)=0,Y22-Z23,IF(AND($B$7&gt;=DATE($H$3,9,1),$B$7&lt;DATE($H$3,10,1)),$B$6,0))</f>
        <v>0</v>
      </c>
      <c r="Z23" s="143">
        <f t="shared" si="1"/>
        <v>0</v>
      </c>
      <c r="AA23" s="143">
        <f t="shared" si="2"/>
        <v>0</v>
      </c>
      <c r="AB23" s="143">
        <f t="shared" si="8"/>
        <v>0</v>
      </c>
      <c r="AC23" s="143"/>
      <c r="AE23" s="159"/>
      <c r="AF23" s="150">
        <f t="shared" si="9"/>
        <v>0</v>
      </c>
      <c r="AG23" s="151" t="s">
        <v>163</v>
      </c>
      <c r="AH23" s="144">
        <f>IF(IF(AND($B$17&gt;=DATE($H$3,9,1),$B$17&lt;DATE($H$3,10,1)),$B$16,0)=0,AH22-AI23,IF(AND($B$17&gt;=DATE($H$3,9,1),$B$17&lt;DATE($H$3,10,1)),$B$16,0))</f>
        <v>0</v>
      </c>
      <c r="AI23" s="143">
        <f t="shared" si="3"/>
        <v>0</v>
      </c>
      <c r="AJ23" s="143">
        <f t="shared" si="4"/>
        <v>0</v>
      </c>
      <c r="AK23" s="143">
        <f t="shared" si="10"/>
        <v>0</v>
      </c>
      <c r="AN23" s="159"/>
      <c r="AO23" s="150">
        <f t="shared" si="11"/>
        <v>0</v>
      </c>
      <c r="AP23" s="151" t="s">
        <v>163</v>
      </c>
      <c r="AQ23" s="144">
        <f>IF(IF(AND($B$29&gt;=DATE($H$3,9,1),$B$29&lt;DATE($H$3,10,1)),$B$28,0)=0,AQ22-AR23,IF(AND($B$29&gt;=DATE($H$3,9,1),$B$29&lt;DATE($H$3,10,1)),$B$28,0))</f>
        <v>0</v>
      </c>
      <c r="AR23" s="143">
        <f t="shared" si="5"/>
        <v>0</v>
      </c>
      <c r="AS23" s="143">
        <f t="shared" si="6"/>
        <v>0</v>
      </c>
      <c r="AT23" s="143">
        <f t="shared" si="12"/>
        <v>0</v>
      </c>
    </row>
    <row r="24" spans="1:46">
      <c r="A24" s="1299" t="s">
        <v>173</v>
      </c>
      <c r="B24" s="2710">
        <f>B40</f>
        <v>3.7499999999999999E-2</v>
      </c>
      <c r="C24" s="1720"/>
      <c r="D24" s="1294"/>
      <c r="E24" s="1539" t="s">
        <v>174</v>
      </c>
      <c r="F24" s="1502"/>
      <c r="G24" s="1710">
        <f>IF($B$3&gt;=G2,IF((AND($B$19=G3))=TRUE,$B$17,0))</f>
        <v>0</v>
      </c>
      <c r="H24" s="1710">
        <f t="shared" ref="H24:Q24" si="17">IF($B$3&gt;=H2,IF((AND($B$19=H3))=TRUE,$B$17,IF((AND(H3&gt;$B$19))=TRUE,G27,0)),0)</f>
        <v>0</v>
      </c>
      <c r="I24" s="1710">
        <f t="shared" si="17"/>
        <v>0</v>
      </c>
      <c r="J24" s="1710">
        <f t="shared" si="17"/>
        <v>0</v>
      </c>
      <c r="K24" s="1710">
        <f t="shared" si="17"/>
        <v>0</v>
      </c>
      <c r="L24" s="1710">
        <f t="shared" si="17"/>
        <v>0</v>
      </c>
      <c r="M24" s="1710">
        <f t="shared" si="17"/>
        <v>0</v>
      </c>
      <c r="N24" s="1710">
        <f t="shared" si="17"/>
        <v>0</v>
      </c>
      <c r="O24" s="1710">
        <f t="shared" si="17"/>
        <v>0</v>
      </c>
      <c r="P24" s="1710">
        <f t="shared" si="17"/>
        <v>0</v>
      </c>
      <c r="Q24" s="1711">
        <f t="shared" si="17"/>
        <v>0</v>
      </c>
      <c r="T24" s="1582"/>
      <c r="U24" s="143"/>
      <c r="V24" s="150"/>
      <c r="W24" s="150">
        <f t="shared" si="7"/>
        <v>0</v>
      </c>
      <c r="X24" s="151" t="s">
        <v>164</v>
      </c>
      <c r="Y24" s="144">
        <f>IF(IF(AND($B$7&gt;=DATE($H$3,10,1),$B$7&lt;DATE($H$3,11,1)),$B$6,0)=0,Y23-Z24,IF(AND($B$7&gt;=DATE($H$3,10,1),$B$7&lt;DATE($H$3,11,1)),$B$6,0))</f>
        <v>0</v>
      </c>
      <c r="Z24" s="143">
        <f t="shared" si="1"/>
        <v>0</v>
      </c>
      <c r="AA24" s="143">
        <f t="shared" si="2"/>
        <v>0</v>
      </c>
      <c r="AB24" s="143">
        <f t="shared" si="8"/>
        <v>0</v>
      </c>
      <c r="AC24" s="143"/>
      <c r="AE24" s="150"/>
      <c r="AF24" s="150">
        <f t="shared" si="9"/>
        <v>0</v>
      </c>
      <c r="AG24" s="151" t="s">
        <v>164</v>
      </c>
      <c r="AH24" s="144">
        <f>IF(IF(AND($B$18&gt;=DATE($H$3,10,1),$B$18&lt;DATE($H$3,11,1)),$B$17,0)=0,AH23-AI24,IF(AND($B$18&gt;=DATE($H$3,10,1),$B$18&lt;DATE($H$3,11,1)),$B$17,0))</f>
        <v>0</v>
      </c>
      <c r="AI24" s="143">
        <f t="shared" si="3"/>
        <v>0</v>
      </c>
      <c r="AJ24" s="143">
        <f t="shared" si="4"/>
        <v>0</v>
      </c>
      <c r="AK24" s="143">
        <f t="shared" si="10"/>
        <v>0</v>
      </c>
      <c r="AN24" s="150"/>
      <c r="AO24" s="150">
        <f t="shared" si="11"/>
        <v>0</v>
      </c>
      <c r="AP24" s="151" t="s">
        <v>164</v>
      </c>
      <c r="AQ24" s="144">
        <f>IF(IF(AND($B$29&gt;=DATE($H$3,10,1),$B$29&lt;DATE($H$3,11,1)),$B$28,0)=0,AQ23-AR24,IF(AND($B$29&gt;=DATE($H$3,10,1),$B$29&lt;DATE($H$3,11,1)),$B$28,0))</f>
        <v>0</v>
      </c>
      <c r="AR24" s="143">
        <f t="shared" si="5"/>
        <v>0</v>
      </c>
      <c r="AS24" s="143">
        <f t="shared" si="6"/>
        <v>0</v>
      </c>
      <c r="AT24" s="143">
        <f t="shared" si="12"/>
        <v>0</v>
      </c>
    </row>
    <row r="25" spans="1:46" ht="13.5" thickBot="1">
      <c r="A25" s="2711" t="s">
        <v>4</v>
      </c>
      <c r="B25" s="2712">
        <f>B41</f>
        <v>0.04</v>
      </c>
      <c r="C25" s="1294"/>
      <c r="D25" s="1294"/>
      <c r="E25" s="1299" t="s">
        <v>7</v>
      </c>
      <c r="F25" s="1541"/>
      <c r="G25" s="1541">
        <f>-IF($B$3&gt;=G2,IF($B$16="Linear",IF((AND(G3&gt;$B$19,$B$20&gt;=DATE(G3,12,31)))=TRUE,($B$17)*$B$25,IF((AND(G3&gt;$B$19,$B$20&lt;=DATE(G3,12,31),$B$20&gt;DATE(G3,1,1)))=TRUE,(($B$20-DATE(G3,1,1)+1)/365)*($B$17)*$B$25,IF(AND(G3=$B$19,$B$20&gt;DATE(G3,12,31))=TRUE,((DATE(G3,12,31)-$B$18+1)/365)*$B$25*($B$17),0))),IF($B$16="Annuity",SUM(AI4:AI15),IF($B$3&gt;=G2,-IF($B$16="Composite",IF(AND(G2&lt;=$B$22,$B$3&gt;=G2)=TRUE,(G24)*$B$24,IF(AND((G2-$B$22)&gt;0,($B$22-G2)&lt;1)=TRUE,(G2-$B$22)*$B$24*G24,0)),0),0))),0)</f>
        <v>0</v>
      </c>
      <c r="H25" s="1541">
        <f>-IF($B$3&gt;=H2,IF($B$16="Linear",IF((AND(H3&gt;$B$19,$B$20&gt;=DATE(H3,12,31)))=TRUE,($B$17)*$B$25,IF((AND(H3&gt;$B$19,$B$20&lt;=DATE(H3,12,31),$B$20&gt;DATE(H3,1,1)))=TRUE,(($B$20-DATE(H3,1,1)+1)/365)*($B$17)*$B$25,IF(AND(H3=$B$19,$B$20&gt;DATE(H3,12,31))=TRUE,((DATE(H3,12,31)-$B$18+1)/365)*$B$25*($B$17),0))),IF($B$16="Annuity",SUM(AI16:AI27),IF($B$3&gt;=H2,-IF($B$16="Composite",IF(AND(H2&lt;=$B$22,$B$3&gt;=H2)=TRUE,(H24)*$B$24,IF(AND((H2-$B$22)&gt;0,($B$22-H2)&lt;1)=TRUE,(H2-$B$22)*$B$24*H24,0)),0),0))),0)</f>
        <v>0</v>
      </c>
      <c r="I25" s="1541">
        <f>-IF($B$3&gt;=I2,IF($B$16="Linear",IF((AND(I3&gt;$B$19,$B$20&gt;=DATE(I3,12,31)))=TRUE,($B$17)*$B$25,IF((AND(I3&gt;$B$19,$B$20&lt;=DATE(I3,12,31),$B$20&gt;DATE(I3,1,1)))=TRUE,(($B$20-DATE(I3,1,1)+1)/365)*($B$17)*$B$25,IF(AND(I3=$B$19,$B$20&gt;DATE(I3,12,31))=TRUE,((DATE(I3,12,31)-$B$18+1)/365)*$B$25*($B$17),0))),IF($B$16="Annuity",SUM(AI28:AI39),IF($B$3&gt;=I2,-IF($B$16="Composite",IF(AND(I2&lt;=$B$22,$B$3&gt;=I2)=TRUE,(I24)*$B$24,IF(AND((I2-$B$22)&gt;0,($B$22-I2)&lt;1)=TRUE,(I2-$B$22)*$B$24*I24,0)),0),0))),0)</f>
        <v>0</v>
      </c>
      <c r="J25" s="1541">
        <f>-IF($B$3&gt;=J2,IF($B$16="Linear",IF((AND(J3&gt;$B$19,$B$20&gt;=DATE(J3,12,31)))=TRUE,($B$17)*$B$25,IF((AND(J3&gt;$B$19,$B$20&lt;=DATE(J3,12,31),$B$20&gt;DATE(J3,1,1)))=TRUE,(($B$20-DATE(J3,1,1)+1)/365)*($B$17)*$B$25,IF(AND(J3=$B$19,$B$20&gt;DATE(J3,12,31))=TRUE,((DATE(J3,12,31)-$B$18+1)/365)*$B$25*($B$17),0))),IF($B$16="Annuity",SUM(AI40:AI51),IF($B$3&gt;=J2,-IF($B$16="Composite",IF(AND(J2&lt;=$B$22,$B$3&gt;=J2)=TRUE,(J24)*$B$24,IF(AND((J2-$B$22)&gt;0,($B$22-J2)&lt;1)=TRUE,(J2-$B$22)*$B$24*J24,0)),0),0))),0)</f>
        <v>0</v>
      </c>
      <c r="K25" s="1541">
        <f>-IF($B$3&gt;=K2,IF($B$16="Linear",IF((AND(K3&gt;$B$19,$B$20&gt;=DATE(K3,12,31)))=TRUE,($B$17)*$B$25,IF((AND(K3&gt;$B$19,$B$20&lt;=DATE(K3,12,31),$B$20&gt;DATE(K3,1,1)))=TRUE,(($B$20-DATE(K3,1,1)+1)/365)*($B$17)*$B$25,IF(AND(K3=$B$19,$B$20&gt;DATE(K3,12,31))=TRUE,((DATE(K3,12,31)-$B$18+1)/365)*$B$25*($B$17),0))),IF($B$16="Annuity",SUM(AI52:AI60),IF($B$3&gt;=K2,-IF($B$16="Composite",IF(AND(K2&lt;=$B$22,$B$3&gt;=K2)=TRUE,(K24)*$B$24,IF(AND((K2-$B$22)&gt;0,($B$22-K2)&lt;1)=TRUE,(K2-$B$22)*$B$24*K24,0)),0),0))),0)</f>
        <v>0</v>
      </c>
      <c r="L25" s="1541">
        <f>-IF($B$3&gt;=L2,IF($B$16="Linear",IF((AND(L3&gt;$B$19,$B$20&gt;=DATE(L3,12,31)))=TRUE,($B$17)*$B$25,IF((AND(L3&gt;$B$19,$B$20&lt;=DATE(L3,12,31),$B$20&gt;DATE(L3,1,1)))=TRUE,(($B$20-DATE(L3,1,1)+1)/365)*($B$17)*$B$25,IF(AND(L3=$B$19,$B$20&gt;DATE(L3,12,31))=TRUE,((DATE(L3,12,31)-$B$18+1)/365)*$B$25*($B$17),0))),IF($B$16="Annuity",SUM(#REF!),IF($B$3&gt;=L2,-IF($B$16="Composite",IF(AND(L2&lt;=$B$22,$B$3&gt;=L2)=TRUE,(L24)*$B$24,IF(AND((L2-$B$22)&gt;0,($B$22-L2)&lt;1)=TRUE,(L2-$B$22)*$B$24*L24,0)),0),0))),0)</f>
        <v>0</v>
      </c>
      <c r="M25" s="1541">
        <f>-IF($B$3&gt;=M2,IF($B$16="Linear",IF((AND(M3&gt;$B$19,$B$20&gt;=DATE(M3,12,31)))=TRUE,($B$17)*$B$25,IF((AND(M3&gt;$B$19,$B$20&lt;=DATE(M3,12,31),$B$20&gt;DATE(M3,1,1)))=TRUE,(($B$20-DATE(M3,1,1)+1)/365)*($B$17)*$B$25,IF(AND(M3=$B$19,$B$20&gt;DATE(M3,12,31))=TRUE,((DATE(M3,12,31)-$B$18+1)/365)*$B$25*($B$17),0))),IF($B$16="Annuity",SUM(#REF!),IF($B$3&gt;=M2,-IF($B$16="Composite",IF(AND(M2&lt;=$B$22,$B$3&gt;=M2)=TRUE,(M24)*$B$24,IF(AND((M2-$B$22)&gt;0,($B$22-M2)&lt;1)=TRUE,(M2-$B$22)*$B$24*M24,0)),0),0))),0)</f>
        <v>0</v>
      </c>
      <c r="N25" s="1541">
        <f>-IF($B$3&gt;=N2,IF($B$16="Linear",IF((AND(N3&gt;$B$19,$B$20&gt;=DATE(N3,12,31)))=TRUE,($B$17)*$B$25,IF((AND(N3&gt;$B$19,$B$20&lt;=DATE(N3,12,31),$B$20&gt;DATE(N3,1,1)))=TRUE,(($B$20-DATE(N3,1,1)+1)/365)*($B$17)*$B$25,IF(AND(N3=$B$19,$B$20&gt;DATE(N3,12,31))=TRUE,((DATE(N3,12,31)-$B$18+1)/365)*$B$25*($B$17),0))),IF($B$16="Annuity",SUM(#REF!),IF($B$3&gt;=N2,-IF($B$16="Composite",IF(AND(N2&lt;=$B$22,$B$3&gt;=N2)=TRUE,(N24)*$B$24,IF(AND((N2-$B$22)&gt;0,($B$22-N2)&lt;1)=TRUE,(N2-$B$22)*$B$24*N24,0)),0),0))),0)</f>
        <v>0</v>
      </c>
      <c r="O25" s="1541">
        <f>-IF($B$3&gt;=O2,IF($B$16="Linear",IF((AND(O3&gt;$B$19,$B$20&gt;=DATE(O3,12,31)))=TRUE,($B$17)*$B$25,IF((AND(O3&gt;$B$19,$B$20&lt;=DATE(O3,12,31),$B$20&gt;DATE(O3,1,1)))=TRUE,(($B$20-DATE(O3,1,1)+1)/365)*($B$17)*$B$25,IF(AND(O3=$B$19,$B$20&gt;DATE(O3,12,31))=TRUE,((DATE(O3,12,31)-$B$18+1)/365)*$B$25*($B$17),0))),IF($B$16="Annuity",SUM(#REF!),IF($B$3&gt;=O2,-IF($B$16="Composite",IF(AND(O2&lt;=$B$22,$B$3&gt;=O2)=TRUE,(O24)*$B$24,IF(AND((O2-$B$22)&gt;0,($B$22-O2)&lt;1)=TRUE,(O2-$B$22)*$B$24*O24,0)),0),0))),0)</f>
        <v>0</v>
      </c>
      <c r="P25" s="1541">
        <f>-IF($B$3&gt;=P2,IF($B$16="Linear",IF((AND(P3&gt;$B$19,$B$20&gt;=DATE(P3,12,31)))=TRUE,($B$17)*$B$25,IF((AND(P3&gt;$B$19,$B$20&lt;=DATE(P3,12,31),$B$20&gt;DATE(P3,1,1)))=TRUE,(($B$20-DATE(P3,1,1)+1)/365)*($B$17)*$B$25,IF(AND(P3=$B$19,$B$20&gt;DATE(P3,12,31))=TRUE,((DATE(P3,12,31)-$B$18+1)/365)*$B$25*($B$17),0))),IF($B$16="Annuity",SUM(#REF!),IF($B$3&gt;=P2,-IF($B$16="Composite",IF(AND(P2&lt;=$B$22,$B$3&gt;=P2)=TRUE,(P24)*$B$24,IF(AND((P2-$B$22)&gt;0,($B$22-P2)&lt;1)=TRUE,(P2-$B$22)*$B$24*P24,0)),0),0))),0)</f>
        <v>0</v>
      </c>
      <c r="Q25" s="1530">
        <f>-IF($B$3&gt;=Q2,IF($B$16="Linear",IF((AND(Q3&gt;$B$19,$B$20&gt;=DATE(Q3,12,31)))=TRUE,($B$17)*$B$25,IF((AND(Q3&gt;$B$19,$B$20&lt;=DATE(Q3,12,31),$B$20&gt;DATE(Q3,1,1)))=TRUE,(($B$20-DATE(Q3,1,1)+1)/365)*($B$17)*$B$25,IF(AND(Q3=$B$19,$B$20&gt;DATE(Q3,12,31))=TRUE,((DATE(Q3,12,31)-$B$18+1)/365)*$B$25*($B$17),0))),IF($B$16="Annuity",SUM(#REF!),IF($B$3&gt;=Q2,-IF($B$16="Composite",IF(AND(Q2&lt;=$B$22,$B$3&gt;=Q2)=TRUE,(Q24)*$B$24,IF(AND((Q2-$B$22)&gt;0,($B$22-Q2)&lt;1)=TRUE,(Q2-$B$22)*$B$24*Q24,0)),0),0))),0)</f>
        <v>0</v>
      </c>
      <c r="T25" s="1582"/>
      <c r="U25" s="143"/>
      <c r="V25" s="159"/>
      <c r="W25" s="150">
        <f t="shared" si="7"/>
        <v>0</v>
      </c>
      <c r="X25" s="151" t="s">
        <v>165</v>
      </c>
      <c r="Y25" s="144">
        <f>IF(IF(AND($B$7&gt;=DATE($H$3,11,1),$B$7&lt;DATE($H$3,12,1)),$B$6,0)=0,Y24-Z25,IF(AND($B$7&gt;=DATE($H$3,11,1),$B$7&lt;DATE($H$3,12,1)),$B$6,0))</f>
        <v>0</v>
      </c>
      <c r="Z25" s="143">
        <f t="shared" si="1"/>
        <v>0</v>
      </c>
      <c r="AA25" s="143">
        <f t="shared" si="2"/>
        <v>0</v>
      </c>
      <c r="AB25" s="143">
        <f t="shared" si="8"/>
        <v>0</v>
      </c>
      <c r="AC25" s="143"/>
      <c r="AE25" s="159"/>
      <c r="AF25" s="150">
        <f t="shared" si="9"/>
        <v>0</v>
      </c>
      <c r="AG25" s="151" t="s">
        <v>165</v>
      </c>
      <c r="AH25" s="144">
        <f>IF(IF(AND($B$18&gt;=DATE($H$3,11,1),$B$18&lt;DATE($H$3,12,1)),$B$17,0)=0,AH24-AI25,IF(AND($B$18&gt;=DATE($H$3,11,1),$B$18&lt;DATE($H$3,12,1)),$B$17,0))</f>
        <v>0</v>
      </c>
      <c r="AI25" s="143">
        <f t="shared" si="3"/>
        <v>0</v>
      </c>
      <c r="AJ25" s="143">
        <f t="shared" si="4"/>
        <v>0</v>
      </c>
      <c r="AK25" s="143">
        <f t="shared" si="10"/>
        <v>0</v>
      </c>
      <c r="AN25" s="159"/>
      <c r="AO25" s="150">
        <f t="shared" si="11"/>
        <v>0</v>
      </c>
      <c r="AP25" s="151" t="s">
        <v>165</v>
      </c>
      <c r="AQ25" s="144">
        <f>IF(IF(AND($B$29&gt;=DATE($H$3,11,1),$B$29&lt;DATE($H$3,12,1)),$B$28,0)=0,AQ24-AR25,IF(AND($B$29&gt;=DATE($H$3,11,1),$B$29&lt;DATE($H$3,12,1)),$B$28,0))</f>
        <v>0</v>
      </c>
      <c r="AR25" s="143">
        <f t="shared" si="5"/>
        <v>0</v>
      </c>
      <c r="AS25" s="143">
        <f t="shared" si="6"/>
        <v>0</v>
      </c>
      <c r="AT25" s="143">
        <f t="shared" si="12"/>
        <v>0</v>
      </c>
    </row>
    <row r="26" spans="1:46" ht="13.5" thickBot="1">
      <c r="C26" s="1294"/>
      <c r="D26" s="1294"/>
      <c r="E26" s="1299" t="s">
        <v>16</v>
      </c>
      <c r="F26" s="1541"/>
      <c r="G26" s="1541">
        <f t="shared" ref="G26:Q26" si="18">IF($B$3&gt;=G2,IF(AND($B$20&gt;DATE(G3,1,1),$B$20&lt;=DATE(G3,12,31))=TRUE,-G24-G25,IF($B$3=G2,-G24-G25,0)),0)</f>
        <v>0</v>
      </c>
      <c r="H26" s="1541">
        <f t="shared" si="18"/>
        <v>0</v>
      </c>
      <c r="I26" s="1541">
        <f t="shared" si="18"/>
        <v>0</v>
      </c>
      <c r="J26" s="1541">
        <f t="shared" si="18"/>
        <v>0</v>
      </c>
      <c r="K26" s="1541">
        <f t="shared" si="18"/>
        <v>0</v>
      </c>
      <c r="L26" s="1541">
        <f t="shared" si="18"/>
        <v>0</v>
      </c>
      <c r="M26" s="1541">
        <f t="shared" si="18"/>
        <v>0</v>
      </c>
      <c r="N26" s="1541">
        <f t="shared" si="18"/>
        <v>0</v>
      </c>
      <c r="O26" s="1541">
        <f t="shared" si="18"/>
        <v>0</v>
      </c>
      <c r="P26" s="1541">
        <f t="shared" si="18"/>
        <v>0</v>
      </c>
      <c r="Q26" s="1530">
        <f t="shared" si="18"/>
        <v>0</v>
      </c>
      <c r="T26" s="1582"/>
      <c r="U26" s="143"/>
      <c r="V26" s="159"/>
      <c r="W26" s="150">
        <f t="shared" si="7"/>
        <v>0</v>
      </c>
      <c r="X26" s="151" t="s">
        <v>166</v>
      </c>
      <c r="Y26" s="144">
        <f>IF(IF(AND($B$7&gt;=DATE($H$3,12,1),$B$7&lt;DATE($I$3,1,1)),$B$6,0)=0,Y25-Z26,IF(AND($B$7&gt;=DATE($H$3,12,1),$B$7&lt;DATE($I$3,1,1)),$B$6,0))</f>
        <v>0</v>
      </c>
      <c r="Z26" s="143">
        <f t="shared" si="1"/>
        <v>0</v>
      </c>
      <c r="AA26" s="143">
        <f t="shared" si="2"/>
        <v>0</v>
      </c>
      <c r="AB26" s="143">
        <f t="shared" si="8"/>
        <v>0</v>
      </c>
      <c r="AC26" s="143"/>
      <c r="AE26" s="159"/>
      <c r="AF26" s="150">
        <f t="shared" si="9"/>
        <v>0</v>
      </c>
      <c r="AG26" s="151" t="s">
        <v>166</v>
      </c>
      <c r="AH26" s="144">
        <f>IF(IF(AND($B$18&gt;=DATE($H$3,12,1),$B$18&lt;DATE($I$3,1,1)),$B$17,0)=0,AH25-AI26,IF(AND($B$18&gt;=DATE($H$3,12,1),$B$18&lt;DATE($I$3,1,1)),$B$17,0))</f>
        <v>0</v>
      </c>
      <c r="AI26" s="143">
        <f t="shared" si="3"/>
        <v>0</v>
      </c>
      <c r="AJ26" s="143">
        <f t="shared" si="4"/>
        <v>0</v>
      </c>
      <c r="AK26" s="143">
        <f t="shared" si="10"/>
        <v>0</v>
      </c>
      <c r="AN26" s="159"/>
      <c r="AO26" s="150">
        <f t="shared" si="11"/>
        <v>0</v>
      </c>
      <c r="AP26" s="151" t="s">
        <v>166</v>
      </c>
      <c r="AQ26" s="144">
        <f>IF(IF(AND($B$29&gt;=DATE($H$3,12,1),$B$29&lt;DATE($I$3,1,1)),$B$28,0)=0,AQ25-AR26,IF(AND($B$29&gt;=DATE($H$3,12,1),$B$29&lt;DATE($I$3,1,1)),$B$28,0))</f>
        <v>0</v>
      </c>
      <c r="AR26" s="143">
        <f t="shared" si="5"/>
        <v>0</v>
      </c>
      <c r="AS26" s="143">
        <f t="shared" si="6"/>
        <v>0</v>
      </c>
      <c r="AT26" s="143">
        <f t="shared" si="12"/>
        <v>0</v>
      </c>
    </row>
    <row r="27" spans="1:46">
      <c r="A27" s="1539" t="s">
        <v>175</v>
      </c>
      <c r="B27" s="2702" t="s">
        <v>172</v>
      </c>
      <c r="C27" s="1294"/>
      <c r="D27" s="1294"/>
      <c r="E27" s="1299" t="s">
        <v>6</v>
      </c>
      <c r="G27" s="1541">
        <f t="shared" ref="G27:Q27" si="19">IF($B$3&gt;=G2,G24+G25+G26,0)</f>
        <v>0</v>
      </c>
      <c r="H27" s="1541">
        <f t="shared" si="19"/>
        <v>0</v>
      </c>
      <c r="I27" s="1541">
        <f t="shared" si="19"/>
        <v>0</v>
      </c>
      <c r="J27" s="1541">
        <f t="shared" si="19"/>
        <v>0</v>
      </c>
      <c r="K27" s="1541">
        <f t="shared" si="19"/>
        <v>0</v>
      </c>
      <c r="L27" s="1541">
        <f t="shared" si="19"/>
        <v>0</v>
      </c>
      <c r="M27" s="1541">
        <f t="shared" si="19"/>
        <v>0</v>
      </c>
      <c r="N27" s="1541">
        <f t="shared" si="19"/>
        <v>0</v>
      </c>
      <c r="O27" s="1541">
        <f t="shared" si="19"/>
        <v>0</v>
      </c>
      <c r="P27" s="1541">
        <f t="shared" si="19"/>
        <v>0</v>
      </c>
      <c r="Q27" s="1530">
        <f t="shared" si="19"/>
        <v>0</v>
      </c>
      <c r="T27" s="1582">
        <f>H3</f>
        <v>2024</v>
      </c>
      <c r="U27" s="143" t="s">
        <v>167</v>
      </c>
      <c r="V27" s="159">
        <v>2</v>
      </c>
      <c r="W27" s="150">
        <f t="shared" si="7"/>
        <v>0</v>
      </c>
      <c r="X27" s="151" t="s">
        <v>168</v>
      </c>
      <c r="Y27" s="144">
        <f>IF(IF(AND($B$7&gt;=DATE($I$3,1,1),$B$7&lt;DATE($I$3,2,1)),$B$6,0)=0,Y26-Z27,IF(AND($B$7&gt;=DATE($I$3,1,1),$B$7&lt;DATE($I$3,2,1)),$B$6,0))</f>
        <v>0</v>
      </c>
      <c r="Z27" s="143">
        <f t="shared" si="1"/>
        <v>0</v>
      </c>
      <c r="AA27" s="143">
        <f t="shared" si="2"/>
        <v>0</v>
      </c>
      <c r="AB27" s="143">
        <f t="shared" si="8"/>
        <v>0</v>
      </c>
      <c r="AC27" s="143"/>
      <c r="AE27" s="159">
        <v>2</v>
      </c>
      <c r="AF27" s="150">
        <f t="shared" si="9"/>
        <v>0</v>
      </c>
      <c r="AG27" s="151" t="s">
        <v>168</v>
      </c>
      <c r="AH27" s="144">
        <f>IF(IF(AND($B$18&gt;=DATE($I$3,1,1),$B$18&lt;DATE($I$3,2,1)),$B$17,0)=0,AH26-AI27,IF(AND($B$18&gt;=DATE($I$3,1,1),$B$18&lt;DATE($I$3,2,1)),$B$17,0))</f>
        <v>0</v>
      </c>
      <c r="AI27" s="143">
        <f t="shared" si="3"/>
        <v>0</v>
      </c>
      <c r="AJ27" s="143">
        <f t="shared" si="4"/>
        <v>0</v>
      </c>
      <c r="AK27" s="143">
        <f t="shared" si="10"/>
        <v>0</v>
      </c>
      <c r="AN27" s="159">
        <v>2</v>
      </c>
      <c r="AO27" s="150">
        <f t="shared" si="11"/>
        <v>0</v>
      </c>
      <c r="AP27" s="151" t="s">
        <v>168</v>
      </c>
      <c r="AQ27" s="144">
        <f>IF(IF(AND($B$29&gt;=DATE($I$3,1,1),$B$29&lt;DATE($I$3,2,1)),$B$28,0)=0,AQ26-AR27,IF(AND($B$29&gt;=DATE($I$3,1,1),$B$29&lt;DATE($I$3,2,1)),$B$28,0))</f>
        <v>0</v>
      </c>
      <c r="AR27" s="143">
        <f t="shared" si="5"/>
        <v>0</v>
      </c>
      <c r="AS27" s="143">
        <f t="shared" si="6"/>
        <v>0</v>
      </c>
      <c r="AT27" s="143">
        <f t="shared" si="12"/>
        <v>0</v>
      </c>
    </row>
    <row r="28" spans="1:46" ht="13.5" thickBot="1">
      <c r="A28" s="1299" t="s">
        <v>8</v>
      </c>
      <c r="B28" s="1518"/>
      <c r="C28" s="1294"/>
      <c r="D28" s="1294"/>
      <c r="E28" s="2713"/>
      <c r="F28" s="2714"/>
      <c r="G28" s="1532"/>
      <c r="H28" s="1532"/>
      <c r="I28" s="1532"/>
      <c r="J28" s="1532"/>
      <c r="K28" s="1532"/>
      <c r="L28" s="1532"/>
      <c r="M28" s="1532"/>
      <c r="N28" s="1532"/>
      <c r="O28" s="1532"/>
      <c r="P28" s="1532"/>
      <c r="Q28" s="1533"/>
      <c r="T28" s="1582"/>
      <c r="U28" s="143"/>
      <c r="V28" s="159"/>
      <c r="W28" s="150">
        <f t="shared" si="7"/>
        <v>0</v>
      </c>
      <c r="X28" s="151" t="s">
        <v>170</v>
      </c>
      <c r="Y28" s="144">
        <f>IF(IF(AND($B$7&gt;=DATE($I$3,2,1),$B$7&lt;DATE($I$3,3,1)),$B$6,0)=0,Y27-Z28,IF(AND($B$7&gt;=DATE($I$3,2,1),$B$7&lt;DATE($I$3,3,1)),$B$6,0))</f>
        <v>0</v>
      </c>
      <c r="Z28" s="143">
        <f t="shared" si="1"/>
        <v>0</v>
      </c>
      <c r="AA28" s="143">
        <f t="shared" si="2"/>
        <v>0</v>
      </c>
      <c r="AB28" s="143">
        <f t="shared" si="8"/>
        <v>0</v>
      </c>
      <c r="AC28" s="143"/>
      <c r="AE28" s="159"/>
      <c r="AF28" s="150">
        <f t="shared" si="9"/>
        <v>0</v>
      </c>
      <c r="AG28" s="151" t="s">
        <v>170</v>
      </c>
      <c r="AH28" s="144">
        <f>IF(IF(AND($B$18&gt;=DATE($I$3,2,1),$B$18&lt;DATE($I$3,3,1)),$B$17,0)=0,AH27-AI28,IF(AND($B$18&gt;=DATE($I$3,2,1),$B$18&lt;DATE($I$3,3,1)),$B$17,0))</f>
        <v>0</v>
      </c>
      <c r="AI28" s="143">
        <f t="shared" si="3"/>
        <v>0</v>
      </c>
      <c r="AJ28" s="143">
        <f t="shared" si="4"/>
        <v>0</v>
      </c>
      <c r="AK28" s="143">
        <f t="shared" si="10"/>
        <v>0</v>
      </c>
      <c r="AN28" s="159"/>
      <c r="AO28" s="150">
        <f t="shared" si="11"/>
        <v>0</v>
      </c>
      <c r="AP28" s="151" t="s">
        <v>170</v>
      </c>
      <c r="AQ28" s="144">
        <f>IF(IF(AND($B$29&gt;=DATE($I$3,2,1),$B$29&lt;DATE($I$3,3,1)),$B$28,0)=0,AQ27-AR28,IF(AND($B$29&gt;=DATE($I$3,2,1),$B$29&lt;DATE($I$3,3,1)),$B$28,0))</f>
        <v>0</v>
      </c>
      <c r="AR28" s="143">
        <f t="shared" si="5"/>
        <v>0</v>
      </c>
      <c r="AS28" s="143">
        <f t="shared" si="6"/>
        <v>0</v>
      </c>
      <c r="AT28" s="143">
        <f t="shared" si="12"/>
        <v>0</v>
      </c>
    </row>
    <row r="29" spans="1:46" ht="14.25" thickTop="1" thickBot="1">
      <c r="A29" s="1299" t="s">
        <v>15</v>
      </c>
      <c r="B29" s="1731"/>
      <c r="C29" s="1294"/>
      <c r="D29" s="1294"/>
      <c r="E29" s="2715" t="s">
        <v>9</v>
      </c>
      <c r="F29" s="2716"/>
      <c r="G29" s="2717">
        <f>IF($B$3&gt;=G2,IF(AND($B$20&gt;DATE(2015,1,1))=TRUE,$B$25,0),0)</f>
        <v>0.04</v>
      </c>
      <c r="H29" s="2717">
        <f>IF($B$3&gt;=H2,IF(AND($B$20&gt;DATE(2016,1,1))=TRUE,$B$25,0),0)</f>
        <v>0.04</v>
      </c>
      <c r="I29" s="2717">
        <f>IF($B$3&gt;=I2,IF(AND($B$20&gt;DATE(2017,1,1))=TRUE,$B$25,0),0)</f>
        <v>0.04</v>
      </c>
      <c r="J29" s="2717">
        <f>IF($B$3&gt;=J2,IF(AND($B$20&gt;DATE(2018,1,1))=TRUE,$B$25,0),0)</f>
        <v>0.04</v>
      </c>
      <c r="K29" s="2717">
        <f>IF($B$3&gt;=K2,IF(AND($B$20&gt;DATE(2019,1,1))=TRUE,$B$25,0),0)</f>
        <v>0.04</v>
      </c>
      <c r="L29" s="2717">
        <f>IF($B$3&gt;=L2,IF(AND($B$20&gt;DATE(2020,1,1))=TRUE,$B$25,0),0)</f>
        <v>0.04</v>
      </c>
      <c r="M29" s="2717">
        <f>IF($B$3&gt;=M2,IF(AND($B$20&gt;DATE(2021,1,1))=TRUE,$B$25,0),0)</f>
        <v>0.04</v>
      </c>
      <c r="N29" s="2717">
        <f>IF($B$3&gt;=N2,IF(AND($B$20&gt;DATE(2022,1,1))=TRUE,$B$25,0),0)</f>
        <v>0.04</v>
      </c>
      <c r="O29" s="2717">
        <f>IF($B$3&gt;=O2,IF(AND($B$20&gt;DATE(2023,1,1))=TRUE,$B$25,0),0)</f>
        <v>0.04</v>
      </c>
      <c r="P29" s="2717">
        <f>IF($B$3&gt;=P2,IF(AND($B$20&gt;DATE(2024,1,1))=TRUE,$B$25,0),0)</f>
        <v>0.04</v>
      </c>
      <c r="Q29" s="2718">
        <f>IF($B$3&gt;=Q2,IF(AND($B$20&gt;DATE(2025,1,1))=TRUE,$B$25,0),0)</f>
        <v>0.04</v>
      </c>
      <c r="T29" s="1582"/>
      <c r="U29" s="143"/>
      <c r="V29" s="159"/>
      <c r="W29" s="150">
        <f t="shared" si="7"/>
        <v>0</v>
      </c>
      <c r="X29" s="151" t="s">
        <v>171</v>
      </c>
      <c r="Y29" s="144">
        <f>IF(IF(AND($B$7&gt;=DATE($I$3,3,1),$B$7&lt;DATE($I$3,4,1)),$B$6,0)=0,Y28-Z29,IF(AND($B$7&gt;=DATE($I$3,3,1),$B$7&lt;DATE($I$3,4,1)),$B$6,0))</f>
        <v>0</v>
      </c>
      <c r="Z29" s="143">
        <f t="shared" si="1"/>
        <v>0</v>
      </c>
      <c r="AA29" s="143">
        <f t="shared" si="2"/>
        <v>0</v>
      </c>
      <c r="AB29" s="143">
        <f t="shared" si="8"/>
        <v>0</v>
      </c>
      <c r="AC29" s="143"/>
      <c r="AE29" s="159"/>
      <c r="AF29" s="150">
        <f t="shared" si="9"/>
        <v>0</v>
      </c>
      <c r="AG29" s="151" t="s">
        <v>171</v>
      </c>
      <c r="AH29" s="144">
        <f>IF(IF(AND($B$18&gt;=DATE($I$3,3,1),$B$18&lt;DATE($I$3,4,1)),$B$17,0)=0,AH28-AI29,IF(AND($B$18&gt;=DATE($I$3,3,1),$B$18&lt;DATE($I$3,4,1)),$B$17,0))</f>
        <v>0</v>
      </c>
      <c r="AI29" s="143">
        <f t="shared" si="3"/>
        <v>0</v>
      </c>
      <c r="AJ29" s="143">
        <f t="shared" si="4"/>
        <v>0</v>
      </c>
      <c r="AK29" s="143">
        <f t="shared" si="10"/>
        <v>0</v>
      </c>
      <c r="AN29" s="159"/>
      <c r="AO29" s="150">
        <f t="shared" si="11"/>
        <v>0</v>
      </c>
      <c r="AP29" s="151" t="s">
        <v>171</v>
      </c>
      <c r="AQ29" s="144">
        <f>IF(IF(AND($B$29&gt;=DATE($I$3,3,1),$B$29&lt;DATE($I$3,4,1)),$B$28,0)=0,AQ28-AR29,IF(AND($B$29&gt;=DATE($I$3,3,1),$B$29&lt;DATE($I$3,4,1)),$B$28,0))</f>
        <v>0</v>
      </c>
      <c r="AR29" s="143">
        <f t="shared" si="5"/>
        <v>0</v>
      </c>
      <c r="AS29" s="143">
        <f t="shared" si="6"/>
        <v>0</v>
      </c>
      <c r="AT29" s="143">
        <f t="shared" si="12"/>
        <v>0</v>
      </c>
    </row>
    <row r="30" spans="1:46" ht="13.5" thickTop="1">
      <c r="A30" s="1299" t="s">
        <v>24</v>
      </c>
      <c r="B30" s="1305">
        <f>YEAR(B29)</f>
        <v>1900</v>
      </c>
      <c r="C30" s="1294"/>
      <c r="D30" s="1294"/>
      <c r="E30" s="1299"/>
      <c r="G30" s="2719"/>
      <c r="H30" s="2719"/>
      <c r="I30" s="2719"/>
      <c r="J30" s="2719"/>
      <c r="K30" s="2719"/>
      <c r="L30" s="2719"/>
      <c r="M30" s="2719"/>
      <c r="N30" s="2719"/>
      <c r="O30" s="2719"/>
      <c r="P30" s="2719"/>
      <c r="Q30" s="2720"/>
      <c r="T30" s="1582"/>
      <c r="U30" s="143"/>
      <c r="V30" s="159"/>
      <c r="W30" s="150">
        <f t="shared" si="7"/>
        <v>0</v>
      </c>
      <c r="X30" s="151" t="s">
        <v>156</v>
      </c>
      <c r="Y30" s="144">
        <f>IF(IF(AND($B$7&gt;=DATE($I$3,4,1),$B$7&lt;DATE($I$3,5,1)),$B$6,0)=0,Y29-Z30,IF(AND($B$7&gt;=DATE($I$3,4,1),$B$7&lt;DATE($I$3,5,1)),$B$6,0))</f>
        <v>0</v>
      </c>
      <c r="Z30" s="143">
        <f t="shared" si="1"/>
        <v>0</v>
      </c>
      <c r="AA30" s="143">
        <f t="shared" si="2"/>
        <v>0</v>
      </c>
      <c r="AB30" s="143">
        <f t="shared" si="8"/>
        <v>0</v>
      </c>
      <c r="AC30" s="143"/>
      <c r="AE30" s="159"/>
      <c r="AF30" s="150">
        <f t="shared" si="9"/>
        <v>0</v>
      </c>
      <c r="AG30" s="151" t="s">
        <v>156</v>
      </c>
      <c r="AH30" s="144">
        <f>IF(IF(AND($B$18&gt;=DATE($I$3,4,1),$B$18&lt;DATE($I$3,5,1)),$B$17,0)=0,AH29-AI30,IF(AND($B$18&gt;=DATE($I$3,4,1),$B$18&lt;DATE($I$3,5,1)),$B$17,0))</f>
        <v>0</v>
      </c>
      <c r="AI30" s="143">
        <f t="shared" si="3"/>
        <v>0</v>
      </c>
      <c r="AJ30" s="143">
        <f t="shared" si="4"/>
        <v>0</v>
      </c>
      <c r="AK30" s="143">
        <f t="shared" si="10"/>
        <v>0</v>
      </c>
      <c r="AN30" s="159"/>
      <c r="AO30" s="150">
        <f t="shared" si="11"/>
        <v>0</v>
      </c>
      <c r="AP30" s="151" t="s">
        <v>156</v>
      </c>
      <c r="AQ30" s="144">
        <f>IF(IF(AND($B$29&gt;=DATE($I$3,4,1),$B$29&lt;DATE($I$3,5,1)),$B$28,0)=0,AQ29-AR30,IF(AND($B$29&gt;=DATE($I$3,4,1),$B$29&lt;DATE($I$3,5,1)),$B$28,0))</f>
        <v>0</v>
      </c>
      <c r="AR30" s="143">
        <f t="shared" si="5"/>
        <v>0</v>
      </c>
      <c r="AS30" s="143">
        <f t="shared" si="6"/>
        <v>0</v>
      </c>
      <c r="AT30" s="143">
        <f t="shared" si="12"/>
        <v>0</v>
      </c>
    </row>
    <row r="31" spans="1:46" ht="13.5" thickBot="1">
      <c r="A31" s="1299" t="s">
        <v>27</v>
      </c>
      <c r="B31" s="1510" t="str">
        <f>IF(B29&gt;0,B29+(B33*365.25-1),"")</f>
        <v/>
      </c>
      <c r="C31" s="1294"/>
      <c r="D31" s="1294"/>
      <c r="E31" s="1319" t="s">
        <v>1</v>
      </c>
      <c r="F31" s="2723"/>
      <c r="G31" s="2721"/>
      <c r="H31" s="2721"/>
      <c r="I31" s="2721"/>
      <c r="J31" s="2721"/>
      <c r="K31" s="2721"/>
      <c r="L31" s="2721"/>
      <c r="M31" s="2721"/>
      <c r="N31" s="2721"/>
      <c r="O31" s="2721"/>
      <c r="P31" s="2721"/>
      <c r="Q31" s="2722"/>
      <c r="T31" s="1582"/>
      <c r="U31" s="143"/>
      <c r="V31" s="159"/>
      <c r="W31" s="150">
        <f t="shared" si="7"/>
        <v>0</v>
      </c>
      <c r="X31" s="151" t="s">
        <v>158</v>
      </c>
      <c r="Y31" s="144">
        <f>IF(IF(AND($B$7&gt;=DATE($I$3,5,1),$B$7&lt;DATE($I$3,6,1)),$B$6,0)=0,Y30-Z31,IF(AND($B$7&gt;=DATE($I$3,5,1),$B$7&lt;DATE($I$3,6,1)),$B$6,0))</f>
        <v>0</v>
      </c>
      <c r="Z31" s="143">
        <f t="shared" si="1"/>
        <v>0</v>
      </c>
      <c r="AA31" s="143">
        <f t="shared" si="2"/>
        <v>0</v>
      </c>
      <c r="AB31" s="143">
        <f t="shared" si="8"/>
        <v>0</v>
      </c>
      <c r="AC31" s="143"/>
      <c r="AE31" s="159"/>
      <c r="AF31" s="150">
        <f t="shared" si="9"/>
        <v>0</v>
      </c>
      <c r="AG31" s="151" t="s">
        <v>158</v>
      </c>
      <c r="AH31" s="144">
        <f>IF(IF(AND($B$18&gt;=DATE($I$3,5,1),$B$18&lt;DATE($I$3,6,1)),$B$17,0)=0,AH30-AI31,IF(AND($B$18&gt;=DATE($I$3,5,1),$B$18&lt;DATE($I$3,6,1)),$B$17,0))</f>
        <v>0</v>
      </c>
      <c r="AI31" s="143">
        <f t="shared" si="3"/>
        <v>0</v>
      </c>
      <c r="AJ31" s="143">
        <f t="shared" si="4"/>
        <v>0</v>
      </c>
      <c r="AK31" s="143">
        <f t="shared" si="10"/>
        <v>0</v>
      </c>
      <c r="AN31" s="159"/>
      <c r="AO31" s="150">
        <f t="shared" si="11"/>
        <v>0</v>
      </c>
      <c r="AP31" s="151" t="s">
        <v>158</v>
      </c>
      <c r="AQ31" s="144">
        <f>IF(IF(AND($B$29&gt;=DATE($I$3,5,1),$B$29&lt;DATE($I$3,6,1)),$B$28,0)=0,AQ30-AR31,IF(AND($B$29&gt;=DATE($I$3,5,1),$B$29&lt;DATE($I$3,6,1)),$B$28,0))</f>
        <v>0</v>
      </c>
      <c r="AR31" s="143">
        <f t="shared" si="5"/>
        <v>0</v>
      </c>
      <c r="AS31" s="143">
        <f t="shared" si="6"/>
        <v>0</v>
      </c>
      <c r="AT31" s="143">
        <f t="shared" si="12"/>
        <v>0</v>
      </c>
    </row>
    <row r="32" spans="1:46">
      <c r="A32" s="1299" t="s">
        <v>25</v>
      </c>
      <c r="B32" s="1305">
        <f>IF(B31="",0,YEAR(B31))</f>
        <v>0</v>
      </c>
      <c r="C32" s="1294"/>
      <c r="D32" s="2724"/>
      <c r="T32" s="1582"/>
      <c r="U32" s="143"/>
      <c r="V32" s="159"/>
      <c r="W32" s="150">
        <f t="shared" si="7"/>
        <v>0</v>
      </c>
      <c r="X32" s="151" t="s">
        <v>160</v>
      </c>
      <c r="Y32" s="144">
        <f>IF(IF(AND($B$7&gt;=DATE($I$3,6,1),$B$7&lt;DATE($I$3,7,1)),$B$6,0)=0,Y31-Z32,IF(AND($B$7&gt;=DATE($I$3,6,1),$B$7&lt;DATE($I$3,7,1)),$B$6,0))</f>
        <v>0</v>
      </c>
      <c r="Z32" s="143">
        <f t="shared" si="1"/>
        <v>0</v>
      </c>
      <c r="AA32" s="143">
        <f t="shared" si="2"/>
        <v>0</v>
      </c>
      <c r="AB32" s="143">
        <f t="shared" si="8"/>
        <v>0</v>
      </c>
      <c r="AC32" s="143"/>
      <c r="AE32" s="159"/>
      <c r="AF32" s="150">
        <f t="shared" si="9"/>
        <v>0</v>
      </c>
      <c r="AG32" s="151" t="s">
        <v>160</v>
      </c>
      <c r="AH32" s="144">
        <f>IF(IF(AND($B$18&gt;=DATE($I$3,6,1),$B$18&lt;DATE($I$3,7,1)),$B$17,0)=0,AH31-AI32,IF(AND($B$18&gt;=DATE($I$3,6,1),$B$18&lt;DATE($I$3,7,1)),$B$17,0))</f>
        <v>0</v>
      </c>
      <c r="AI32" s="143">
        <f t="shared" si="3"/>
        <v>0</v>
      </c>
      <c r="AJ32" s="143">
        <f t="shared" si="4"/>
        <v>0</v>
      </c>
      <c r="AK32" s="143">
        <f t="shared" si="10"/>
        <v>0</v>
      </c>
      <c r="AN32" s="159"/>
      <c r="AO32" s="150">
        <f t="shared" si="11"/>
        <v>0</v>
      </c>
      <c r="AP32" s="151" t="s">
        <v>160</v>
      </c>
      <c r="AQ32" s="144">
        <f>IF(IF(AND($B$29&gt;=DATE($I$3,6,1),$B$29&lt;DATE($I$3,7,1)),$B$28,0)=0,AQ31-AR32,IF(AND($B$29&gt;=DATE($I$3,6,1),$B$29&lt;DATE($I$3,7,1)),$B$28,0))</f>
        <v>0</v>
      </c>
      <c r="AR32" s="143">
        <f t="shared" si="5"/>
        <v>0</v>
      </c>
      <c r="AS32" s="143">
        <f t="shared" si="6"/>
        <v>0</v>
      </c>
      <c r="AT32" s="143">
        <f t="shared" si="12"/>
        <v>0</v>
      </c>
    </row>
    <row r="33" spans="1:46" ht="13.5" thickBot="1">
      <c r="A33" s="1299" t="s">
        <v>23</v>
      </c>
      <c r="B33" s="2708"/>
      <c r="C33" s="1294"/>
      <c r="D33" s="1294"/>
      <c r="E33" s="1304" t="s">
        <v>175</v>
      </c>
      <c r="R33" s="1294"/>
      <c r="T33" s="1582"/>
      <c r="U33" s="143"/>
      <c r="V33" s="159"/>
      <c r="W33" s="150">
        <f t="shared" si="7"/>
        <v>0</v>
      </c>
      <c r="X33" s="151" t="s">
        <v>161</v>
      </c>
      <c r="Y33" s="144">
        <f>IF(IF(AND($B$7&gt;=DATE($I$3,7,1),$B$7&lt;DATE($I$3,8,1)),$B$6,0)=0,Y32-Z33,IF(AND($B$7&gt;=DATE($I$3,7,1),$B$7&lt;DATE($I$3,8,1)),$B$6,0))</f>
        <v>0</v>
      </c>
      <c r="Z33" s="143">
        <f t="shared" si="1"/>
        <v>0</v>
      </c>
      <c r="AA33" s="143">
        <f t="shared" si="2"/>
        <v>0</v>
      </c>
      <c r="AB33" s="143">
        <f t="shared" si="8"/>
        <v>0</v>
      </c>
      <c r="AC33" s="143"/>
      <c r="AE33" s="159"/>
      <c r="AF33" s="150">
        <f t="shared" si="9"/>
        <v>0</v>
      </c>
      <c r="AG33" s="151" t="s">
        <v>161</v>
      </c>
      <c r="AH33" s="144">
        <f>IF(IF(AND($B$18&gt;=DATE($I$3,7,1),$B$18&lt;DATE($I$3,8,1)),$B$17,0)=0,AH32-AI33,IF(AND($B$18&gt;=DATE($I$3,7,1),$B$18&lt;DATE($I$3,8,1)),$B$17,0))</f>
        <v>0</v>
      </c>
      <c r="AI33" s="143">
        <f t="shared" si="3"/>
        <v>0</v>
      </c>
      <c r="AJ33" s="143">
        <f t="shared" si="4"/>
        <v>0</v>
      </c>
      <c r="AK33" s="143">
        <f t="shared" si="10"/>
        <v>0</v>
      </c>
      <c r="AN33" s="159"/>
      <c r="AO33" s="150">
        <f t="shared" si="11"/>
        <v>0</v>
      </c>
      <c r="AP33" s="151" t="s">
        <v>161</v>
      </c>
      <c r="AQ33" s="144">
        <f>IF(IF(AND($B$29&gt;=DATE($I$3,7,1),$B$29&lt;DATE($I$3,8,1)),$B$28,0)=0,AQ32-AR33,IF(AND($B$29&gt;=DATE($I$3,7,1),$B$29&lt;DATE($I$3,8,1)),$B$28,0))</f>
        <v>0</v>
      </c>
      <c r="AR33" s="143">
        <f t="shared" si="5"/>
        <v>0</v>
      </c>
      <c r="AS33" s="143">
        <f t="shared" si="6"/>
        <v>0</v>
      </c>
      <c r="AT33" s="143">
        <f t="shared" si="12"/>
        <v>0</v>
      </c>
    </row>
    <row r="34" spans="1:46">
      <c r="A34" s="1299" t="s">
        <v>102</v>
      </c>
      <c r="B34" s="1540">
        <v>1</v>
      </c>
      <c r="D34" s="1294"/>
      <c r="E34" s="1539" t="s">
        <v>174</v>
      </c>
      <c r="F34" s="1502"/>
      <c r="G34" s="1710">
        <f>IF($B$3&gt;=G2,IF((AND($B$30=G3))=TRUE,$B$28,0))</f>
        <v>0</v>
      </c>
      <c r="H34" s="1710">
        <f t="shared" ref="H34:Q34" si="20">IF($B$3&gt;=H2,IF((AND($B$30=H3))=TRUE,$B$28,IF((AND(H3&gt;$B$30))=TRUE,G37,0)),0)</f>
        <v>0</v>
      </c>
      <c r="I34" s="1710">
        <f t="shared" si="20"/>
        <v>0</v>
      </c>
      <c r="J34" s="1710">
        <f t="shared" si="20"/>
        <v>0</v>
      </c>
      <c r="K34" s="1710">
        <f t="shared" si="20"/>
        <v>0</v>
      </c>
      <c r="L34" s="1710">
        <f t="shared" si="20"/>
        <v>0</v>
      </c>
      <c r="M34" s="1710">
        <f t="shared" si="20"/>
        <v>0</v>
      </c>
      <c r="N34" s="1710">
        <f t="shared" si="20"/>
        <v>0</v>
      </c>
      <c r="O34" s="1710">
        <f t="shared" si="20"/>
        <v>0</v>
      </c>
      <c r="P34" s="1710">
        <f t="shared" si="20"/>
        <v>0</v>
      </c>
      <c r="Q34" s="1711">
        <f t="shared" si="20"/>
        <v>0</v>
      </c>
      <c r="T34" s="1582"/>
      <c r="U34" s="143"/>
      <c r="V34" s="159"/>
      <c r="W34" s="150">
        <f t="shared" si="7"/>
        <v>0</v>
      </c>
      <c r="X34" s="151" t="s">
        <v>162</v>
      </c>
      <c r="Y34" s="144">
        <f>IF(IF(AND($B$7&gt;=DATE($I$3,8,1),$B$7&lt;DATE($I$3,9,1)),$B$6,0)=0,Y33-Z34,IF(AND($B$7&gt;=DATE($I$3,8,1),$B$7&lt;DATE($I$3,9,1)),$B$6,0))</f>
        <v>0</v>
      </c>
      <c r="Z34" s="143">
        <f t="shared" si="1"/>
        <v>0</v>
      </c>
      <c r="AA34" s="143">
        <f t="shared" si="2"/>
        <v>0</v>
      </c>
      <c r="AB34" s="143">
        <f t="shared" si="8"/>
        <v>0</v>
      </c>
      <c r="AC34" s="143"/>
      <c r="AE34" s="159"/>
      <c r="AF34" s="150">
        <f t="shared" si="9"/>
        <v>0</v>
      </c>
      <c r="AG34" s="151" t="s">
        <v>162</v>
      </c>
      <c r="AH34" s="144">
        <f>IF(IF(AND($B$18&gt;=DATE($I$3,8,1),$B$18&lt;DATE($I$3,9,1)),$B$17,0)=0,AH33-AI34,IF(AND($B$18&gt;=DATE($I$3,8,1),$B$18&lt;DATE($I$3,9,1)),$B$17,0))</f>
        <v>0</v>
      </c>
      <c r="AI34" s="143">
        <f t="shared" si="3"/>
        <v>0</v>
      </c>
      <c r="AJ34" s="143">
        <f t="shared" si="4"/>
        <v>0</v>
      </c>
      <c r="AK34" s="143">
        <f t="shared" si="10"/>
        <v>0</v>
      </c>
      <c r="AN34" s="159"/>
      <c r="AO34" s="150">
        <f t="shared" si="11"/>
        <v>0</v>
      </c>
      <c r="AP34" s="151" t="s">
        <v>162</v>
      </c>
      <c r="AQ34" s="144">
        <f>IF(IF(AND($B$29&gt;=DATE($I$3,8,1),$B$29&lt;DATE($I$3,9,1)),$B$28,0)=0,AQ33-AR34,IF(AND($B$29&gt;=DATE($I$3,8,1),$B$29&lt;DATE($I$3,9,1)),$B$28,0))</f>
        <v>0</v>
      </c>
      <c r="AR34" s="143">
        <f t="shared" si="5"/>
        <v>0</v>
      </c>
      <c r="AS34" s="143">
        <f t="shared" si="6"/>
        <v>0</v>
      </c>
      <c r="AT34" s="143">
        <f t="shared" si="12"/>
        <v>0</v>
      </c>
    </row>
    <row r="35" spans="1:46">
      <c r="A35" s="1299" t="s">
        <v>173</v>
      </c>
      <c r="B35" s="2710">
        <f>B40</f>
        <v>3.7499999999999999E-2</v>
      </c>
      <c r="C35" s="2725"/>
      <c r="D35" s="1294"/>
      <c r="E35" s="1299" t="s">
        <v>7</v>
      </c>
      <c r="F35" s="1541"/>
      <c r="G35" s="1541">
        <f>-IF($B$3&gt;=G2,IF($B$27="Linear",IF((AND(G3&gt;$B$30,$B$31&gt;=DATE(G3,12,31)))=TRUE,($B$28)*$B$36,IF((AND(G3&gt;$B$30,$B$31&lt;=DATE(G3,12,31),$B$31&gt;DATE(G3,1,1)))=TRUE,(($B$31-DATE(G3,1,1)+1)/365)*($B$28)*$B$36,IF(AND(G3=$B$30,$B$31&gt;DATE(G3,12,31))=TRUE,((DATE(G3,12,31)-$B$29+1)/365)*$B$36*($B$28),0))),IF($B$27="Annuity",SUM(AR4:AR15),IF($B$3&gt;=G2,-IF($B$27="Composite",IF(AND(G2&lt;=$B$33,$B$3&gt;=G2)=TRUE,(G34)*$B$35,IF(AND((G2-$B$33)&gt;0,($B$33-G2)&lt;1)=TRUE,(G2-$B$33)*$B$35*G34,0)),0),0))),0)</f>
        <v>0</v>
      </c>
      <c r="H35" s="1541">
        <f>-IF($B$3&gt;=H2,IF($B$27="Linear",IF((AND(H3&gt;$B$30,$B$31&gt;=DATE(H3,12,31)))=TRUE,($B$28)*$B$36,IF((AND(H3&gt;$B$30,$B$31&lt;=DATE(H3,12,31),$B$31&gt;DATE(H3,1,1)))=TRUE,(($B$31-DATE(H3,1,1)+1)/365)*($B$28)*$B$36,IF(AND(H3=$B$30,$B$31&gt;DATE(H3,12,31))=TRUE,((DATE(H3,12,31)-$B$29+1)/365)*$B$36*($B$28),0))),IF($B$27="Annuity",SUM(AR16:AR27),IF($B$3&gt;=H2,-IF($B$27="Composite",IF(AND(H2&lt;=$B$33,$B$3&gt;=H2)=TRUE,(H34)*$B$35,IF(AND((H2-$B$33)&gt;0,($B$33-H2)&lt;1)=TRUE,(H2-$B$33)*$B$35*H34,0)),0),0))),0)</f>
        <v>0</v>
      </c>
      <c r="I35" s="1541">
        <f>-IF($B$3&gt;=I2,IF($B$27="Linear",IF((AND(I3&gt;$B$30,$B$31&gt;=DATE(I3,12,31)))=TRUE,($B$28)*$B$36,IF((AND(I3&gt;$B$30,$B$31&lt;=DATE(I3,12,31),$B$31&gt;DATE(I3,1,1)))=TRUE,(($B$31-DATE(I3,1,1)+1)/365)*($B$28)*$B$36,IF(AND(I3=$B$30,$B$31&gt;DATE(I3,12,31))=TRUE,((DATE(I3,12,31)-$B$29+1)/365)*$B$36*($B$28),0))),IF($B$27="Annuity",SUM(AR28:AR39),IF($B$3&gt;=I2,-IF($B$27="Composite",IF(AND(I2&lt;=$B$33,$B$3&gt;=I2)=TRUE,(I34)*$B$35,IF(AND((I2-$B$33)&gt;0,($B$33-I2)&lt;1)=TRUE,(I2-$B$33)*$B$35*I34,0)),0),0))),0)</f>
        <v>0</v>
      </c>
      <c r="J35" s="1541">
        <f>-IF($B$3&gt;=J2,IF($B$27="Linear",IF((AND(J3&gt;$B$30,$B$31&gt;=DATE(J3,12,31)))=TRUE,($B$28)*$B$36,IF((AND(J3&gt;$B$30,$B$31&lt;=DATE(J3,12,31),$B$31&gt;DATE(J3,1,1)))=TRUE,(($B$31-DATE(J3,1,1)+1)/365)*($B$28)*$B$36,IF(AND(J3=$B$30,$B$31&gt;DATE(J3,12,31))=TRUE,((DATE(J3,12,31)-$B$29+1)/365)*$B$36*($B$28),0))),IF($B$27="Annuity",SUM(AR40:AR51),IF($B$3&gt;=J2,-IF($B$27="Composite",IF(AND(J2&lt;=$B$33,$B$3&gt;=J2)=TRUE,(J34)*$B$35,IF(AND((J2-$B$33)&gt;0,($B$33-J2)&lt;1)=TRUE,(J2-$B$33)*$B$35*J34,0)),0),0))),0)</f>
        <v>0</v>
      </c>
      <c r="K35" s="1541">
        <f>-IF($B$3&gt;=K2,IF($B$27="Linear",IF((AND(K3&gt;$B$30,$B$31&gt;=DATE(K3,12,31)))=TRUE,($B$28)*$B$36,IF((AND(K3&gt;$B$30,$B$31&lt;=DATE(K3,12,31),$B$31&gt;DATE(K3,1,1)))=TRUE,(($B$31-DATE(K3,1,1)+1)/365)*($B$28)*$B$36,IF(AND(K3=$B$30,$B$31&gt;DATE(K3,12,31))=TRUE,((DATE(K3,12,31)-$B$29+1)/365)*$B$36*($B$28),0))),IF($B$27="Annuity",SUM(AR52:AR60),IF($B$3&gt;=K2,-IF($B$27="Composite",IF(AND(K2&lt;=$B$33,$B$3&gt;=K2)=TRUE,(K34)*$B$35,IF(AND((K2-$B$33)&gt;0,($B$33-K2)&lt;1)=TRUE,(K2-$B$33)*$B$35*K34,0)),0),0))),0)</f>
        <v>0</v>
      </c>
      <c r="L35" s="1541">
        <f>-IF($B$3&gt;=L2,IF($B$27="Linear",IF((AND(L3&gt;$B$30,$B$31&gt;=DATE(L3,12,31)))=TRUE,($B$28)*$B$36,IF((AND(L3&gt;$B$30,$B$31&lt;=DATE(L3,12,31),$B$31&gt;DATE(L3,1,1)))=TRUE,(($B$31-DATE(L3,1,1)+1)/365)*($B$28)*$B$36,IF(AND(L3=$B$30,$B$31&gt;DATE(L3,12,31))=TRUE,((DATE(L3,12,31)-$B$29+1)/365)*$B$36*($B$28),0))),IF($B$27="Annuity",SUM(#REF!),IF($B$3&gt;=L2,-IF($B$27="Composite",IF(AND(L2&lt;=$B$33,$B$3&gt;=L2)=TRUE,(L34)*$B$35,IF(AND((L2-$B$33)&gt;0,($B$33-L2)&lt;1)=TRUE,(L2-$B$33)*$B$35*L34,0)),0),0))),0)</f>
        <v>0</v>
      </c>
      <c r="M35" s="1541">
        <f>-IF($B$3&gt;=M2,IF($B$27="Linear",IF((AND(M3&gt;$B$30,$B$31&gt;=DATE(M3,12,31)))=TRUE,($B$28)*$B$36,IF((AND(M3&gt;$B$30,$B$31&lt;=DATE(M3,12,31),$B$31&gt;DATE(M3,1,1)))=TRUE,(($B$31-DATE(M3,1,1)+1)/365)*($B$28)*$B$36,IF(AND(M3=$B$30,$B$31&gt;DATE(M3,12,31))=TRUE,((DATE(M3,12,31)-$B$29+1)/365)*$B$36*($B$28),0))),IF($B$27="Annuity",SUM(#REF!),IF($B$3&gt;=M2,-IF($B$27="Composite",IF(AND(M2&lt;=$B$33,$B$3&gt;=M2)=TRUE,(M34)*$B$35,IF(AND((M2-$B$33)&gt;0,($B$33-M2)&lt;1)=TRUE,(M2-$B$33)*$B$35*M34,0)),0),0))),0)</f>
        <v>0</v>
      </c>
      <c r="N35" s="1541">
        <f>-IF($B$3&gt;=N2,IF($B$27="Linear",IF((AND(N3&gt;$B$30,$B$31&gt;=DATE(N3,12,31)))=TRUE,($B$28)*$B$36,IF((AND(N3&gt;$B$30,$B$31&lt;=DATE(N3,12,31),$B$31&gt;DATE(N3,1,1)))=TRUE,(($B$31-DATE(N3,1,1)+1)/365)*($B$28)*$B$36,IF(AND(N3=$B$30,$B$31&gt;DATE(N3,12,31))=TRUE,((DATE(N3,12,31)-$B$29+1)/365)*$B$36*($B$28),0))),IF($B$27="Annuity",SUM(#REF!),IF($B$3&gt;=N2,-IF($B$27="Composite",IF(AND(N2&lt;=$B$33,$B$3&gt;=N2)=TRUE,(N34)*$B$35,IF(AND((N2-$B$33)&gt;0,($B$33-N2)&lt;1)=TRUE,(N2-$B$33)*$B$35*N34,0)),0),0))),0)</f>
        <v>0</v>
      </c>
      <c r="O35" s="1541">
        <f>-IF($B$3&gt;=O2,IF($B$27="Linear",IF((AND(O3&gt;$B$30,$B$31&gt;=DATE(O3,12,31)))=TRUE,($B$28)*$B$36,IF((AND(O3&gt;$B$30,$B$31&lt;=DATE(O3,12,31),$B$31&gt;DATE(O3,1,1)))=TRUE,(($B$31-DATE(O3,1,1)+1)/365)*($B$28)*$B$36,IF(AND(O3=$B$30,$B$31&gt;DATE(O3,12,31))=TRUE,((DATE(O3,12,31)-$B$29+1)/365)*$B$36*($B$28),0))),IF($B$27="Annuity",SUM(#REF!),IF($B$3&gt;=O2,-IF($B$27="Composite",IF(AND(O2&lt;=$B$33,$B$3&gt;=O2)=TRUE,(O34)*$B$35,IF(AND((O2-$B$33)&gt;0,($B$33-O2)&lt;1)=TRUE,(O2-$B$33)*$B$35*O34,0)),0),0))),0)</f>
        <v>0</v>
      </c>
      <c r="P35" s="1541">
        <f>-IF($B$3&gt;=P2,IF($B$27="Linear",IF((AND(P3&gt;$B$30,$B$31&gt;=DATE(P3,12,31)))=TRUE,($B$28)*$B$36,IF((AND(P3&gt;$B$30,$B$31&lt;=DATE(P3,12,31),$B$31&gt;DATE(P3,1,1)))=TRUE,(($B$31-DATE(P3,1,1)+1)/365)*($B$28)*$B$36,IF(AND(P3=$B$30,$B$31&gt;DATE(P3,12,31))=TRUE,((DATE(P3,12,31)-$B$29+1)/365)*$B$36*($B$28),0))),IF($B$27="Annuity",SUM(#REF!),IF($B$3&gt;=P2,-IF($B$27="Composite",IF(AND(P2&lt;=$B$33,$B$3&gt;=P2)=TRUE,(P34)*$B$35,IF(AND((P2-$B$33)&gt;0,($B$33-P2)&lt;1)=TRUE,(P2-$B$33)*$B$35*P34,0)),0),0))),0)</f>
        <v>0</v>
      </c>
      <c r="Q35" s="1530">
        <f>-IF($B$3&gt;=Q2,IF($B$27="Linear",IF((AND(Q3&gt;$B$30,$B$31&gt;=DATE(Q3,12,31)))=TRUE,($B$28)*$B$36,IF((AND(Q3&gt;$B$30,$B$31&lt;=DATE(Q3,12,31),$B$31&gt;DATE(Q3,1,1)))=TRUE,(($B$31-DATE(Q3,1,1)+1)/365)*($B$28)*$B$36,IF(AND(Q3=$B$30,$B$31&gt;DATE(Q3,12,31))=TRUE,((DATE(Q3,12,31)-$B$29+1)/365)*$B$36*($B$28),0))),IF($B$27="Annuity",SUM(#REF!),IF($B$3&gt;=Q2,-IF($B$27="Composite",IF(AND(Q2&lt;=$B$33,$B$3&gt;=Q2)=TRUE,(Q34)*$B$35,IF(AND((Q2-$B$33)&gt;0,($B$33-Q2)&lt;1)=TRUE,(Q2-$B$33)*$B$35*Q34,0)),0),0))),0)</f>
        <v>0</v>
      </c>
      <c r="T35" s="1582"/>
      <c r="U35" s="143"/>
      <c r="V35" s="159"/>
      <c r="W35" s="150">
        <f t="shared" si="7"/>
        <v>0</v>
      </c>
      <c r="X35" s="151" t="s">
        <v>163</v>
      </c>
      <c r="Y35" s="144">
        <f>IF(IF(AND($B$7&gt;=DATE($I$3,9,1),$B$7&lt;DATE($I$3,10,1)),$B$6,0)=0,Y34-Z35,IF(AND($B$7&gt;=DATE($I$3,9,1),$B$7&lt;DATE($I$3,10,1)),$B$6,0))</f>
        <v>0</v>
      </c>
      <c r="Z35" s="143">
        <f t="shared" si="1"/>
        <v>0</v>
      </c>
      <c r="AA35" s="143">
        <f t="shared" si="2"/>
        <v>0</v>
      </c>
      <c r="AB35" s="143">
        <f t="shared" si="8"/>
        <v>0</v>
      </c>
      <c r="AC35" s="143"/>
      <c r="AE35" s="159"/>
      <c r="AF35" s="150">
        <f t="shared" si="9"/>
        <v>0</v>
      </c>
      <c r="AG35" s="151" t="s">
        <v>163</v>
      </c>
      <c r="AH35" s="144">
        <f>IF(IF(AND($B$17&gt;=DATE($I$3,9,1),$B$17&lt;DATE($I$3,10,1)),$B$16,0)=0,AH34-AI35,IF(AND($B$17&gt;=DATE($I$3,9,1),$B$17&lt;DATE($I$3,10,1)),$B$16,0))</f>
        <v>0</v>
      </c>
      <c r="AI35" s="143">
        <f t="shared" si="3"/>
        <v>0</v>
      </c>
      <c r="AJ35" s="143">
        <f t="shared" si="4"/>
        <v>0</v>
      </c>
      <c r="AK35" s="143">
        <f t="shared" si="10"/>
        <v>0</v>
      </c>
      <c r="AN35" s="159"/>
      <c r="AO35" s="150">
        <f t="shared" si="11"/>
        <v>0</v>
      </c>
      <c r="AP35" s="151" t="s">
        <v>163</v>
      </c>
      <c r="AQ35" s="144">
        <f>IF(IF(AND($B$29&gt;=DATE($I$3,9,1),$B$29&lt;DATE($I$3,10,1)),$B$28,0)=0,AQ34-AR35,IF(AND($B$29&gt;=DATE($I$3,9,1),$B$29&lt;DATE($I$3,10,1)),$B$28,0))</f>
        <v>0</v>
      </c>
      <c r="AR35" s="143">
        <f t="shared" si="5"/>
        <v>0</v>
      </c>
      <c r="AS35" s="143">
        <f t="shared" si="6"/>
        <v>0</v>
      </c>
      <c r="AT35" s="143">
        <f t="shared" si="12"/>
        <v>0</v>
      </c>
    </row>
    <row r="36" spans="1:46" ht="13.5" thickBot="1">
      <c r="A36" s="2711" t="s">
        <v>4</v>
      </c>
      <c r="B36" s="2712">
        <f>B41</f>
        <v>0.04</v>
      </c>
      <c r="D36" s="1294"/>
      <c r="E36" s="1299" t="s">
        <v>16</v>
      </c>
      <c r="F36" s="1541"/>
      <c r="G36" s="1541">
        <f t="shared" ref="G36:Q36" si="21">IF($B$3&gt;=G2,IF(AND($B$31&gt;DATE(G3,1,1),$B$31&lt;=DATE(G3,12,31))=TRUE,-G34-G35,IF($B$3=G2,-G34-G35,0)),0)</f>
        <v>0</v>
      </c>
      <c r="H36" s="1541">
        <f t="shared" si="21"/>
        <v>0</v>
      </c>
      <c r="I36" s="1541">
        <f t="shared" si="21"/>
        <v>0</v>
      </c>
      <c r="J36" s="1541">
        <f t="shared" si="21"/>
        <v>0</v>
      </c>
      <c r="K36" s="1541">
        <f t="shared" si="21"/>
        <v>0</v>
      </c>
      <c r="L36" s="1541">
        <f t="shared" si="21"/>
        <v>0</v>
      </c>
      <c r="M36" s="1541">
        <f t="shared" si="21"/>
        <v>0</v>
      </c>
      <c r="N36" s="1541">
        <f t="shared" si="21"/>
        <v>0</v>
      </c>
      <c r="O36" s="1541">
        <f t="shared" si="21"/>
        <v>0</v>
      </c>
      <c r="P36" s="1541">
        <f t="shared" si="21"/>
        <v>0</v>
      </c>
      <c r="Q36" s="1530">
        <f t="shared" si="21"/>
        <v>0</v>
      </c>
      <c r="T36" s="1582"/>
      <c r="U36" s="143"/>
      <c r="V36" s="159"/>
      <c r="W36" s="150">
        <f t="shared" si="7"/>
        <v>0</v>
      </c>
      <c r="X36" s="151" t="s">
        <v>164</v>
      </c>
      <c r="Y36" s="144">
        <f>IF(IF(AND($B$7&gt;=DATE($I$3,10,1),$B$7&lt;DATE($I$3,11,1)),$B$6,0)=0,Y35-Z36,IF(AND($B$7&gt;=DATE($I$3,10,1),$B$7&lt;DATE($I$3,11,1)),$B$6,0))</f>
        <v>0</v>
      </c>
      <c r="Z36" s="143">
        <f t="shared" ref="Z36:Z60" si="22">IF(Y35&lt;1,0,((((Y35)*$B$13)/12)/(1-(1+$B$13/12)^-ROUND((($B$11*12)-W35),0)))-AB36)</f>
        <v>0</v>
      </c>
      <c r="AA36" s="143">
        <f t="shared" ref="AA36:AA60" si="23">Y35*$B$13</f>
        <v>0</v>
      </c>
      <c r="AB36" s="143">
        <f t="shared" si="8"/>
        <v>0</v>
      </c>
      <c r="AC36" s="143"/>
      <c r="AE36" s="159"/>
      <c r="AF36" s="150">
        <f t="shared" si="9"/>
        <v>0</v>
      </c>
      <c r="AG36" s="151" t="s">
        <v>164</v>
      </c>
      <c r="AH36" s="144">
        <f>IF(IF(AND($B$18&gt;=DATE($I$3,10,1),$B$18&lt;DATE($I$3,11,1)),$B$17,0)=0,AH35-AI36,IF(AND($B$18&gt;=DATE($I$3,10,1),$B$18&lt;DATE($I$3,11,1)),$B$17,0))</f>
        <v>0</v>
      </c>
      <c r="AI36" s="143">
        <f t="shared" ref="AI36:AI60" si="24">IF(AH35&lt;1,0,((((AH35)*$B$24)/12)/(1-(1+$B$24/12)^-ROUND((($B$22*12)-AF35),0)))-AK36)</f>
        <v>0</v>
      </c>
      <c r="AJ36" s="143">
        <f t="shared" ref="AJ36:AJ60" si="25">AH35*$B$24</f>
        <v>0</v>
      </c>
      <c r="AK36" s="143">
        <f t="shared" si="10"/>
        <v>0</v>
      </c>
      <c r="AN36" s="159"/>
      <c r="AO36" s="150">
        <f t="shared" si="11"/>
        <v>0</v>
      </c>
      <c r="AP36" s="151" t="s">
        <v>164</v>
      </c>
      <c r="AQ36" s="144">
        <f>IF(IF(AND($B$29&gt;=DATE($I$3,10,1),$B$29&lt;DATE($I$3,11,1)),$B$28,0)=0,AQ35-AR36,IF(AND($B$29&gt;=DATE($I$3,10,1),$B$29&lt;DATE($I$3,11,1)),$B$28,0))</f>
        <v>0</v>
      </c>
      <c r="AR36" s="143">
        <f t="shared" ref="AR36:AR60" si="26">IF(AQ35&lt;1,0,((((AQ35)*$B$35)/12)/(1-(1+$B$35/12)^-(($B$33*12)-AO35)))-AT36)</f>
        <v>0</v>
      </c>
      <c r="AS36" s="143">
        <f t="shared" ref="AS36:AS60" si="27">AQ35*$B$35</f>
        <v>0</v>
      </c>
      <c r="AT36" s="143">
        <f t="shared" si="12"/>
        <v>0</v>
      </c>
    </row>
    <row r="37" spans="1:46" ht="13.5" thickBot="1">
      <c r="D37" s="1294"/>
      <c r="E37" s="1299" t="s">
        <v>6</v>
      </c>
      <c r="G37" s="1541">
        <f t="shared" ref="G37:Q37" si="28">IF($B$3&gt;=G2,G34+G35+G36,0)</f>
        <v>0</v>
      </c>
      <c r="H37" s="1541">
        <f t="shared" si="28"/>
        <v>0</v>
      </c>
      <c r="I37" s="1541">
        <f t="shared" si="28"/>
        <v>0</v>
      </c>
      <c r="J37" s="1541">
        <f t="shared" si="28"/>
        <v>0</v>
      </c>
      <c r="K37" s="1541">
        <f t="shared" si="28"/>
        <v>0</v>
      </c>
      <c r="L37" s="1541">
        <f t="shared" si="28"/>
        <v>0</v>
      </c>
      <c r="M37" s="1541">
        <f t="shared" si="28"/>
        <v>0</v>
      </c>
      <c r="N37" s="1541">
        <f t="shared" si="28"/>
        <v>0</v>
      </c>
      <c r="O37" s="1541">
        <f t="shared" si="28"/>
        <v>0</v>
      </c>
      <c r="P37" s="1541">
        <f t="shared" si="28"/>
        <v>0</v>
      </c>
      <c r="Q37" s="1530">
        <f t="shared" si="28"/>
        <v>0</v>
      </c>
      <c r="T37" s="1582"/>
      <c r="U37" s="143"/>
      <c r="V37" s="159"/>
      <c r="W37" s="150">
        <f t="shared" si="7"/>
        <v>0</v>
      </c>
      <c r="X37" s="151" t="s">
        <v>165</v>
      </c>
      <c r="Y37" s="144">
        <f>IF(IF(AND($B$7&gt;=DATE($I$3,11,1),$B$7&lt;DATE($I$3,12,1)),$B$6,0)=0,Y36-Z37,IF(AND($B$7&gt;=DATE($I$3,11,1),$B$7&lt;DATE($I$3,12,1)),$B$6,0))</f>
        <v>0</v>
      </c>
      <c r="Z37" s="143">
        <f t="shared" si="22"/>
        <v>0</v>
      </c>
      <c r="AA37" s="143">
        <f t="shared" si="23"/>
        <v>0</v>
      </c>
      <c r="AB37" s="143">
        <f t="shared" si="8"/>
        <v>0</v>
      </c>
      <c r="AC37" s="143"/>
      <c r="AE37" s="159"/>
      <c r="AF37" s="150">
        <f t="shared" si="9"/>
        <v>0</v>
      </c>
      <c r="AG37" s="151" t="s">
        <v>165</v>
      </c>
      <c r="AH37" s="144">
        <f>IF(IF(AND($B$18&gt;=DATE($I$3,11,1),$B$18&lt;DATE($I$3,12,1)),$B$17,0)=0,AH36-AI37,IF(AND($B$18&gt;=DATE($I$3,11,1),$B$18&lt;DATE($I$3,12,1)),$B$17,0))</f>
        <v>0</v>
      </c>
      <c r="AI37" s="143">
        <f t="shared" si="24"/>
        <v>0</v>
      </c>
      <c r="AJ37" s="143">
        <f t="shared" si="25"/>
        <v>0</v>
      </c>
      <c r="AK37" s="143">
        <f t="shared" si="10"/>
        <v>0</v>
      </c>
      <c r="AN37" s="159"/>
      <c r="AO37" s="150">
        <f t="shared" si="11"/>
        <v>0</v>
      </c>
      <c r="AP37" s="151" t="s">
        <v>165</v>
      </c>
      <c r="AQ37" s="144">
        <f>IF(IF(AND($B$29&gt;=DATE($I$3,11,1),$B$29&lt;DATE($I$3,12,1)),$B$28,0)=0,AQ36-AR37,IF(AND($B$29&gt;=DATE($I$3,11,1),$B$29&lt;DATE($I$3,12,1)),$B$28,0))</f>
        <v>0</v>
      </c>
      <c r="AR37" s="143">
        <f t="shared" si="26"/>
        <v>0</v>
      </c>
      <c r="AS37" s="143">
        <f t="shared" si="27"/>
        <v>0</v>
      </c>
      <c r="AT37" s="143">
        <f t="shared" si="12"/>
        <v>0</v>
      </c>
    </row>
    <row r="38" spans="1:46" ht="13.5" thickBot="1">
      <c r="A38" s="1539" t="s">
        <v>7</v>
      </c>
      <c r="B38" s="2726" t="s">
        <v>649</v>
      </c>
      <c r="D38" s="1294"/>
      <c r="E38" s="2713"/>
      <c r="F38" s="2714"/>
      <c r="G38" s="1532"/>
      <c r="H38" s="1532"/>
      <c r="I38" s="1532"/>
      <c r="J38" s="1532"/>
      <c r="K38" s="1532"/>
      <c r="L38" s="1532"/>
      <c r="M38" s="1532"/>
      <c r="N38" s="1532"/>
      <c r="O38" s="1532"/>
      <c r="P38" s="1532"/>
      <c r="Q38" s="1533"/>
      <c r="T38" s="1582"/>
      <c r="U38" s="143"/>
      <c r="V38" s="159"/>
      <c r="W38" s="150">
        <f t="shared" si="7"/>
        <v>0</v>
      </c>
      <c r="X38" s="151" t="s">
        <v>166</v>
      </c>
      <c r="Y38" s="144">
        <f>IF(IF(AND($B$7&gt;=DATE($I$3,12,1),$B$7&lt;DATE($J$3,1,1)),$B$6,0)=0,Y37-Z38,IF(AND($B$7&gt;=DATE($I$3,12,1),$B$7&lt;DATE($J$3,1,1)),$B$6,0))</f>
        <v>0</v>
      </c>
      <c r="Z38" s="143">
        <f t="shared" si="22"/>
        <v>0</v>
      </c>
      <c r="AA38" s="143">
        <f t="shared" si="23"/>
        <v>0</v>
      </c>
      <c r="AB38" s="143">
        <f t="shared" si="8"/>
        <v>0</v>
      </c>
      <c r="AC38" s="143"/>
      <c r="AE38" s="159"/>
      <c r="AF38" s="150">
        <f t="shared" si="9"/>
        <v>0</v>
      </c>
      <c r="AG38" s="151" t="s">
        <v>166</v>
      </c>
      <c r="AH38" s="144">
        <f>IF(IF(AND($B$18&gt;=DATE($I$3,12,1),$B$18&lt;DATE($J$3,1,1)),$B$17,0)=0,AH37-AI38,IF(AND($B$18&gt;=DATE($I$3,12,1),$B$18&lt;DATE($J$3,1,1)),$B$17,0))</f>
        <v>0</v>
      </c>
      <c r="AI38" s="143">
        <f t="shared" si="24"/>
        <v>0</v>
      </c>
      <c r="AJ38" s="143">
        <f t="shared" si="25"/>
        <v>0</v>
      </c>
      <c r="AK38" s="143">
        <f t="shared" si="10"/>
        <v>0</v>
      </c>
      <c r="AN38" s="159"/>
      <c r="AO38" s="150">
        <f t="shared" si="11"/>
        <v>0</v>
      </c>
      <c r="AP38" s="151" t="s">
        <v>166</v>
      </c>
      <c r="AQ38" s="144">
        <f>IF(IF(AND($B$29&gt;=DATE($I$3,12,1),$B$29&lt;DATE($J$3,1,1)),$B$28,0)=0,AQ37-AR38,IF(AND($B$29&gt;=DATE($I$3,12,1),$B$29&lt;DATE($J$3,1,1)),$B$28,0))</f>
        <v>0</v>
      </c>
      <c r="AR38" s="143">
        <f t="shared" si="26"/>
        <v>0</v>
      </c>
      <c r="AS38" s="143">
        <f t="shared" si="27"/>
        <v>0</v>
      </c>
      <c r="AT38" s="143">
        <f t="shared" si="12"/>
        <v>0</v>
      </c>
    </row>
    <row r="39" spans="1:46" ht="14.25" thickTop="1" thickBot="1">
      <c r="A39" s="1299" t="s">
        <v>18</v>
      </c>
      <c r="B39" s="2710" t="s">
        <v>649</v>
      </c>
      <c r="D39" s="1294"/>
      <c r="E39" s="2715" t="s">
        <v>9</v>
      </c>
      <c r="F39" s="2716"/>
      <c r="G39" s="2717">
        <f>IF($B$3&gt;=G2,IF(AND($B$31&gt;DATE(2015,1,1))=TRUE,$B$36,0),0)</f>
        <v>0.04</v>
      </c>
      <c r="H39" s="2717">
        <f>IF($B$3&gt;=H2,IF(AND($B$31&gt;DATE(2016,1,1))=TRUE,$B$36,0),0)</f>
        <v>0.04</v>
      </c>
      <c r="I39" s="2717">
        <f>IF($B$3&gt;=I2,IF(AND($B$31&gt;DATE(2017,1,1))=TRUE,$B$36,0),0)</f>
        <v>0.04</v>
      </c>
      <c r="J39" s="2717">
        <f>IF($B$3&gt;=J2,IF(AND($B$31&gt;DATE(2018,1,1))=TRUE,$B$36,0),0)</f>
        <v>0.04</v>
      </c>
      <c r="K39" s="2717">
        <f>IF($B$3&gt;=K2,IF(AND($B$31&gt;DATE(2019,1,1))=TRUE,$B$36,0),0)</f>
        <v>0.04</v>
      </c>
      <c r="L39" s="2717">
        <f>IF($B$3&gt;=L2,IF(AND($B$31&gt;DATE(2020,1,1))=TRUE,$B$36,0),0)</f>
        <v>0.04</v>
      </c>
      <c r="M39" s="2717">
        <f>IF($B$3&gt;=M2,IF(AND($B$31&gt;DATE(2021,1,1))=TRUE,$B$36,0),0)</f>
        <v>0.04</v>
      </c>
      <c r="N39" s="2717">
        <f>IF($B$3&gt;=N2,IF(AND($B$31&gt;DATE(2022,1,1))=TRUE,$B$36,0),0)</f>
        <v>0.04</v>
      </c>
      <c r="O39" s="2717">
        <f>IF($B$3&gt;=O2,IF(AND($B$31&gt;DATE(2023,1,1))=TRUE,$B$36,0),0)</f>
        <v>0.04</v>
      </c>
      <c r="P39" s="2717">
        <f>IF($B$3&gt;=P2,IF(AND($B$31&gt;DATE(2024,1,1))=TRUE,$B$36,0),0)</f>
        <v>0.04</v>
      </c>
      <c r="Q39" s="2718">
        <f>IF($B$3&gt;=Q2,IF(AND($B$31&gt;DATE(2025,1,1))=TRUE,$B$36,0),0)</f>
        <v>0.04</v>
      </c>
      <c r="T39" s="1582">
        <f>I3</f>
        <v>2025</v>
      </c>
      <c r="U39" s="143" t="s">
        <v>167</v>
      </c>
      <c r="V39" s="159">
        <v>3</v>
      </c>
      <c r="W39" s="150">
        <f t="shared" si="7"/>
        <v>0</v>
      </c>
      <c r="X39" s="151" t="s">
        <v>168</v>
      </c>
      <c r="Y39" s="144">
        <f>IF(IF(AND($B$7&gt;=DATE($J$3,1,1),$B$7&lt;DATE($J$3,2,1)),$B$6,0)=0,Y38-Z39,IF(AND($B$7&gt;=DATE($J$3,1,1),$B$7&lt;DATE($J$3,2,1)),$B$6,0))</f>
        <v>0</v>
      </c>
      <c r="Z39" s="143">
        <f t="shared" si="22"/>
        <v>0</v>
      </c>
      <c r="AA39" s="143">
        <f t="shared" si="23"/>
        <v>0</v>
      </c>
      <c r="AB39" s="143">
        <f t="shared" si="8"/>
        <v>0</v>
      </c>
      <c r="AC39" s="143"/>
      <c r="AE39" s="159">
        <v>3</v>
      </c>
      <c r="AF39" s="150">
        <f t="shared" si="9"/>
        <v>0</v>
      </c>
      <c r="AG39" s="151" t="s">
        <v>168</v>
      </c>
      <c r="AH39" s="144">
        <f>IF(IF(AND($B$18&gt;=DATE($J$3,1,1),$B$18&lt;DATE($J$3,2,1)),$B$17,0)=0,AH38-AI39,IF(AND($B$18&gt;=DATE($J$3,1,1),$B$18&lt;DATE($J$3,2,1)),$B$17,0))</f>
        <v>0</v>
      </c>
      <c r="AI39" s="143">
        <f t="shared" si="24"/>
        <v>0</v>
      </c>
      <c r="AJ39" s="143">
        <f t="shared" si="25"/>
        <v>0</v>
      </c>
      <c r="AK39" s="143">
        <f t="shared" si="10"/>
        <v>0</v>
      </c>
      <c r="AN39" s="159">
        <v>3</v>
      </c>
      <c r="AO39" s="150">
        <f t="shared" si="11"/>
        <v>0</v>
      </c>
      <c r="AP39" s="151" t="s">
        <v>168</v>
      </c>
      <c r="AQ39" s="144">
        <f>IF(IF(AND($B$29&gt;=DATE($J$3,1,1),$B$29&lt;DATE($J$3,2,1)),$B$28,0)=0,AQ38-AR39,IF(AND($B$29&gt;=DATE($J$3,1,1),$B$29&lt;DATE($J$3,2,1)),$B$28,0))</f>
        <v>0</v>
      </c>
      <c r="AR39" s="143">
        <f t="shared" si="26"/>
        <v>0</v>
      </c>
      <c r="AS39" s="143">
        <f t="shared" si="27"/>
        <v>0</v>
      </c>
      <c r="AT39" s="143">
        <f t="shared" si="12"/>
        <v>0</v>
      </c>
    </row>
    <row r="40" spans="1:46" ht="13.5" thickTop="1">
      <c r="A40" s="1299" t="s">
        <v>176</v>
      </c>
      <c r="B40" s="1540">
        <v>3.7499999999999999E-2</v>
      </c>
      <c r="D40" s="1294"/>
      <c r="E40" s="1299"/>
      <c r="G40" s="2719"/>
      <c r="H40" s="2719"/>
      <c r="I40" s="2719"/>
      <c r="J40" s="2719"/>
      <c r="K40" s="2719"/>
      <c r="L40" s="2719"/>
      <c r="M40" s="2719"/>
      <c r="N40" s="2719"/>
      <c r="O40" s="2719"/>
      <c r="P40" s="2719"/>
      <c r="Q40" s="2720"/>
      <c r="T40" s="1582"/>
      <c r="U40" s="143"/>
      <c r="V40" s="159"/>
      <c r="W40" s="150">
        <f t="shared" si="7"/>
        <v>0</v>
      </c>
      <c r="X40" s="151" t="s">
        <v>170</v>
      </c>
      <c r="Y40" s="144">
        <f>IF(IF(AND($B$7&gt;=DATE($J$3,2,1),$B$7&lt;DATE($J$3,3,1)),$B$6,0)=0,Y39-Z40,IF(AND($B$7&gt;=DATE($J$3,2,1),$B$7&lt;DATE($J$3,3,1)),$B$6,0))</f>
        <v>0</v>
      </c>
      <c r="Z40" s="143">
        <f t="shared" si="22"/>
        <v>0</v>
      </c>
      <c r="AA40" s="143">
        <f t="shared" si="23"/>
        <v>0</v>
      </c>
      <c r="AB40" s="143">
        <f t="shared" si="8"/>
        <v>0</v>
      </c>
      <c r="AC40" s="143"/>
      <c r="AE40" s="159"/>
      <c r="AF40" s="150">
        <f t="shared" si="9"/>
        <v>0</v>
      </c>
      <c r="AG40" s="151" t="s">
        <v>170</v>
      </c>
      <c r="AH40" s="144">
        <f>IF(IF(AND($B$18&gt;=DATE($J$3,2,1),$B$18&lt;DATE($J$3,3,1)),$B$17,0)=0,AH39-AI40,IF(AND($B$18&gt;=DATE($J$3,2,1),$B$18&lt;DATE($J$3,3,1)),$B$17,0))</f>
        <v>0</v>
      </c>
      <c r="AI40" s="143">
        <f t="shared" si="24"/>
        <v>0</v>
      </c>
      <c r="AJ40" s="143">
        <f t="shared" si="25"/>
        <v>0</v>
      </c>
      <c r="AK40" s="143">
        <f t="shared" si="10"/>
        <v>0</v>
      </c>
      <c r="AN40" s="159"/>
      <c r="AO40" s="150">
        <f t="shared" si="11"/>
        <v>0</v>
      </c>
      <c r="AP40" s="151" t="s">
        <v>170</v>
      </c>
      <c r="AQ40" s="144">
        <f>IF(IF(AND($B$29&gt;=DATE($J$3,2,1),$B$29&lt;DATE($J$3,3,1)),$B$28,0)=0,AQ39-AR40,IF(AND($B$29&gt;=DATE($J$3,2,1),$B$29&lt;DATE($J$3,3,1)),$B$28,0))</f>
        <v>0</v>
      </c>
      <c r="AR40" s="143">
        <f t="shared" si="26"/>
        <v>0</v>
      </c>
      <c r="AS40" s="143">
        <f t="shared" si="27"/>
        <v>0</v>
      </c>
      <c r="AT40" s="143">
        <f t="shared" si="12"/>
        <v>0</v>
      </c>
    </row>
    <row r="41" spans="1:46" ht="13.5" thickBot="1">
      <c r="A41" s="2043" t="s">
        <v>177</v>
      </c>
      <c r="B41" s="1540">
        <v>0.04</v>
      </c>
      <c r="D41" s="1294"/>
      <c r="E41" s="1319"/>
      <c r="F41" s="2723"/>
      <c r="G41" s="2721"/>
      <c r="H41" s="2721"/>
      <c r="I41" s="2721"/>
      <c r="J41" s="2721"/>
      <c r="K41" s="2721"/>
      <c r="L41" s="2721"/>
      <c r="M41" s="2721"/>
      <c r="N41" s="2721"/>
      <c r="O41" s="2721"/>
      <c r="P41" s="2721"/>
      <c r="Q41" s="2722"/>
      <c r="T41" s="1582"/>
      <c r="U41" s="143"/>
      <c r="V41" s="159"/>
      <c r="W41" s="150">
        <f t="shared" si="7"/>
        <v>0</v>
      </c>
      <c r="X41" s="151" t="s">
        <v>171</v>
      </c>
      <c r="Y41" s="144">
        <f>IF(IF(AND($B$7&gt;=DATE($J$3,3,1),$B$7&lt;DATE($J$3,4,1)),$B$6,0)=0,Y40-Z41,IF(AND($B$7&gt;=DATE($J$3,3,1),$B$7&lt;DATE($J$3,4,1)),$B$6,0))</f>
        <v>0</v>
      </c>
      <c r="Z41" s="143">
        <f t="shared" si="22"/>
        <v>0</v>
      </c>
      <c r="AA41" s="143">
        <f t="shared" si="23"/>
        <v>0</v>
      </c>
      <c r="AB41" s="143">
        <f t="shared" si="8"/>
        <v>0</v>
      </c>
      <c r="AC41" s="143"/>
      <c r="AE41" s="159"/>
      <c r="AF41" s="150">
        <f t="shared" si="9"/>
        <v>0</v>
      </c>
      <c r="AG41" s="151" t="s">
        <v>171</v>
      </c>
      <c r="AH41" s="144">
        <f>IF(IF(AND($B$18&gt;=DATE($J$3,3,1),$B$18&lt;DATE($J$3,4,1)),$B$17,0)=0,AH40-AI41,IF(AND($B$18&gt;=DATE($J$3,3,1),$B$18&lt;DATE($J$3,4,1)),$B$17,0))</f>
        <v>0</v>
      </c>
      <c r="AI41" s="143">
        <f t="shared" si="24"/>
        <v>0</v>
      </c>
      <c r="AJ41" s="143">
        <f t="shared" si="25"/>
        <v>0</v>
      </c>
      <c r="AK41" s="143">
        <f t="shared" si="10"/>
        <v>0</v>
      </c>
      <c r="AN41" s="159"/>
      <c r="AO41" s="150">
        <f t="shared" si="11"/>
        <v>0</v>
      </c>
      <c r="AP41" s="151" t="s">
        <v>171</v>
      </c>
      <c r="AQ41" s="144">
        <f>IF(IF(AND($B$29&gt;=DATE($J$3,3,1),$B$29&lt;DATE($J$3,4,1)),$B$28,0)=0,AQ40-AR41,IF(AND($B$29&gt;=DATE($J$3,3,1),$B$29&lt;DATE($J$3,4,1)),$B$28,0))</f>
        <v>0</v>
      </c>
      <c r="AR41" s="143">
        <f t="shared" si="26"/>
        <v>0</v>
      </c>
      <c r="AS41" s="143">
        <f t="shared" si="27"/>
        <v>0</v>
      </c>
      <c r="AT41" s="143">
        <f t="shared" si="12"/>
        <v>0</v>
      </c>
    </row>
    <row r="42" spans="1:46" ht="13.5" thickBot="1">
      <c r="A42" s="2711" t="s">
        <v>178</v>
      </c>
      <c r="B42" s="2727">
        <v>0.15</v>
      </c>
      <c r="D42" s="1294"/>
      <c r="G42" s="1541"/>
      <c r="H42" s="1541"/>
      <c r="I42" s="1541"/>
      <c r="J42" s="1541"/>
      <c r="K42" s="1541"/>
      <c r="L42" s="1541"/>
      <c r="M42" s="1541"/>
      <c r="N42" s="1541"/>
      <c r="O42" s="1541"/>
      <c r="P42" s="1541"/>
      <c r="Q42" s="1541"/>
      <c r="T42" s="1582"/>
      <c r="U42" s="143"/>
      <c r="V42" s="159"/>
      <c r="W42" s="150">
        <f t="shared" si="7"/>
        <v>0</v>
      </c>
      <c r="X42" s="151" t="s">
        <v>156</v>
      </c>
      <c r="Y42" s="144">
        <f>IF(IF(AND($B$7&gt;=DATE($J$3,4,1),$B$7&lt;DATE($J$3,5,1)),$B$6,0)=0,Y41-Z42,IF(AND($B$7&gt;=DATE($J$3,4,1),$B$7&lt;DATE($J$3,5,1)),$B$6,0))</f>
        <v>0</v>
      </c>
      <c r="Z42" s="143">
        <f t="shared" si="22"/>
        <v>0</v>
      </c>
      <c r="AA42" s="143">
        <f t="shared" si="23"/>
        <v>0</v>
      </c>
      <c r="AB42" s="143">
        <f t="shared" si="8"/>
        <v>0</v>
      </c>
      <c r="AC42" s="143"/>
      <c r="AE42" s="159"/>
      <c r="AF42" s="150">
        <f t="shared" si="9"/>
        <v>0</v>
      </c>
      <c r="AG42" s="151" t="s">
        <v>156</v>
      </c>
      <c r="AH42" s="144">
        <f>IF(IF(AND($B$18&gt;=DATE($J$3,4,1),$B$18&lt;DATE($J$3,5,1)),$B$17,0)=0,AH41-AI42,IF(AND($B$18&gt;=DATE($J$3,4,1),$B$18&lt;DATE($J$3,5,1)),$B$17,0))</f>
        <v>0</v>
      </c>
      <c r="AI42" s="143">
        <f t="shared" si="24"/>
        <v>0</v>
      </c>
      <c r="AJ42" s="143">
        <f t="shared" si="25"/>
        <v>0</v>
      </c>
      <c r="AK42" s="143">
        <f t="shared" si="10"/>
        <v>0</v>
      </c>
      <c r="AN42" s="159"/>
      <c r="AO42" s="150">
        <f t="shared" si="11"/>
        <v>0</v>
      </c>
      <c r="AP42" s="151" t="s">
        <v>156</v>
      </c>
      <c r="AQ42" s="144">
        <f>IF(IF(AND($B$29&gt;=DATE($J$3,4,1),$B$29&lt;DATE($J$3,5,1)),$B$28,0)=0,AQ41-AR42,IF(AND($B$29&gt;=DATE($J$3,4,1),$B$29&lt;DATE($J$3,5,1)),$B$28,0))</f>
        <v>0</v>
      </c>
      <c r="AR42" s="143">
        <f t="shared" si="26"/>
        <v>0</v>
      </c>
      <c r="AS42" s="143">
        <f t="shared" si="27"/>
        <v>0</v>
      </c>
      <c r="AT42" s="143">
        <f t="shared" si="12"/>
        <v>0</v>
      </c>
    </row>
    <row r="43" spans="1:46">
      <c r="D43" s="1294"/>
      <c r="F43" s="1582"/>
      <c r="G43" s="1582"/>
      <c r="H43" s="1582"/>
      <c r="I43" s="1582"/>
      <c r="J43" s="1582"/>
      <c r="K43" s="1582"/>
      <c r="L43" s="1582"/>
      <c r="M43" s="1582"/>
      <c r="N43" s="1582"/>
      <c r="O43" s="1582"/>
      <c r="P43" s="1582"/>
      <c r="Q43" s="1582"/>
      <c r="T43" s="1582"/>
      <c r="U43" s="143"/>
      <c r="V43" s="159"/>
      <c r="W43" s="150">
        <f t="shared" si="7"/>
        <v>0</v>
      </c>
      <c r="X43" s="151" t="s">
        <v>158</v>
      </c>
      <c r="Y43" s="144">
        <f>IF(IF(AND($B$7&gt;=DATE($J$3,5,1),$B$7&lt;DATE($J$3,6,1)),$B$6,0)=0,Y42-Z43,IF(AND($B$7&gt;=DATE($J$3,5,1),$B$7&lt;DATE($J$3,6,1)),$B$6,0))</f>
        <v>0</v>
      </c>
      <c r="Z43" s="143">
        <f t="shared" si="22"/>
        <v>0</v>
      </c>
      <c r="AA43" s="143">
        <f t="shared" si="23"/>
        <v>0</v>
      </c>
      <c r="AB43" s="143">
        <f t="shared" si="8"/>
        <v>0</v>
      </c>
      <c r="AC43" s="143"/>
      <c r="AE43" s="159"/>
      <c r="AF43" s="150">
        <f t="shared" si="9"/>
        <v>0</v>
      </c>
      <c r="AG43" s="151" t="s">
        <v>158</v>
      </c>
      <c r="AH43" s="144">
        <f>IF(IF(AND($B$18&gt;=DATE($J$3,5,1),$B$18&lt;DATE($J$3,6,1)),$B$17,0)=0,AH42-AI43,IF(AND($B$18&gt;=DATE($J$3,5,1),$B$18&lt;DATE($J$3,6,1)),$B$17,0))</f>
        <v>0</v>
      </c>
      <c r="AI43" s="143">
        <f t="shared" si="24"/>
        <v>0</v>
      </c>
      <c r="AJ43" s="143">
        <f t="shared" si="25"/>
        <v>0</v>
      </c>
      <c r="AK43" s="143">
        <f t="shared" si="10"/>
        <v>0</v>
      </c>
      <c r="AN43" s="159"/>
      <c r="AO43" s="150">
        <f t="shared" si="11"/>
        <v>0</v>
      </c>
      <c r="AP43" s="151" t="s">
        <v>158</v>
      </c>
      <c r="AQ43" s="144">
        <f>IF(IF(AND($B$29&gt;=DATE($J$3,5,1),$B$29&lt;DATE($J$3,6,1)),$B$28,0)=0,AQ42-AR43,IF(AND($B$29&gt;=DATE($J$3,5,1),$B$29&lt;DATE($J$3,6,1)),$B$28,0))</f>
        <v>0</v>
      </c>
      <c r="AR43" s="143">
        <f t="shared" si="26"/>
        <v>0</v>
      </c>
      <c r="AS43" s="143">
        <f t="shared" si="27"/>
        <v>0</v>
      </c>
      <c r="AT43" s="143">
        <f t="shared" si="12"/>
        <v>0</v>
      </c>
    </row>
    <row r="44" spans="1:46">
      <c r="D44" s="1294"/>
      <c r="J44" s="1582"/>
      <c r="K44" s="1582"/>
      <c r="L44" s="1582"/>
      <c r="M44" s="1582"/>
      <c r="N44" s="1582"/>
      <c r="O44" s="1582"/>
      <c r="P44" s="1582"/>
      <c r="Q44" s="1582"/>
      <c r="T44" s="1582"/>
      <c r="U44" s="143"/>
      <c r="V44" s="159"/>
      <c r="W44" s="150">
        <f t="shared" si="7"/>
        <v>0</v>
      </c>
      <c r="X44" s="151" t="s">
        <v>160</v>
      </c>
      <c r="Y44" s="144">
        <f>IF(IF(AND($B$7&gt;=DATE($J$3,6,1),$B$7&lt;DATE($J$3,7,1)),$B$6,0)=0,Y43-Z44,IF(AND($B$7&gt;=DATE($J$3,6,1),$B$7&lt;DATE($J$3,7,1)),$B$6,0))</f>
        <v>0</v>
      </c>
      <c r="Z44" s="143">
        <f t="shared" si="22"/>
        <v>0</v>
      </c>
      <c r="AA44" s="143">
        <f t="shared" si="23"/>
        <v>0</v>
      </c>
      <c r="AB44" s="143">
        <f t="shared" si="8"/>
        <v>0</v>
      </c>
      <c r="AC44" s="143"/>
      <c r="AE44" s="159"/>
      <c r="AF44" s="150">
        <f t="shared" si="9"/>
        <v>0</v>
      </c>
      <c r="AG44" s="151" t="s">
        <v>160</v>
      </c>
      <c r="AH44" s="144">
        <f>IF(IF(AND($B$18&gt;=DATE($J$3,6,1),$B$18&lt;DATE($J$3,7,1)),$B$17,0)=0,AH43-AI44,IF(AND($B$18&gt;=DATE($J$3,6,1),$B$18&lt;DATE($J$3,7,1)),$B$17,0))</f>
        <v>0</v>
      </c>
      <c r="AI44" s="143">
        <f t="shared" si="24"/>
        <v>0</v>
      </c>
      <c r="AJ44" s="143">
        <f t="shared" si="25"/>
        <v>0</v>
      </c>
      <c r="AK44" s="143">
        <f t="shared" si="10"/>
        <v>0</v>
      </c>
      <c r="AN44" s="159"/>
      <c r="AO44" s="150">
        <f t="shared" si="11"/>
        <v>0</v>
      </c>
      <c r="AP44" s="151" t="s">
        <v>160</v>
      </c>
      <c r="AQ44" s="144">
        <f>IF(IF(AND($B$29&gt;=DATE($J$3,6,1),$B$29&lt;DATE($J$3,7,1)),$B$28,0)=0,AQ43-AR44,IF(AND($B$29&gt;=DATE($J$3,6,1),$B$29&lt;DATE($J$3,7,1)),$B$28,0))</f>
        <v>0</v>
      </c>
      <c r="AR44" s="143">
        <f t="shared" si="26"/>
        <v>0</v>
      </c>
      <c r="AS44" s="143">
        <f t="shared" si="27"/>
        <v>0</v>
      </c>
      <c r="AT44" s="143">
        <f t="shared" si="12"/>
        <v>0</v>
      </c>
    </row>
    <row r="45" spans="1:46">
      <c r="J45" s="1582"/>
      <c r="K45" s="1582"/>
      <c r="L45" s="1582"/>
      <c r="M45" s="1582"/>
      <c r="N45" s="1582"/>
      <c r="O45" s="1582"/>
      <c r="P45" s="1582"/>
      <c r="Q45" s="1582"/>
      <c r="T45" s="1582"/>
      <c r="U45" s="143"/>
      <c r="V45" s="159"/>
      <c r="W45" s="150">
        <f t="shared" si="7"/>
        <v>0</v>
      </c>
      <c r="X45" s="151" t="s">
        <v>161</v>
      </c>
      <c r="Y45" s="144">
        <f>IF(IF(AND($B$7&gt;=DATE($J$3,7,1),$B$7&lt;DATE($J$3,8,1)),$B$6,0)=0,Y44-Z45,IF(AND($B$7&gt;=DATE($J$3,7,1),$B$7&lt;DATE($J$3,8,1)),$B$6,0))</f>
        <v>0</v>
      </c>
      <c r="Z45" s="143">
        <f t="shared" si="22"/>
        <v>0</v>
      </c>
      <c r="AA45" s="143">
        <f t="shared" si="23"/>
        <v>0</v>
      </c>
      <c r="AB45" s="143">
        <f t="shared" si="8"/>
        <v>0</v>
      </c>
      <c r="AC45" s="143"/>
      <c r="AE45" s="159"/>
      <c r="AF45" s="150">
        <f t="shared" si="9"/>
        <v>0</v>
      </c>
      <c r="AG45" s="151" t="s">
        <v>161</v>
      </c>
      <c r="AH45" s="144">
        <f>IF(IF(AND($B$18&gt;=DATE($J$3,7,1),$B$18&lt;DATE($J$3,8,1)),$B$17,0)=0,AH44-AI45,IF(AND($B$18&gt;=DATE($J$3,7,1),$B$18&lt;DATE($J$3,8,1)),$B$17,0))</f>
        <v>0</v>
      </c>
      <c r="AI45" s="143">
        <f t="shared" si="24"/>
        <v>0</v>
      </c>
      <c r="AJ45" s="143">
        <f t="shared" si="25"/>
        <v>0</v>
      </c>
      <c r="AK45" s="143">
        <f t="shared" si="10"/>
        <v>0</v>
      </c>
      <c r="AN45" s="159"/>
      <c r="AO45" s="150">
        <f t="shared" si="11"/>
        <v>0</v>
      </c>
      <c r="AP45" s="151" t="s">
        <v>161</v>
      </c>
      <c r="AQ45" s="144">
        <f>IF(IF(AND($B$29&gt;=DATE($J$3,7,1),$B$29&lt;DATE($J$3,8,1)),$B$28,0)=0,AQ44-AR45,IF(AND($B$29&gt;=DATE($J$3,7,1),$B$29&lt;DATE($J$3,8,1)),$B$28,0))</f>
        <v>0</v>
      </c>
      <c r="AR45" s="143">
        <f t="shared" si="26"/>
        <v>0</v>
      </c>
      <c r="AS45" s="143">
        <f t="shared" si="27"/>
        <v>0</v>
      </c>
      <c r="AT45" s="143">
        <f t="shared" si="12"/>
        <v>0</v>
      </c>
    </row>
    <row r="46" spans="1:46">
      <c r="J46" s="1582"/>
      <c r="K46" s="1582"/>
      <c r="L46" s="1582"/>
      <c r="M46" s="1582"/>
      <c r="N46" s="1582"/>
      <c r="O46" s="1582"/>
      <c r="P46" s="1582"/>
      <c r="Q46" s="1582"/>
      <c r="T46" s="1582"/>
      <c r="U46" s="143"/>
      <c r="V46" s="159"/>
      <c r="W46" s="150">
        <f t="shared" si="7"/>
        <v>0</v>
      </c>
      <c r="X46" s="151" t="s">
        <v>162</v>
      </c>
      <c r="Y46" s="144">
        <f>IF(IF(AND($B$7&gt;=DATE($J$3,8,1),$B$7&lt;DATE($J$3,9,1)),$B$6,0)=0,Y45-Z46,IF(AND($B$7&gt;=DATE($J$3,8,1),$B$7&lt;DATE($J$3,9,1)),$B$6,0))</f>
        <v>0</v>
      </c>
      <c r="Z46" s="143">
        <f t="shared" si="22"/>
        <v>0</v>
      </c>
      <c r="AA46" s="143">
        <f t="shared" si="23"/>
        <v>0</v>
      </c>
      <c r="AB46" s="143">
        <f t="shared" si="8"/>
        <v>0</v>
      </c>
      <c r="AC46" s="143"/>
      <c r="AE46" s="159"/>
      <c r="AF46" s="150">
        <f t="shared" si="9"/>
        <v>0</v>
      </c>
      <c r="AG46" s="151" t="s">
        <v>162</v>
      </c>
      <c r="AH46" s="144">
        <f>IF(IF(AND($B$18&gt;=DATE($J$3,8,1),$B$18&lt;DATE($J$3,9,1)),$B$17,0)=0,AH45-AI46,IF(AND($B$18&gt;=DATE($J$3,8,1),$B$18&lt;DATE($J$3,9,1)),$B$17,0))</f>
        <v>0</v>
      </c>
      <c r="AI46" s="143">
        <f t="shared" si="24"/>
        <v>0</v>
      </c>
      <c r="AJ46" s="143">
        <f t="shared" si="25"/>
        <v>0</v>
      </c>
      <c r="AK46" s="143">
        <f t="shared" si="10"/>
        <v>0</v>
      </c>
      <c r="AN46" s="159"/>
      <c r="AO46" s="150">
        <f t="shared" si="11"/>
        <v>0</v>
      </c>
      <c r="AP46" s="151" t="s">
        <v>162</v>
      </c>
      <c r="AQ46" s="144">
        <f>IF(IF(AND($B$29&gt;=DATE($J$3,8,1),$B$29&lt;DATE($J$3,9,1)),$B$28,0)=0,AQ45-AR46,IF(AND($B$29&gt;=DATE($J$3,8,1),$B$29&lt;DATE($J$3,9,1)),$B$28,0))</f>
        <v>0</v>
      </c>
      <c r="AR46" s="143">
        <f t="shared" si="26"/>
        <v>0</v>
      </c>
      <c r="AS46" s="143">
        <f t="shared" si="27"/>
        <v>0</v>
      </c>
      <c r="AT46" s="143">
        <f t="shared" si="12"/>
        <v>0</v>
      </c>
    </row>
    <row r="47" spans="1:46">
      <c r="J47" s="1582"/>
      <c r="K47" s="1582"/>
      <c r="L47" s="1582"/>
      <c r="M47" s="1582"/>
      <c r="N47" s="1582"/>
      <c r="O47" s="1582"/>
      <c r="P47" s="1582"/>
      <c r="Q47" s="1582"/>
      <c r="T47" s="1582"/>
      <c r="U47" s="143"/>
      <c r="V47" s="159"/>
      <c r="W47" s="150">
        <f t="shared" si="7"/>
        <v>0</v>
      </c>
      <c r="X47" s="151" t="s">
        <v>163</v>
      </c>
      <c r="Y47" s="144">
        <f>IF(IF(AND($B$7&gt;=DATE($J$3,9,1),$B$7&lt;DATE($J$3,10,1)),$B$6,0)=0,Y46-Z47,IF(AND($B$7&gt;=DATE($J$3,9,1),$B$7&lt;DATE($J$3,10,1)),$B$6,0))</f>
        <v>0</v>
      </c>
      <c r="Z47" s="143">
        <f t="shared" si="22"/>
        <v>0</v>
      </c>
      <c r="AA47" s="143">
        <f t="shared" si="23"/>
        <v>0</v>
      </c>
      <c r="AB47" s="143">
        <f t="shared" si="8"/>
        <v>0</v>
      </c>
      <c r="AC47" s="143"/>
      <c r="AE47" s="159"/>
      <c r="AF47" s="150">
        <f t="shared" si="9"/>
        <v>0</v>
      </c>
      <c r="AG47" s="151" t="s">
        <v>163</v>
      </c>
      <c r="AH47" s="144">
        <f>IF(IF(AND($B$17&gt;=DATE($J$3,9,1),$B$17&lt;DATE($J$3,10,1)),$B$16,0)=0,AH46-AI47,IF(AND($B$17&gt;=DATE($J$3,9,1),$B$17&lt;DATE($J$3,10,1)),$B$16,0))</f>
        <v>0</v>
      </c>
      <c r="AI47" s="143">
        <f t="shared" si="24"/>
        <v>0</v>
      </c>
      <c r="AJ47" s="143">
        <f t="shared" si="25"/>
        <v>0</v>
      </c>
      <c r="AK47" s="143">
        <f t="shared" si="10"/>
        <v>0</v>
      </c>
      <c r="AN47" s="159"/>
      <c r="AO47" s="150">
        <f t="shared" si="11"/>
        <v>0</v>
      </c>
      <c r="AP47" s="151" t="s">
        <v>163</v>
      </c>
      <c r="AQ47" s="144">
        <f>IF(IF(AND($B$29&gt;=DATE($J$3,9,1),$B$29&lt;DATE($J$3,10,1)),$B$28,0)=0,AQ46-AR47,IF(AND($B$29&gt;=DATE($J$3,9,1),$B$29&lt;DATE($J$3,10,1)),$B$28,0))</f>
        <v>0</v>
      </c>
      <c r="AR47" s="143">
        <f t="shared" si="26"/>
        <v>0</v>
      </c>
      <c r="AS47" s="143">
        <f t="shared" si="27"/>
        <v>0</v>
      </c>
      <c r="AT47" s="143">
        <f t="shared" si="12"/>
        <v>0</v>
      </c>
    </row>
    <row r="48" spans="1:46">
      <c r="J48" s="1582"/>
      <c r="K48" s="1582"/>
      <c r="L48" s="1582"/>
      <c r="M48" s="1582"/>
      <c r="N48" s="1582"/>
      <c r="O48" s="1582"/>
      <c r="P48" s="1582"/>
      <c r="Q48" s="1582"/>
      <c r="T48" s="1582"/>
      <c r="U48" s="143"/>
      <c r="V48" s="159"/>
      <c r="W48" s="150">
        <f t="shared" si="7"/>
        <v>0</v>
      </c>
      <c r="X48" s="151" t="s">
        <v>164</v>
      </c>
      <c r="Y48" s="144">
        <f>IF(IF(AND($B$7&gt;=DATE($J$3,10,1),$B$7&lt;DATE($J$3,11,1)),$B$6,0)=0,Y47-Z48,IF(AND($B$7&gt;=DATE($J$3,10,1),$B$7&lt;DATE($J$3,11,1)),$B$6,0))</f>
        <v>0</v>
      </c>
      <c r="Z48" s="143">
        <f t="shared" si="22"/>
        <v>0</v>
      </c>
      <c r="AA48" s="143">
        <f t="shared" si="23"/>
        <v>0</v>
      </c>
      <c r="AB48" s="143">
        <f t="shared" si="8"/>
        <v>0</v>
      </c>
      <c r="AC48" s="143"/>
      <c r="AE48" s="159"/>
      <c r="AF48" s="150">
        <f t="shared" si="9"/>
        <v>0</v>
      </c>
      <c r="AG48" s="151" t="s">
        <v>164</v>
      </c>
      <c r="AH48" s="144">
        <f>IF(IF(AND($B$18&gt;=DATE($J$3,10,1),$B$18&lt;DATE($J$3,11,1)),$B$17,0)=0,AH47-AI48,IF(AND($B$18&gt;=DATE($J$3,10,1),$B$18&lt;DATE($J$3,11,1)),$B$17,0))</f>
        <v>0</v>
      </c>
      <c r="AI48" s="143">
        <f t="shared" si="24"/>
        <v>0</v>
      </c>
      <c r="AJ48" s="143">
        <f t="shared" si="25"/>
        <v>0</v>
      </c>
      <c r="AK48" s="143">
        <f t="shared" si="10"/>
        <v>0</v>
      </c>
      <c r="AN48" s="159"/>
      <c r="AO48" s="150">
        <f t="shared" si="11"/>
        <v>0</v>
      </c>
      <c r="AP48" s="151" t="s">
        <v>164</v>
      </c>
      <c r="AQ48" s="144">
        <f>IF(IF(AND($B$29&gt;=DATE($J$3,10,1),$B$29&lt;DATE($J$3,11,1)),$B$28,0)=0,AQ47-AR48,IF(AND($B$29&gt;=DATE($J$3,10,1),$B$29&lt;DATE($J$3,11,1)),$B$28,0))</f>
        <v>0</v>
      </c>
      <c r="AR48" s="143">
        <f t="shared" si="26"/>
        <v>0</v>
      </c>
      <c r="AS48" s="143">
        <f t="shared" si="27"/>
        <v>0</v>
      </c>
      <c r="AT48" s="143">
        <f t="shared" si="12"/>
        <v>0</v>
      </c>
    </row>
    <row r="49" spans="5:46">
      <c r="J49" s="1582"/>
      <c r="K49" s="1582"/>
      <c r="L49" s="1582"/>
      <c r="M49" s="1582"/>
      <c r="N49" s="1582"/>
      <c r="O49" s="1582"/>
      <c r="P49" s="1582"/>
      <c r="Q49" s="1582"/>
      <c r="T49" s="1582"/>
      <c r="U49" s="143"/>
      <c r="V49" s="159"/>
      <c r="W49" s="150">
        <f t="shared" si="7"/>
        <v>0</v>
      </c>
      <c r="X49" s="151" t="s">
        <v>165</v>
      </c>
      <c r="Y49" s="144">
        <f>IF(IF(AND($B$7&gt;=DATE($J$3,11,1),$B$7&lt;DATE($J$3,12,1)),$B$6,0)=0,Y48-Z49,IF(AND($B$7&gt;=DATE($J$3,11,1),$B$7&lt;DATE($J$3,12,1)),$B$6,0))</f>
        <v>0</v>
      </c>
      <c r="Z49" s="143">
        <f t="shared" si="22"/>
        <v>0</v>
      </c>
      <c r="AA49" s="143">
        <f t="shared" si="23"/>
        <v>0</v>
      </c>
      <c r="AB49" s="143">
        <f t="shared" si="8"/>
        <v>0</v>
      </c>
      <c r="AC49" s="143"/>
      <c r="AE49" s="159"/>
      <c r="AF49" s="150">
        <f t="shared" si="9"/>
        <v>0</v>
      </c>
      <c r="AG49" s="151" t="s">
        <v>165</v>
      </c>
      <c r="AH49" s="144">
        <f>IF(IF(AND($B$18&gt;=DATE($J$3,11,1),$B$18&lt;DATE($J$3,12,1)),$B$17,0)=0,AH48-AI49,IF(AND($B$18&gt;=DATE($J$3,11,1),$B$18&lt;DATE($J$3,12,1)),$B$17,0))</f>
        <v>0</v>
      </c>
      <c r="AI49" s="143">
        <f t="shared" si="24"/>
        <v>0</v>
      </c>
      <c r="AJ49" s="143">
        <f t="shared" si="25"/>
        <v>0</v>
      </c>
      <c r="AK49" s="143">
        <f t="shared" si="10"/>
        <v>0</v>
      </c>
      <c r="AN49" s="159"/>
      <c r="AO49" s="150">
        <f t="shared" si="11"/>
        <v>0</v>
      </c>
      <c r="AP49" s="151" t="s">
        <v>165</v>
      </c>
      <c r="AQ49" s="144">
        <f>IF(IF(AND($B$29&gt;=DATE($J$3,11,1),$B$29&lt;DATE($J$3,12,1)),$B$28,0)=0,AQ48-AR49,IF(AND($B$29&gt;=DATE($J$3,11,1),$B$29&lt;DATE($J$3,12,1)),$B$28,0))</f>
        <v>0</v>
      </c>
      <c r="AR49" s="143">
        <f t="shared" si="26"/>
        <v>0</v>
      </c>
      <c r="AS49" s="143">
        <f t="shared" si="27"/>
        <v>0</v>
      </c>
      <c r="AT49" s="143">
        <f t="shared" si="12"/>
        <v>0</v>
      </c>
    </row>
    <row r="50" spans="5:46">
      <c r="E50" s="1582"/>
      <c r="F50" s="1582"/>
      <c r="G50" s="1582"/>
      <c r="H50" s="1582"/>
      <c r="I50" s="1582"/>
      <c r="J50" s="1582"/>
      <c r="K50" s="1582"/>
      <c r="L50" s="1582"/>
      <c r="M50" s="1582"/>
      <c r="N50" s="1582"/>
      <c r="O50" s="1582"/>
      <c r="P50" s="1582"/>
      <c r="Q50" s="1582"/>
      <c r="T50" s="1582"/>
      <c r="U50" s="143"/>
      <c r="V50" s="159"/>
      <c r="W50" s="150">
        <f t="shared" si="7"/>
        <v>0</v>
      </c>
      <c r="X50" s="151" t="s">
        <v>166</v>
      </c>
      <c r="Y50" s="144">
        <f>IF(IF(AND($B$7&gt;=DATE($J$3,12,1),$B$7&lt;DATE($K$3,1,1)),$B$6,0)=0,Y49-Z50,IF(AND($B$7&gt;=DATE($J$3,12,1),$B$7&lt;DATE($K$3,1,1)),$B$6,0))</f>
        <v>0</v>
      </c>
      <c r="Z50" s="143">
        <f t="shared" si="22"/>
        <v>0</v>
      </c>
      <c r="AA50" s="143">
        <f t="shared" si="23"/>
        <v>0</v>
      </c>
      <c r="AB50" s="143">
        <f t="shared" si="8"/>
        <v>0</v>
      </c>
      <c r="AC50" s="143"/>
      <c r="AE50" s="159"/>
      <c r="AF50" s="150">
        <f t="shared" si="9"/>
        <v>0</v>
      </c>
      <c r="AG50" s="151" t="s">
        <v>166</v>
      </c>
      <c r="AH50" s="144">
        <f>IF(IF(AND($B$18&gt;=DATE($J$3,12,1),$B$18&lt;DATE($K$3,1,1)),$B$17,0)=0,AH49-AI50,IF(AND($B$18&gt;=DATE($J$3,12,1),$B$18&lt;DATE($K$3,1,1)),$B$17,0))</f>
        <v>0</v>
      </c>
      <c r="AI50" s="143">
        <f t="shared" si="24"/>
        <v>0</v>
      </c>
      <c r="AJ50" s="143">
        <f t="shared" si="25"/>
        <v>0</v>
      </c>
      <c r="AK50" s="143">
        <f t="shared" si="10"/>
        <v>0</v>
      </c>
      <c r="AN50" s="159"/>
      <c r="AO50" s="150">
        <f t="shared" si="11"/>
        <v>0</v>
      </c>
      <c r="AP50" s="151" t="s">
        <v>166</v>
      </c>
      <c r="AQ50" s="144">
        <f>IF(IF(AND($B$29&gt;=DATE($J$3,12,1),$B$29&lt;DATE($K$3,1,1)),$B$28,0)=0,AQ49-AR50,IF(AND($B$29&gt;=DATE($J$3,12,1),$B$29&lt;DATE($K$3,1,1)),$B$28,0))</f>
        <v>0</v>
      </c>
      <c r="AR50" s="143">
        <f t="shared" si="26"/>
        <v>0</v>
      </c>
      <c r="AS50" s="143">
        <f t="shared" si="27"/>
        <v>0</v>
      </c>
      <c r="AT50" s="143">
        <f t="shared" si="12"/>
        <v>0</v>
      </c>
    </row>
    <row r="51" spans="5:46">
      <c r="J51" s="1582"/>
      <c r="K51" s="1582"/>
      <c r="L51" s="1582"/>
      <c r="M51" s="1582"/>
      <c r="N51" s="1582"/>
      <c r="O51" s="1582"/>
      <c r="P51" s="1582"/>
      <c r="Q51" s="1582"/>
      <c r="T51" s="1582">
        <f>J3</f>
        <v>2026</v>
      </c>
      <c r="U51" s="143" t="s">
        <v>167</v>
      </c>
      <c r="V51" s="159">
        <v>4</v>
      </c>
      <c r="W51" s="150">
        <f t="shared" si="7"/>
        <v>0</v>
      </c>
      <c r="X51" s="151" t="s">
        <v>168</v>
      </c>
      <c r="Y51" s="144">
        <f>IF(IF(AND($B$7&gt;=DATE($K$3,1,1),$B$7&lt;DATE($K$3,2,1)),$B$6,0)=0,Y50-Z51,IF(AND($B$7&gt;=DATE($K$3,1,1),$B$7&lt;DATE($K$3,2,1)),$B$6,0))</f>
        <v>0</v>
      </c>
      <c r="Z51" s="143">
        <f t="shared" si="22"/>
        <v>0</v>
      </c>
      <c r="AA51" s="143">
        <f t="shared" si="23"/>
        <v>0</v>
      </c>
      <c r="AB51" s="143">
        <f t="shared" si="8"/>
        <v>0</v>
      </c>
      <c r="AC51" s="143"/>
      <c r="AE51" s="159">
        <v>4</v>
      </c>
      <c r="AF51" s="150">
        <f t="shared" si="9"/>
        <v>0</v>
      </c>
      <c r="AG51" s="151" t="s">
        <v>168</v>
      </c>
      <c r="AH51" s="144">
        <f>IF(IF(AND($B$18&gt;=DATE($K$3,1,1),$B$18&lt;DATE($K$3,2,1)),$B$17,0)=0,AH50-AI51,IF(AND($B$18&gt;=DATE($K$3,1,1),$B$18&lt;DATE($K$3,2,1)),$B$17,0))</f>
        <v>0</v>
      </c>
      <c r="AI51" s="143">
        <f t="shared" si="24"/>
        <v>0</v>
      </c>
      <c r="AJ51" s="143">
        <f t="shared" si="25"/>
        <v>0</v>
      </c>
      <c r="AK51" s="143">
        <f t="shared" si="10"/>
        <v>0</v>
      </c>
      <c r="AN51" s="159">
        <v>4</v>
      </c>
      <c r="AO51" s="150">
        <f t="shared" si="11"/>
        <v>0</v>
      </c>
      <c r="AP51" s="151" t="s">
        <v>168</v>
      </c>
      <c r="AQ51" s="144">
        <f>IF(IF(AND($B$29&gt;=DATE($K$3,1,1),$B$29&lt;DATE($K$3,2,1)),$B$28,0)=0,AQ50-AR51,IF(AND($B$29&gt;=DATE($K$3,1,1),$B$29&lt;DATE($K$3,2,1)),$B$28,0))</f>
        <v>0</v>
      </c>
      <c r="AR51" s="143">
        <f t="shared" si="26"/>
        <v>0</v>
      </c>
      <c r="AS51" s="143">
        <f t="shared" si="27"/>
        <v>0</v>
      </c>
      <c r="AT51" s="143">
        <f t="shared" si="12"/>
        <v>0</v>
      </c>
    </row>
    <row r="52" spans="5:46">
      <c r="J52" s="1582"/>
      <c r="K52" s="1582"/>
      <c r="L52" s="1582"/>
      <c r="M52" s="1582"/>
      <c r="N52" s="1582"/>
      <c r="O52" s="1582"/>
      <c r="P52" s="1582"/>
      <c r="Q52" s="1582"/>
      <c r="T52" s="1582"/>
      <c r="U52" s="143"/>
      <c r="V52" s="159"/>
      <c r="W52" s="150">
        <f t="shared" si="7"/>
        <v>0</v>
      </c>
      <c r="X52" s="151" t="s">
        <v>170</v>
      </c>
      <c r="Y52" s="144">
        <f>IF(IF(AND($B$7&gt;=DATE($K$3,2,1),$B$7&lt;DATE($K$3,3,1)),$B$6,0)=0,Y51-Z52,IF(AND($B$7&gt;=DATE($K$3,2,1),$B$7&lt;DATE($K$3,3,1)),$B$6,0))</f>
        <v>0</v>
      </c>
      <c r="Z52" s="143">
        <f t="shared" si="22"/>
        <v>0</v>
      </c>
      <c r="AA52" s="143">
        <f t="shared" si="23"/>
        <v>0</v>
      </c>
      <c r="AB52" s="143">
        <f t="shared" si="8"/>
        <v>0</v>
      </c>
      <c r="AC52" s="143"/>
      <c r="AE52" s="159"/>
      <c r="AF52" s="150">
        <f t="shared" si="9"/>
        <v>0</v>
      </c>
      <c r="AG52" s="151" t="s">
        <v>170</v>
      </c>
      <c r="AH52" s="144">
        <f>IF(IF(AND($B$18&gt;=DATE($K$3,2,1),$B$18&lt;DATE($K$3,3,1)),$B$17,0)=0,AH51-AI52,IF(AND($B$18&gt;=DATE($K$3,2,1),$B$18&lt;DATE($K$3,3,1)),$B$17,0))</f>
        <v>0</v>
      </c>
      <c r="AI52" s="143">
        <f t="shared" si="24"/>
        <v>0</v>
      </c>
      <c r="AJ52" s="143">
        <f t="shared" si="25"/>
        <v>0</v>
      </c>
      <c r="AK52" s="143">
        <f t="shared" si="10"/>
        <v>0</v>
      </c>
      <c r="AN52" s="159"/>
      <c r="AO52" s="150">
        <f t="shared" si="11"/>
        <v>0</v>
      </c>
      <c r="AP52" s="151" t="s">
        <v>170</v>
      </c>
      <c r="AQ52" s="144">
        <f>IF(IF(AND($B$29&gt;=DATE($K$3,2,1),$B$29&lt;DATE($K$3,3,1)),$B$28,0)=0,AQ51-AR52,IF(AND($B$29&gt;=DATE($K$3,2,1),$B$29&lt;DATE($K$3,3,1)),$B$28,0))</f>
        <v>0</v>
      </c>
      <c r="AR52" s="143">
        <f t="shared" si="26"/>
        <v>0</v>
      </c>
      <c r="AS52" s="143">
        <f t="shared" si="27"/>
        <v>0</v>
      </c>
      <c r="AT52" s="143">
        <f t="shared" si="12"/>
        <v>0</v>
      </c>
    </row>
    <row r="53" spans="5:46">
      <c r="T53" s="1582"/>
      <c r="U53" s="143"/>
      <c r="V53" s="159"/>
      <c r="W53" s="150">
        <f t="shared" si="7"/>
        <v>0</v>
      </c>
      <c r="X53" s="151" t="s">
        <v>171</v>
      </c>
      <c r="Y53" s="144">
        <f>IF(IF(AND($B$7&gt;=DATE($K$3,3,1),$B$7&lt;DATE($K$3,4,1)),$B$6,0)=0,Y52-Z53,IF(AND($B$7&gt;=DATE($K$3,3,1),$B$7&lt;DATE($K$3,4,1)),$B$6,0))</f>
        <v>0</v>
      </c>
      <c r="Z53" s="143">
        <f t="shared" si="22"/>
        <v>0</v>
      </c>
      <c r="AA53" s="143">
        <f t="shared" si="23"/>
        <v>0</v>
      </c>
      <c r="AB53" s="143">
        <f t="shared" si="8"/>
        <v>0</v>
      </c>
      <c r="AC53" s="143"/>
      <c r="AE53" s="159"/>
      <c r="AF53" s="150">
        <f t="shared" si="9"/>
        <v>0</v>
      </c>
      <c r="AG53" s="151" t="s">
        <v>171</v>
      </c>
      <c r="AH53" s="144">
        <f>IF(IF(AND($B$18&gt;=DATE($K$3,3,1),$B$18&lt;DATE($K$3,4,1)),$B$17,0)=0,AH52-AI53,IF(AND($B$18&gt;=DATE($K$3,3,1),$B$18&lt;DATE($K$3,4,1)),$B$17,0))</f>
        <v>0</v>
      </c>
      <c r="AI53" s="143">
        <f t="shared" si="24"/>
        <v>0</v>
      </c>
      <c r="AJ53" s="143">
        <f t="shared" si="25"/>
        <v>0</v>
      </c>
      <c r="AK53" s="143">
        <f t="shared" si="10"/>
        <v>0</v>
      </c>
      <c r="AN53" s="159"/>
      <c r="AO53" s="150">
        <f t="shared" si="11"/>
        <v>0</v>
      </c>
      <c r="AP53" s="151" t="s">
        <v>171</v>
      </c>
      <c r="AQ53" s="144">
        <f>IF(IF(AND($B$29&gt;=DATE($K$3,3,1),$B$29&lt;DATE($K$3,4,1)),$B$28,0)=0,AQ52-AR53,IF(AND($B$29&gt;=DATE($K$3,3,1),$B$29&lt;DATE($K$3,4,1)),$B$28,0))</f>
        <v>0</v>
      </c>
      <c r="AR53" s="143">
        <f t="shared" si="26"/>
        <v>0</v>
      </c>
      <c r="AS53" s="143">
        <f t="shared" si="27"/>
        <v>0</v>
      </c>
      <c r="AT53" s="143">
        <f t="shared" si="12"/>
        <v>0</v>
      </c>
    </row>
    <row r="54" spans="5:46">
      <c r="T54" s="1582"/>
      <c r="U54" s="143"/>
      <c r="V54" s="159"/>
      <c r="W54" s="150">
        <f t="shared" si="7"/>
        <v>0</v>
      </c>
      <c r="X54" s="151" t="s">
        <v>156</v>
      </c>
      <c r="Y54" s="144">
        <f>IF(IF(AND($B$7&gt;=DATE($K$3,4,1),$B$7&lt;DATE($K$3,5,1)),$B$6,0)=0,Y53-Z54,IF(AND($B$7&gt;=DATE($K$3,4,1),$B$7&lt;DATE($K$3,5,1)),$B$6,0))</f>
        <v>0</v>
      </c>
      <c r="Z54" s="143">
        <f t="shared" si="22"/>
        <v>0</v>
      </c>
      <c r="AA54" s="143">
        <f t="shared" si="23"/>
        <v>0</v>
      </c>
      <c r="AB54" s="143">
        <f t="shared" si="8"/>
        <v>0</v>
      </c>
      <c r="AC54" s="143"/>
      <c r="AE54" s="159"/>
      <c r="AF54" s="150">
        <f t="shared" si="9"/>
        <v>0</v>
      </c>
      <c r="AG54" s="151" t="s">
        <v>156</v>
      </c>
      <c r="AH54" s="144">
        <f>IF(IF(AND($B$18&gt;=DATE($K$3,4,1),$B$18&lt;DATE($K$3,5,1)),$B$17,0)=0,AH53-AI54,IF(AND($B$18&gt;=DATE($K$3,4,1),$B$18&lt;DATE($K$3,5,1)),$B$17,0))</f>
        <v>0</v>
      </c>
      <c r="AI54" s="143">
        <f t="shared" si="24"/>
        <v>0</v>
      </c>
      <c r="AJ54" s="143">
        <f t="shared" si="25"/>
        <v>0</v>
      </c>
      <c r="AK54" s="143">
        <f t="shared" si="10"/>
        <v>0</v>
      </c>
      <c r="AN54" s="159"/>
      <c r="AO54" s="150">
        <f t="shared" si="11"/>
        <v>0</v>
      </c>
      <c r="AP54" s="151" t="s">
        <v>156</v>
      </c>
      <c r="AQ54" s="144">
        <f t="shared" ref="AQ54:AQ60" si="29">IF(IF(AND($B$29&gt;=DATE($K$3,4,1),$B$29&lt;DATE($K$3,5,1)),$B$28,0)=0,AQ53-AR54,IF(AND($B$29&gt;=DATE($K$3,4,1),$B$29&lt;DATE($K$3,5,1)),$B$28,0))</f>
        <v>0</v>
      </c>
      <c r="AR54" s="143">
        <f t="shared" si="26"/>
        <v>0</v>
      </c>
      <c r="AS54" s="143">
        <f t="shared" si="27"/>
        <v>0</v>
      </c>
      <c r="AT54" s="143">
        <f t="shared" si="12"/>
        <v>0</v>
      </c>
    </row>
    <row r="55" spans="5:46">
      <c r="T55" s="1582"/>
      <c r="U55" s="143"/>
      <c r="V55" s="159"/>
      <c r="W55" s="150">
        <f t="shared" si="7"/>
        <v>0</v>
      </c>
      <c r="X55" s="151" t="s">
        <v>158</v>
      </c>
      <c r="Y55" s="144">
        <f>IF(IF(AND($B$7&gt;=DATE($K$3,5,1),$B$7&lt;DATE($K$3,6,1)),$B$6,0)=0,Y54-Z55,IF(AND($B$7&gt;=DATE($K$3,5,1),$B$7&lt;DATE($K$3,6,1)),$B$6,0))</f>
        <v>0</v>
      </c>
      <c r="Z55" s="143">
        <f t="shared" si="22"/>
        <v>0</v>
      </c>
      <c r="AA55" s="143">
        <f t="shared" si="23"/>
        <v>0</v>
      </c>
      <c r="AB55" s="143">
        <f t="shared" si="8"/>
        <v>0</v>
      </c>
      <c r="AC55" s="143"/>
      <c r="AE55" s="159"/>
      <c r="AF55" s="150">
        <f t="shared" si="9"/>
        <v>0</v>
      </c>
      <c r="AG55" s="151" t="s">
        <v>158</v>
      </c>
      <c r="AH55" s="144">
        <f>IF(IF(AND($B$18&gt;=DATE($K$3,5,1),$B$18&lt;DATE($K$3,6,1)),$B$17,0)=0,AH54-AI55,IF(AND($B$18&gt;=DATE($K$3,5,1),$B$18&lt;DATE($K$3,6,1)),$B$17,0))</f>
        <v>0</v>
      </c>
      <c r="AI55" s="143">
        <f t="shared" si="24"/>
        <v>0</v>
      </c>
      <c r="AJ55" s="143">
        <f t="shared" si="25"/>
        <v>0</v>
      </c>
      <c r="AK55" s="143">
        <f t="shared" si="10"/>
        <v>0</v>
      </c>
      <c r="AN55" s="159"/>
      <c r="AO55" s="150">
        <f t="shared" si="11"/>
        <v>0</v>
      </c>
      <c r="AP55" s="151" t="s">
        <v>158</v>
      </c>
      <c r="AQ55" s="144">
        <f t="shared" si="29"/>
        <v>0</v>
      </c>
      <c r="AR55" s="143">
        <f t="shared" si="26"/>
        <v>0</v>
      </c>
      <c r="AS55" s="143">
        <f t="shared" si="27"/>
        <v>0</v>
      </c>
      <c r="AT55" s="143">
        <f t="shared" si="12"/>
        <v>0</v>
      </c>
    </row>
    <row r="56" spans="5:46">
      <c r="T56" s="1582"/>
      <c r="U56" s="143"/>
      <c r="V56" s="159"/>
      <c r="W56" s="150">
        <f t="shared" si="7"/>
        <v>0</v>
      </c>
      <c r="X56" s="151" t="s">
        <v>160</v>
      </c>
      <c r="Y56" s="144">
        <f>IF(IF(AND($B$7&gt;=DATE($K$3,6,1),$B$7&lt;DATE($K$3,7,1)),$B$6,0)=0,Y55-Z56,IF(AND($B$7&gt;=DATE($K$3,6,1),$B$7&lt;DATE($K$3,7,1)),$B$6,0))</f>
        <v>0</v>
      </c>
      <c r="Z56" s="143">
        <f t="shared" si="22"/>
        <v>0</v>
      </c>
      <c r="AA56" s="143">
        <f t="shared" si="23"/>
        <v>0</v>
      </c>
      <c r="AB56" s="143">
        <f t="shared" si="8"/>
        <v>0</v>
      </c>
      <c r="AC56" s="143"/>
      <c r="AE56" s="159"/>
      <c r="AF56" s="150">
        <f t="shared" si="9"/>
        <v>0</v>
      </c>
      <c r="AG56" s="151" t="s">
        <v>160</v>
      </c>
      <c r="AH56" s="144">
        <f>IF(IF(AND($B$18&gt;=DATE($K$3,6,1),$B$18&lt;DATE($K$3,7,1)),$B$17,0)=0,AH55-AI56,IF(AND($B$18&gt;=DATE($K$3,6,1),$B$18&lt;DATE($K$3,7,1)),$B$17,0))</f>
        <v>0</v>
      </c>
      <c r="AI56" s="143">
        <f t="shared" si="24"/>
        <v>0</v>
      </c>
      <c r="AJ56" s="143">
        <f t="shared" si="25"/>
        <v>0</v>
      </c>
      <c r="AK56" s="143">
        <f t="shared" si="10"/>
        <v>0</v>
      </c>
      <c r="AN56" s="159"/>
      <c r="AO56" s="150">
        <f t="shared" si="11"/>
        <v>0</v>
      </c>
      <c r="AP56" s="151" t="s">
        <v>160</v>
      </c>
      <c r="AQ56" s="144">
        <f t="shared" si="29"/>
        <v>0</v>
      </c>
      <c r="AR56" s="143">
        <f t="shared" si="26"/>
        <v>0</v>
      </c>
      <c r="AS56" s="143">
        <f t="shared" si="27"/>
        <v>0</v>
      </c>
      <c r="AT56" s="143">
        <f t="shared" si="12"/>
        <v>0</v>
      </c>
    </row>
    <row r="57" spans="5:46" ht="13.5" customHeight="1">
      <c r="T57" s="1582"/>
      <c r="U57" s="143"/>
      <c r="V57" s="159"/>
      <c r="W57" s="150">
        <f t="shared" si="7"/>
        <v>0</v>
      </c>
      <c r="X57" s="151" t="s">
        <v>161</v>
      </c>
      <c r="Y57" s="144">
        <f>IF(IF(AND($B$7&gt;=DATE($K$3,7,1),$B$7&lt;DATE($K$3,8,1)),$B$6,0)=0,Y56-Z57,IF(AND($B$7&gt;=DATE($K$3,7,1),$B$7&lt;DATE($K$3,8,1)),$B$6,0))</f>
        <v>0</v>
      </c>
      <c r="Z57" s="143">
        <f t="shared" si="22"/>
        <v>0</v>
      </c>
      <c r="AA57" s="143">
        <f t="shared" si="23"/>
        <v>0</v>
      </c>
      <c r="AB57" s="143">
        <f t="shared" si="8"/>
        <v>0</v>
      </c>
      <c r="AC57" s="143"/>
      <c r="AE57" s="159"/>
      <c r="AF57" s="150">
        <f t="shared" si="9"/>
        <v>0</v>
      </c>
      <c r="AG57" s="151" t="s">
        <v>161</v>
      </c>
      <c r="AH57" s="144">
        <f>IF(IF(AND($B$18&gt;=DATE($K$3,7,1),$B$18&lt;DATE($K$3,8,1)),$B$17,0)=0,AH56-AI57,IF(AND($B$18&gt;=DATE($K$3,7,1),$B$18&lt;DATE($K$3,8,1)),$B$17,0))</f>
        <v>0</v>
      </c>
      <c r="AI57" s="143">
        <f t="shared" si="24"/>
        <v>0</v>
      </c>
      <c r="AJ57" s="143">
        <f t="shared" si="25"/>
        <v>0</v>
      </c>
      <c r="AK57" s="143">
        <f t="shared" si="10"/>
        <v>0</v>
      </c>
      <c r="AN57" s="159"/>
      <c r="AO57" s="150">
        <f t="shared" si="11"/>
        <v>0</v>
      </c>
      <c r="AP57" s="151" t="s">
        <v>161</v>
      </c>
      <c r="AQ57" s="144">
        <f t="shared" si="29"/>
        <v>0</v>
      </c>
      <c r="AR57" s="143">
        <f t="shared" si="26"/>
        <v>0</v>
      </c>
      <c r="AS57" s="143">
        <f t="shared" si="27"/>
        <v>0</v>
      </c>
      <c r="AT57" s="143">
        <f t="shared" si="12"/>
        <v>0</v>
      </c>
    </row>
    <row r="58" spans="5:46" ht="13.5" customHeight="1">
      <c r="S58" s="1304"/>
      <c r="W58" s="150">
        <f t="shared" si="7"/>
        <v>0</v>
      </c>
      <c r="X58" s="151" t="s">
        <v>162</v>
      </c>
      <c r="Y58" s="144">
        <f>IF(IF(AND($B$7&gt;=DATE($K$3,7,1),$B$7&lt;DATE($K$3,8,1)),$B$6,0)=0,Y57-Z58,IF(AND($B$7&gt;=DATE($K$3,7,1),$B$7&lt;DATE($K$3,8,1)),$B$6,0))</f>
        <v>0</v>
      </c>
      <c r="Z58" s="143">
        <f t="shared" si="22"/>
        <v>0</v>
      </c>
      <c r="AA58" s="143">
        <f t="shared" si="23"/>
        <v>0</v>
      </c>
      <c r="AB58" s="143">
        <f t="shared" si="8"/>
        <v>0</v>
      </c>
      <c r="AC58" s="143"/>
      <c r="AE58" s="159"/>
      <c r="AF58" s="150">
        <f t="shared" si="9"/>
        <v>0</v>
      </c>
      <c r="AG58" s="151" t="s">
        <v>162</v>
      </c>
      <c r="AH58" s="144">
        <f>IF(IF(AND($B$18&gt;=DATE($K$3,7,1),$B$18&lt;DATE($K$3,8,1)),$B$17,0)=0,AH57-AI58,IF(AND($B$18&gt;=DATE($K$3,7,1),$B$18&lt;DATE($K$3,8,1)),$B$17,0))</f>
        <v>0</v>
      </c>
      <c r="AI58" s="143">
        <f t="shared" si="24"/>
        <v>0</v>
      </c>
      <c r="AJ58" s="143">
        <f t="shared" si="25"/>
        <v>0</v>
      </c>
      <c r="AK58" s="143">
        <f t="shared" si="10"/>
        <v>0</v>
      </c>
      <c r="AN58" s="159"/>
      <c r="AO58" s="150">
        <f t="shared" si="11"/>
        <v>0</v>
      </c>
      <c r="AP58" s="151" t="s">
        <v>162</v>
      </c>
      <c r="AQ58" s="144">
        <f t="shared" si="29"/>
        <v>0</v>
      </c>
      <c r="AR58" s="143">
        <f t="shared" si="26"/>
        <v>0</v>
      </c>
      <c r="AS58" s="143">
        <f t="shared" si="27"/>
        <v>0</v>
      </c>
      <c r="AT58" s="143">
        <f t="shared" si="12"/>
        <v>0</v>
      </c>
    </row>
    <row r="59" spans="5:46">
      <c r="S59" s="1304"/>
      <c r="W59" s="150">
        <f t="shared" si="7"/>
        <v>0</v>
      </c>
      <c r="X59" s="151" t="s">
        <v>163</v>
      </c>
      <c r="Y59" s="144">
        <f>IF(IF(AND($B$7&gt;=DATE($K$3,7,1),$B$7&lt;DATE($K$3,8,1)),$B$6,0)=0,Y58-Z59,IF(AND($B$7&gt;=DATE($K$3,7,1),$B$7&lt;DATE($K$3,8,1)),$B$6,0))</f>
        <v>0</v>
      </c>
      <c r="Z59" s="143">
        <f t="shared" si="22"/>
        <v>0</v>
      </c>
      <c r="AA59" s="143">
        <f t="shared" si="23"/>
        <v>0</v>
      </c>
      <c r="AB59" s="143">
        <f t="shared" si="8"/>
        <v>0</v>
      </c>
      <c r="AC59" s="143"/>
      <c r="AE59" s="159"/>
      <c r="AF59" s="150">
        <f t="shared" si="9"/>
        <v>0</v>
      </c>
      <c r="AG59" s="151" t="s">
        <v>163</v>
      </c>
      <c r="AH59" s="144">
        <f>IF(IF(AND($B$18&gt;=DATE($K$3,7,1),$B$18&lt;DATE($K$3,8,1)),$B$17,0)=0,AH58-AI59,IF(AND($B$18&gt;=DATE($K$3,7,1),$B$18&lt;DATE($K$3,8,1)),$B$17,0))</f>
        <v>0</v>
      </c>
      <c r="AI59" s="143">
        <f t="shared" si="24"/>
        <v>0</v>
      </c>
      <c r="AJ59" s="143">
        <f t="shared" si="25"/>
        <v>0</v>
      </c>
      <c r="AK59" s="143">
        <f t="shared" si="10"/>
        <v>0</v>
      </c>
      <c r="AN59" s="159"/>
      <c r="AO59" s="150">
        <f t="shared" si="11"/>
        <v>0</v>
      </c>
      <c r="AP59" s="151" t="s">
        <v>163</v>
      </c>
      <c r="AQ59" s="144">
        <f t="shared" si="29"/>
        <v>0</v>
      </c>
      <c r="AR59" s="143">
        <f t="shared" si="26"/>
        <v>0</v>
      </c>
      <c r="AS59" s="143">
        <f t="shared" si="27"/>
        <v>0</v>
      </c>
      <c r="AT59" s="143">
        <f t="shared" si="12"/>
        <v>0</v>
      </c>
    </row>
    <row r="60" spans="5:46">
      <c r="T60" s="1582"/>
      <c r="U60" s="143"/>
      <c r="V60" s="159"/>
      <c r="W60" s="150">
        <f t="shared" si="7"/>
        <v>0</v>
      </c>
      <c r="X60" s="151" t="s">
        <v>164</v>
      </c>
      <c r="Y60" s="144">
        <f>IF(IF(AND($B$7&gt;=DATE($K$3,7,1),$B$7&lt;DATE($K$3,8,1)),$B$6,0)=0,Y59-Z60,IF(AND($B$7&gt;=DATE($K$3,7,1),$B$7&lt;DATE($K$3,8,1)),$B$6,0))</f>
        <v>0</v>
      </c>
      <c r="Z60" s="143">
        <f t="shared" si="22"/>
        <v>0</v>
      </c>
      <c r="AA60" s="143">
        <f t="shared" si="23"/>
        <v>0</v>
      </c>
      <c r="AB60" s="143">
        <f t="shared" si="8"/>
        <v>0</v>
      </c>
      <c r="AC60" s="143"/>
      <c r="AE60" s="159"/>
      <c r="AF60" s="150">
        <f t="shared" si="9"/>
        <v>0</v>
      </c>
      <c r="AG60" s="151" t="s">
        <v>164</v>
      </c>
      <c r="AH60" s="144">
        <f>IF(IF(AND($B$18&gt;=DATE($K$3,7,1),$B$18&lt;DATE($K$3,8,1)),$B$17,0)=0,AH59-AI60,IF(AND($B$18&gt;=DATE($K$3,7,1),$B$18&lt;DATE($K$3,8,1)),$B$17,0))</f>
        <v>0</v>
      </c>
      <c r="AI60" s="143">
        <f t="shared" si="24"/>
        <v>0</v>
      </c>
      <c r="AJ60" s="143">
        <f t="shared" si="25"/>
        <v>0</v>
      </c>
      <c r="AK60" s="143">
        <f t="shared" si="10"/>
        <v>0</v>
      </c>
      <c r="AN60" s="159"/>
      <c r="AO60" s="150">
        <f t="shared" si="11"/>
        <v>0</v>
      </c>
      <c r="AP60" s="151" t="s">
        <v>164</v>
      </c>
      <c r="AQ60" s="144">
        <f t="shared" si="29"/>
        <v>0</v>
      </c>
      <c r="AR60" s="143">
        <f t="shared" si="26"/>
        <v>0</v>
      </c>
      <c r="AS60" s="143">
        <f t="shared" si="27"/>
        <v>0</v>
      </c>
      <c r="AT60" s="143">
        <f t="shared" si="12"/>
        <v>0</v>
      </c>
    </row>
    <row r="61" spans="5:46">
      <c r="S61" s="1304"/>
    </row>
    <row r="62" spans="5:46">
      <c r="S62" s="1304"/>
    </row>
    <row r="63" spans="5:46">
      <c r="S63" s="1304"/>
    </row>
    <row r="64" spans="5:46">
      <c r="S64" s="1304"/>
    </row>
    <row r="65" spans="19:19">
      <c r="S65" s="1304"/>
    </row>
    <row r="66" spans="19:19">
      <c r="S66" s="1304"/>
    </row>
    <row r="67" spans="19:19">
      <c r="S67" s="1304"/>
    </row>
    <row r="68" spans="19:19">
      <c r="S68" s="1304"/>
    </row>
    <row r="69" spans="19:19">
      <c r="S69" s="1304"/>
    </row>
    <row r="70" spans="19:19">
      <c r="S70" s="1304"/>
    </row>
    <row r="71" spans="19:19">
      <c r="S71" s="1304"/>
    </row>
    <row r="72" spans="19:19">
      <c r="S72" s="1304"/>
    </row>
    <row r="73" spans="19:19">
      <c r="S73" s="1304"/>
    </row>
    <row r="74" spans="19:19">
      <c r="S74" s="1304"/>
    </row>
    <row r="75" spans="19:19">
      <c r="S75" s="1304"/>
    </row>
    <row r="76" spans="19:19">
      <c r="S76" s="1304"/>
    </row>
    <row r="77" spans="19:19">
      <c r="S77" s="1304"/>
    </row>
    <row r="78" spans="19:19">
      <c r="S78" s="1304"/>
    </row>
    <row r="79" spans="19:19">
      <c r="S79" s="1304"/>
    </row>
    <row r="80" spans="19:19">
      <c r="S80" s="1304"/>
    </row>
    <row r="81" spans="19:19">
      <c r="S81" s="1304"/>
    </row>
    <row r="82" spans="19:19">
      <c r="S82" s="1304"/>
    </row>
    <row r="83" spans="19:19">
      <c r="S83" s="1304"/>
    </row>
    <row r="84" spans="19:19">
      <c r="S84" s="1304"/>
    </row>
    <row r="85" spans="19:19">
      <c r="S85" s="1304"/>
    </row>
    <row r="86" spans="19:19">
      <c r="S86" s="1304"/>
    </row>
    <row r="87" spans="19:19">
      <c r="S87" s="1304"/>
    </row>
    <row r="88" spans="19:19">
      <c r="S88" s="1304"/>
    </row>
    <row r="89" spans="19:19">
      <c r="S89" s="1304"/>
    </row>
    <row r="90" spans="19:19">
      <c r="S90" s="1304"/>
    </row>
    <row r="91" spans="19:19">
      <c r="S91" s="1304"/>
    </row>
    <row r="92" spans="19:19">
      <c r="S92" s="1304"/>
    </row>
    <row r="93" spans="19:19">
      <c r="S93" s="1304"/>
    </row>
    <row r="94" spans="19:19">
      <c r="S94" s="1304"/>
    </row>
    <row r="95" spans="19:19">
      <c r="S95" s="1304"/>
    </row>
    <row r="96" spans="19:19">
      <c r="S96" s="1304"/>
    </row>
    <row r="97" spans="19:19">
      <c r="S97" s="1304"/>
    </row>
    <row r="98" spans="19:19">
      <c r="S98" s="1304"/>
    </row>
    <row r="99" spans="19:19">
      <c r="S99" s="1304"/>
    </row>
    <row r="100" spans="19:19">
      <c r="S100" s="1304"/>
    </row>
    <row r="101" spans="19:19">
      <c r="S101" s="1304"/>
    </row>
    <row r="102" spans="19:19">
      <c r="S102" s="1304"/>
    </row>
    <row r="103" spans="19:19">
      <c r="S103" s="1304"/>
    </row>
    <row r="104" spans="19:19">
      <c r="S104" s="1304"/>
    </row>
    <row r="105" spans="19:19">
      <c r="S105" s="1304"/>
    </row>
    <row r="106" spans="19:19">
      <c r="S106" s="1304"/>
    </row>
    <row r="107" spans="19:19">
      <c r="S107" s="1304"/>
    </row>
    <row r="108" spans="19:19">
      <c r="S108" s="1304"/>
    </row>
    <row r="109" spans="19:19">
      <c r="S109" s="1304"/>
    </row>
    <row r="110" spans="19:19">
      <c r="S110" s="1304"/>
    </row>
    <row r="111" spans="19:19">
      <c r="S111" s="1304"/>
    </row>
    <row r="112" spans="19:19">
      <c r="S112" s="1304"/>
    </row>
    <row r="113" spans="19:19">
      <c r="S113" s="1304"/>
    </row>
    <row r="114" spans="19:19">
      <c r="S114" s="1304"/>
    </row>
    <row r="115" spans="19:19">
      <c r="S115" s="1304"/>
    </row>
    <row r="116" spans="19:19">
      <c r="S116" s="1304"/>
    </row>
  </sheetData>
  <sheetProtection password="CD53" sheet="1" objects="1" scenarios="1" selectLockedCells="1"/>
  <dataConsolidate leftLabels="1"/>
  <conditionalFormatting sqref="F21:Q21">
    <cfRule type="cellIs" dxfId="6" priority="17" stopIfTrue="1" operator="between">
      <formula>0.7</formula>
      <formula>10</formula>
    </cfRule>
  </conditionalFormatting>
  <conditionalFormatting sqref="G41:Q41">
    <cfRule type="cellIs" dxfId="5" priority="11" stopIfTrue="1" operator="between">
      <formula>0.7</formula>
      <formula>10</formula>
    </cfRule>
  </conditionalFormatting>
  <conditionalFormatting sqref="G31:Q31">
    <cfRule type="cellIs" dxfId="4" priority="14" stopIfTrue="1" operator="between">
      <formula>0.7</formula>
      <formula>10</formula>
    </cfRule>
  </conditionalFormatting>
  <conditionalFormatting sqref="B19">
    <cfRule type="cellIs" dxfId="3" priority="8" stopIfTrue="1" operator="lessThan">
      <formula>$G$3</formula>
    </cfRule>
  </conditionalFormatting>
  <conditionalFormatting sqref="B21">
    <cfRule type="cellIs" dxfId="2" priority="7" stopIfTrue="1" operator="lessThan">
      <formula>$G$3</formula>
    </cfRule>
  </conditionalFormatting>
  <conditionalFormatting sqref="B30">
    <cfRule type="cellIs" dxfId="1" priority="6" stopIfTrue="1" operator="lessThan">
      <formula>$G$3</formula>
    </cfRule>
  </conditionalFormatting>
  <conditionalFormatting sqref="B32">
    <cfRule type="cellIs" dxfId="0" priority="5" stopIfTrue="1" operator="lessThan">
      <formula>$G$3</formula>
    </cfRule>
  </conditionalFormatting>
  <dataValidations count="2">
    <dataValidation type="list" allowBlank="1" showInputMessage="1" showErrorMessage="1" promptTitle="Kind of loan" sqref="B5 B27 B16">
      <formula1>"Annuity,Linear,Composite,interest-only"</formula1>
    </dataValidation>
    <dataValidation type="list" allowBlank="1" showInputMessage="1" showErrorMessage="1" sqref="B38:B39">
      <formula1>"Monthly,Quarterly,Annual"</formula1>
    </dataValidation>
  </dataValidation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R68"/>
  <sheetViews>
    <sheetView zoomScale="65" zoomScaleNormal="65" workbookViewId="0">
      <selection activeCell="S23" sqref="S23"/>
    </sheetView>
  </sheetViews>
  <sheetFormatPr defaultRowHeight="12.75"/>
  <cols>
    <col min="1" max="1" width="2.140625" style="945" customWidth="1"/>
    <col min="2" max="2" width="2" style="945" customWidth="1"/>
    <col min="3" max="3" width="21.85546875" style="945" customWidth="1"/>
    <col min="4" max="4" width="17.7109375" style="945" customWidth="1"/>
    <col min="5" max="5" width="23" style="945" customWidth="1"/>
    <col min="6" max="6" width="16" style="945" bestFit="1" customWidth="1"/>
    <col min="7" max="7" width="14.7109375" style="945" bestFit="1" customWidth="1"/>
    <col min="8" max="8" width="16" style="945" bestFit="1" customWidth="1"/>
    <col min="9" max="9" width="15.140625" style="945" bestFit="1" customWidth="1"/>
    <col min="10" max="11" width="16.5703125" style="945" bestFit="1" customWidth="1"/>
    <col min="12" max="12" width="17" style="945" bestFit="1" customWidth="1"/>
    <col min="13" max="13" width="2.7109375" style="945" customWidth="1"/>
    <col min="14" max="15" width="12.28515625" style="945" bestFit="1" customWidth="1"/>
    <col min="16" max="16" width="9.140625" style="945"/>
    <col min="17" max="17" width="14.140625" style="945" bestFit="1" customWidth="1"/>
    <col min="18" max="16384" width="9.140625" style="945"/>
  </cols>
  <sheetData>
    <row r="1" spans="1:15" ht="13.5" thickBot="1"/>
    <row r="2" spans="1:15" ht="13.5" thickBot="1">
      <c r="C2" s="946" t="s">
        <v>1042</v>
      </c>
      <c r="D2" s="947"/>
      <c r="E2" s="947"/>
      <c r="F2" s="948">
        <v>2023</v>
      </c>
      <c r="G2" s="948">
        <f t="shared" ref="G2:L2" si="0">F2+1</f>
        <v>2024</v>
      </c>
      <c r="H2" s="948">
        <f t="shared" si="0"/>
        <v>2025</v>
      </c>
      <c r="I2" s="948">
        <f t="shared" si="0"/>
        <v>2026</v>
      </c>
      <c r="J2" s="948">
        <f t="shared" si="0"/>
        <v>2027</v>
      </c>
      <c r="K2" s="948">
        <f t="shared" si="0"/>
        <v>2028</v>
      </c>
      <c r="L2" s="949">
        <f t="shared" si="0"/>
        <v>2029</v>
      </c>
    </row>
    <row r="3" spans="1:15">
      <c r="C3" s="950"/>
      <c r="D3" s="951"/>
      <c r="E3" s="951"/>
      <c r="F3" s="951"/>
      <c r="G3" s="951"/>
      <c r="H3" s="952"/>
      <c r="I3" s="953"/>
      <c r="J3" s="951"/>
      <c r="K3" s="951"/>
      <c r="L3" s="954"/>
    </row>
    <row r="4" spans="1:15">
      <c r="C4" s="958" t="s">
        <v>1043</v>
      </c>
      <c r="D4" s="959"/>
      <c r="E4" s="959"/>
      <c r="F4" s="960">
        <f ca="1">E65+E66</f>
        <v>107256.78666666667</v>
      </c>
      <c r="G4" s="960">
        <f ca="1">F65+F66</f>
        <v>2871028.2184100002</v>
      </c>
      <c r="H4" s="960">
        <f ca="1">G65+G66</f>
        <v>2018694.4009346336</v>
      </c>
      <c r="I4" s="960">
        <f ca="1">H65+H66</f>
        <v>3225035.2470776914</v>
      </c>
      <c r="J4" s="960">
        <f ca="1">I65+I66</f>
        <v>3984734.528574497</v>
      </c>
      <c r="K4" s="960">
        <f ca="1">Sale!N9-Sale!N90+Sale!X146</f>
        <v>4294457.0770965917</v>
      </c>
      <c r="L4" s="961">
        <f ca="1">Sale!O9-Sale!O90+Sale!Y146</f>
        <v>4437191.5834247731</v>
      </c>
    </row>
    <row r="5" spans="1:15">
      <c r="C5" s="955"/>
      <c r="D5" s="962"/>
      <c r="E5" s="962"/>
      <c r="F5" s="962"/>
      <c r="G5" s="962"/>
      <c r="H5" s="962"/>
      <c r="I5" s="962"/>
      <c r="J5" s="963"/>
      <c r="K5" s="963"/>
      <c r="L5" s="964"/>
    </row>
    <row r="6" spans="1:15">
      <c r="A6" s="965"/>
      <c r="C6" s="958" t="s">
        <v>1137</v>
      </c>
      <c r="D6" s="963"/>
      <c r="E6" s="963"/>
      <c r="F6" s="966">
        <f ca="1">EN!D36</f>
        <v>49819.853374451472</v>
      </c>
      <c r="G6" s="966">
        <f ca="1">EN!E36</f>
        <v>559249.68958791078</v>
      </c>
      <c r="H6" s="966">
        <f ca="1">EN!F36</f>
        <v>460423.50741666718</v>
      </c>
      <c r="I6" s="966">
        <f ca="1">EN!G36</f>
        <v>543731.59030296642</v>
      </c>
      <c r="J6" s="966">
        <f ca="1">EN!H36</f>
        <v>607001.26372100459</v>
      </c>
      <c r="K6" s="966">
        <f ca="1">EN!I36</f>
        <v>618383.86721310718</v>
      </c>
      <c r="L6" s="967">
        <f ca="1">EN!J36</f>
        <v>674047.14485464687</v>
      </c>
      <c r="N6" s="966"/>
      <c r="O6" s="966"/>
    </row>
    <row r="7" spans="1:15">
      <c r="A7" s="968"/>
      <c r="C7" s="958" t="s">
        <v>60</v>
      </c>
      <c r="D7" s="963"/>
      <c r="E7" s="963"/>
      <c r="F7" s="969">
        <f ca="1">EN!D37</f>
        <v>142849.83919931506</v>
      </c>
      <c r="G7" s="969">
        <f ca="1">EN!E37</f>
        <v>238032.36623621077</v>
      </c>
      <c r="H7" s="969">
        <f ca="1">EN!F37</f>
        <v>211204.49801050473</v>
      </c>
      <c r="I7" s="969">
        <f ca="1">EN!G37</f>
        <v>207172.01056030754</v>
      </c>
      <c r="J7" s="969">
        <f ca="1">EN!H37</f>
        <v>209859.9401099495</v>
      </c>
      <c r="K7" s="969">
        <f ca="1">EN!I37</f>
        <v>197400.19976953758</v>
      </c>
      <c r="L7" s="970">
        <f ca="1">EN!J37</f>
        <v>217134.13703346445</v>
      </c>
      <c r="N7" s="973"/>
      <c r="O7" s="973"/>
    </row>
    <row r="8" spans="1:15">
      <c r="A8" s="968"/>
      <c r="C8" s="958" t="s">
        <v>941</v>
      </c>
      <c r="D8" s="963"/>
      <c r="E8" s="963"/>
      <c r="F8" s="974">
        <f>EN!D38</f>
        <v>18000</v>
      </c>
      <c r="G8" s="974">
        <f>EN!E38</f>
        <v>18630</v>
      </c>
      <c r="H8" s="974">
        <f>EN!F38</f>
        <v>19002.599999999999</v>
      </c>
      <c r="I8" s="974">
        <f>EN!G38</f>
        <v>19382.651999999998</v>
      </c>
      <c r="J8" s="974">
        <f>EN!H38</f>
        <v>19770.305039999999</v>
      </c>
      <c r="K8" s="974">
        <f>EN!I38</f>
        <v>20165.711140799998</v>
      </c>
      <c r="L8" s="975">
        <f>EN!J38</f>
        <v>20569.025363615998</v>
      </c>
    </row>
    <row r="9" spans="1:15">
      <c r="A9" s="979"/>
      <c r="C9" s="976" t="s">
        <v>1045</v>
      </c>
      <c r="D9" s="963"/>
      <c r="E9" s="963"/>
      <c r="F9" s="980">
        <f ca="1">SUM(F6:F8)</f>
        <v>210669.69257376652</v>
      </c>
      <c r="G9" s="980">
        <f t="shared" ref="G9:L9" ca="1" si="1">SUM(G6:G8)</f>
        <v>815912.05582412158</v>
      </c>
      <c r="H9" s="980">
        <f t="shared" ca="1" si="1"/>
        <v>690630.60542717192</v>
      </c>
      <c r="I9" s="980">
        <f t="shared" ca="1" si="1"/>
        <v>770286.25286327396</v>
      </c>
      <c r="J9" s="980">
        <f t="shared" ca="1" si="1"/>
        <v>836631.50887095416</v>
      </c>
      <c r="K9" s="980">
        <f t="shared" ca="1" si="1"/>
        <v>835949.77812344476</v>
      </c>
      <c r="L9" s="981">
        <f t="shared" ca="1" si="1"/>
        <v>911750.30725172721</v>
      </c>
    </row>
    <row r="10" spans="1:15">
      <c r="A10" s="982"/>
      <c r="C10" s="955"/>
      <c r="D10" s="963"/>
      <c r="E10" s="963"/>
      <c r="F10" s="963"/>
      <c r="G10" s="963"/>
      <c r="H10" s="963"/>
      <c r="I10" s="963"/>
      <c r="J10" s="963"/>
      <c r="K10" s="963"/>
      <c r="L10" s="964"/>
      <c r="N10" s="973"/>
    </row>
    <row r="11" spans="1:15">
      <c r="A11" s="965"/>
      <c r="C11" s="976" t="s">
        <v>1048</v>
      </c>
      <c r="D11" s="963"/>
      <c r="E11" s="963"/>
      <c r="F11" s="977">
        <f t="shared" ref="F11:L11" ca="1" si="2">F4-F9</f>
        <v>-103412.90590709985</v>
      </c>
      <c r="G11" s="977">
        <f t="shared" ca="1" si="2"/>
        <v>2055116.1625858787</v>
      </c>
      <c r="H11" s="977">
        <f t="shared" ca="1" si="2"/>
        <v>1328063.7955074618</v>
      </c>
      <c r="I11" s="977">
        <f t="shared" ca="1" si="2"/>
        <v>2454748.9942144174</v>
      </c>
      <c r="J11" s="977">
        <f t="shared" ca="1" si="2"/>
        <v>3148103.0197035428</v>
      </c>
      <c r="K11" s="977">
        <f t="shared" ca="1" si="2"/>
        <v>3458507.2989731468</v>
      </c>
      <c r="L11" s="978">
        <f t="shared" ca="1" si="2"/>
        <v>3525441.2761730459</v>
      </c>
      <c r="O11" s="973"/>
    </row>
    <row r="12" spans="1:15">
      <c r="C12" s="958" t="s">
        <v>982</v>
      </c>
      <c r="D12" s="963"/>
      <c r="E12" s="963"/>
      <c r="F12" s="962">
        <f ca="1">EN!D42</f>
        <v>671501.27094141964</v>
      </c>
      <c r="G12" s="962">
        <f>EN!E42</f>
        <v>0</v>
      </c>
      <c r="H12" s="962">
        <f>EN!F42</f>
        <v>0</v>
      </c>
      <c r="I12" s="962">
        <f>EN!G42</f>
        <v>0</v>
      </c>
      <c r="J12" s="962">
        <f>EN!H42</f>
        <v>0</v>
      </c>
      <c r="K12" s="962">
        <f>EN!I42</f>
        <v>0</v>
      </c>
      <c r="L12" s="984">
        <f>EN!J42</f>
        <v>0</v>
      </c>
    </row>
    <row r="13" spans="1:15">
      <c r="C13" s="955" t="s">
        <v>30</v>
      </c>
      <c r="D13" s="963"/>
      <c r="E13" s="963"/>
      <c r="F13" s="971">
        <f>EN!D44</f>
        <v>-64070</v>
      </c>
      <c r="G13" s="971">
        <f>EN!E44</f>
        <v>-64070</v>
      </c>
      <c r="H13" s="971">
        <f>EN!F44</f>
        <v>-64070</v>
      </c>
      <c r="I13" s="971">
        <f>EN!G44</f>
        <v>-64070</v>
      </c>
      <c r="J13" s="971">
        <f>EN!H44</f>
        <v>-64070</v>
      </c>
      <c r="K13" s="971">
        <f>EN!I44</f>
        <v>0</v>
      </c>
      <c r="L13" s="972">
        <f>EN!J44</f>
        <v>0</v>
      </c>
    </row>
    <row r="14" spans="1:15">
      <c r="C14" s="976" t="s">
        <v>1050</v>
      </c>
      <c r="D14" s="963"/>
      <c r="E14" s="963"/>
      <c r="F14" s="977">
        <f t="shared" ref="F14:L14" ca="1" si="3">F11+F12+F13</f>
        <v>504018.36503431981</v>
      </c>
      <c r="G14" s="977">
        <f t="shared" ca="1" si="3"/>
        <v>1991046.1625858787</v>
      </c>
      <c r="H14" s="977">
        <f t="shared" ca="1" si="3"/>
        <v>1263993.7955074618</v>
      </c>
      <c r="I14" s="977">
        <f t="shared" ca="1" si="3"/>
        <v>2390678.9942144174</v>
      </c>
      <c r="J14" s="977">
        <f t="shared" ca="1" si="3"/>
        <v>3084033.0197035428</v>
      </c>
      <c r="K14" s="977">
        <f t="shared" ca="1" si="3"/>
        <v>3458507.2989731468</v>
      </c>
      <c r="L14" s="978">
        <f t="shared" ca="1" si="3"/>
        <v>3525441.2761730459</v>
      </c>
    </row>
    <row r="15" spans="1:15">
      <c r="C15" s="955" t="s">
        <v>1051</v>
      </c>
      <c r="D15" s="963"/>
      <c r="E15" s="963"/>
      <c r="F15" s="987">
        <v>8.5</v>
      </c>
      <c r="G15" s="987">
        <v>9.5</v>
      </c>
      <c r="H15" s="987">
        <v>10.75</v>
      </c>
      <c r="I15" s="987">
        <v>12.25</v>
      </c>
      <c r="J15" s="987">
        <v>14</v>
      </c>
      <c r="K15" s="987">
        <v>15.75</v>
      </c>
      <c r="L15" s="988">
        <v>17.5</v>
      </c>
    </row>
    <row r="16" spans="1:15">
      <c r="C16" s="955" t="s">
        <v>1052</v>
      </c>
      <c r="D16" s="963"/>
      <c r="E16" s="963"/>
      <c r="F16" s="963"/>
      <c r="G16" s="989">
        <f t="shared" ref="G16:L16" si="4">G15-F15</f>
        <v>1</v>
      </c>
      <c r="H16" s="989">
        <f t="shared" si="4"/>
        <v>1.25</v>
      </c>
      <c r="I16" s="989">
        <f t="shared" si="4"/>
        <v>1.5</v>
      </c>
      <c r="J16" s="989">
        <f t="shared" si="4"/>
        <v>1.75</v>
      </c>
      <c r="K16" s="989">
        <f t="shared" si="4"/>
        <v>1.75</v>
      </c>
      <c r="L16" s="990">
        <f t="shared" si="4"/>
        <v>1.75</v>
      </c>
    </row>
    <row r="17" spans="1:18">
      <c r="C17" s="976" t="s">
        <v>1132</v>
      </c>
      <c r="D17" s="963"/>
      <c r="E17" s="963"/>
      <c r="F17" s="977">
        <f t="shared" ref="F17:L17" ca="1" si="5">F14*F15</f>
        <v>4284156.1027917182</v>
      </c>
      <c r="G17" s="977">
        <f t="shared" ca="1" si="5"/>
        <v>18914938.544565849</v>
      </c>
      <c r="H17" s="977">
        <f t="shared" ca="1" si="5"/>
        <v>13587933.301705213</v>
      </c>
      <c r="I17" s="977">
        <f t="shared" ca="1" si="5"/>
        <v>29285817.679126613</v>
      </c>
      <c r="J17" s="977">
        <f t="shared" ca="1" si="5"/>
        <v>43176462.275849596</v>
      </c>
      <c r="K17" s="977">
        <f t="shared" ca="1" si="5"/>
        <v>54471489.958827063</v>
      </c>
      <c r="L17" s="978">
        <f t="shared" ca="1" si="5"/>
        <v>61695222.333028302</v>
      </c>
    </row>
    <row r="18" spans="1:18">
      <c r="C18" s="976"/>
      <c r="D18" s="963"/>
      <c r="E18" s="963"/>
      <c r="F18" s="977"/>
      <c r="G18" s="977"/>
      <c r="H18" s="977"/>
      <c r="I18" s="977"/>
      <c r="J18" s="977"/>
      <c r="K18" s="977"/>
      <c r="L18" s="978"/>
    </row>
    <row r="19" spans="1:18">
      <c r="C19" s="955" t="s">
        <v>684</v>
      </c>
      <c r="D19" s="963"/>
      <c r="E19" s="963"/>
      <c r="F19" s="959">
        <f>F27</f>
        <v>0.49</v>
      </c>
      <c r="G19" s="959">
        <f t="shared" ref="G19:L19" si="6">F19</f>
        <v>0.49</v>
      </c>
      <c r="H19" s="959">
        <f t="shared" si="6"/>
        <v>0.49</v>
      </c>
      <c r="I19" s="959">
        <f t="shared" si="6"/>
        <v>0.49</v>
      </c>
      <c r="J19" s="959">
        <f t="shared" si="6"/>
        <v>0.49</v>
      </c>
      <c r="K19" s="959">
        <f t="shared" si="6"/>
        <v>0.49</v>
      </c>
      <c r="L19" s="2877">
        <f t="shared" si="6"/>
        <v>0.49</v>
      </c>
    </row>
    <row r="20" spans="1:18">
      <c r="C20" s="955" t="s">
        <v>1194</v>
      </c>
      <c r="D20" s="963"/>
      <c r="E20" s="963"/>
      <c r="F20" s="977">
        <f ca="1">F17*F19</f>
        <v>2099236.490367942</v>
      </c>
      <c r="G20" s="977">
        <f t="shared" ref="G20:L20" ca="1" si="7">G17*G19</f>
        <v>9268319.8868372664</v>
      </c>
      <c r="H20" s="977">
        <f t="shared" ca="1" si="7"/>
        <v>6658087.3178355545</v>
      </c>
      <c r="I20" s="977">
        <f t="shared" ca="1" si="7"/>
        <v>14350050.662772041</v>
      </c>
      <c r="J20" s="977">
        <f t="shared" ca="1" si="7"/>
        <v>21156466.515166301</v>
      </c>
      <c r="K20" s="977">
        <f t="shared" ca="1" si="7"/>
        <v>26691030.07982526</v>
      </c>
      <c r="L20" s="978">
        <f t="shared" ca="1" si="7"/>
        <v>30230658.943183865</v>
      </c>
    </row>
    <row r="21" spans="1:18">
      <c r="C21" s="955"/>
      <c r="D21" s="963"/>
      <c r="E21" s="963"/>
      <c r="F21" s="963"/>
      <c r="G21" s="963"/>
      <c r="H21" s="963"/>
      <c r="I21" s="963"/>
      <c r="J21" s="963"/>
      <c r="K21" s="963"/>
      <c r="L21" s="964"/>
    </row>
    <row r="22" spans="1:18">
      <c r="C22" s="955" t="s">
        <v>1053</v>
      </c>
      <c r="D22" s="963"/>
      <c r="E22" s="963"/>
      <c r="F22" s="993">
        <f>AVERAGE(F15:J15)</f>
        <v>11</v>
      </c>
      <c r="G22" s="963"/>
      <c r="H22" s="963"/>
      <c r="I22" s="963"/>
      <c r="J22" s="963"/>
      <c r="K22" s="963"/>
      <c r="L22" s="964"/>
    </row>
    <row r="23" spans="1:18" ht="13.5" thickBot="1">
      <c r="C23" s="983" t="s">
        <v>1054</v>
      </c>
      <c r="D23" s="994"/>
      <c r="E23" s="994"/>
      <c r="F23" s="995">
        <f ca="1">AVERAGE(F17:J17)</f>
        <v>21849861.580807798</v>
      </c>
      <c r="G23" s="994"/>
      <c r="H23" s="994"/>
      <c r="I23" s="994"/>
      <c r="J23" s="994"/>
      <c r="K23" s="994"/>
      <c r="L23" s="2878"/>
    </row>
    <row r="24" spans="1:18" ht="13.5" thickBot="1"/>
    <row r="25" spans="1:18" ht="13.5" thickBot="1">
      <c r="C25" s="997" t="s">
        <v>1055</v>
      </c>
      <c r="D25" s="998"/>
      <c r="E25" s="998"/>
      <c r="F25" s="999"/>
    </row>
    <row r="26" spans="1:18">
      <c r="C26" s="1000" t="str">
        <f>C23</f>
        <v xml:space="preserve">Average company value in first 5 years </v>
      </c>
      <c r="D26" s="985"/>
      <c r="E26" s="985"/>
      <c r="F26" s="1001">
        <f ca="1">F23</f>
        <v>21849861.580807798</v>
      </c>
    </row>
    <row r="27" spans="1:18">
      <c r="C27" s="955" t="s">
        <v>1056</v>
      </c>
      <c r="D27" s="956"/>
      <c r="E27" s="956"/>
      <c r="F27" s="2879">
        <v>0.49</v>
      </c>
    </row>
    <row r="28" spans="1:18" ht="13.5" thickBot="1">
      <c r="C28" s="983" t="s">
        <v>1057</v>
      </c>
      <c r="D28" s="1002"/>
      <c r="E28" s="1002"/>
      <c r="F28" s="1003">
        <f ca="1">F26*F27</f>
        <v>10706432.17459582</v>
      </c>
      <c r="Q28" s="1114"/>
      <c r="R28" s="2889"/>
    </row>
    <row r="29" spans="1:18" ht="13.5" thickBot="1">
      <c r="A29" s="963"/>
      <c r="B29" s="963"/>
      <c r="C29" s="963"/>
      <c r="D29" s="963"/>
      <c r="E29" s="963"/>
      <c r="F29" s="963"/>
      <c r="G29" s="963"/>
      <c r="H29" s="963"/>
      <c r="I29" s="963"/>
      <c r="J29" s="963"/>
      <c r="K29" s="963"/>
      <c r="L29" s="963"/>
      <c r="M29" s="963"/>
      <c r="Q29" s="1114"/>
    </row>
    <row r="30" spans="1:18" ht="13.5" thickBot="1">
      <c r="C30" s="946" t="s">
        <v>1129</v>
      </c>
      <c r="D30" s="985"/>
      <c r="E30" s="985"/>
      <c r="F30" s="948">
        <f>F2</f>
        <v>2023</v>
      </c>
      <c r="G30" s="948">
        <f t="shared" ref="G30:L30" si="8">F30+1</f>
        <v>2024</v>
      </c>
      <c r="H30" s="948">
        <f t="shared" si="8"/>
        <v>2025</v>
      </c>
      <c r="I30" s="948">
        <f t="shared" si="8"/>
        <v>2026</v>
      </c>
      <c r="J30" s="948">
        <f t="shared" si="8"/>
        <v>2027</v>
      </c>
      <c r="K30" s="948">
        <f t="shared" si="8"/>
        <v>2028</v>
      </c>
      <c r="L30" s="949">
        <f t="shared" si="8"/>
        <v>2029</v>
      </c>
      <c r="Q30" s="1114"/>
    </row>
    <row r="31" spans="1:18">
      <c r="C31" s="955"/>
      <c r="D31" s="963"/>
      <c r="E31" s="963"/>
      <c r="F31" s="963"/>
      <c r="G31" s="963"/>
      <c r="H31" s="963"/>
      <c r="I31" s="963"/>
      <c r="J31" s="963"/>
      <c r="K31" s="963"/>
      <c r="L31" s="964"/>
      <c r="Q31" s="2890"/>
      <c r="R31" s="2891"/>
    </row>
    <row r="32" spans="1:18">
      <c r="C32" s="976" t="s">
        <v>1050</v>
      </c>
      <c r="D32" s="963"/>
      <c r="E32" s="963"/>
      <c r="F32" s="1117">
        <f>'Val. singledrinks.com'!D61</f>
        <v>0</v>
      </c>
      <c r="G32" s="1117">
        <f>'Val. singledrinks.com'!E61</f>
        <v>188447.76887500001</v>
      </c>
      <c r="H32" s="1117">
        <f>'Val. singledrinks.com'!F61</f>
        <v>340164.70905587263</v>
      </c>
      <c r="I32" s="1117">
        <f>'Val. singledrinks.com'!G61</f>
        <v>964959.30840622936</v>
      </c>
      <c r="J32" s="1117">
        <f>'Val. singledrinks.com'!H61</f>
        <v>2474985.2488864288</v>
      </c>
      <c r="K32" s="1117">
        <f>'Val. singledrinks.com'!I61</f>
        <v>4457071.2684668368</v>
      </c>
      <c r="L32" s="1118">
        <f>'Val. singledrinks.com'!J61</f>
        <v>6830847.8598594991</v>
      </c>
    </row>
    <row r="33" spans="3:18">
      <c r="C33" s="955" t="s">
        <v>1051</v>
      </c>
      <c r="D33" s="963"/>
      <c r="E33" s="963"/>
      <c r="F33" s="1116">
        <v>8.5</v>
      </c>
      <c r="G33" s="1116">
        <f t="shared" ref="G33:L33" si="9">F15</f>
        <v>8.5</v>
      </c>
      <c r="H33" s="1116">
        <f t="shared" si="9"/>
        <v>9.5</v>
      </c>
      <c r="I33" s="1116">
        <f t="shared" si="9"/>
        <v>10.75</v>
      </c>
      <c r="J33" s="1116">
        <f t="shared" si="9"/>
        <v>12.25</v>
      </c>
      <c r="K33" s="1116">
        <f t="shared" si="9"/>
        <v>14</v>
      </c>
      <c r="L33" s="1119">
        <f t="shared" si="9"/>
        <v>15.75</v>
      </c>
      <c r="R33" s="982"/>
    </row>
    <row r="34" spans="3:18">
      <c r="C34" s="955" t="s">
        <v>1052</v>
      </c>
      <c r="D34" s="963"/>
      <c r="E34" s="963"/>
      <c r="F34" s="1115"/>
      <c r="G34" s="1115">
        <v>1</v>
      </c>
      <c r="H34" s="1115">
        <v>1.25</v>
      </c>
      <c r="I34" s="1115">
        <v>1.5</v>
      </c>
      <c r="J34" s="1115">
        <v>1.75</v>
      </c>
      <c r="K34" s="1115">
        <v>1.75</v>
      </c>
      <c r="L34" s="1120">
        <v>1.75</v>
      </c>
    </row>
    <row r="35" spans="3:18">
      <c r="C35" s="955" t="s">
        <v>862</v>
      </c>
      <c r="D35" s="963"/>
      <c r="E35" s="963"/>
      <c r="F35" s="1117">
        <f>F32*F33</f>
        <v>0</v>
      </c>
      <c r="G35" s="1117">
        <f t="shared" ref="G35:L35" si="10">G32*G33</f>
        <v>1601806.0354375001</v>
      </c>
      <c r="H35" s="1117">
        <f t="shared" si="10"/>
        <v>3231564.73603079</v>
      </c>
      <c r="I35" s="1117">
        <f t="shared" si="10"/>
        <v>10373312.565366965</v>
      </c>
      <c r="J35" s="1117">
        <f t="shared" si="10"/>
        <v>30318569.298858754</v>
      </c>
      <c r="K35" s="1117">
        <f t="shared" si="10"/>
        <v>62398997.758535713</v>
      </c>
      <c r="L35" s="1118">
        <f t="shared" si="10"/>
        <v>107585853.7927871</v>
      </c>
    </row>
    <row r="36" spans="3:18">
      <c r="C36" s="955"/>
      <c r="D36" s="963"/>
      <c r="E36" s="963"/>
      <c r="F36" s="858"/>
      <c r="G36" s="858"/>
      <c r="H36" s="858"/>
      <c r="I36" s="858"/>
      <c r="J36" s="858"/>
      <c r="K36" s="858"/>
      <c r="L36" s="861"/>
    </row>
    <row r="37" spans="3:18">
      <c r="C37" s="955" t="s">
        <v>684</v>
      </c>
      <c r="D37" s="963"/>
      <c r="E37" s="963"/>
      <c r="F37" s="1121">
        <f>$F$46</f>
        <v>0.24009999999999998</v>
      </c>
      <c r="G37" s="1121">
        <f t="shared" ref="G37:L37" si="11">$F$46</f>
        <v>0.24009999999999998</v>
      </c>
      <c r="H37" s="1121">
        <f t="shared" si="11"/>
        <v>0.24009999999999998</v>
      </c>
      <c r="I37" s="1121">
        <f t="shared" si="11"/>
        <v>0.24009999999999998</v>
      </c>
      <c r="J37" s="1121">
        <f t="shared" si="11"/>
        <v>0.24009999999999998</v>
      </c>
      <c r="K37" s="1121">
        <f t="shared" si="11"/>
        <v>0.24009999999999998</v>
      </c>
      <c r="L37" s="1122">
        <f t="shared" si="11"/>
        <v>0.24009999999999998</v>
      </c>
    </row>
    <row r="38" spans="3:18">
      <c r="C38" s="955" t="s">
        <v>1130</v>
      </c>
      <c r="D38" s="963"/>
      <c r="E38" s="963"/>
      <c r="F38" s="1117">
        <f>F35*F37</f>
        <v>0</v>
      </c>
      <c r="G38" s="1117">
        <f t="shared" ref="G38:L38" si="12">G35*G37</f>
        <v>384593.62910854374</v>
      </c>
      <c r="H38" s="1117">
        <f t="shared" si="12"/>
        <v>775898.69312099263</v>
      </c>
      <c r="I38" s="1117">
        <f t="shared" si="12"/>
        <v>2490632.3469446083</v>
      </c>
      <c r="J38" s="1117">
        <f t="shared" si="12"/>
        <v>7279488.4886559863</v>
      </c>
      <c r="K38" s="1117">
        <f t="shared" si="12"/>
        <v>14981999.361824423</v>
      </c>
      <c r="L38" s="1118">
        <f t="shared" si="12"/>
        <v>25831363.495648183</v>
      </c>
    </row>
    <row r="39" spans="3:18">
      <c r="C39" s="955"/>
      <c r="D39" s="963"/>
      <c r="E39" s="963"/>
      <c r="F39" s="963"/>
      <c r="G39" s="963"/>
      <c r="H39" s="963"/>
      <c r="I39" s="963"/>
      <c r="J39" s="963"/>
      <c r="K39" s="963"/>
      <c r="L39" s="964"/>
    </row>
    <row r="40" spans="3:18">
      <c r="C40" s="955" t="s">
        <v>1053</v>
      </c>
      <c r="D40" s="963"/>
      <c r="E40" s="963"/>
      <c r="F40" s="989">
        <f>AVERAGE(F33:J33)</f>
        <v>9.9</v>
      </c>
      <c r="G40" s="963"/>
      <c r="H40" s="963"/>
      <c r="I40" s="963"/>
      <c r="J40" s="963"/>
      <c r="K40" s="963"/>
      <c r="L40" s="964"/>
    </row>
    <row r="41" spans="3:18" ht="13.5" thickBot="1">
      <c r="C41" s="983" t="s">
        <v>1054</v>
      </c>
      <c r="D41" s="994"/>
      <c r="E41" s="994"/>
      <c r="F41" s="995">
        <f>AVERAGE(F35:J35)</f>
        <v>9105050.5271388032</v>
      </c>
      <c r="G41" s="994"/>
      <c r="H41" s="994"/>
      <c r="I41" s="994"/>
      <c r="J41" s="994"/>
      <c r="K41" s="994"/>
      <c r="L41" s="2878"/>
    </row>
    <row r="42" spans="3:18" ht="13.5" thickBot="1">
      <c r="C42" s="955"/>
      <c r="D42" s="963"/>
      <c r="E42" s="963"/>
      <c r="F42" s="963"/>
      <c r="G42" s="963"/>
      <c r="H42" s="963"/>
      <c r="I42" s="963"/>
      <c r="J42" s="963"/>
      <c r="K42" s="963"/>
      <c r="L42" s="964"/>
    </row>
    <row r="43" spans="3:18">
      <c r="C43" s="946" t="s">
        <v>1063</v>
      </c>
      <c r="D43" s="985"/>
      <c r="E43" s="985"/>
      <c r="F43" s="986"/>
      <c r="G43" s="963"/>
      <c r="H43" s="963"/>
      <c r="I43" s="963"/>
      <c r="J43" s="963"/>
      <c r="K43" s="963"/>
      <c r="L43" s="964"/>
    </row>
    <row r="44" spans="3:18">
      <c r="C44" s="955" t="s">
        <v>1065</v>
      </c>
      <c r="D44" s="963"/>
      <c r="E44" s="963"/>
      <c r="F44" s="1010">
        <f>49%</f>
        <v>0.49</v>
      </c>
      <c r="G44" s="963"/>
      <c r="H44" s="963"/>
      <c r="I44" s="963"/>
      <c r="J44" s="963"/>
      <c r="K44" s="963"/>
      <c r="L44" s="964"/>
    </row>
    <row r="45" spans="3:18">
      <c r="C45" s="955" t="str">
        <f>C27</f>
        <v>Pledge on shares</v>
      </c>
      <c r="D45" s="963"/>
      <c r="E45" s="963"/>
      <c r="F45" s="1013">
        <f>F27</f>
        <v>0.49</v>
      </c>
      <c r="G45" s="963"/>
      <c r="H45" s="963"/>
      <c r="I45" s="963"/>
      <c r="J45" s="963"/>
      <c r="K45" s="963"/>
      <c r="L45" s="964"/>
    </row>
    <row r="46" spans="3:18">
      <c r="C46" s="955" t="s">
        <v>1066</v>
      </c>
      <c r="D46" s="963"/>
      <c r="E46" s="963"/>
      <c r="F46" s="1014">
        <f>F44*F45</f>
        <v>0.24009999999999998</v>
      </c>
      <c r="G46" s="963"/>
      <c r="H46" s="963"/>
      <c r="I46" s="963"/>
      <c r="J46" s="963"/>
      <c r="K46" s="963"/>
      <c r="L46" s="964"/>
    </row>
    <row r="47" spans="3:18">
      <c r="C47" s="955"/>
      <c r="D47" s="963"/>
      <c r="E47" s="963"/>
      <c r="F47" s="964"/>
      <c r="G47" s="963"/>
      <c r="H47" s="963"/>
      <c r="I47" s="963"/>
      <c r="J47" s="963"/>
      <c r="K47" s="963"/>
      <c r="L47" s="964"/>
    </row>
    <row r="48" spans="3:18">
      <c r="C48" s="955" t="str">
        <f>C22</f>
        <v>Average EBIT factor in first 5 years</v>
      </c>
      <c r="D48" s="963"/>
      <c r="E48" s="963"/>
      <c r="F48" s="990">
        <f>'Val. singledrinks.com'!D69</f>
        <v>9.9</v>
      </c>
      <c r="G48" s="963"/>
      <c r="H48" s="963"/>
      <c r="I48" s="963"/>
      <c r="J48" s="963"/>
      <c r="K48" s="963"/>
      <c r="L48" s="964"/>
    </row>
    <row r="49" spans="3:14">
      <c r="C49" s="955" t="str">
        <f>C23</f>
        <v xml:space="preserve">Average company value in first 5 years </v>
      </c>
      <c r="D49" s="963"/>
      <c r="E49" s="963"/>
      <c r="F49" s="967">
        <f>F41</f>
        <v>9105050.5271388032</v>
      </c>
      <c r="G49" s="963"/>
      <c r="H49" s="963"/>
      <c r="I49" s="963"/>
      <c r="J49" s="963"/>
      <c r="K49" s="963"/>
      <c r="L49" s="964"/>
    </row>
    <row r="50" spans="3:14" ht="13.5" thickBot="1">
      <c r="C50" s="983" t="s">
        <v>1117</v>
      </c>
      <c r="D50" s="994"/>
      <c r="E50" s="994"/>
      <c r="F50" s="1015">
        <f>F49*F46</f>
        <v>2186122.6315660262</v>
      </c>
      <c r="G50" s="994"/>
      <c r="H50" s="994"/>
      <c r="I50" s="994"/>
      <c r="J50" s="994"/>
      <c r="K50" s="994"/>
      <c r="L50" s="2878"/>
    </row>
    <row r="51" spans="3:14" ht="13.5" thickBot="1"/>
    <row r="52" spans="3:14" ht="13.5" thickBot="1">
      <c r="C52" s="946" t="s">
        <v>1131</v>
      </c>
      <c r="D52" s="985"/>
      <c r="E52" s="985"/>
      <c r="F52" s="948">
        <f>F30</f>
        <v>2023</v>
      </c>
      <c r="G52" s="948">
        <f t="shared" ref="G52:L52" si="13">F52+1</f>
        <v>2024</v>
      </c>
      <c r="H52" s="948">
        <f t="shared" si="13"/>
        <v>2025</v>
      </c>
      <c r="I52" s="948">
        <f t="shared" si="13"/>
        <v>2026</v>
      </c>
      <c r="J52" s="948">
        <f t="shared" si="13"/>
        <v>2027</v>
      </c>
      <c r="K52" s="948">
        <f t="shared" si="13"/>
        <v>2028</v>
      </c>
      <c r="L52" s="949">
        <f t="shared" si="13"/>
        <v>2029</v>
      </c>
    </row>
    <row r="53" spans="3:14">
      <c r="C53" s="955"/>
      <c r="D53" s="963"/>
      <c r="E53" s="963"/>
      <c r="F53" s="963"/>
      <c r="G53" s="963"/>
      <c r="H53" s="963"/>
      <c r="I53" s="963"/>
      <c r="J53" s="963"/>
      <c r="K53" s="963"/>
      <c r="L53" s="964"/>
    </row>
    <row r="54" spans="3:14">
      <c r="C54" s="955" t="s">
        <v>1198</v>
      </c>
      <c r="D54" s="963"/>
      <c r="E54" s="963"/>
      <c r="F54" s="956">
        <f ca="1">F20</f>
        <v>2099236.490367942</v>
      </c>
      <c r="G54" s="956">
        <f t="shared" ref="G54:L54" ca="1" si="14">G20</f>
        <v>9268319.8868372664</v>
      </c>
      <c r="H54" s="956">
        <f t="shared" ca="1" si="14"/>
        <v>6658087.3178355545</v>
      </c>
      <c r="I54" s="956">
        <f t="shared" ca="1" si="14"/>
        <v>14350050.662772041</v>
      </c>
      <c r="J54" s="956">
        <f t="shared" ca="1" si="14"/>
        <v>21156466.515166301</v>
      </c>
      <c r="K54" s="956">
        <f t="shared" ca="1" si="14"/>
        <v>26691030.07982526</v>
      </c>
      <c r="L54" s="957">
        <f t="shared" ca="1" si="14"/>
        <v>30230658.943183865</v>
      </c>
    </row>
    <row r="55" spans="3:14">
      <c r="C55" s="955" t="s">
        <v>1199</v>
      </c>
      <c r="D55" s="963"/>
      <c r="E55" s="963"/>
      <c r="F55" s="1020">
        <f t="shared" ref="F55:L55" si="15">F38</f>
        <v>0</v>
      </c>
      <c r="G55" s="1020">
        <f t="shared" si="15"/>
        <v>384593.62910854374</v>
      </c>
      <c r="H55" s="1020">
        <f t="shared" si="15"/>
        <v>775898.69312099263</v>
      </c>
      <c r="I55" s="1020">
        <f t="shared" si="15"/>
        <v>2490632.3469446083</v>
      </c>
      <c r="J55" s="1020">
        <f t="shared" si="15"/>
        <v>7279488.4886559863</v>
      </c>
      <c r="K55" s="1020">
        <f t="shared" si="15"/>
        <v>14981999.361824423</v>
      </c>
      <c r="L55" s="1008">
        <f t="shared" si="15"/>
        <v>25831363.495648183</v>
      </c>
    </row>
    <row r="56" spans="3:14">
      <c r="C56" s="955" t="s">
        <v>1133</v>
      </c>
      <c r="D56" s="963"/>
      <c r="E56" s="963"/>
      <c r="F56" s="956">
        <f ca="1">F54+F55</f>
        <v>2099236.490367942</v>
      </c>
      <c r="G56" s="956">
        <f t="shared" ref="G56:L56" ca="1" si="16">G54+G55</f>
        <v>9652913.5159458108</v>
      </c>
      <c r="H56" s="956">
        <f t="shared" ca="1" si="16"/>
        <v>7433986.0109565472</v>
      </c>
      <c r="I56" s="956">
        <f t="shared" ca="1" si="16"/>
        <v>16840683.009716649</v>
      </c>
      <c r="J56" s="956">
        <f t="shared" ca="1" si="16"/>
        <v>28435955.003822289</v>
      </c>
      <c r="K56" s="956">
        <f t="shared" ca="1" si="16"/>
        <v>41673029.441649683</v>
      </c>
      <c r="L56" s="957">
        <f t="shared" ca="1" si="16"/>
        <v>56062022.438832045</v>
      </c>
    </row>
    <row r="57" spans="3:14">
      <c r="C57" s="955"/>
      <c r="D57" s="963"/>
      <c r="E57" s="963"/>
      <c r="F57" s="989"/>
      <c r="G57" s="989"/>
      <c r="H57" s="989"/>
      <c r="I57" s="989"/>
      <c r="J57" s="989"/>
      <c r="K57" s="989"/>
      <c r="L57" s="990"/>
    </row>
    <row r="58" spans="3:14" ht="13.5" thickBot="1">
      <c r="C58" s="983" t="s">
        <v>1200</v>
      </c>
      <c r="D58" s="994"/>
      <c r="E58" s="994"/>
      <c r="F58" s="995">
        <f ca="1">AVERAGE(F56:J56)</f>
        <v>12892554.806161847</v>
      </c>
      <c r="G58" s="1123"/>
      <c r="H58" s="1123"/>
      <c r="I58" s="1123"/>
      <c r="J58" s="1123"/>
      <c r="K58" s="1123"/>
      <c r="L58" s="1124"/>
    </row>
    <row r="59" spans="3:14">
      <c r="C59" s="955" t="s">
        <v>1046</v>
      </c>
      <c r="D59" s="963"/>
      <c r="E59" s="963"/>
      <c r="F59" s="1009">
        <v>4900000</v>
      </c>
      <c r="G59" s="963"/>
      <c r="H59" s="963"/>
      <c r="I59" s="963"/>
      <c r="J59" s="963"/>
      <c r="K59" s="963"/>
      <c r="L59" s="964"/>
      <c r="N59" s="1016"/>
    </row>
    <row r="60" spans="3:14">
      <c r="C60" s="955" t="s">
        <v>1049</v>
      </c>
      <c r="D60" s="963"/>
      <c r="E60" s="963"/>
      <c r="F60" s="1010">
        <f ca="1">F59/F58</f>
        <v>0.380064314146495</v>
      </c>
      <c r="G60" s="963"/>
      <c r="H60" s="963"/>
      <c r="I60" s="963"/>
      <c r="J60" s="963"/>
      <c r="K60" s="963"/>
      <c r="L60" s="964"/>
    </row>
    <row r="61" spans="3:14" ht="13.5" thickBot="1">
      <c r="C61" s="1005" t="s">
        <v>1047</v>
      </c>
      <c r="D61" s="994"/>
      <c r="E61" s="994"/>
      <c r="F61" s="1012">
        <f ca="1">F58/F59</f>
        <v>2.6311336339105811</v>
      </c>
      <c r="G61" s="994"/>
      <c r="H61" s="994"/>
      <c r="I61" s="994"/>
      <c r="J61" s="994"/>
      <c r="K61" s="994"/>
      <c r="L61" s="996"/>
    </row>
    <row r="63" spans="3:14" hidden="1">
      <c r="C63" s="1132" t="s">
        <v>1043</v>
      </c>
      <c r="D63" s="1131"/>
      <c r="E63" s="1133">
        <f>F2</f>
        <v>2023</v>
      </c>
      <c r="F63" s="1133">
        <f>E63+1</f>
        <v>2024</v>
      </c>
      <c r="G63" s="1133">
        <f>F63+1</f>
        <v>2025</v>
      </c>
      <c r="H63" s="1133">
        <f>G63+1</f>
        <v>2026</v>
      </c>
      <c r="I63" s="1134">
        <f>H63+1</f>
        <v>2027</v>
      </c>
    </row>
    <row r="64" spans="3:14" hidden="1">
      <c r="C64" s="976"/>
      <c r="D64" s="1129"/>
      <c r="E64" s="1135"/>
      <c r="F64" s="1135"/>
      <c r="G64" s="1135"/>
      <c r="H64" s="1135"/>
      <c r="I64" s="1136"/>
      <c r="J64" s="1114"/>
    </row>
    <row r="65" spans="3:9" hidden="1">
      <c r="C65" s="955" t="s">
        <v>1078</v>
      </c>
      <c r="D65" s="963"/>
      <c r="E65" s="966">
        <f ca="1">Sale!I9-Sale!I90</f>
        <v>107256.78666666667</v>
      </c>
      <c r="F65" s="966">
        <f ca="1">Sale!J9-Sale!J90</f>
        <v>2866581.5024100002</v>
      </c>
      <c r="G65" s="966">
        <f ca="1">Sale!K9-Sale!K90</f>
        <v>1645077.5308413005</v>
      </c>
      <c r="H65" s="966">
        <f ca="1">Sale!L9-Sale!L90</f>
        <v>3225035.2470776914</v>
      </c>
      <c r="I65" s="967">
        <f ca="1">Sale!M9-Sale!M90</f>
        <v>3984734.528574497</v>
      </c>
    </row>
    <row r="66" spans="3:9" hidden="1">
      <c r="C66" s="955" t="s">
        <v>1079</v>
      </c>
      <c r="D66" s="963"/>
      <c r="E66" s="1137">
        <f>Sale!S146</f>
        <v>0</v>
      </c>
      <c r="F66" s="1137">
        <f>Sale!T146</f>
        <v>4446.7160000000003</v>
      </c>
      <c r="G66" s="1137">
        <f>Sale!U146</f>
        <v>373616.87009333307</v>
      </c>
      <c r="H66" s="1137">
        <f>Sale!V146</f>
        <v>0</v>
      </c>
      <c r="I66" s="1138">
        <f>Sale!W146</f>
        <v>0</v>
      </c>
    </row>
    <row r="67" spans="3:9" ht="13.5" hidden="1" thickBot="1">
      <c r="C67" s="983" t="s">
        <v>1141</v>
      </c>
      <c r="D67" s="994"/>
      <c r="E67" s="995">
        <f ca="1">E65+E66</f>
        <v>107256.78666666667</v>
      </c>
      <c r="F67" s="995">
        <f ca="1">F65+F66</f>
        <v>2871028.2184100002</v>
      </c>
      <c r="G67" s="995">
        <f ca="1">G65+G66</f>
        <v>2018694.4009346336</v>
      </c>
      <c r="H67" s="995">
        <f ca="1">H65+H66</f>
        <v>3225035.2470776914</v>
      </c>
      <c r="I67" s="1003">
        <f ca="1">I65+I66</f>
        <v>3984734.528574497</v>
      </c>
    </row>
    <row r="68" spans="3:9" hidden="1"/>
  </sheetData>
  <sheetProtection password="CD53" sheet="1" objects="1" scenarios="1" selectLockedCells="1"/>
  <conditionalFormatting sqref="F2:L2 E64:I64">
    <cfRule type="cellIs" dxfId="115" priority="4" operator="lessThan">
      <formula>0</formula>
    </cfRule>
  </conditionalFormatting>
  <conditionalFormatting sqref="E63:I63">
    <cfRule type="cellIs" dxfId="114" priority="3" operator="lessThan">
      <formula>0</formula>
    </cfRule>
  </conditionalFormatting>
  <conditionalFormatting sqref="F30:L30">
    <cfRule type="cellIs" dxfId="113" priority="2" operator="lessThan">
      <formula>0</formula>
    </cfRule>
  </conditionalFormatting>
  <conditionalFormatting sqref="F52:L52">
    <cfRule type="cellIs" dxfId="112" priority="1" operator="lessThan">
      <formula>0</formula>
    </cfRule>
  </conditionalFormatting>
  <pageMargins left="0.7" right="0.7" top="0.75" bottom="0.75" header="0.3" footer="0.3"/>
  <pageSetup paperSize="9" scale="37" orientation="portrait" r:id="rId1"/>
  <ignoredErrors>
    <ignoredError sqref="F22"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B2:S101"/>
  <sheetViews>
    <sheetView topLeftCell="A18" zoomScale="60" zoomScaleNormal="60" workbookViewId="0">
      <selection activeCell="A83" sqref="A83"/>
    </sheetView>
  </sheetViews>
  <sheetFormatPr defaultColWidth="23.42578125" defaultRowHeight="12.75"/>
  <cols>
    <col min="1" max="1" width="3" style="1023" customWidth="1"/>
    <col min="2" max="2" width="37.140625" style="1023" customWidth="1"/>
    <col min="3" max="3" width="23.42578125" style="1023"/>
    <col min="4" max="4" width="18" style="1023" customWidth="1"/>
    <col min="5" max="5" width="14.7109375" style="1023" bestFit="1" customWidth="1"/>
    <col min="6" max="6" width="16.85546875" style="1023" customWidth="1"/>
    <col min="7" max="7" width="15.85546875" style="1023" bestFit="1" customWidth="1"/>
    <col min="8" max="8" width="17" style="1023" bestFit="1" customWidth="1"/>
    <col min="9" max="10" width="16.5703125" style="1023" customWidth="1"/>
    <col min="11" max="11" width="2.7109375" style="1023" customWidth="1"/>
    <col min="12" max="12" width="46.42578125" style="1023" customWidth="1"/>
    <col min="13" max="13" width="10.85546875" style="1023" bestFit="1" customWidth="1"/>
    <col min="14" max="14" width="11.140625" style="1023" bestFit="1" customWidth="1"/>
    <col min="15" max="17" width="12" style="1023" bestFit="1" customWidth="1"/>
    <col min="18" max="19" width="12.5703125" style="1023" bestFit="1" customWidth="1"/>
    <col min="20" max="20" width="3.85546875" style="1023" customWidth="1"/>
    <col min="21" max="16384" width="23.42578125" style="1023"/>
  </cols>
  <sheetData>
    <row r="2" spans="2:19">
      <c r="B2" s="1022" t="s">
        <v>1080</v>
      </c>
      <c r="C2" s="1022"/>
    </row>
    <row r="3" spans="2:19" ht="13.5" thickBot="1"/>
    <row r="4" spans="2:19" ht="13.5" thickBot="1">
      <c r="B4" s="1024" t="s">
        <v>1081</v>
      </c>
      <c r="C4" s="1025"/>
      <c r="D4" s="1026"/>
      <c r="E4" s="1026"/>
      <c r="F4" s="1026"/>
      <c r="G4" s="1026"/>
      <c r="H4" s="1026"/>
      <c r="I4" s="1026"/>
      <c r="J4" s="1027"/>
      <c r="L4" s="1024" t="s">
        <v>1082</v>
      </c>
      <c r="M4" s="1026"/>
      <c r="N4" s="1026"/>
      <c r="O4" s="1026"/>
      <c r="P4" s="1026"/>
      <c r="Q4" s="1026"/>
      <c r="R4" s="1026"/>
      <c r="S4" s="1027"/>
    </row>
    <row r="5" spans="2:19">
      <c r="B5" s="1028"/>
      <c r="C5" s="1029"/>
      <c r="D5" s="1029"/>
      <c r="E5" s="1029"/>
      <c r="F5" s="1029"/>
      <c r="G5" s="1029"/>
      <c r="H5" s="1029"/>
      <c r="I5" s="1029"/>
      <c r="J5" s="1030"/>
      <c r="L5" s="1031"/>
      <c r="M5" s="1032"/>
      <c r="N5" s="1032"/>
      <c r="O5" s="1032"/>
      <c r="P5" s="1032"/>
      <c r="Q5" s="1032"/>
      <c r="R5" s="1032"/>
      <c r="S5" s="1033"/>
    </row>
    <row r="6" spans="2:19">
      <c r="B6" s="1031" t="s">
        <v>1083</v>
      </c>
      <c r="C6" s="1032"/>
      <c r="D6" s="1032"/>
      <c r="E6" s="1032"/>
      <c r="F6" s="1032"/>
      <c r="G6" s="1032"/>
      <c r="H6" s="1032"/>
      <c r="I6" s="1032"/>
      <c r="J6" s="1033"/>
      <c r="L6" s="1034" t="s">
        <v>1084</v>
      </c>
      <c r="M6" s="1035">
        <v>2023</v>
      </c>
      <c r="N6" s="1035">
        <v>2024</v>
      </c>
      <c r="O6" s="1035">
        <v>2025</v>
      </c>
      <c r="P6" s="1035">
        <v>2026</v>
      </c>
      <c r="Q6" s="1035">
        <v>2027</v>
      </c>
      <c r="R6" s="1035">
        <v>2028</v>
      </c>
      <c r="S6" s="1036">
        <v>2029</v>
      </c>
    </row>
    <row r="7" spans="2:19">
      <c r="B7" s="1031" t="s">
        <v>1085</v>
      </c>
      <c r="C7" s="1032">
        <v>0.75</v>
      </c>
      <c r="D7" s="1032"/>
      <c r="E7" s="1032"/>
      <c r="F7" s="1032"/>
      <c r="G7" s="1032"/>
      <c r="H7" s="1032"/>
      <c r="I7" s="1032"/>
      <c r="J7" s="1033"/>
      <c r="L7" s="1037" t="s">
        <v>196</v>
      </c>
      <c r="M7" s="1038"/>
      <c r="N7" s="1038"/>
      <c r="O7" s="1038"/>
      <c r="P7" s="1038"/>
      <c r="Q7" s="1038"/>
      <c r="R7" s="1038"/>
      <c r="S7" s="1039"/>
    </row>
    <row r="8" spans="2:19">
      <c r="B8" s="1031" t="s">
        <v>1086</v>
      </c>
      <c r="C8" s="1040">
        <v>0.15</v>
      </c>
      <c r="D8" s="1032"/>
      <c r="E8" s="1032"/>
      <c r="F8" s="1032"/>
      <c r="G8" s="1032"/>
      <c r="H8" s="1032"/>
      <c r="I8" s="1032"/>
      <c r="J8" s="1033"/>
      <c r="L8" s="1037" t="s">
        <v>198</v>
      </c>
      <c r="M8" s="1038"/>
      <c r="N8" s="1038"/>
      <c r="O8" s="1038"/>
      <c r="P8" s="1038"/>
      <c r="Q8" s="1038"/>
      <c r="R8" s="1038"/>
      <c r="S8" s="1039"/>
    </row>
    <row r="9" spans="2:19">
      <c r="B9" s="1031" t="s">
        <v>1087</v>
      </c>
      <c r="C9" s="1040">
        <v>5</v>
      </c>
      <c r="D9" s="1032"/>
      <c r="E9" s="1032"/>
      <c r="F9" s="1032"/>
      <c r="G9" s="1032"/>
      <c r="H9" s="1032"/>
      <c r="I9" s="1032"/>
      <c r="J9" s="1033"/>
      <c r="L9" s="1037" t="s">
        <v>201</v>
      </c>
      <c r="M9" s="1038"/>
      <c r="N9" s="1038"/>
      <c r="O9" s="1038"/>
      <c r="P9" s="1038"/>
      <c r="Q9" s="1038"/>
      <c r="R9" s="1038"/>
      <c r="S9" s="1039"/>
    </row>
    <row r="10" spans="2:19">
      <c r="B10" s="1031" t="s">
        <v>1088</v>
      </c>
      <c r="C10" s="1041">
        <v>1.175</v>
      </c>
      <c r="D10" s="1032"/>
      <c r="E10" s="1032"/>
      <c r="F10" s="1032"/>
      <c r="G10" s="1032"/>
      <c r="H10" s="1032"/>
      <c r="I10" s="1032"/>
      <c r="J10" s="1033"/>
      <c r="L10" s="1037" t="s">
        <v>205</v>
      </c>
      <c r="M10" s="1038"/>
      <c r="N10" s="1038"/>
      <c r="O10" s="1038"/>
      <c r="P10" s="1038"/>
      <c r="Q10" s="1038"/>
      <c r="R10" s="1038"/>
      <c r="S10" s="1039"/>
    </row>
    <row r="11" spans="2:19">
      <c r="B11" s="1031" t="s">
        <v>169</v>
      </c>
      <c r="C11" s="1041">
        <v>4.4999999999999998E-2</v>
      </c>
      <c r="D11" s="1032"/>
      <c r="E11" s="1032"/>
      <c r="F11" s="1032"/>
      <c r="G11" s="1032"/>
      <c r="H11" s="1032"/>
      <c r="I11" s="1032"/>
      <c r="J11" s="1033"/>
      <c r="L11" s="1037" t="s">
        <v>206</v>
      </c>
      <c r="M11" s="1042"/>
      <c r="N11" s="1042"/>
      <c r="O11" s="1042"/>
      <c r="P11" s="1042"/>
      <c r="Q11" s="1042"/>
      <c r="R11" s="1042"/>
      <c r="S11" s="1043"/>
    </row>
    <row r="12" spans="2:19">
      <c r="B12" s="1031"/>
      <c r="C12" s="1032"/>
      <c r="D12" s="1032"/>
      <c r="E12" s="1032"/>
      <c r="F12" s="1032"/>
      <c r="G12" s="1032"/>
      <c r="H12" s="1032"/>
      <c r="I12" s="1032"/>
      <c r="J12" s="1033"/>
      <c r="L12" s="1031"/>
      <c r="M12" s="1044">
        <f>SUM(M7:M11)</f>
        <v>0</v>
      </c>
      <c r="N12" s="1044">
        <f t="shared" ref="N12:S12" si="0">SUM(N7:N11)</f>
        <v>0</v>
      </c>
      <c r="O12" s="1044">
        <f t="shared" si="0"/>
        <v>0</v>
      </c>
      <c r="P12" s="1044">
        <f t="shared" si="0"/>
        <v>0</v>
      </c>
      <c r="Q12" s="1044">
        <f t="shared" si="0"/>
        <v>0</v>
      </c>
      <c r="R12" s="1044">
        <f t="shared" si="0"/>
        <v>0</v>
      </c>
      <c r="S12" s="1045">
        <f t="shared" si="0"/>
        <v>0</v>
      </c>
    </row>
    <row r="13" spans="2:19">
      <c r="B13" s="1034" t="s">
        <v>1089</v>
      </c>
      <c r="C13" s="1046"/>
      <c r="D13" s="1047">
        <f t="shared" ref="D13:J13" si="1">D19</f>
        <v>2023</v>
      </c>
      <c r="E13" s="1047">
        <f t="shared" si="1"/>
        <v>2024</v>
      </c>
      <c r="F13" s="1047">
        <f t="shared" si="1"/>
        <v>2025</v>
      </c>
      <c r="G13" s="1047">
        <f t="shared" si="1"/>
        <v>2026</v>
      </c>
      <c r="H13" s="1047">
        <f t="shared" si="1"/>
        <v>2027</v>
      </c>
      <c r="I13" s="1047">
        <f t="shared" si="1"/>
        <v>2028</v>
      </c>
      <c r="J13" s="1048">
        <f t="shared" si="1"/>
        <v>2029</v>
      </c>
      <c r="L13" s="1031"/>
      <c r="M13" s="1044"/>
      <c r="N13" s="1044"/>
      <c r="O13" s="1044"/>
      <c r="P13" s="1044"/>
      <c r="Q13" s="1044"/>
      <c r="R13" s="1044"/>
      <c r="S13" s="1045"/>
    </row>
    <row r="14" spans="2:19">
      <c r="B14" s="1031" t="str">
        <f>B48</f>
        <v>White</v>
      </c>
      <c r="C14" s="1032"/>
      <c r="D14" s="1050">
        <f>IF(M22=0,0,M22/M$27)</f>
        <v>0</v>
      </c>
      <c r="E14" s="1051">
        <v>0.2</v>
      </c>
      <c r="F14" s="1051">
        <v>0.2</v>
      </c>
      <c r="G14" s="1051">
        <v>0.2</v>
      </c>
      <c r="H14" s="1051">
        <v>0.2</v>
      </c>
      <c r="I14" s="1051">
        <v>0.2</v>
      </c>
      <c r="J14" s="1052">
        <v>0.2</v>
      </c>
      <c r="L14" s="1034" t="s">
        <v>1095</v>
      </c>
      <c r="M14" s="1032"/>
      <c r="N14" s="1032"/>
      <c r="O14" s="1032"/>
      <c r="P14" s="1032"/>
      <c r="Q14" s="1032"/>
      <c r="R14" s="1032"/>
      <c r="S14" s="1033"/>
    </row>
    <row r="15" spans="2:19">
      <c r="B15" s="1031" t="str">
        <f>B49</f>
        <v>Rose</v>
      </c>
      <c r="C15" s="1032"/>
      <c r="D15" s="1050">
        <f>IF(M23=0,0,M23/M$27)</f>
        <v>0</v>
      </c>
      <c r="E15" s="1051">
        <v>0.25</v>
      </c>
      <c r="F15" s="1051">
        <v>0.25</v>
      </c>
      <c r="G15" s="1051">
        <v>0.25</v>
      </c>
      <c r="H15" s="1051">
        <v>0.25</v>
      </c>
      <c r="I15" s="1051">
        <v>0.25</v>
      </c>
      <c r="J15" s="1052">
        <v>0.25</v>
      </c>
      <c r="L15" s="1031" t="str">
        <f>L7</f>
        <v>White</v>
      </c>
      <c r="M15" s="1051">
        <v>0.1</v>
      </c>
      <c r="N15" s="1051">
        <v>0.3</v>
      </c>
      <c r="O15" s="1051">
        <v>0.45</v>
      </c>
      <c r="P15" s="1051">
        <v>0.4</v>
      </c>
      <c r="Q15" s="1051">
        <v>0.4</v>
      </c>
      <c r="R15" s="1051">
        <v>0.4</v>
      </c>
      <c r="S15" s="1052">
        <v>0.4</v>
      </c>
    </row>
    <row r="16" spans="2:19">
      <c r="B16" s="1031" t="s">
        <v>1090</v>
      </c>
      <c r="C16" s="1032"/>
      <c r="D16" s="1053">
        <f>IF(M24+M25=0,0,(M24+M25)/M$27)</f>
        <v>0</v>
      </c>
      <c r="E16" s="1054">
        <v>0.55000000000000004</v>
      </c>
      <c r="F16" s="1054">
        <v>0.55000000000000004</v>
      </c>
      <c r="G16" s="1054">
        <v>0.55000000000000004</v>
      </c>
      <c r="H16" s="1054">
        <v>0.55000000000000004</v>
      </c>
      <c r="I16" s="1054">
        <v>0.55000000000000004</v>
      </c>
      <c r="J16" s="1055">
        <v>0.55000000000000004</v>
      </c>
      <c r="L16" s="1031" t="str">
        <f>L8</f>
        <v>Rose</v>
      </c>
      <c r="M16" s="1051">
        <v>0.1</v>
      </c>
      <c r="N16" s="1051">
        <v>0.3</v>
      </c>
      <c r="O16" s="1051">
        <v>0.45</v>
      </c>
      <c r="P16" s="1051">
        <v>0.4</v>
      </c>
      <c r="Q16" s="1051">
        <v>0.4</v>
      </c>
      <c r="R16" s="1051">
        <v>0.4</v>
      </c>
      <c r="S16" s="1052">
        <v>0.4</v>
      </c>
    </row>
    <row r="17" spans="2:19">
      <c r="B17" s="1031"/>
      <c r="C17" s="1032"/>
      <c r="D17" s="1050">
        <f t="shared" ref="D17:J17" si="2">SUM(D14:D16)</f>
        <v>0</v>
      </c>
      <c r="E17" s="1050">
        <f t="shared" si="2"/>
        <v>1</v>
      </c>
      <c r="F17" s="1050">
        <f t="shared" si="2"/>
        <v>1</v>
      </c>
      <c r="G17" s="1050">
        <f t="shared" si="2"/>
        <v>1</v>
      </c>
      <c r="H17" s="1050">
        <f t="shared" si="2"/>
        <v>1</v>
      </c>
      <c r="I17" s="1050">
        <f t="shared" si="2"/>
        <v>1</v>
      </c>
      <c r="J17" s="1056">
        <f t="shared" si="2"/>
        <v>1</v>
      </c>
      <c r="L17" s="1031" t="str">
        <f>L9</f>
        <v>Classic</v>
      </c>
      <c r="M17" s="1051">
        <v>0.1</v>
      </c>
      <c r="N17" s="1051">
        <v>0.3</v>
      </c>
      <c r="O17" s="1051">
        <v>0.375</v>
      </c>
      <c r="P17" s="1051">
        <v>0.5</v>
      </c>
      <c r="Q17" s="1051">
        <v>0.5</v>
      </c>
      <c r="R17" s="1051">
        <v>0.5</v>
      </c>
      <c r="S17" s="1052">
        <v>0.5</v>
      </c>
    </row>
    <row r="18" spans="2:19">
      <c r="B18" s="1031"/>
      <c r="C18" s="1032"/>
      <c r="D18" s="1032"/>
      <c r="E18" s="1032"/>
      <c r="F18" s="1032"/>
      <c r="G18" s="1032"/>
      <c r="H18" s="1032"/>
      <c r="I18" s="1032"/>
      <c r="J18" s="1033"/>
      <c r="L18" s="1031" t="str">
        <f>L10</f>
        <v>Premium</v>
      </c>
      <c r="M18" s="1051">
        <v>0.1</v>
      </c>
      <c r="N18" s="1051">
        <v>0.3</v>
      </c>
      <c r="O18" s="1051">
        <v>0.375</v>
      </c>
      <c r="P18" s="1051">
        <v>0.5</v>
      </c>
      <c r="Q18" s="1051">
        <v>0.5</v>
      </c>
      <c r="R18" s="1051">
        <v>0.5</v>
      </c>
      <c r="S18" s="1052">
        <v>0.5</v>
      </c>
    </row>
    <row r="19" spans="2:19">
      <c r="B19" s="1034" t="s">
        <v>1091</v>
      </c>
      <c r="C19" s="1046"/>
      <c r="D19" s="1047">
        <f t="shared" ref="D19:J19" si="3">M6</f>
        <v>2023</v>
      </c>
      <c r="E19" s="1047">
        <f t="shared" si="3"/>
        <v>2024</v>
      </c>
      <c r="F19" s="1047">
        <f t="shared" si="3"/>
        <v>2025</v>
      </c>
      <c r="G19" s="1047">
        <f t="shared" si="3"/>
        <v>2026</v>
      </c>
      <c r="H19" s="1047">
        <f t="shared" si="3"/>
        <v>2027</v>
      </c>
      <c r="I19" s="1047">
        <f t="shared" si="3"/>
        <v>2028</v>
      </c>
      <c r="J19" s="1048">
        <f t="shared" si="3"/>
        <v>2029</v>
      </c>
      <c r="L19" s="1031" t="str">
        <f>L11</f>
        <v>Selection individuelle</v>
      </c>
      <c r="M19" s="1062">
        <v>0</v>
      </c>
      <c r="N19" s="1062">
        <v>0</v>
      </c>
      <c r="O19" s="1062">
        <v>0</v>
      </c>
      <c r="P19" s="1062">
        <v>0</v>
      </c>
      <c r="Q19" s="1062">
        <v>0</v>
      </c>
      <c r="R19" s="1062">
        <v>0</v>
      </c>
      <c r="S19" s="1063">
        <v>0</v>
      </c>
    </row>
    <row r="20" spans="2:19">
      <c r="B20" s="1031" t="s">
        <v>1092</v>
      </c>
      <c r="C20" s="1032"/>
      <c r="D20" s="1032"/>
      <c r="E20" s="1041"/>
      <c r="F20" s="1041">
        <f>O92</f>
        <v>0.75010526315789472</v>
      </c>
      <c r="G20" s="1041">
        <f>P92</f>
        <v>1.7497894863466859</v>
      </c>
      <c r="H20" s="1041">
        <f>Q92</f>
        <v>1.5000218732228006</v>
      </c>
      <c r="I20" s="1041">
        <f>R92</f>
        <v>0.75001749842514176</v>
      </c>
      <c r="J20" s="1057">
        <f>S92</f>
        <v>0.5</v>
      </c>
      <c r="L20" s="1031"/>
      <c r="M20" s="1032"/>
      <c r="N20" s="1032"/>
      <c r="O20" s="1032"/>
      <c r="P20" s="1032"/>
      <c r="Q20" s="1032"/>
      <c r="R20" s="1032"/>
      <c r="S20" s="1033"/>
    </row>
    <row r="21" spans="2:19">
      <c r="B21" s="1031" t="s">
        <v>1093</v>
      </c>
      <c r="C21" s="1032"/>
      <c r="D21" s="1032"/>
      <c r="E21" s="1044">
        <f t="shared" ref="E21:J21" si="4">E25-D25</f>
        <v>9500</v>
      </c>
      <c r="F21" s="1044">
        <f t="shared" si="4"/>
        <v>7126</v>
      </c>
      <c r="G21" s="1044">
        <f t="shared" si="4"/>
        <v>29092</v>
      </c>
      <c r="H21" s="1044">
        <f t="shared" si="4"/>
        <v>68578</v>
      </c>
      <c r="I21" s="1044">
        <f t="shared" si="4"/>
        <v>85724</v>
      </c>
      <c r="J21" s="1045">
        <f t="shared" si="4"/>
        <v>100010</v>
      </c>
      <c r="L21" s="1034" t="s">
        <v>1099</v>
      </c>
      <c r="M21" s="1032"/>
      <c r="N21" s="1032"/>
      <c r="O21" s="1032"/>
      <c r="P21" s="1032"/>
      <c r="Q21" s="1032"/>
      <c r="R21" s="1032"/>
      <c r="S21" s="1033"/>
    </row>
    <row r="22" spans="2:19">
      <c r="B22" s="1031"/>
      <c r="C22" s="1032"/>
      <c r="D22" s="1032"/>
      <c r="E22" s="1032"/>
      <c r="F22" s="1032"/>
      <c r="G22" s="1032"/>
      <c r="H22" s="1032"/>
      <c r="I22" s="1032"/>
      <c r="J22" s="1033"/>
      <c r="L22" s="1031" t="str">
        <f>L15</f>
        <v>White</v>
      </c>
      <c r="M22" s="1044">
        <f>M7*M15</f>
        <v>0</v>
      </c>
      <c r="N22" s="1044">
        <f t="shared" ref="N22:S22" si="5">N7*N15</f>
        <v>0</v>
      </c>
      <c r="O22" s="1044">
        <f t="shared" si="5"/>
        <v>0</v>
      </c>
      <c r="P22" s="1044">
        <f t="shared" si="5"/>
        <v>0</v>
      </c>
      <c r="Q22" s="1044">
        <f t="shared" si="5"/>
        <v>0</v>
      </c>
      <c r="R22" s="1044">
        <f t="shared" si="5"/>
        <v>0</v>
      </c>
      <c r="S22" s="1045">
        <f t="shared" si="5"/>
        <v>0</v>
      </c>
    </row>
    <row r="23" spans="2:19">
      <c r="B23" s="1031" t="s">
        <v>1094</v>
      </c>
      <c r="C23" s="1032"/>
      <c r="D23" s="1044">
        <f>M29</f>
        <v>0</v>
      </c>
      <c r="E23" s="1044">
        <f t="shared" ref="E23:J23" si="6">N29</f>
        <v>0</v>
      </c>
      <c r="F23" s="1044">
        <f t="shared" si="6"/>
        <v>0</v>
      </c>
      <c r="G23" s="1044">
        <f t="shared" si="6"/>
        <v>0</v>
      </c>
      <c r="H23" s="1044">
        <f t="shared" si="6"/>
        <v>0</v>
      </c>
      <c r="I23" s="1044">
        <f t="shared" si="6"/>
        <v>0</v>
      </c>
      <c r="J23" s="1045">
        <f t="shared" si="6"/>
        <v>0</v>
      </c>
      <c r="L23" s="1031" t="str">
        <f>L16</f>
        <v>Rose</v>
      </c>
      <c r="M23" s="1044">
        <f t="shared" ref="M23:S26" si="7">M8*M16</f>
        <v>0</v>
      </c>
      <c r="N23" s="1044">
        <f t="shared" si="7"/>
        <v>0</v>
      </c>
      <c r="O23" s="1044">
        <f t="shared" si="7"/>
        <v>0</v>
      </c>
      <c r="P23" s="1044">
        <f t="shared" si="7"/>
        <v>0</v>
      </c>
      <c r="Q23" s="1044">
        <f t="shared" si="7"/>
        <v>0</v>
      </c>
      <c r="R23" s="1044">
        <f t="shared" si="7"/>
        <v>0</v>
      </c>
      <c r="S23" s="1045">
        <f t="shared" si="7"/>
        <v>0</v>
      </c>
    </row>
    <row r="24" spans="2:19">
      <c r="B24" s="1031" t="s">
        <v>1096</v>
      </c>
      <c r="C24" s="1032"/>
      <c r="D24" s="1058">
        <f t="shared" ref="D24:J24" si="8">D25-D23</f>
        <v>0</v>
      </c>
      <c r="E24" s="1058">
        <f t="shared" si="8"/>
        <v>9500</v>
      </c>
      <c r="F24" s="1058">
        <f t="shared" si="8"/>
        <v>16626</v>
      </c>
      <c r="G24" s="1058">
        <f t="shared" si="8"/>
        <v>45718</v>
      </c>
      <c r="H24" s="1058">
        <f t="shared" si="8"/>
        <v>114296</v>
      </c>
      <c r="I24" s="1058">
        <f t="shared" si="8"/>
        <v>200020</v>
      </c>
      <c r="J24" s="1059">
        <f t="shared" si="8"/>
        <v>300030</v>
      </c>
      <c r="L24" s="1031" t="str">
        <f>L17</f>
        <v>Classic</v>
      </c>
      <c r="M24" s="1044">
        <f t="shared" si="7"/>
        <v>0</v>
      </c>
      <c r="N24" s="1044">
        <f t="shared" si="7"/>
        <v>0</v>
      </c>
      <c r="O24" s="1044">
        <f t="shared" si="7"/>
        <v>0</v>
      </c>
      <c r="P24" s="1044">
        <f t="shared" si="7"/>
        <v>0</v>
      </c>
      <c r="Q24" s="1044">
        <f t="shared" si="7"/>
        <v>0</v>
      </c>
      <c r="R24" s="1044">
        <f t="shared" si="7"/>
        <v>0</v>
      </c>
      <c r="S24" s="1045">
        <f t="shared" si="7"/>
        <v>0</v>
      </c>
    </row>
    <row r="25" spans="2:19">
      <c r="B25" s="1034" t="s">
        <v>1097</v>
      </c>
      <c r="C25" s="1046"/>
      <c r="D25" s="1049"/>
      <c r="E25" s="1060">
        <f>N90*M85</f>
        <v>9500</v>
      </c>
      <c r="F25" s="1060">
        <f>E25*(1+F20)</f>
        <v>16626</v>
      </c>
      <c r="G25" s="1060">
        <f>F25*(1+G20)</f>
        <v>45718</v>
      </c>
      <c r="H25" s="1060">
        <f>G25*(1+H20)</f>
        <v>114296</v>
      </c>
      <c r="I25" s="1060">
        <f>H25*(1+I20)</f>
        <v>200020</v>
      </c>
      <c r="J25" s="1061">
        <f>I25*(1+J20)</f>
        <v>300030</v>
      </c>
      <c r="L25" s="1031" t="str">
        <f>L18</f>
        <v>Premium</v>
      </c>
      <c r="M25" s="1044">
        <f t="shared" si="7"/>
        <v>0</v>
      </c>
      <c r="N25" s="1044">
        <f t="shared" si="7"/>
        <v>0</v>
      </c>
      <c r="O25" s="1044">
        <f t="shared" si="7"/>
        <v>0</v>
      </c>
      <c r="P25" s="1044">
        <f t="shared" si="7"/>
        <v>0</v>
      </c>
      <c r="Q25" s="1044">
        <f t="shared" si="7"/>
        <v>0</v>
      </c>
      <c r="R25" s="1044">
        <f t="shared" si="7"/>
        <v>0</v>
      </c>
      <c r="S25" s="1045">
        <f t="shared" si="7"/>
        <v>0</v>
      </c>
    </row>
    <row r="26" spans="2:19">
      <c r="B26" s="1031"/>
      <c r="C26" s="1032"/>
      <c r="D26" s="1044"/>
      <c r="E26" s="1032"/>
      <c r="F26" s="1032"/>
      <c r="G26" s="1032"/>
      <c r="H26" s="1032"/>
      <c r="I26" s="1032"/>
      <c r="J26" s="1033"/>
      <c r="L26" s="1031" t="str">
        <f>L19</f>
        <v>Selection individuelle</v>
      </c>
      <c r="M26" s="1058">
        <f t="shared" si="7"/>
        <v>0</v>
      </c>
      <c r="N26" s="1058">
        <f t="shared" si="7"/>
        <v>0</v>
      </c>
      <c r="O26" s="1058">
        <f t="shared" si="7"/>
        <v>0</v>
      </c>
      <c r="P26" s="1058">
        <f t="shared" si="7"/>
        <v>0</v>
      </c>
      <c r="Q26" s="1058">
        <f t="shared" si="7"/>
        <v>0</v>
      </c>
      <c r="R26" s="1058">
        <f t="shared" si="7"/>
        <v>0</v>
      </c>
      <c r="S26" s="1059">
        <f t="shared" si="7"/>
        <v>0</v>
      </c>
    </row>
    <row r="27" spans="2:19">
      <c r="B27" s="1034" t="s">
        <v>1098</v>
      </c>
      <c r="C27" s="1046"/>
      <c r="D27" s="1032"/>
      <c r="E27" s="1032"/>
      <c r="F27" s="1032"/>
      <c r="G27" s="1032"/>
      <c r="H27" s="1032"/>
      <c r="I27" s="1032"/>
      <c r="J27" s="1033"/>
      <c r="L27" s="1031"/>
      <c r="M27" s="1060">
        <f>SUM(M22:M26)</f>
        <v>0</v>
      </c>
      <c r="N27" s="1060">
        <f t="shared" ref="N27:S27" si="9">SUM(N22:N26)</f>
        <v>0</v>
      </c>
      <c r="O27" s="1060">
        <f t="shared" si="9"/>
        <v>0</v>
      </c>
      <c r="P27" s="1060">
        <f t="shared" si="9"/>
        <v>0</v>
      </c>
      <c r="Q27" s="1060">
        <f t="shared" si="9"/>
        <v>0</v>
      </c>
      <c r="R27" s="1060">
        <f t="shared" si="9"/>
        <v>0</v>
      </c>
      <c r="S27" s="1061">
        <f t="shared" si="9"/>
        <v>0</v>
      </c>
    </row>
    <row r="28" spans="2:19">
      <c r="B28" s="1031" t="str">
        <f>B14</f>
        <v>White</v>
      </c>
      <c r="C28" s="1032"/>
      <c r="D28" s="1044">
        <f t="shared" ref="D28:I28" si="10">D14*D25*$C$9</f>
        <v>0</v>
      </c>
      <c r="E28" s="1044">
        <f t="shared" si="10"/>
        <v>9500</v>
      </c>
      <c r="F28" s="1044">
        <f t="shared" si="10"/>
        <v>16626</v>
      </c>
      <c r="G28" s="1044">
        <f t="shared" si="10"/>
        <v>45718</v>
      </c>
      <c r="H28" s="1044">
        <f t="shared" si="10"/>
        <v>114296</v>
      </c>
      <c r="I28" s="1044">
        <f t="shared" si="10"/>
        <v>200020</v>
      </c>
      <c r="J28" s="1045">
        <f>J14*J25*$C$9</f>
        <v>300030</v>
      </c>
      <c r="L28" s="1031"/>
      <c r="M28" s="1032"/>
      <c r="N28" s="1032"/>
      <c r="O28" s="1032"/>
      <c r="P28" s="1032"/>
      <c r="Q28" s="1032"/>
      <c r="R28" s="1032"/>
      <c r="S28" s="1033"/>
    </row>
    <row r="29" spans="2:19" ht="13.5" thickBot="1">
      <c r="B29" s="1031" t="str">
        <f>B15</f>
        <v>Rose</v>
      </c>
      <c r="C29" s="1032"/>
      <c r="D29" s="1044">
        <f t="shared" ref="D29:J29" si="11">D15*D25*$C$9</f>
        <v>0</v>
      </c>
      <c r="E29" s="1044">
        <f t="shared" si="11"/>
        <v>11875</v>
      </c>
      <c r="F29" s="1044">
        <f t="shared" si="11"/>
        <v>20782.5</v>
      </c>
      <c r="G29" s="1044">
        <f t="shared" si="11"/>
        <v>57147.5</v>
      </c>
      <c r="H29" s="1044">
        <f t="shared" si="11"/>
        <v>142870</v>
      </c>
      <c r="I29" s="1044">
        <f t="shared" si="11"/>
        <v>250025</v>
      </c>
      <c r="J29" s="1045">
        <f t="shared" si="11"/>
        <v>375037.5</v>
      </c>
      <c r="L29" s="1064" t="s">
        <v>1101</v>
      </c>
      <c r="M29" s="1065">
        <f t="shared" ref="M29:S29" si="12">M27/$C$9</f>
        <v>0</v>
      </c>
      <c r="N29" s="1065">
        <f t="shared" si="12"/>
        <v>0</v>
      </c>
      <c r="O29" s="1065">
        <f t="shared" si="12"/>
        <v>0</v>
      </c>
      <c r="P29" s="1065">
        <f t="shared" si="12"/>
        <v>0</v>
      </c>
      <c r="Q29" s="1065">
        <f t="shared" si="12"/>
        <v>0</v>
      </c>
      <c r="R29" s="1065">
        <f t="shared" si="12"/>
        <v>0</v>
      </c>
      <c r="S29" s="1066">
        <f t="shared" si="12"/>
        <v>0</v>
      </c>
    </row>
    <row r="30" spans="2:19" ht="13.5" thickBot="1">
      <c r="B30" s="1031" t="s">
        <v>1090</v>
      </c>
      <c r="C30" s="1032"/>
      <c r="D30" s="1058">
        <f t="shared" ref="D30:J30" si="13">D16*D25*$C$9</f>
        <v>0</v>
      </c>
      <c r="E30" s="1058">
        <f t="shared" si="13"/>
        <v>26125</v>
      </c>
      <c r="F30" s="1058">
        <f t="shared" si="13"/>
        <v>45721.500000000007</v>
      </c>
      <c r="G30" s="1058">
        <f t="shared" si="13"/>
        <v>125724.5</v>
      </c>
      <c r="H30" s="1058">
        <f t="shared" si="13"/>
        <v>314314</v>
      </c>
      <c r="I30" s="1058">
        <f t="shared" si="13"/>
        <v>550055.00000000012</v>
      </c>
      <c r="J30" s="1059">
        <f t="shared" si="13"/>
        <v>825082.5</v>
      </c>
    </row>
    <row r="31" spans="2:19" ht="13.5" thickBot="1">
      <c r="B31" s="1034" t="s">
        <v>1099</v>
      </c>
      <c r="C31" s="1046"/>
      <c r="D31" s="1060">
        <f t="shared" ref="D31:J31" si="14">SUM(D28:D30)</f>
        <v>0</v>
      </c>
      <c r="E31" s="1060">
        <f t="shared" si="14"/>
        <v>47500</v>
      </c>
      <c r="F31" s="1060">
        <f t="shared" si="14"/>
        <v>83130</v>
      </c>
      <c r="G31" s="1060">
        <f t="shared" si="14"/>
        <v>228590</v>
      </c>
      <c r="H31" s="1060">
        <f t="shared" si="14"/>
        <v>571480</v>
      </c>
      <c r="I31" s="1060">
        <f t="shared" si="14"/>
        <v>1000100.0000000001</v>
      </c>
      <c r="J31" s="1061">
        <f t="shared" si="14"/>
        <v>1500150</v>
      </c>
      <c r="L31" s="1024" t="s">
        <v>1102</v>
      </c>
      <c r="M31" s="1026"/>
      <c r="N31" s="1026"/>
      <c r="O31" s="1026"/>
      <c r="P31" s="1026"/>
      <c r="Q31" s="1026"/>
      <c r="R31" s="1026"/>
      <c r="S31" s="1027"/>
    </row>
    <row r="32" spans="2:19">
      <c r="B32" s="1031"/>
      <c r="C32" s="1032"/>
      <c r="D32" s="1032"/>
      <c r="E32" s="1032"/>
      <c r="F32" s="1032"/>
      <c r="G32" s="1032"/>
      <c r="H32" s="1032"/>
      <c r="I32" s="1032"/>
      <c r="J32" s="1033"/>
      <c r="L32" s="1028"/>
      <c r="M32" s="1029"/>
      <c r="N32" s="1029"/>
      <c r="O32" s="1029"/>
      <c r="P32" s="1029"/>
      <c r="Q32" s="1029"/>
      <c r="R32" s="1029"/>
      <c r="S32" s="1030"/>
    </row>
    <row r="33" spans="2:19">
      <c r="B33" s="1034" t="s">
        <v>1100</v>
      </c>
      <c r="C33" s="1046"/>
      <c r="D33" s="1032"/>
      <c r="E33" s="1032"/>
      <c r="F33" s="1032"/>
      <c r="G33" s="1032"/>
      <c r="H33" s="1032"/>
      <c r="I33" s="1032"/>
      <c r="J33" s="1033"/>
      <c r="L33" s="1034" t="s">
        <v>1104</v>
      </c>
      <c r="M33" s="1035">
        <f t="shared" ref="M33:S33" si="15">M6</f>
        <v>2023</v>
      </c>
      <c r="N33" s="1035">
        <f t="shared" si="15"/>
        <v>2024</v>
      </c>
      <c r="O33" s="1035">
        <f t="shared" si="15"/>
        <v>2025</v>
      </c>
      <c r="P33" s="1035">
        <f t="shared" si="15"/>
        <v>2026</v>
      </c>
      <c r="Q33" s="1035">
        <f t="shared" si="15"/>
        <v>2027</v>
      </c>
      <c r="R33" s="1035">
        <f t="shared" si="15"/>
        <v>2028</v>
      </c>
      <c r="S33" s="1036">
        <f t="shared" si="15"/>
        <v>2029</v>
      </c>
    </row>
    <row r="34" spans="2:19">
      <c r="B34" s="1031" t="str">
        <f>L22</f>
        <v>White</v>
      </c>
      <c r="C34" s="1032"/>
      <c r="D34" s="1044">
        <f>M22</f>
        <v>0</v>
      </c>
      <c r="E34" s="1044">
        <f t="shared" ref="E34:J38" si="16">N22</f>
        <v>0</v>
      </c>
      <c r="F34" s="1044">
        <f>O22</f>
        <v>0</v>
      </c>
      <c r="G34" s="1044">
        <f t="shared" si="16"/>
        <v>0</v>
      </c>
      <c r="H34" s="1044">
        <f t="shared" si="16"/>
        <v>0</v>
      </c>
      <c r="I34" s="1044">
        <f t="shared" si="16"/>
        <v>0</v>
      </c>
      <c r="J34" s="1045">
        <f t="shared" si="16"/>
        <v>0</v>
      </c>
      <c r="L34" s="1031" t="str">
        <f>L7</f>
        <v>White</v>
      </c>
      <c r="M34" s="1067">
        <f>Price!P117</f>
        <v>16.87</v>
      </c>
      <c r="N34" s="1067">
        <f>Price!Q117</f>
        <v>17.2074</v>
      </c>
      <c r="O34" s="1067">
        <f>Price!R117</f>
        <v>17.551548</v>
      </c>
      <c r="P34" s="1067">
        <f>Price!S117</f>
        <v>17.90257896</v>
      </c>
      <c r="Q34" s="1067">
        <f>Price!T117</f>
        <v>18.260630539200001</v>
      </c>
      <c r="R34" s="1067">
        <f>Price!U117</f>
        <v>18.625843149984</v>
      </c>
      <c r="S34" s="1068">
        <f>Price!V117</f>
        <v>18.998360012983682</v>
      </c>
    </row>
    <row r="35" spans="2:19">
      <c r="B35" s="1031" t="str">
        <f>L23</f>
        <v>Rose</v>
      </c>
      <c r="C35" s="1032"/>
      <c r="D35" s="1044">
        <f>M23</f>
        <v>0</v>
      </c>
      <c r="E35" s="1044">
        <f t="shared" si="16"/>
        <v>0</v>
      </c>
      <c r="F35" s="1044">
        <f t="shared" si="16"/>
        <v>0</v>
      </c>
      <c r="G35" s="1044">
        <f t="shared" si="16"/>
        <v>0</v>
      </c>
      <c r="H35" s="1044">
        <f t="shared" si="16"/>
        <v>0</v>
      </c>
      <c r="I35" s="1044">
        <f t="shared" si="16"/>
        <v>0</v>
      </c>
      <c r="J35" s="1045">
        <f t="shared" si="16"/>
        <v>0</v>
      </c>
      <c r="L35" s="1031" t="str">
        <f>L8</f>
        <v>Rose</v>
      </c>
      <c r="M35" s="1067">
        <f>Price!P118</f>
        <v>16.87</v>
      </c>
      <c r="N35" s="1067">
        <f>Price!Q118</f>
        <v>17.2074</v>
      </c>
      <c r="O35" s="1067">
        <f>Price!R118</f>
        <v>17.551548</v>
      </c>
      <c r="P35" s="1067">
        <f>Price!S118</f>
        <v>17.90257896</v>
      </c>
      <c r="Q35" s="1067">
        <f>Price!T118</f>
        <v>18.260630539200001</v>
      </c>
      <c r="R35" s="1067">
        <f>Price!U118</f>
        <v>18.625843149984</v>
      </c>
      <c r="S35" s="1068">
        <f>Price!V118</f>
        <v>18.998360012983682</v>
      </c>
    </row>
    <row r="36" spans="2:19">
      <c r="B36" s="1031" t="str">
        <f>L24</f>
        <v>Classic</v>
      </c>
      <c r="C36" s="1032"/>
      <c r="D36" s="1044">
        <f>M24</f>
        <v>0</v>
      </c>
      <c r="E36" s="1044">
        <f t="shared" si="16"/>
        <v>0</v>
      </c>
      <c r="F36" s="1044">
        <f t="shared" si="16"/>
        <v>0</v>
      </c>
      <c r="G36" s="1044">
        <f t="shared" si="16"/>
        <v>0</v>
      </c>
      <c r="H36" s="1044">
        <f t="shared" si="16"/>
        <v>0</v>
      </c>
      <c r="I36" s="1044">
        <f t="shared" si="16"/>
        <v>0</v>
      </c>
      <c r="J36" s="1045">
        <f t="shared" si="16"/>
        <v>0</v>
      </c>
      <c r="L36" s="1031" t="str">
        <f>L9</f>
        <v>Classic</v>
      </c>
      <c r="M36" s="1067">
        <f>Price!P119</f>
        <v>25.1</v>
      </c>
      <c r="N36" s="1067">
        <f>Price!Q119</f>
        <v>25.853000000000002</v>
      </c>
      <c r="O36" s="1067">
        <f>Price!R119</f>
        <v>26.628590000000003</v>
      </c>
      <c r="P36" s="1067">
        <f>Price!S119</f>
        <v>27.427447700000002</v>
      </c>
      <c r="Q36" s="1067">
        <f>Price!T119</f>
        <v>28.250271131000002</v>
      </c>
      <c r="R36" s="1067">
        <f>Price!U119</f>
        <v>29.097779264930001</v>
      </c>
      <c r="S36" s="1068">
        <f>Price!V119</f>
        <v>29.970712642877899</v>
      </c>
    </row>
    <row r="37" spans="2:19">
      <c r="B37" s="1031" t="str">
        <f>L25</f>
        <v>Premium</v>
      </c>
      <c r="C37" s="1032"/>
      <c r="D37" s="1044">
        <f>M25</f>
        <v>0</v>
      </c>
      <c r="E37" s="1044">
        <f t="shared" si="16"/>
        <v>0</v>
      </c>
      <c r="F37" s="1044">
        <f t="shared" si="16"/>
        <v>0</v>
      </c>
      <c r="G37" s="1044">
        <f t="shared" si="16"/>
        <v>0</v>
      </c>
      <c r="H37" s="1044">
        <f t="shared" si="16"/>
        <v>0</v>
      </c>
      <c r="I37" s="1044">
        <f t="shared" si="16"/>
        <v>0</v>
      </c>
      <c r="J37" s="1045">
        <f t="shared" si="16"/>
        <v>0</v>
      </c>
      <c r="L37" s="1031" t="str">
        <f>L10</f>
        <v>Premium</v>
      </c>
      <c r="M37" s="1067">
        <f>Price!P120</f>
        <v>33.75</v>
      </c>
      <c r="N37" s="1067">
        <f>Price!Q120</f>
        <v>35.1</v>
      </c>
      <c r="O37" s="1067">
        <f>Price!R120</f>
        <v>36.503999999999998</v>
      </c>
      <c r="P37" s="1067">
        <f>Price!S120</f>
        <v>37.96416</v>
      </c>
      <c r="Q37" s="1067">
        <f>Price!T120</f>
        <v>39.292905599999997</v>
      </c>
      <c r="R37" s="1067">
        <f>Price!U120</f>
        <v>40.66815729599999</v>
      </c>
      <c r="S37" s="1068">
        <f>Price!V120</f>
        <v>42.091542801359985</v>
      </c>
    </row>
    <row r="38" spans="2:19">
      <c r="B38" s="1031" t="str">
        <f>L26</f>
        <v>Selection individuelle</v>
      </c>
      <c r="C38" s="1032"/>
      <c r="D38" s="1058">
        <f>M26</f>
        <v>0</v>
      </c>
      <c r="E38" s="1058">
        <f t="shared" si="16"/>
        <v>0</v>
      </c>
      <c r="F38" s="1058">
        <f t="shared" si="16"/>
        <v>0</v>
      </c>
      <c r="G38" s="1058">
        <f t="shared" si="16"/>
        <v>0</v>
      </c>
      <c r="H38" s="1058">
        <f t="shared" si="16"/>
        <v>0</v>
      </c>
      <c r="I38" s="1058">
        <f t="shared" si="16"/>
        <v>0</v>
      </c>
      <c r="J38" s="1059">
        <f t="shared" si="16"/>
        <v>0</v>
      </c>
      <c r="L38" s="1031" t="str">
        <f>L11</f>
        <v>Selection individuelle</v>
      </c>
      <c r="M38" s="1067">
        <f>Price!P121</f>
        <v>113.51</v>
      </c>
      <c r="N38" s="1067">
        <f>Price!Q121</f>
        <v>118.901725</v>
      </c>
      <c r="O38" s="1067">
        <f>Price!R121</f>
        <v>124.5495569375</v>
      </c>
      <c r="P38" s="1067">
        <f>Price!S121</f>
        <v>130.46566089203125</v>
      </c>
      <c r="Q38" s="1067">
        <f>Price!T121</f>
        <v>136.66277978440274</v>
      </c>
      <c r="R38" s="1067">
        <f>Price!U121</f>
        <v>140.76266317793483</v>
      </c>
      <c r="S38" s="1068">
        <f>Price!V121</f>
        <v>144.98554307327288</v>
      </c>
    </row>
    <row r="39" spans="2:19">
      <c r="B39" s="1031"/>
      <c r="C39" s="1032"/>
      <c r="D39" s="1060">
        <f>SUM(D34:D38)</f>
        <v>0</v>
      </c>
      <c r="E39" s="1060">
        <f t="shared" ref="E39:J39" si="17">SUM(E34:E38)</f>
        <v>0</v>
      </c>
      <c r="F39" s="1060">
        <f t="shared" si="17"/>
        <v>0</v>
      </c>
      <c r="G39" s="1060">
        <f t="shared" si="17"/>
        <v>0</v>
      </c>
      <c r="H39" s="1060">
        <f t="shared" si="17"/>
        <v>0</v>
      </c>
      <c r="I39" s="1060">
        <f t="shared" si="17"/>
        <v>0</v>
      </c>
      <c r="J39" s="1061">
        <f t="shared" si="17"/>
        <v>0</v>
      </c>
      <c r="L39" s="1031"/>
      <c r="M39" s="1032"/>
      <c r="N39" s="1032"/>
      <c r="O39" s="1032"/>
      <c r="P39" s="1032"/>
      <c r="Q39" s="1032"/>
      <c r="R39" s="1032"/>
      <c r="S39" s="1033"/>
    </row>
    <row r="40" spans="2:19">
      <c r="B40" s="1031"/>
      <c r="C40" s="1032"/>
      <c r="D40" s="1032"/>
      <c r="E40" s="1032"/>
      <c r="F40" s="1032"/>
      <c r="G40" s="1032"/>
      <c r="H40" s="1032"/>
      <c r="I40" s="1032"/>
      <c r="J40" s="1033"/>
      <c r="L40" s="1034" t="s">
        <v>1106</v>
      </c>
      <c r="M40" s="1032"/>
      <c r="N40" s="1032"/>
      <c r="O40" s="1032"/>
      <c r="P40" s="1032"/>
      <c r="Q40" s="1032"/>
      <c r="R40" s="1032"/>
      <c r="S40" s="1033"/>
    </row>
    <row r="41" spans="2:19">
      <c r="B41" s="1034" t="s">
        <v>1103</v>
      </c>
      <c r="C41" s="1046"/>
      <c r="D41" s="1032"/>
      <c r="E41" s="1032"/>
      <c r="F41" s="1032"/>
      <c r="G41" s="1032"/>
      <c r="H41" s="1032"/>
      <c r="I41" s="1032"/>
      <c r="J41" s="1033"/>
      <c r="L41" s="1031" t="str">
        <f>L34</f>
        <v>White</v>
      </c>
      <c r="M41" s="1067">
        <f t="shared" ref="M41:S45" si="18">M34/$C$9*$C$10</f>
        <v>3.9644500000000003</v>
      </c>
      <c r="N41" s="1067">
        <f t="shared" si="18"/>
        <v>4.0437390000000004</v>
      </c>
      <c r="O41" s="1067">
        <f t="shared" si="18"/>
        <v>4.1246137800000007</v>
      </c>
      <c r="P41" s="1067">
        <f t="shared" si="18"/>
        <v>4.2071060555999997</v>
      </c>
      <c r="Q41" s="1067">
        <f t="shared" si="18"/>
        <v>4.2912481767120001</v>
      </c>
      <c r="R41" s="1067">
        <f t="shared" si="18"/>
        <v>4.3770731402462406</v>
      </c>
      <c r="S41" s="1068">
        <f t="shared" si="18"/>
        <v>4.4646146030511655</v>
      </c>
    </row>
    <row r="42" spans="2:19">
      <c r="B42" s="1031" t="str">
        <f>B34</f>
        <v>White</v>
      </c>
      <c r="C42" s="1032"/>
      <c r="D42" s="1044">
        <f>D28-D34</f>
        <v>0</v>
      </c>
      <c r="E42" s="1044">
        <f t="shared" ref="D42:J43" si="19">E28-E34</f>
        <v>9500</v>
      </c>
      <c r="F42" s="1044">
        <f t="shared" si="19"/>
        <v>16626</v>
      </c>
      <c r="G42" s="1044">
        <f t="shared" si="19"/>
        <v>45718</v>
      </c>
      <c r="H42" s="1044">
        <f t="shared" si="19"/>
        <v>114296</v>
      </c>
      <c r="I42" s="1044">
        <f t="shared" si="19"/>
        <v>200020</v>
      </c>
      <c r="J42" s="1045">
        <f t="shared" si="19"/>
        <v>300030</v>
      </c>
      <c r="L42" s="1031" t="str">
        <f>L35</f>
        <v>Rose</v>
      </c>
      <c r="M42" s="1067">
        <f t="shared" si="18"/>
        <v>3.9644500000000003</v>
      </c>
      <c r="N42" s="1067">
        <f t="shared" si="18"/>
        <v>4.0437390000000004</v>
      </c>
      <c r="O42" s="1067">
        <f t="shared" si="18"/>
        <v>4.1246137800000007</v>
      </c>
      <c r="P42" s="1067">
        <f t="shared" si="18"/>
        <v>4.2071060555999997</v>
      </c>
      <c r="Q42" s="1067">
        <f t="shared" si="18"/>
        <v>4.2912481767120001</v>
      </c>
      <c r="R42" s="1067">
        <f t="shared" si="18"/>
        <v>4.3770731402462406</v>
      </c>
      <c r="S42" s="1068">
        <f t="shared" si="18"/>
        <v>4.4646146030511655</v>
      </c>
    </row>
    <row r="43" spans="2:19">
      <c r="B43" s="1031" t="str">
        <f>B35</f>
        <v>Rose</v>
      </c>
      <c r="C43" s="1032"/>
      <c r="D43" s="1044">
        <f t="shared" si="19"/>
        <v>0</v>
      </c>
      <c r="E43" s="1044">
        <f t="shared" si="19"/>
        <v>11875</v>
      </c>
      <c r="F43" s="1044">
        <f t="shared" si="19"/>
        <v>20782.5</v>
      </c>
      <c r="G43" s="1044">
        <f t="shared" si="19"/>
        <v>57147.5</v>
      </c>
      <c r="H43" s="1044">
        <f t="shared" si="19"/>
        <v>142870</v>
      </c>
      <c r="I43" s="1044">
        <f t="shared" si="19"/>
        <v>250025</v>
      </c>
      <c r="J43" s="1045">
        <f t="shared" si="19"/>
        <v>375037.5</v>
      </c>
      <c r="L43" s="1031" t="str">
        <f>L36</f>
        <v>Classic</v>
      </c>
      <c r="M43" s="1067">
        <f t="shared" si="18"/>
        <v>5.8985000000000012</v>
      </c>
      <c r="N43" s="1067">
        <f t="shared" si="18"/>
        <v>6.0754550000000007</v>
      </c>
      <c r="O43" s="1067">
        <f t="shared" si="18"/>
        <v>6.2577186500000002</v>
      </c>
      <c r="P43" s="1067">
        <f t="shared" si="18"/>
        <v>6.4454502095000006</v>
      </c>
      <c r="Q43" s="1067">
        <f t="shared" si="18"/>
        <v>6.638813715785</v>
      </c>
      <c r="R43" s="1067">
        <f t="shared" si="18"/>
        <v>6.8379781272585509</v>
      </c>
      <c r="S43" s="1068">
        <f t="shared" si="18"/>
        <v>7.0431174710763065</v>
      </c>
    </row>
    <row r="44" spans="2:19">
      <c r="B44" s="1031" t="str">
        <f>B30</f>
        <v>Red</v>
      </c>
      <c r="C44" s="1032"/>
      <c r="D44" s="1058">
        <f>D30-D36-D37-D38</f>
        <v>0</v>
      </c>
      <c r="E44" s="1058">
        <f t="shared" ref="E44:J44" si="20">E30-E36-E37-E38</f>
        <v>26125</v>
      </c>
      <c r="F44" s="1058">
        <f t="shared" si="20"/>
        <v>45721.500000000007</v>
      </c>
      <c r="G44" s="1058">
        <f t="shared" si="20"/>
        <v>125724.5</v>
      </c>
      <c r="H44" s="1058">
        <f t="shared" si="20"/>
        <v>314314</v>
      </c>
      <c r="I44" s="1058">
        <f t="shared" si="20"/>
        <v>550055.00000000012</v>
      </c>
      <c r="J44" s="1059">
        <f t="shared" si="20"/>
        <v>825082.5</v>
      </c>
      <c r="L44" s="1031" t="str">
        <f>L37</f>
        <v>Premium</v>
      </c>
      <c r="M44" s="1067">
        <f t="shared" si="18"/>
        <v>7.9312500000000004</v>
      </c>
      <c r="N44" s="1067">
        <f t="shared" si="18"/>
        <v>8.2485000000000017</v>
      </c>
      <c r="O44" s="1067">
        <f t="shared" si="18"/>
        <v>8.5784400000000005</v>
      </c>
      <c r="P44" s="1067">
        <f t="shared" si="18"/>
        <v>8.9215775999999991</v>
      </c>
      <c r="Q44" s="1067">
        <f t="shared" si="18"/>
        <v>9.2338328159999996</v>
      </c>
      <c r="R44" s="1067">
        <f t="shared" si="18"/>
        <v>9.5570169645599989</v>
      </c>
      <c r="S44" s="1068">
        <f t="shared" si="18"/>
        <v>9.8915125583195973</v>
      </c>
    </row>
    <row r="45" spans="2:19">
      <c r="B45" s="1031"/>
      <c r="C45" s="1032"/>
      <c r="D45" s="1060">
        <f>SUM(D42:D44)</f>
        <v>0</v>
      </c>
      <c r="E45" s="1060">
        <f t="shared" ref="E45:J45" si="21">SUM(E42:E44)</f>
        <v>47500</v>
      </c>
      <c r="F45" s="1060">
        <f t="shared" si="21"/>
        <v>83130</v>
      </c>
      <c r="G45" s="1060">
        <f t="shared" si="21"/>
        <v>228590</v>
      </c>
      <c r="H45" s="1060">
        <f t="shared" si="21"/>
        <v>571480</v>
      </c>
      <c r="I45" s="1060">
        <f t="shared" si="21"/>
        <v>1000100.0000000001</v>
      </c>
      <c r="J45" s="1061">
        <f t="shared" si="21"/>
        <v>1500150</v>
      </c>
      <c r="L45" s="1031" t="str">
        <f>L38</f>
        <v>Selection individuelle</v>
      </c>
      <c r="M45" s="1067">
        <f t="shared" si="18"/>
        <v>26.674850000000003</v>
      </c>
      <c r="N45" s="1067">
        <f t="shared" si="18"/>
        <v>27.941905375000001</v>
      </c>
      <c r="O45" s="1067">
        <f t="shared" si="18"/>
        <v>29.2691458803125</v>
      </c>
      <c r="P45" s="1067">
        <f t="shared" si="18"/>
        <v>30.659430309627346</v>
      </c>
      <c r="Q45" s="1067">
        <f t="shared" si="18"/>
        <v>32.115753249334645</v>
      </c>
      <c r="R45" s="1067">
        <f t="shared" si="18"/>
        <v>33.079225846814687</v>
      </c>
      <c r="S45" s="1068">
        <f t="shared" si="18"/>
        <v>34.071602622219125</v>
      </c>
    </row>
    <row r="46" spans="2:19">
      <c r="B46" s="1031"/>
      <c r="C46" s="1032"/>
      <c r="D46" s="1032"/>
      <c r="E46" s="1032"/>
      <c r="F46" s="1032"/>
      <c r="G46" s="1032"/>
      <c r="H46" s="1032"/>
      <c r="I46" s="1032"/>
      <c r="J46" s="1033"/>
      <c r="L46" s="1031"/>
      <c r="M46" s="1032"/>
      <c r="N46" s="1032"/>
      <c r="O46" s="1032"/>
      <c r="P46" s="1032"/>
      <c r="Q46" s="1032"/>
      <c r="R46" s="1032"/>
      <c r="S46" s="1033"/>
    </row>
    <row r="47" spans="2:19">
      <c r="B47" s="1034" t="s">
        <v>1105</v>
      </c>
      <c r="C47" s="1046"/>
      <c r="D47" s="1032"/>
      <c r="E47" s="1032"/>
      <c r="F47" s="1032"/>
      <c r="G47" s="1032"/>
      <c r="H47" s="1032"/>
      <c r="I47" s="1032"/>
      <c r="J47" s="1033"/>
      <c r="L47" s="1034" t="s">
        <v>1109</v>
      </c>
      <c r="M47" s="1032"/>
      <c r="N47" s="1032"/>
      <c r="O47" s="1032"/>
      <c r="P47" s="1032"/>
      <c r="Q47" s="1032"/>
      <c r="R47" s="1032"/>
      <c r="S47" s="1033"/>
    </row>
    <row r="48" spans="2:19">
      <c r="B48" s="1031" t="str">
        <f>L22</f>
        <v>White</v>
      </c>
      <c r="C48" s="1032"/>
      <c r="D48" s="1038">
        <f t="shared" ref="D48:J52" si="22">D34*M57</f>
        <v>0</v>
      </c>
      <c r="E48" s="1038">
        <f t="shared" si="22"/>
        <v>0</v>
      </c>
      <c r="F48" s="1038">
        <f t="shared" si="22"/>
        <v>0</v>
      </c>
      <c r="G48" s="1038">
        <f t="shared" si="22"/>
        <v>0</v>
      </c>
      <c r="H48" s="1038">
        <f t="shared" si="22"/>
        <v>0</v>
      </c>
      <c r="I48" s="1038">
        <f t="shared" si="22"/>
        <v>0</v>
      </c>
      <c r="J48" s="1039">
        <f t="shared" si="22"/>
        <v>0</v>
      </c>
      <c r="L48" s="1031" t="str">
        <f>L34</f>
        <v>White</v>
      </c>
      <c r="M48" s="1067">
        <f>4.7/C9</f>
        <v>0.94000000000000006</v>
      </c>
      <c r="N48" s="1067">
        <f t="shared" ref="N48:S52" si="23">M48*(1+$C$11)</f>
        <v>0.98229999999999995</v>
      </c>
      <c r="O48" s="1067">
        <f t="shared" si="23"/>
        <v>1.0265034999999998</v>
      </c>
      <c r="P48" s="1067">
        <f t="shared" si="23"/>
        <v>1.0726961574999998</v>
      </c>
      <c r="Q48" s="1067">
        <f t="shared" si="23"/>
        <v>1.1209674845874997</v>
      </c>
      <c r="R48" s="1067">
        <f t="shared" si="23"/>
        <v>1.171411021393937</v>
      </c>
      <c r="S48" s="1068">
        <f t="shared" si="23"/>
        <v>1.2241245173566642</v>
      </c>
    </row>
    <row r="49" spans="2:19">
      <c r="B49" s="1031" t="str">
        <f>L23</f>
        <v>Rose</v>
      </c>
      <c r="C49" s="1032"/>
      <c r="D49" s="1038">
        <f t="shared" si="22"/>
        <v>0</v>
      </c>
      <c r="E49" s="1038">
        <f t="shared" si="22"/>
        <v>0</v>
      </c>
      <c r="F49" s="1038">
        <f t="shared" si="22"/>
        <v>0</v>
      </c>
      <c r="G49" s="1038">
        <f t="shared" si="22"/>
        <v>0</v>
      </c>
      <c r="H49" s="1038">
        <f t="shared" si="22"/>
        <v>0</v>
      </c>
      <c r="I49" s="1038">
        <f t="shared" si="22"/>
        <v>0</v>
      </c>
      <c r="J49" s="1039">
        <f t="shared" si="22"/>
        <v>0</v>
      </c>
      <c r="L49" s="1031" t="str">
        <f>L35</f>
        <v>Rose</v>
      </c>
      <c r="M49" s="1067">
        <f>4.7/C9</f>
        <v>0.94000000000000006</v>
      </c>
      <c r="N49" s="1067">
        <f t="shared" si="23"/>
        <v>0.98229999999999995</v>
      </c>
      <c r="O49" s="1067">
        <f t="shared" si="23"/>
        <v>1.0265034999999998</v>
      </c>
      <c r="P49" s="1067">
        <f t="shared" si="23"/>
        <v>1.0726961574999998</v>
      </c>
      <c r="Q49" s="1067">
        <f t="shared" si="23"/>
        <v>1.1209674845874997</v>
      </c>
      <c r="R49" s="1067">
        <f t="shared" si="23"/>
        <v>1.171411021393937</v>
      </c>
      <c r="S49" s="1068">
        <f t="shared" si="23"/>
        <v>1.2241245173566642</v>
      </c>
    </row>
    <row r="50" spans="2:19">
      <c r="B50" s="1031" t="str">
        <f>L24</f>
        <v>Classic</v>
      </c>
      <c r="C50" s="1032"/>
      <c r="D50" s="1038">
        <f t="shared" si="22"/>
        <v>0</v>
      </c>
      <c r="E50" s="1038">
        <f t="shared" si="22"/>
        <v>0</v>
      </c>
      <c r="F50" s="1038">
        <f t="shared" si="22"/>
        <v>0</v>
      </c>
      <c r="G50" s="1038">
        <f t="shared" si="22"/>
        <v>0</v>
      </c>
      <c r="H50" s="1038">
        <f t="shared" si="22"/>
        <v>0</v>
      </c>
      <c r="I50" s="1038">
        <f t="shared" si="22"/>
        <v>0</v>
      </c>
      <c r="J50" s="1039">
        <f t="shared" si="22"/>
        <v>0</v>
      </c>
      <c r="L50" s="1031" t="str">
        <f>L36</f>
        <v>Classic</v>
      </c>
      <c r="M50" s="1067">
        <f>5.68/C9</f>
        <v>1.1359999999999999</v>
      </c>
      <c r="N50" s="1067">
        <f t="shared" si="23"/>
        <v>1.1871199999999997</v>
      </c>
      <c r="O50" s="1067">
        <f t="shared" si="23"/>
        <v>1.2405403999999995</v>
      </c>
      <c r="P50" s="1067">
        <f t="shared" si="23"/>
        <v>1.2963647179999995</v>
      </c>
      <c r="Q50" s="1067">
        <f t="shared" si="23"/>
        <v>1.3547011303099994</v>
      </c>
      <c r="R50" s="1067">
        <f t="shared" si="23"/>
        <v>1.4156626811739492</v>
      </c>
      <c r="S50" s="1068">
        <f t="shared" si="23"/>
        <v>1.4793675018267769</v>
      </c>
    </row>
    <row r="51" spans="2:19">
      <c r="B51" s="1031" t="str">
        <f>L25</f>
        <v>Premium</v>
      </c>
      <c r="C51" s="1032"/>
      <c r="D51" s="1038">
        <f t="shared" si="22"/>
        <v>0</v>
      </c>
      <c r="E51" s="1038">
        <f t="shared" si="22"/>
        <v>0</v>
      </c>
      <c r="F51" s="1038">
        <f t="shared" si="22"/>
        <v>0</v>
      </c>
      <c r="G51" s="1038">
        <f t="shared" si="22"/>
        <v>0</v>
      </c>
      <c r="H51" s="1038">
        <f t="shared" si="22"/>
        <v>0</v>
      </c>
      <c r="I51" s="1038">
        <f t="shared" si="22"/>
        <v>0</v>
      </c>
      <c r="J51" s="1039">
        <f t="shared" si="22"/>
        <v>0</v>
      </c>
      <c r="L51" s="1031" t="str">
        <f>L37</f>
        <v>Premium</v>
      </c>
      <c r="M51" s="1067">
        <f>5.28/C9</f>
        <v>1.056</v>
      </c>
      <c r="N51" s="1067">
        <f t="shared" si="23"/>
        <v>1.1035200000000001</v>
      </c>
      <c r="O51" s="1067">
        <f t="shared" si="23"/>
        <v>1.1531784</v>
      </c>
      <c r="P51" s="1067">
        <f t="shared" si="23"/>
        <v>1.2050714279999999</v>
      </c>
      <c r="Q51" s="1067">
        <f t="shared" si="23"/>
        <v>1.2592996422599998</v>
      </c>
      <c r="R51" s="1067">
        <f t="shared" si="23"/>
        <v>1.3159681261616998</v>
      </c>
      <c r="S51" s="1068">
        <f t="shared" si="23"/>
        <v>1.3751866918389761</v>
      </c>
    </row>
    <row r="52" spans="2:19">
      <c r="B52" s="1031" t="str">
        <f>L26</f>
        <v>Selection individuelle</v>
      </c>
      <c r="C52" s="1032"/>
      <c r="D52" s="1042">
        <f t="shared" si="22"/>
        <v>0</v>
      </c>
      <c r="E52" s="1042">
        <f t="shared" si="22"/>
        <v>0</v>
      </c>
      <c r="F52" s="1042">
        <f t="shared" si="22"/>
        <v>0</v>
      </c>
      <c r="G52" s="1042">
        <f t="shared" si="22"/>
        <v>0</v>
      </c>
      <c r="H52" s="1042">
        <f t="shared" si="22"/>
        <v>0</v>
      </c>
      <c r="I52" s="1042">
        <f t="shared" si="22"/>
        <v>0</v>
      </c>
      <c r="J52" s="1043">
        <f t="shared" si="22"/>
        <v>0</v>
      </c>
      <c r="L52" s="1031" t="str">
        <f>L38</f>
        <v>Selection individuelle</v>
      </c>
      <c r="M52" s="1067">
        <f>5.28/C9</f>
        <v>1.056</v>
      </c>
      <c r="N52" s="1067">
        <f t="shared" si="23"/>
        <v>1.1035200000000001</v>
      </c>
      <c r="O52" s="1067">
        <f t="shared" si="23"/>
        <v>1.1531784</v>
      </c>
      <c r="P52" s="1067">
        <f t="shared" si="23"/>
        <v>1.2050714279999999</v>
      </c>
      <c r="Q52" s="1067">
        <f t="shared" si="23"/>
        <v>1.2592996422599998</v>
      </c>
      <c r="R52" s="1067">
        <f t="shared" si="23"/>
        <v>1.3159681261616998</v>
      </c>
      <c r="S52" s="1068">
        <f t="shared" si="23"/>
        <v>1.3751866918389761</v>
      </c>
    </row>
    <row r="53" spans="2:19">
      <c r="B53" s="1031"/>
      <c r="C53" s="1032"/>
      <c r="D53" s="1049">
        <f>SUM(D48:D52)</f>
        <v>0</v>
      </c>
      <c r="E53" s="1049">
        <f t="shared" ref="E53:J53" si="24">SUM(E48:E52)</f>
        <v>0</v>
      </c>
      <c r="F53" s="1049">
        <f t="shared" si="24"/>
        <v>0</v>
      </c>
      <c r="G53" s="1049">
        <f t="shared" si="24"/>
        <v>0</v>
      </c>
      <c r="H53" s="1049">
        <f t="shared" si="24"/>
        <v>0</v>
      </c>
      <c r="I53" s="1049">
        <f t="shared" si="24"/>
        <v>0</v>
      </c>
      <c r="J53" s="1069">
        <f t="shared" si="24"/>
        <v>0</v>
      </c>
      <c r="L53" s="1031"/>
      <c r="M53" s="1032"/>
      <c r="N53" s="1032"/>
      <c r="O53" s="1032"/>
      <c r="P53" s="1032"/>
      <c r="Q53" s="1032"/>
      <c r="R53" s="1032"/>
      <c r="S53" s="1033"/>
    </row>
    <row r="54" spans="2:19">
      <c r="B54" s="1031"/>
      <c r="C54" s="1032"/>
      <c r="D54" s="1032"/>
      <c r="E54" s="1032"/>
      <c r="F54" s="1032"/>
      <c r="G54" s="1032"/>
      <c r="H54" s="1032"/>
      <c r="I54" s="1032"/>
      <c r="J54" s="1033"/>
      <c r="L54" s="1034" t="s">
        <v>1110</v>
      </c>
      <c r="M54" s="1067">
        <f>2.5/5</f>
        <v>0.5</v>
      </c>
      <c r="N54" s="1067">
        <f t="shared" ref="N54:S54" si="25">M54*(1+$C$11)</f>
        <v>0.52249999999999996</v>
      </c>
      <c r="O54" s="1067">
        <f t="shared" si="25"/>
        <v>0.5460124999999999</v>
      </c>
      <c r="P54" s="1067">
        <f t="shared" si="25"/>
        <v>0.5705830624999999</v>
      </c>
      <c r="Q54" s="1067">
        <f t="shared" si="25"/>
        <v>0.59625930031249985</v>
      </c>
      <c r="R54" s="1067">
        <f t="shared" si="25"/>
        <v>0.62309096882656234</v>
      </c>
      <c r="S54" s="1068">
        <f t="shared" si="25"/>
        <v>0.65113006242375759</v>
      </c>
    </row>
    <row r="55" spans="2:19">
      <c r="B55" s="1034" t="s">
        <v>1107</v>
      </c>
      <c r="C55" s="1046"/>
      <c r="D55" s="1032"/>
      <c r="E55" s="1032"/>
      <c r="F55" s="1032"/>
      <c r="G55" s="1032"/>
      <c r="H55" s="1032"/>
      <c r="I55" s="1032"/>
      <c r="J55" s="1033"/>
      <c r="L55" s="1031"/>
      <c r="M55" s="1032"/>
      <c r="N55" s="1032"/>
      <c r="O55" s="1032"/>
      <c r="P55" s="1032"/>
      <c r="Q55" s="1032"/>
      <c r="R55" s="1032"/>
      <c r="S55" s="1033"/>
    </row>
    <row r="56" spans="2:19">
      <c r="B56" s="1031" t="s">
        <v>1108</v>
      </c>
      <c r="C56" s="1032"/>
      <c r="D56" s="1038">
        <f t="shared" ref="D56:J58" si="26">D42*M81</f>
        <v>0</v>
      </c>
      <c r="E56" s="1038">
        <f t="shared" si="26"/>
        <v>22953.439250000007</v>
      </c>
      <c r="F56" s="1038">
        <f t="shared" si="26"/>
        <v>40724.512971180018</v>
      </c>
      <c r="G56" s="1038">
        <f t="shared" si="26"/>
        <v>113534.92105031695</v>
      </c>
      <c r="H56" s="1038">
        <f t="shared" si="26"/>
        <v>284591.19152716344</v>
      </c>
      <c r="I56" s="1038">
        <f t="shared" si="26"/>
        <v>504850.59980318788</v>
      </c>
      <c r="J56" s="1039">
        <f t="shared" si="26"/>
        <v>758521.9838347953</v>
      </c>
      <c r="L56" s="1034" t="s">
        <v>1111</v>
      </c>
      <c r="M56" s="1032"/>
      <c r="N56" s="1032"/>
      <c r="O56" s="1032"/>
      <c r="P56" s="1032"/>
      <c r="Q56" s="1032"/>
      <c r="R56" s="1032"/>
      <c r="S56" s="1033"/>
    </row>
    <row r="57" spans="2:19">
      <c r="B57" s="1031" t="s">
        <v>549</v>
      </c>
      <c r="C57" s="1032"/>
      <c r="D57" s="1038">
        <f t="shared" si="26"/>
        <v>0</v>
      </c>
      <c r="E57" s="1038">
        <f t="shared" si="26"/>
        <v>28691.799062500009</v>
      </c>
      <c r="F57" s="1038">
        <f t="shared" si="26"/>
        <v>50905.641213975025</v>
      </c>
      <c r="G57" s="1038">
        <f t="shared" si="26"/>
        <v>141918.65131289617</v>
      </c>
      <c r="H57" s="1038">
        <f t="shared" si="26"/>
        <v>355738.98940895428</v>
      </c>
      <c r="I57" s="1038">
        <f t="shared" si="26"/>
        <v>631063.24975398486</v>
      </c>
      <c r="J57" s="1039">
        <f t="shared" si="26"/>
        <v>948152.47979349422</v>
      </c>
      <c r="L57" s="1031" t="str">
        <f>L34</f>
        <v>White</v>
      </c>
      <c r="M57" s="1082">
        <f>M41-M48-M54</f>
        <v>2.5244500000000003</v>
      </c>
      <c r="N57" s="1082">
        <f t="shared" ref="N57:S57" si="27">N41-N48-N54</f>
        <v>2.5389390000000005</v>
      </c>
      <c r="O57" s="1082">
        <f t="shared" si="27"/>
        <v>2.5520977800000013</v>
      </c>
      <c r="P57" s="1082">
        <f t="shared" si="27"/>
        <v>2.5638268356</v>
      </c>
      <c r="Q57" s="1082">
        <f t="shared" si="27"/>
        <v>2.5740213918120007</v>
      </c>
      <c r="R57" s="1082">
        <f t="shared" si="27"/>
        <v>2.5825711500257409</v>
      </c>
      <c r="S57" s="1083">
        <f t="shared" si="27"/>
        <v>2.5893600232707441</v>
      </c>
    </row>
    <row r="58" spans="2:19">
      <c r="B58" s="1031" t="s">
        <v>1090</v>
      </c>
      <c r="C58" s="1032"/>
      <c r="D58" s="1042">
        <f t="shared" si="26"/>
        <v>0</v>
      </c>
      <c r="E58" s="1042">
        <f t="shared" si="26"/>
        <v>136802.5305625</v>
      </c>
      <c r="F58" s="1042">
        <f t="shared" si="26"/>
        <v>248534.55487071761</v>
      </c>
      <c r="G58" s="1042">
        <f t="shared" si="26"/>
        <v>709505.73604301619</v>
      </c>
      <c r="H58" s="1042">
        <f t="shared" si="26"/>
        <v>1834655.0679503113</v>
      </c>
      <c r="I58" s="1042">
        <f t="shared" si="26"/>
        <v>3321157.4189096643</v>
      </c>
      <c r="J58" s="1043">
        <f t="shared" si="26"/>
        <v>5124173.3962312099</v>
      </c>
      <c r="L58" s="1031" t="str">
        <f>L35</f>
        <v>Rose</v>
      </c>
      <c r="M58" s="1082">
        <f>M42-M49-M54</f>
        <v>2.5244500000000003</v>
      </c>
      <c r="N58" s="1082">
        <f t="shared" ref="N58:S58" si="28">N42-N49-N54</f>
        <v>2.5389390000000005</v>
      </c>
      <c r="O58" s="1082">
        <f t="shared" si="28"/>
        <v>2.5520977800000013</v>
      </c>
      <c r="P58" s="1082">
        <f t="shared" si="28"/>
        <v>2.5638268356</v>
      </c>
      <c r="Q58" s="1082">
        <f t="shared" si="28"/>
        <v>2.5740213918120007</v>
      </c>
      <c r="R58" s="1082">
        <f t="shared" si="28"/>
        <v>2.5825711500257409</v>
      </c>
      <c r="S58" s="1083">
        <f t="shared" si="28"/>
        <v>2.5893600232707441</v>
      </c>
    </row>
    <row r="59" spans="2:19">
      <c r="B59" s="1031"/>
      <c r="C59" s="1032"/>
      <c r="D59" s="1049">
        <f>SUM(D56:D58)</f>
        <v>0</v>
      </c>
      <c r="E59" s="1049">
        <f t="shared" ref="E59:J59" si="29">SUM(E56:E58)</f>
        <v>188447.76887500001</v>
      </c>
      <c r="F59" s="1049">
        <f t="shared" si="29"/>
        <v>340164.70905587263</v>
      </c>
      <c r="G59" s="1049">
        <f t="shared" si="29"/>
        <v>964959.30840622936</v>
      </c>
      <c r="H59" s="1049">
        <f t="shared" si="29"/>
        <v>2474985.2488864288</v>
      </c>
      <c r="I59" s="1049">
        <f t="shared" si="29"/>
        <v>4457071.2684668368</v>
      </c>
      <c r="J59" s="1069">
        <f t="shared" si="29"/>
        <v>6830847.8598594991</v>
      </c>
      <c r="L59" s="1031" t="str">
        <f>L36</f>
        <v>Classic</v>
      </c>
      <c r="M59" s="1082">
        <f>M43-M50-M54</f>
        <v>4.2625000000000011</v>
      </c>
      <c r="N59" s="1082">
        <f t="shared" ref="N59:S59" si="30">N43-N50-N54</f>
        <v>4.3658350000000015</v>
      </c>
      <c r="O59" s="1082">
        <f t="shared" si="30"/>
        <v>4.4711657500000008</v>
      </c>
      <c r="P59" s="1082">
        <f t="shared" si="30"/>
        <v>4.5785024290000012</v>
      </c>
      <c r="Q59" s="1082">
        <f t="shared" si="30"/>
        <v>4.6878532851625003</v>
      </c>
      <c r="R59" s="1082">
        <f t="shared" si="30"/>
        <v>4.799224477258039</v>
      </c>
      <c r="S59" s="1083">
        <f t="shared" si="30"/>
        <v>4.9126199068257721</v>
      </c>
    </row>
    <row r="60" spans="2:19" ht="13.5" thickBot="1">
      <c r="B60" s="1089"/>
      <c r="C60" s="1110"/>
      <c r="D60" s="1110"/>
      <c r="E60" s="1110"/>
      <c r="F60" s="1110"/>
      <c r="G60" s="1110"/>
      <c r="H60" s="1110"/>
      <c r="I60" s="1110"/>
      <c r="J60" s="2885"/>
      <c r="L60" s="1031" t="str">
        <f>L37</f>
        <v>Premium</v>
      </c>
      <c r="M60" s="1082">
        <f>M44-M51-M54</f>
        <v>6.3752500000000003</v>
      </c>
      <c r="N60" s="1082">
        <f t="shared" ref="N60:S60" si="31">N44-N51-N54</f>
        <v>6.6224800000000021</v>
      </c>
      <c r="O60" s="1082">
        <f t="shared" si="31"/>
        <v>6.8792491000000009</v>
      </c>
      <c r="P60" s="1082">
        <f t="shared" si="31"/>
        <v>7.1459231094999991</v>
      </c>
      <c r="Q60" s="1082">
        <f t="shared" si="31"/>
        <v>7.3782738734274993</v>
      </c>
      <c r="R60" s="1082">
        <f t="shared" si="31"/>
        <v>7.6179578695717369</v>
      </c>
      <c r="S60" s="1083">
        <f t="shared" si="31"/>
        <v>7.8651958040568628</v>
      </c>
    </row>
    <row r="61" spans="2:19" ht="13.5" thickBot="1">
      <c r="B61" s="1070" t="s">
        <v>1050</v>
      </c>
      <c r="C61" s="1071"/>
      <c r="D61" s="1072">
        <f t="shared" ref="D61:J61" si="32">D53+D59</f>
        <v>0</v>
      </c>
      <c r="E61" s="1072">
        <f>E53+E59</f>
        <v>188447.76887500001</v>
      </c>
      <c r="F61" s="1072">
        <f t="shared" si="32"/>
        <v>340164.70905587263</v>
      </c>
      <c r="G61" s="1072">
        <f t="shared" si="32"/>
        <v>964959.30840622936</v>
      </c>
      <c r="H61" s="1072">
        <f t="shared" si="32"/>
        <v>2474985.2488864288</v>
      </c>
      <c r="I61" s="1072">
        <f t="shared" si="32"/>
        <v>4457071.2684668368</v>
      </c>
      <c r="J61" s="1073">
        <f t="shared" si="32"/>
        <v>6830847.8598594991</v>
      </c>
      <c r="L61" s="1089" t="str">
        <f>L38</f>
        <v>Selection individuelle</v>
      </c>
      <c r="M61" s="1090">
        <f>M45-M52-M54</f>
        <v>25.118850000000002</v>
      </c>
      <c r="N61" s="1090">
        <f t="shared" ref="N61:S61" si="33">N45-N52-N54</f>
        <v>26.315885375000001</v>
      </c>
      <c r="O61" s="1090">
        <f t="shared" si="33"/>
        <v>27.569954980312499</v>
      </c>
      <c r="P61" s="1090">
        <f t="shared" si="33"/>
        <v>28.883775819127347</v>
      </c>
      <c r="Q61" s="1090">
        <f t="shared" si="33"/>
        <v>30.260194306762145</v>
      </c>
      <c r="R61" s="1090">
        <f t="shared" si="33"/>
        <v>31.140166751826424</v>
      </c>
      <c r="S61" s="1091">
        <f t="shared" si="33"/>
        <v>32.045285867956387</v>
      </c>
    </row>
    <row r="62" spans="2:19" ht="15.75" thickBot="1">
      <c r="B62" s="1074" t="s">
        <v>1051</v>
      </c>
      <c r="C62" s="1075"/>
      <c r="D62" s="1076">
        <f>'Val. Company'!F15</f>
        <v>8.5</v>
      </c>
      <c r="E62" s="1076">
        <f>'Val. Company'!F15</f>
        <v>8.5</v>
      </c>
      <c r="F62" s="1076">
        <f>'Val. Company'!G15</f>
        <v>9.5</v>
      </c>
      <c r="G62" s="1076">
        <f>'Val. Company'!H15</f>
        <v>10.75</v>
      </c>
      <c r="H62" s="1076">
        <f>'Val. Company'!I15</f>
        <v>12.25</v>
      </c>
      <c r="I62" s="1076">
        <f>'Val. Company'!J15</f>
        <v>14</v>
      </c>
      <c r="J62" s="2815">
        <f>'Val. Company'!K15</f>
        <v>15.75</v>
      </c>
    </row>
    <row r="63" spans="2:19" ht="15.75" thickBot="1">
      <c r="B63" s="1074" t="s">
        <v>1052</v>
      </c>
      <c r="C63" s="1075"/>
      <c r="D63" s="1075"/>
      <c r="E63" s="1077">
        <f t="shared" ref="E63:J63" si="34">E62-D62</f>
        <v>0</v>
      </c>
      <c r="F63" s="1077">
        <f t="shared" si="34"/>
        <v>1</v>
      </c>
      <c r="G63" s="1077">
        <f t="shared" si="34"/>
        <v>1.25</v>
      </c>
      <c r="H63" s="1077">
        <f t="shared" si="34"/>
        <v>1.5</v>
      </c>
      <c r="I63" s="1077">
        <f t="shared" si="34"/>
        <v>1.75</v>
      </c>
      <c r="J63" s="1078">
        <f t="shared" si="34"/>
        <v>1.75</v>
      </c>
      <c r="L63" s="1024" t="s">
        <v>1113</v>
      </c>
      <c r="M63" s="1026"/>
      <c r="N63" s="1026"/>
      <c r="O63" s="1026"/>
      <c r="P63" s="1026"/>
      <c r="Q63" s="1026"/>
      <c r="R63" s="1026"/>
      <c r="S63" s="1027"/>
    </row>
    <row r="64" spans="2:19" ht="15">
      <c r="B64" s="1079" t="s">
        <v>862</v>
      </c>
      <c r="C64" s="1075"/>
      <c r="D64" s="1080">
        <f>D61*D62</f>
        <v>0</v>
      </c>
      <c r="E64" s="1080">
        <f t="shared" ref="E64:J64" si="35">E61*E62</f>
        <v>1601806.0354375001</v>
      </c>
      <c r="F64" s="1080">
        <f t="shared" si="35"/>
        <v>3231564.73603079</v>
      </c>
      <c r="G64" s="1080">
        <f t="shared" si="35"/>
        <v>10373312.565366965</v>
      </c>
      <c r="H64" s="1080">
        <f t="shared" si="35"/>
        <v>30318569.298858754</v>
      </c>
      <c r="I64" s="1080">
        <f t="shared" si="35"/>
        <v>62398997.758535713</v>
      </c>
      <c r="J64" s="1081">
        <f t="shared" si="35"/>
        <v>107585853.7927871</v>
      </c>
      <c r="L64" s="1031"/>
      <c r="M64" s="1032"/>
      <c r="N64" s="1032"/>
      <c r="O64" s="1032"/>
      <c r="P64" s="1032"/>
      <c r="Q64" s="1032"/>
      <c r="R64" s="1032"/>
      <c r="S64" s="1033"/>
    </row>
    <row r="65" spans="2:19" ht="15">
      <c r="B65" s="1079"/>
      <c r="C65" s="1075"/>
      <c r="D65" s="1080"/>
      <c r="E65" s="1080"/>
      <c r="F65" s="1080"/>
      <c r="G65" s="1080"/>
      <c r="H65" s="1080"/>
      <c r="I65" s="1080"/>
      <c r="J65" s="1081"/>
      <c r="L65" s="1034" t="s">
        <v>1114</v>
      </c>
      <c r="M65" s="1032"/>
      <c r="N65" s="1032"/>
      <c r="O65" s="1032"/>
      <c r="P65" s="1032"/>
      <c r="Q65" s="1032"/>
      <c r="R65" s="1032"/>
      <c r="S65" s="1033"/>
    </row>
    <row r="66" spans="2:19">
      <c r="B66" s="1031"/>
      <c r="C66" s="1032"/>
      <c r="D66" s="1103">
        <f>D77</f>
        <v>0.24009999999999998</v>
      </c>
      <c r="E66" s="1103">
        <f t="shared" ref="E66:J66" si="36">D66</f>
        <v>0.24009999999999998</v>
      </c>
      <c r="F66" s="1103">
        <f t="shared" si="36"/>
        <v>0.24009999999999998</v>
      </c>
      <c r="G66" s="1103">
        <f t="shared" si="36"/>
        <v>0.24009999999999998</v>
      </c>
      <c r="H66" s="1103">
        <f t="shared" si="36"/>
        <v>0.24009999999999998</v>
      </c>
      <c r="I66" s="1103">
        <f t="shared" si="36"/>
        <v>0.24009999999999998</v>
      </c>
      <c r="J66" s="1104">
        <f t="shared" si="36"/>
        <v>0.24009999999999998</v>
      </c>
      <c r="L66" s="1031" t="str">
        <f>L34</f>
        <v>White</v>
      </c>
      <c r="M66" s="1041">
        <v>0.15</v>
      </c>
      <c r="N66" s="1041">
        <v>0.125</v>
      </c>
      <c r="O66" s="1041">
        <v>0.1</v>
      </c>
      <c r="P66" s="1041">
        <v>7.4999999999999997E-2</v>
      </c>
      <c r="Q66" s="1041">
        <v>7.4999999999999997E-2</v>
      </c>
      <c r="R66" s="1041">
        <v>0.05</v>
      </c>
      <c r="S66" s="1057">
        <v>0.05</v>
      </c>
    </row>
    <row r="67" spans="2:19">
      <c r="B67" s="1031"/>
      <c r="C67" s="1032"/>
      <c r="D67" s="1044">
        <f>D64*D66</f>
        <v>0</v>
      </c>
      <c r="E67" s="1044">
        <f t="shared" ref="E67:J67" si="37">E64*E66</f>
        <v>384593.62910854374</v>
      </c>
      <c r="F67" s="1044">
        <f t="shared" si="37"/>
        <v>775898.69312099263</v>
      </c>
      <c r="G67" s="1044">
        <f t="shared" si="37"/>
        <v>2490632.3469446083</v>
      </c>
      <c r="H67" s="1044">
        <f t="shared" si="37"/>
        <v>7279488.4886559863</v>
      </c>
      <c r="I67" s="1044">
        <f t="shared" si="37"/>
        <v>14981999.361824423</v>
      </c>
      <c r="J67" s="1045">
        <f t="shared" si="37"/>
        <v>25831363.495648183</v>
      </c>
      <c r="L67" s="1031" t="str">
        <f>L35</f>
        <v>Rose</v>
      </c>
      <c r="M67" s="1041">
        <v>0.15</v>
      </c>
      <c r="N67" s="1041">
        <v>0.125</v>
      </c>
      <c r="O67" s="1041">
        <v>0.1</v>
      </c>
      <c r="P67" s="1041">
        <v>7.4999999999999997E-2</v>
      </c>
      <c r="Q67" s="1041">
        <v>7.4999999999999997E-2</v>
      </c>
      <c r="R67" s="1041">
        <v>0.05</v>
      </c>
      <c r="S67" s="1057">
        <v>0.05</v>
      </c>
    </row>
    <row r="68" spans="2:19">
      <c r="B68" s="1031"/>
      <c r="C68" s="1032"/>
      <c r="D68" s="1032"/>
      <c r="E68" s="1032"/>
      <c r="F68" s="1032"/>
      <c r="G68" s="1032"/>
      <c r="H68" s="1032"/>
      <c r="I68" s="1032"/>
      <c r="J68" s="1033"/>
      <c r="L68" s="1031" t="str">
        <f>B58</f>
        <v>Red</v>
      </c>
      <c r="M68" s="1041">
        <v>0.25</v>
      </c>
      <c r="N68" s="1041">
        <v>0.22500000000000001</v>
      </c>
      <c r="O68" s="1041">
        <v>0.2</v>
      </c>
      <c r="P68" s="1041">
        <v>0.17499999999999999</v>
      </c>
      <c r="Q68" s="1041">
        <v>0.15</v>
      </c>
      <c r="R68" s="1041">
        <v>0.125</v>
      </c>
      <c r="S68" s="1057">
        <v>0.125</v>
      </c>
    </row>
    <row r="69" spans="2:19" ht="15">
      <c r="B69" s="1074" t="s">
        <v>1053</v>
      </c>
      <c r="C69" s="1075"/>
      <c r="D69" s="1084">
        <f>AVERAGE(D62:H62)</f>
        <v>9.9</v>
      </c>
      <c r="E69" s="1075"/>
      <c r="F69" s="1075"/>
      <c r="G69" s="1075"/>
      <c r="H69" s="1075"/>
      <c r="I69" s="1075"/>
      <c r="J69" s="1085"/>
      <c r="L69" s="1031"/>
      <c r="M69" s="1032"/>
      <c r="N69" s="1032"/>
      <c r="O69" s="1032"/>
      <c r="P69" s="1032"/>
      <c r="Q69" s="1032"/>
      <c r="R69" s="1032"/>
      <c r="S69" s="1033"/>
    </row>
    <row r="70" spans="2:19" ht="15.75" thickBot="1">
      <c r="B70" s="1086" t="s">
        <v>1054</v>
      </c>
      <c r="C70" s="1087"/>
      <c r="D70" s="1088">
        <f>AVERAGE(D64:H64)</f>
        <v>9105050.5271388032</v>
      </c>
      <c r="E70" s="1087"/>
      <c r="F70" s="1087"/>
      <c r="G70" s="1087"/>
      <c r="H70" s="1087"/>
      <c r="I70" s="1087"/>
      <c r="J70" s="2888"/>
      <c r="L70" s="1031" t="s">
        <v>1118</v>
      </c>
      <c r="M70" s="1082">
        <f>AVERAGE(M43:M44)</f>
        <v>6.9148750000000003</v>
      </c>
      <c r="N70" s="1082">
        <f t="shared" ref="N70:S70" si="38">AVERAGE(N43:N44)</f>
        <v>7.1619775000000008</v>
      </c>
      <c r="O70" s="1082">
        <f t="shared" si="38"/>
        <v>7.4180793250000008</v>
      </c>
      <c r="P70" s="1082">
        <f t="shared" si="38"/>
        <v>7.6835139047499998</v>
      </c>
      <c r="Q70" s="1082">
        <f t="shared" si="38"/>
        <v>7.9363232658924998</v>
      </c>
      <c r="R70" s="1082">
        <f t="shared" si="38"/>
        <v>8.1974975459092754</v>
      </c>
      <c r="S70" s="1083">
        <f t="shared" si="38"/>
        <v>8.4673150146979523</v>
      </c>
    </row>
    <row r="71" spans="2:19" ht="13.5" thickBot="1">
      <c r="L71" s="1031" t="s">
        <v>1120</v>
      </c>
      <c r="M71" s="1082">
        <f>AVERAGE(M50:M51)</f>
        <v>1.0960000000000001</v>
      </c>
      <c r="N71" s="1082">
        <f t="shared" ref="N71:S71" si="39">AVERAGE(N50:N51)</f>
        <v>1.1453199999999999</v>
      </c>
      <c r="O71" s="1082">
        <f t="shared" si="39"/>
        <v>1.1968593999999997</v>
      </c>
      <c r="P71" s="1082">
        <f t="shared" si="39"/>
        <v>1.2507180729999998</v>
      </c>
      <c r="Q71" s="1082">
        <f t="shared" si="39"/>
        <v>1.3070003862849995</v>
      </c>
      <c r="R71" s="1082">
        <f t="shared" si="39"/>
        <v>1.3658154036678245</v>
      </c>
      <c r="S71" s="1083">
        <f t="shared" si="39"/>
        <v>1.4272770968328765</v>
      </c>
    </row>
    <row r="72" spans="2:19" ht="15">
      <c r="B72" s="1092" t="s">
        <v>1112</v>
      </c>
      <c r="C72" s="1093"/>
      <c r="D72" s="1094"/>
      <c r="E72" s="1095"/>
      <c r="L72" s="1031"/>
      <c r="M72" s="1032"/>
      <c r="N72" s="1103"/>
      <c r="O72" s="1103"/>
      <c r="P72" s="1103"/>
      <c r="Q72" s="1103"/>
      <c r="R72" s="1103"/>
      <c r="S72" s="1104"/>
    </row>
    <row r="73" spans="2:19" ht="15">
      <c r="B73" s="1074" t="s">
        <v>1065</v>
      </c>
      <c r="C73" s="1075"/>
      <c r="D73" s="1096">
        <f>49%</f>
        <v>0.49</v>
      </c>
      <c r="L73" s="1034" t="s">
        <v>1122</v>
      </c>
      <c r="M73" s="1032"/>
      <c r="N73" s="1032"/>
      <c r="O73" s="1032"/>
      <c r="P73" s="1032"/>
      <c r="Q73" s="1032"/>
      <c r="R73" s="1032"/>
      <c r="S73" s="1033"/>
    </row>
    <row r="74" spans="2:19" ht="15">
      <c r="B74" s="2886" t="s">
        <v>684</v>
      </c>
      <c r="C74" s="1075"/>
      <c r="D74" s="1097">
        <v>0.49</v>
      </c>
      <c r="L74" s="1031" t="str">
        <f>L66</f>
        <v>White</v>
      </c>
      <c r="M74" s="1067">
        <f t="shared" ref="M74:S75" si="40">M48*(1+M66)</f>
        <v>1.081</v>
      </c>
      <c r="N74" s="1067">
        <f t="shared" si="40"/>
        <v>1.1050875</v>
      </c>
      <c r="O74" s="1067">
        <f t="shared" si="40"/>
        <v>1.1291538499999998</v>
      </c>
      <c r="P74" s="1067">
        <f t="shared" si="40"/>
        <v>1.1531483693124998</v>
      </c>
      <c r="Q74" s="1067">
        <f t="shared" si="40"/>
        <v>1.2050400459315622</v>
      </c>
      <c r="R74" s="1067">
        <f t="shared" si="40"/>
        <v>1.229981572463634</v>
      </c>
      <c r="S74" s="1068">
        <f t="shared" si="40"/>
        <v>1.2853307432244974</v>
      </c>
    </row>
    <row r="75" spans="2:19" ht="15.75" thickBot="1">
      <c r="B75" s="1086" t="s">
        <v>1115</v>
      </c>
      <c r="C75" s="1087"/>
      <c r="D75" s="1098">
        <f>D73*D74</f>
        <v>0.24009999999999998</v>
      </c>
      <c r="L75" s="1031" t="str">
        <f>L67</f>
        <v>Rose</v>
      </c>
      <c r="M75" s="1067">
        <f>M49*(1+M67)</f>
        <v>1.081</v>
      </c>
      <c r="N75" s="1067">
        <f t="shared" si="40"/>
        <v>1.1050875</v>
      </c>
      <c r="O75" s="1067">
        <f t="shared" si="40"/>
        <v>1.1291538499999998</v>
      </c>
      <c r="P75" s="1067">
        <f t="shared" si="40"/>
        <v>1.1531483693124998</v>
      </c>
      <c r="Q75" s="1067">
        <f t="shared" si="40"/>
        <v>1.2050400459315622</v>
      </c>
      <c r="R75" s="1067">
        <f t="shared" si="40"/>
        <v>1.229981572463634</v>
      </c>
      <c r="S75" s="1068">
        <f t="shared" si="40"/>
        <v>1.2853307432244974</v>
      </c>
    </row>
    <row r="76" spans="2:19" ht="13.5" thickBot="1">
      <c r="L76" s="1031" t="str">
        <f>L68</f>
        <v>Red</v>
      </c>
      <c r="M76" s="1067">
        <f>M71*(1+M68)</f>
        <v>1.37</v>
      </c>
      <c r="N76" s="1067">
        <f t="shared" ref="N76:S76" si="41">N71*(1+N68)</f>
        <v>1.403017</v>
      </c>
      <c r="O76" s="1067">
        <f t="shared" si="41"/>
        <v>1.4362312799999997</v>
      </c>
      <c r="P76" s="1067">
        <f t="shared" si="41"/>
        <v>1.4695937357749997</v>
      </c>
      <c r="Q76" s="1067">
        <f t="shared" si="41"/>
        <v>1.5030504442277492</v>
      </c>
      <c r="R76" s="1067">
        <f t="shared" si="41"/>
        <v>1.5365423291263025</v>
      </c>
      <c r="S76" s="1068">
        <f t="shared" si="41"/>
        <v>1.605686733936986</v>
      </c>
    </row>
    <row r="77" spans="2:19" ht="15">
      <c r="B77" s="1099" t="s">
        <v>1116</v>
      </c>
      <c r="C77" s="1093"/>
      <c r="D77" s="1100">
        <f>D75</f>
        <v>0.24009999999999998</v>
      </c>
      <c r="L77" s="1031"/>
      <c r="M77" s="1032"/>
      <c r="N77" s="1032"/>
      <c r="O77" s="1032"/>
      <c r="P77" s="1032"/>
      <c r="Q77" s="1032"/>
      <c r="R77" s="1032"/>
      <c r="S77" s="1033"/>
    </row>
    <row r="78" spans="2:19" ht="15.75" thickBot="1">
      <c r="B78" s="1086" t="s">
        <v>1117</v>
      </c>
      <c r="C78" s="1087"/>
      <c r="D78" s="1101">
        <f>D70*D77</f>
        <v>2186122.6315660262</v>
      </c>
      <c r="L78" s="1034" t="str">
        <f t="shared" ref="L78:S78" si="42">L54</f>
        <v>Additional costs for packaging per tube</v>
      </c>
      <c r="M78" s="1082">
        <f t="shared" si="42"/>
        <v>0.5</v>
      </c>
      <c r="N78" s="1082">
        <f t="shared" si="42"/>
        <v>0.52249999999999996</v>
      </c>
      <c r="O78" s="1082">
        <f t="shared" si="42"/>
        <v>0.5460124999999999</v>
      </c>
      <c r="P78" s="1082">
        <f t="shared" si="42"/>
        <v>0.5705830624999999</v>
      </c>
      <c r="Q78" s="1082">
        <f t="shared" si="42"/>
        <v>0.59625930031249985</v>
      </c>
      <c r="R78" s="1082">
        <f t="shared" si="42"/>
        <v>0.62309096882656234</v>
      </c>
      <c r="S78" s="1083">
        <f t="shared" si="42"/>
        <v>0.65113006242375759</v>
      </c>
    </row>
    <row r="79" spans="2:19">
      <c r="F79" s="1102"/>
      <c r="G79" s="1102"/>
      <c r="L79" s="1031"/>
      <c r="M79" s="1082"/>
      <c r="N79" s="1082"/>
      <c r="O79" s="1082"/>
      <c r="P79" s="1082"/>
      <c r="Q79" s="1082"/>
      <c r="R79" s="1082"/>
      <c r="S79" s="1083"/>
    </row>
    <row r="80" spans="2:19">
      <c r="B80" s="1022" t="s">
        <v>1119</v>
      </c>
      <c r="L80" s="1034" t="str">
        <f>L56</f>
        <v>Average margin per tube</v>
      </c>
      <c r="M80" s="1082"/>
      <c r="N80" s="1082"/>
      <c r="O80" s="1082"/>
      <c r="P80" s="1082"/>
      <c r="Q80" s="1082"/>
      <c r="R80" s="1082"/>
      <c r="S80" s="1083"/>
    </row>
    <row r="81" spans="2:19">
      <c r="L81" s="1031" t="str">
        <f>L57</f>
        <v>White</v>
      </c>
      <c r="M81" s="1082">
        <f>M41-M74-M78</f>
        <v>2.3834500000000003</v>
      </c>
      <c r="N81" s="1082">
        <f t="shared" ref="N81:S81" si="43">N41-N74-N78</f>
        <v>2.4161515000000007</v>
      </c>
      <c r="O81" s="1082">
        <f t="shared" si="43"/>
        <v>2.4494474300000011</v>
      </c>
      <c r="P81" s="1082">
        <f t="shared" si="43"/>
        <v>2.4833746237875003</v>
      </c>
      <c r="Q81" s="1082">
        <f t="shared" si="43"/>
        <v>2.489948830467938</v>
      </c>
      <c r="R81" s="1082">
        <f t="shared" si="43"/>
        <v>2.5240005989560439</v>
      </c>
      <c r="S81" s="1083">
        <f t="shared" si="43"/>
        <v>2.5281537974029109</v>
      </c>
    </row>
    <row r="82" spans="2:19">
      <c r="B82" s="1105" t="s">
        <v>1121</v>
      </c>
      <c r="L82" s="1031" t="str">
        <f>L58</f>
        <v>Rose</v>
      </c>
      <c r="M82" s="1082">
        <f>M42-M75-M78</f>
        <v>2.3834500000000003</v>
      </c>
      <c r="N82" s="1082">
        <f t="shared" ref="N82:S82" si="44">N42-N75-N78</f>
        <v>2.4161515000000007</v>
      </c>
      <c r="O82" s="1082">
        <f t="shared" si="44"/>
        <v>2.4494474300000011</v>
      </c>
      <c r="P82" s="1082">
        <f t="shared" si="44"/>
        <v>2.4833746237875003</v>
      </c>
      <c r="Q82" s="1082">
        <f t="shared" si="44"/>
        <v>2.489948830467938</v>
      </c>
      <c r="R82" s="1082">
        <f t="shared" si="44"/>
        <v>2.5240005989560439</v>
      </c>
      <c r="S82" s="1083">
        <f t="shared" si="44"/>
        <v>2.5281537974029109</v>
      </c>
    </row>
    <row r="83" spans="2:19" ht="13.5" thickBot="1">
      <c r="L83" s="1089" t="str">
        <f>L76</f>
        <v>Red</v>
      </c>
      <c r="M83" s="1090">
        <f>M70-M76-M78</f>
        <v>5.0448750000000002</v>
      </c>
      <c r="N83" s="1090">
        <f t="shared" ref="N83:S83" si="45">N70-N76-N78</f>
        <v>5.2364605000000006</v>
      </c>
      <c r="O83" s="1090">
        <f t="shared" si="45"/>
        <v>5.4358355450000015</v>
      </c>
      <c r="P83" s="1090">
        <f t="shared" si="45"/>
        <v>5.6433371064750002</v>
      </c>
      <c r="Q83" s="1090">
        <f t="shared" si="45"/>
        <v>5.8370135213522509</v>
      </c>
      <c r="R83" s="1090">
        <f t="shared" si="45"/>
        <v>6.0378642479564109</v>
      </c>
      <c r="S83" s="1091">
        <f t="shared" si="45"/>
        <v>6.2104982183372082</v>
      </c>
    </row>
    <row r="84" spans="2:19" ht="13.5" thickBot="1"/>
    <row r="85" spans="2:19">
      <c r="L85" s="1028" t="s">
        <v>1123</v>
      </c>
      <c r="M85" s="1107">
        <v>2</v>
      </c>
      <c r="N85" s="1032"/>
      <c r="O85" s="1032"/>
      <c r="P85" s="1032"/>
      <c r="Q85" s="1032"/>
      <c r="R85" s="1032"/>
      <c r="S85" s="1032"/>
    </row>
    <row r="86" spans="2:19" ht="13.5" thickBot="1">
      <c r="H86" s="1102"/>
      <c r="I86" s="1102"/>
      <c r="J86" s="1102"/>
      <c r="L86" s="1089" t="s">
        <v>1124</v>
      </c>
      <c r="M86" s="1108">
        <f>M85*C9</f>
        <v>10</v>
      </c>
      <c r="N86" s="1032"/>
      <c r="O86" s="1032"/>
      <c r="P86" s="1032"/>
      <c r="Q86" s="1032"/>
      <c r="R86" s="1032"/>
      <c r="S86" s="1032"/>
    </row>
    <row r="87" spans="2:19" ht="13.5" thickBot="1">
      <c r="N87" s="1032"/>
      <c r="O87" s="1032"/>
      <c r="P87" s="1032"/>
      <c r="Q87" s="1032"/>
      <c r="R87" s="1032"/>
      <c r="S87" s="1032"/>
    </row>
    <row r="88" spans="2:19">
      <c r="L88" s="1070" t="s">
        <v>1125</v>
      </c>
      <c r="M88" s="1071">
        <f t="shared" ref="M88:S88" si="46">M6</f>
        <v>2023</v>
      </c>
      <c r="N88" s="1071">
        <f t="shared" si="46"/>
        <v>2024</v>
      </c>
      <c r="O88" s="1071">
        <f t="shared" si="46"/>
        <v>2025</v>
      </c>
      <c r="P88" s="1071">
        <f t="shared" si="46"/>
        <v>2026</v>
      </c>
      <c r="Q88" s="1071">
        <f t="shared" si="46"/>
        <v>2027</v>
      </c>
      <c r="R88" s="1071">
        <f t="shared" si="46"/>
        <v>2028</v>
      </c>
      <c r="S88" s="1109">
        <f t="shared" si="46"/>
        <v>2029</v>
      </c>
    </row>
    <row r="89" spans="2:19">
      <c r="L89" s="1031"/>
      <c r="M89" s="1032"/>
      <c r="N89" s="1032"/>
      <c r="O89" s="1032"/>
      <c r="P89" s="1032"/>
      <c r="Q89" s="1032"/>
      <c r="R89" s="1032"/>
      <c r="S89" s="1033"/>
    </row>
    <row r="90" spans="2:19">
      <c r="L90" s="1031" t="s">
        <v>1126</v>
      </c>
      <c r="M90" s="1060"/>
      <c r="N90" s="1060">
        <v>4750</v>
      </c>
      <c r="O90" s="1060">
        <v>8313</v>
      </c>
      <c r="P90" s="1060">
        <v>22859</v>
      </c>
      <c r="Q90" s="1060">
        <v>57148</v>
      </c>
      <c r="R90" s="1060">
        <v>100010</v>
      </c>
      <c r="S90" s="1061">
        <v>150015</v>
      </c>
    </row>
    <row r="91" spans="2:19">
      <c r="L91" s="1031" t="s">
        <v>1127</v>
      </c>
      <c r="M91" s="1032"/>
      <c r="N91" s="1044">
        <f t="shared" ref="N91:S91" si="47">N90-M90</f>
        <v>4750</v>
      </c>
      <c r="O91" s="1044">
        <f t="shared" si="47"/>
        <v>3563</v>
      </c>
      <c r="P91" s="1044">
        <f t="shared" si="47"/>
        <v>14546</v>
      </c>
      <c r="Q91" s="1044">
        <f t="shared" si="47"/>
        <v>34289</v>
      </c>
      <c r="R91" s="1044">
        <f t="shared" si="47"/>
        <v>42862</v>
      </c>
      <c r="S91" s="1045">
        <f t="shared" si="47"/>
        <v>50005</v>
      </c>
    </row>
    <row r="92" spans="2:19" ht="13.5" thickBot="1">
      <c r="F92" s="1106"/>
      <c r="G92" s="1106"/>
      <c r="H92" s="1106"/>
      <c r="I92" s="1106"/>
      <c r="J92" s="1106"/>
      <c r="L92" s="1089" t="s">
        <v>1128</v>
      </c>
      <c r="M92" s="1110"/>
      <c r="N92" s="1111"/>
      <c r="O92" s="1111">
        <f>O91/N90</f>
        <v>0.75010526315789472</v>
      </c>
      <c r="P92" s="1111">
        <f>P91/O90</f>
        <v>1.7497894863466859</v>
      </c>
      <c r="Q92" s="1111">
        <f>Q91/P90</f>
        <v>1.5000218732228006</v>
      </c>
      <c r="R92" s="1111">
        <f>R91/Q90</f>
        <v>0.75001749842514176</v>
      </c>
      <c r="S92" s="2887">
        <f>S91/R90</f>
        <v>0.5</v>
      </c>
    </row>
    <row r="97" spans="3:19">
      <c r="S97" s="2913"/>
    </row>
    <row r="101" spans="3:19">
      <c r="C101" s="1022"/>
    </row>
  </sheetData>
  <sheetProtection password="CD53" sheet="1" objects="1" scenarios="1" selectLockedCells="1"/>
  <conditionalFormatting sqref="D23:J59">
    <cfRule type="cellIs" dxfId="111" priority="1" operator="lessThan">
      <formula>0</formula>
    </cfRule>
  </conditionalFormatting>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8" tint="0.79998168889431442"/>
  </sheetPr>
  <dimension ref="A1:W119"/>
  <sheetViews>
    <sheetView zoomScale="60" zoomScaleNormal="60" workbookViewId="0">
      <selection activeCell="I41" sqref="I41"/>
    </sheetView>
  </sheetViews>
  <sheetFormatPr defaultRowHeight="12.75"/>
  <cols>
    <col min="1" max="1" width="47.28515625" style="1795" customWidth="1"/>
    <col min="2" max="2" width="15.85546875" style="1795" bestFit="1" customWidth="1"/>
    <col min="3" max="3" width="13.42578125" style="1795" customWidth="1"/>
    <col min="4" max="4" width="2.28515625" style="1795" customWidth="1"/>
    <col min="5" max="5" width="34.85546875" style="1795" customWidth="1"/>
    <col min="6" max="6" width="2.7109375" style="1795" customWidth="1"/>
    <col min="7" max="7" width="11.7109375" style="1795" customWidth="1"/>
    <col min="8" max="8" width="12.5703125" style="1795" bestFit="1" customWidth="1"/>
    <col min="9" max="11" width="12.7109375" style="1795" bestFit="1" customWidth="1"/>
    <col min="12" max="13" width="12.7109375" style="1795" customWidth="1"/>
    <col min="14" max="14" width="2.28515625" style="1795" customWidth="1"/>
    <col min="15" max="15" width="10.7109375" style="1795" customWidth="1"/>
    <col min="16" max="16" width="15.5703125" style="1795" customWidth="1"/>
    <col min="17" max="17" width="12.5703125" style="1795" customWidth="1"/>
    <col min="18" max="18" width="12.85546875" style="1795" customWidth="1"/>
    <col min="19" max="19" width="11.7109375" style="1795" customWidth="1"/>
    <col min="20" max="20" width="12.42578125" style="1795" customWidth="1"/>
    <col min="21" max="21" width="12" style="1795" customWidth="1"/>
    <col min="22" max="22" width="17.42578125" style="1795" customWidth="1"/>
    <col min="23" max="23" width="18" style="1795" bestFit="1" customWidth="1"/>
    <col min="24" max="257" width="9.140625" style="1795"/>
    <col min="258" max="258" width="31.28515625" style="1795" customWidth="1"/>
    <col min="259" max="259" width="15.85546875" style="1795" bestFit="1" customWidth="1"/>
    <col min="260" max="260" width="10" style="1795" customWidth="1"/>
    <col min="261" max="261" width="2.28515625" style="1795" customWidth="1"/>
    <col min="262" max="262" width="33" style="1795" customWidth="1"/>
    <col min="263" max="263" width="2.7109375" style="1795" customWidth="1"/>
    <col min="264" max="264" width="12.5703125" style="1795" bestFit="1" customWidth="1"/>
    <col min="265" max="268" width="13" style="1795" bestFit="1" customWidth="1"/>
    <col min="269" max="269" width="2.28515625" style="1795" customWidth="1"/>
    <col min="270" max="270" width="10.7109375" style="1795" customWidth="1"/>
    <col min="271" max="271" width="15.5703125" style="1795" customWidth="1"/>
    <col min="272" max="272" width="13.42578125" style="1795" bestFit="1" customWidth="1"/>
    <col min="273" max="275" width="11" style="1795" bestFit="1" customWidth="1"/>
    <col min="276" max="277" width="9.28515625" style="1795" bestFit="1" customWidth="1"/>
    <col min="278" max="278" width="2" style="1795" customWidth="1"/>
    <col min="279" max="513" width="9.140625" style="1795"/>
    <col min="514" max="514" width="31.28515625" style="1795" customWidth="1"/>
    <col min="515" max="515" width="15.85546875" style="1795" bestFit="1" customWidth="1"/>
    <col min="516" max="516" width="10" style="1795" customWidth="1"/>
    <col min="517" max="517" width="2.28515625" style="1795" customWidth="1"/>
    <col min="518" max="518" width="33" style="1795" customWidth="1"/>
    <col min="519" max="519" width="2.7109375" style="1795" customWidth="1"/>
    <col min="520" max="520" width="12.5703125" style="1795" bestFit="1" customWidth="1"/>
    <col min="521" max="524" width="13" style="1795" bestFit="1" customWidth="1"/>
    <col min="525" max="525" width="2.28515625" style="1795" customWidth="1"/>
    <col min="526" max="526" width="10.7109375" style="1795" customWidth="1"/>
    <col min="527" max="527" width="15.5703125" style="1795" customWidth="1"/>
    <col min="528" max="528" width="13.42578125" style="1795" bestFit="1" customWidth="1"/>
    <col min="529" max="531" width="11" style="1795" bestFit="1" customWidth="1"/>
    <col min="532" max="533" width="9.28515625" style="1795" bestFit="1" customWidth="1"/>
    <col min="534" max="534" width="2" style="1795" customWidth="1"/>
    <col min="535" max="769" width="9.140625" style="1795"/>
    <col min="770" max="770" width="31.28515625" style="1795" customWidth="1"/>
    <col min="771" max="771" width="15.85546875" style="1795" bestFit="1" customWidth="1"/>
    <col min="772" max="772" width="10" style="1795" customWidth="1"/>
    <col min="773" max="773" width="2.28515625" style="1795" customWidth="1"/>
    <col min="774" max="774" width="33" style="1795" customWidth="1"/>
    <col min="775" max="775" width="2.7109375" style="1795" customWidth="1"/>
    <col min="776" max="776" width="12.5703125" style="1795" bestFit="1" customWidth="1"/>
    <col min="777" max="780" width="13" style="1795" bestFit="1" customWidth="1"/>
    <col min="781" max="781" width="2.28515625" style="1795" customWidth="1"/>
    <col min="782" max="782" width="10.7109375" style="1795" customWidth="1"/>
    <col min="783" max="783" width="15.5703125" style="1795" customWidth="1"/>
    <col min="784" max="784" width="13.42578125" style="1795" bestFit="1" customWidth="1"/>
    <col min="785" max="787" width="11" style="1795" bestFit="1" customWidth="1"/>
    <col min="788" max="789" width="9.28515625" style="1795" bestFit="1" customWidth="1"/>
    <col min="790" max="790" width="2" style="1795" customWidth="1"/>
    <col min="791" max="1025" width="9.140625" style="1795"/>
    <col min="1026" max="1026" width="31.28515625" style="1795" customWidth="1"/>
    <col min="1027" max="1027" width="15.85546875" style="1795" bestFit="1" customWidth="1"/>
    <col min="1028" max="1028" width="10" style="1795" customWidth="1"/>
    <col min="1029" max="1029" width="2.28515625" style="1795" customWidth="1"/>
    <col min="1030" max="1030" width="33" style="1795" customWidth="1"/>
    <col min="1031" max="1031" width="2.7109375" style="1795" customWidth="1"/>
    <col min="1032" max="1032" width="12.5703125" style="1795" bestFit="1" customWidth="1"/>
    <col min="1033" max="1036" width="13" style="1795" bestFit="1" customWidth="1"/>
    <col min="1037" max="1037" width="2.28515625" style="1795" customWidth="1"/>
    <col min="1038" max="1038" width="10.7109375" style="1795" customWidth="1"/>
    <col min="1039" max="1039" width="15.5703125" style="1795" customWidth="1"/>
    <col min="1040" max="1040" width="13.42578125" style="1795" bestFit="1" customWidth="1"/>
    <col min="1041" max="1043" width="11" style="1795" bestFit="1" customWidth="1"/>
    <col min="1044" max="1045" width="9.28515625" style="1795" bestFit="1" customWidth="1"/>
    <col min="1046" max="1046" width="2" style="1795" customWidth="1"/>
    <col min="1047" max="1281" width="9.140625" style="1795"/>
    <col min="1282" max="1282" width="31.28515625" style="1795" customWidth="1"/>
    <col min="1283" max="1283" width="15.85546875" style="1795" bestFit="1" customWidth="1"/>
    <col min="1284" max="1284" width="10" style="1795" customWidth="1"/>
    <col min="1285" max="1285" width="2.28515625" style="1795" customWidth="1"/>
    <col min="1286" max="1286" width="33" style="1795" customWidth="1"/>
    <col min="1287" max="1287" width="2.7109375" style="1795" customWidth="1"/>
    <col min="1288" max="1288" width="12.5703125" style="1795" bestFit="1" customWidth="1"/>
    <col min="1289" max="1292" width="13" style="1795" bestFit="1" customWidth="1"/>
    <col min="1293" max="1293" width="2.28515625" style="1795" customWidth="1"/>
    <col min="1294" max="1294" width="10.7109375" style="1795" customWidth="1"/>
    <col min="1295" max="1295" width="15.5703125" style="1795" customWidth="1"/>
    <col min="1296" max="1296" width="13.42578125" style="1795" bestFit="1" customWidth="1"/>
    <col min="1297" max="1299" width="11" style="1795" bestFit="1" customWidth="1"/>
    <col min="1300" max="1301" width="9.28515625" style="1795" bestFit="1" customWidth="1"/>
    <col min="1302" max="1302" width="2" style="1795" customWidth="1"/>
    <col min="1303" max="1537" width="9.140625" style="1795"/>
    <col min="1538" max="1538" width="31.28515625" style="1795" customWidth="1"/>
    <col min="1539" max="1539" width="15.85546875" style="1795" bestFit="1" customWidth="1"/>
    <col min="1540" max="1540" width="10" style="1795" customWidth="1"/>
    <col min="1541" max="1541" width="2.28515625" style="1795" customWidth="1"/>
    <col min="1542" max="1542" width="33" style="1795" customWidth="1"/>
    <col min="1543" max="1543" width="2.7109375" style="1795" customWidth="1"/>
    <col min="1544" max="1544" width="12.5703125" style="1795" bestFit="1" customWidth="1"/>
    <col min="1545" max="1548" width="13" style="1795" bestFit="1" customWidth="1"/>
    <col min="1549" max="1549" width="2.28515625" style="1795" customWidth="1"/>
    <col min="1550" max="1550" width="10.7109375" style="1795" customWidth="1"/>
    <col min="1551" max="1551" width="15.5703125" style="1795" customWidth="1"/>
    <col min="1552" max="1552" width="13.42578125" style="1795" bestFit="1" customWidth="1"/>
    <col min="1553" max="1555" width="11" style="1795" bestFit="1" customWidth="1"/>
    <col min="1556" max="1557" width="9.28515625" style="1795" bestFit="1" customWidth="1"/>
    <col min="1558" max="1558" width="2" style="1795" customWidth="1"/>
    <col min="1559" max="1793" width="9.140625" style="1795"/>
    <col min="1794" max="1794" width="31.28515625" style="1795" customWidth="1"/>
    <col min="1795" max="1795" width="15.85546875" style="1795" bestFit="1" customWidth="1"/>
    <col min="1796" max="1796" width="10" style="1795" customWidth="1"/>
    <col min="1797" max="1797" width="2.28515625" style="1795" customWidth="1"/>
    <col min="1798" max="1798" width="33" style="1795" customWidth="1"/>
    <col min="1799" max="1799" width="2.7109375" style="1795" customWidth="1"/>
    <col min="1800" max="1800" width="12.5703125" style="1795" bestFit="1" customWidth="1"/>
    <col min="1801" max="1804" width="13" style="1795" bestFit="1" customWidth="1"/>
    <col min="1805" max="1805" width="2.28515625" style="1795" customWidth="1"/>
    <col min="1806" max="1806" width="10.7109375" style="1795" customWidth="1"/>
    <col min="1807" max="1807" width="15.5703125" style="1795" customWidth="1"/>
    <col min="1808" max="1808" width="13.42578125" style="1795" bestFit="1" customWidth="1"/>
    <col min="1809" max="1811" width="11" style="1795" bestFit="1" customWidth="1"/>
    <col min="1812" max="1813" width="9.28515625" style="1795" bestFit="1" customWidth="1"/>
    <col min="1814" max="1814" width="2" style="1795" customWidth="1"/>
    <col min="1815" max="2049" width="9.140625" style="1795"/>
    <col min="2050" max="2050" width="31.28515625" style="1795" customWidth="1"/>
    <col min="2051" max="2051" width="15.85546875" style="1795" bestFit="1" customWidth="1"/>
    <col min="2052" max="2052" width="10" style="1795" customWidth="1"/>
    <col min="2053" max="2053" width="2.28515625" style="1795" customWidth="1"/>
    <col min="2054" max="2054" width="33" style="1795" customWidth="1"/>
    <col min="2055" max="2055" width="2.7109375" style="1795" customWidth="1"/>
    <col min="2056" max="2056" width="12.5703125" style="1795" bestFit="1" customWidth="1"/>
    <col min="2057" max="2060" width="13" style="1795" bestFit="1" customWidth="1"/>
    <col min="2061" max="2061" width="2.28515625" style="1795" customWidth="1"/>
    <col min="2062" max="2062" width="10.7109375" style="1795" customWidth="1"/>
    <col min="2063" max="2063" width="15.5703125" style="1795" customWidth="1"/>
    <col min="2064" max="2064" width="13.42578125" style="1795" bestFit="1" customWidth="1"/>
    <col min="2065" max="2067" width="11" style="1795" bestFit="1" customWidth="1"/>
    <col min="2068" max="2069" width="9.28515625" style="1795" bestFit="1" customWidth="1"/>
    <col min="2070" max="2070" width="2" style="1795" customWidth="1"/>
    <col min="2071" max="2305" width="9.140625" style="1795"/>
    <col min="2306" max="2306" width="31.28515625" style="1795" customWidth="1"/>
    <col min="2307" max="2307" width="15.85546875" style="1795" bestFit="1" customWidth="1"/>
    <col min="2308" max="2308" width="10" style="1795" customWidth="1"/>
    <col min="2309" max="2309" width="2.28515625" style="1795" customWidth="1"/>
    <col min="2310" max="2310" width="33" style="1795" customWidth="1"/>
    <col min="2311" max="2311" width="2.7109375" style="1795" customWidth="1"/>
    <col min="2312" max="2312" width="12.5703125" style="1795" bestFit="1" customWidth="1"/>
    <col min="2313" max="2316" width="13" style="1795" bestFit="1" customWidth="1"/>
    <col min="2317" max="2317" width="2.28515625" style="1795" customWidth="1"/>
    <col min="2318" max="2318" width="10.7109375" style="1795" customWidth="1"/>
    <col min="2319" max="2319" width="15.5703125" style="1795" customWidth="1"/>
    <col min="2320" max="2320" width="13.42578125" style="1795" bestFit="1" customWidth="1"/>
    <col min="2321" max="2323" width="11" style="1795" bestFit="1" customWidth="1"/>
    <col min="2324" max="2325" width="9.28515625" style="1795" bestFit="1" customWidth="1"/>
    <col min="2326" max="2326" width="2" style="1795" customWidth="1"/>
    <col min="2327" max="2561" width="9.140625" style="1795"/>
    <col min="2562" max="2562" width="31.28515625" style="1795" customWidth="1"/>
    <col min="2563" max="2563" width="15.85546875" style="1795" bestFit="1" customWidth="1"/>
    <col min="2564" max="2564" width="10" style="1795" customWidth="1"/>
    <col min="2565" max="2565" width="2.28515625" style="1795" customWidth="1"/>
    <col min="2566" max="2566" width="33" style="1795" customWidth="1"/>
    <col min="2567" max="2567" width="2.7109375" style="1795" customWidth="1"/>
    <col min="2568" max="2568" width="12.5703125" style="1795" bestFit="1" customWidth="1"/>
    <col min="2569" max="2572" width="13" style="1795" bestFit="1" customWidth="1"/>
    <col min="2573" max="2573" width="2.28515625" style="1795" customWidth="1"/>
    <col min="2574" max="2574" width="10.7109375" style="1795" customWidth="1"/>
    <col min="2575" max="2575" width="15.5703125" style="1795" customWidth="1"/>
    <col min="2576" max="2576" width="13.42578125" style="1795" bestFit="1" customWidth="1"/>
    <col min="2577" max="2579" width="11" style="1795" bestFit="1" customWidth="1"/>
    <col min="2580" max="2581" width="9.28515625" style="1795" bestFit="1" customWidth="1"/>
    <col min="2582" max="2582" width="2" style="1795" customWidth="1"/>
    <col min="2583" max="2817" width="9.140625" style="1795"/>
    <col min="2818" max="2818" width="31.28515625" style="1795" customWidth="1"/>
    <col min="2819" max="2819" width="15.85546875" style="1795" bestFit="1" customWidth="1"/>
    <col min="2820" max="2820" width="10" style="1795" customWidth="1"/>
    <col min="2821" max="2821" width="2.28515625" style="1795" customWidth="1"/>
    <col min="2822" max="2822" width="33" style="1795" customWidth="1"/>
    <col min="2823" max="2823" width="2.7109375" style="1795" customWidth="1"/>
    <col min="2824" max="2824" width="12.5703125" style="1795" bestFit="1" customWidth="1"/>
    <col min="2825" max="2828" width="13" style="1795" bestFit="1" customWidth="1"/>
    <col min="2829" max="2829" width="2.28515625" style="1795" customWidth="1"/>
    <col min="2830" max="2830" width="10.7109375" style="1795" customWidth="1"/>
    <col min="2831" max="2831" width="15.5703125" style="1795" customWidth="1"/>
    <col min="2832" max="2832" width="13.42578125" style="1795" bestFit="1" customWidth="1"/>
    <col min="2833" max="2835" width="11" style="1795" bestFit="1" customWidth="1"/>
    <col min="2836" max="2837" width="9.28515625" style="1795" bestFit="1" customWidth="1"/>
    <col min="2838" max="2838" width="2" style="1795" customWidth="1"/>
    <col min="2839" max="3073" width="9.140625" style="1795"/>
    <col min="3074" max="3074" width="31.28515625" style="1795" customWidth="1"/>
    <col min="3075" max="3075" width="15.85546875" style="1795" bestFit="1" customWidth="1"/>
    <col min="3076" max="3076" width="10" style="1795" customWidth="1"/>
    <col min="3077" max="3077" width="2.28515625" style="1795" customWidth="1"/>
    <col min="3078" max="3078" width="33" style="1795" customWidth="1"/>
    <col min="3079" max="3079" width="2.7109375" style="1795" customWidth="1"/>
    <col min="3080" max="3080" width="12.5703125" style="1795" bestFit="1" customWidth="1"/>
    <col min="3081" max="3084" width="13" style="1795" bestFit="1" customWidth="1"/>
    <col min="3085" max="3085" width="2.28515625" style="1795" customWidth="1"/>
    <col min="3086" max="3086" width="10.7109375" style="1795" customWidth="1"/>
    <col min="3087" max="3087" width="15.5703125" style="1795" customWidth="1"/>
    <col min="3088" max="3088" width="13.42578125" style="1795" bestFit="1" customWidth="1"/>
    <col min="3089" max="3091" width="11" style="1795" bestFit="1" customWidth="1"/>
    <col min="3092" max="3093" width="9.28515625" style="1795" bestFit="1" customWidth="1"/>
    <col min="3094" max="3094" width="2" style="1795" customWidth="1"/>
    <col min="3095" max="3329" width="9.140625" style="1795"/>
    <col min="3330" max="3330" width="31.28515625" style="1795" customWidth="1"/>
    <col min="3331" max="3331" width="15.85546875" style="1795" bestFit="1" customWidth="1"/>
    <col min="3332" max="3332" width="10" style="1795" customWidth="1"/>
    <col min="3333" max="3333" width="2.28515625" style="1795" customWidth="1"/>
    <col min="3334" max="3334" width="33" style="1795" customWidth="1"/>
    <col min="3335" max="3335" width="2.7109375" style="1795" customWidth="1"/>
    <col min="3336" max="3336" width="12.5703125" style="1795" bestFit="1" customWidth="1"/>
    <col min="3337" max="3340" width="13" style="1795" bestFit="1" customWidth="1"/>
    <col min="3341" max="3341" width="2.28515625" style="1795" customWidth="1"/>
    <col min="3342" max="3342" width="10.7109375" style="1795" customWidth="1"/>
    <col min="3343" max="3343" width="15.5703125" style="1795" customWidth="1"/>
    <col min="3344" max="3344" width="13.42578125" style="1795" bestFit="1" customWidth="1"/>
    <col min="3345" max="3347" width="11" style="1795" bestFit="1" customWidth="1"/>
    <col min="3348" max="3349" width="9.28515625" style="1795" bestFit="1" customWidth="1"/>
    <col min="3350" max="3350" width="2" style="1795" customWidth="1"/>
    <col min="3351" max="3585" width="9.140625" style="1795"/>
    <col min="3586" max="3586" width="31.28515625" style="1795" customWidth="1"/>
    <col min="3587" max="3587" width="15.85546875" style="1795" bestFit="1" customWidth="1"/>
    <col min="3588" max="3588" width="10" style="1795" customWidth="1"/>
    <col min="3589" max="3589" width="2.28515625" style="1795" customWidth="1"/>
    <col min="3590" max="3590" width="33" style="1795" customWidth="1"/>
    <col min="3591" max="3591" width="2.7109375" style="1795" customWidth="1"/>
    <col min="3592" max="3592" width="12.5703125" style="1795" bestFit="1" customWidth="1"/>
    <col min="3593" max="3596" width="13" style="1795" bestFit="1" customWidth="1"/>
    <col min="3597" max="3597" width="2.28515625" style="1795" customWidth="1"/>
    <col min="3598" max="3598" width="10.7109375" style="1795" customWidth="1"/>
    <col min="3599" max="3599" width="15.5703125" style="1795" customWidth="1"/>
    <col min="3600" max="3600" width="13.42578125" style="1795" bestFit="1" customWidth="1"/>
    <col min="3601" max="3603" width="11" style="1795" bestFit="1" customWidth="1"/>
    <col min="3604" max="3605" width="9.28515625" style="1795" bestFit="1" customWidth="1"/>
    <col min="3606" max="3606" width="2" style="1795" customWidth="1"/>
    <col min="3607" max="3841" width="9.140625" style="1795"/>
    <col min="3842" max="3842" width="31.28515625" style="1795" customWidth="1"/>
    <col min="3843" max="3843" width="15.85546875" style="1795" bestFit="1" customWidth="1"/>
    <col min="3844" max="3844" width="10" style="1795" customWidth="1"/>
    <col min="3845" max="3845" width="2.28515625" style="1795" customWidth="1"/>
    <col min="3846" max="3846" width="33" style="1795" customWidth="1"/>
    <col min="3847" max="3847" width="2.7109375" style="1795" customWidth="1"/>
    <col min="3848" max="3848" width="12.5703125" style="1795" bestFit="1" customWidth="1"/>
    <col min="3849" max="3852" width="13" style="1795" bestFit="1" customWidth="1"/>
    <col min="3853" max="3853" width="2.28515625" style="1795" customWidth="1"/>
    <col min="3854" max="3854" width="10.7109375" style="1795" customWidth="1"/>
    <col min="3855" max="3855" width="15.5703125" style="1795" customWidth="1"/>
    <col min="3856" max="3856" width="13.42578125" style="1795" bestFit="1" customWidth="1"/>
    <col min="3857" max="3859" width="11" style="1795" bestFit="1" customWidth="1"/>
    <col min="3860" max="3861" width="9.28515625" style="1795" bestFit="1" customWidth="1"/>
    <col min="3862" max="3862" width="2" style="1795" customWidth="1"/>
    <col min="3863" max="4097" width="9.140625" style="1795"/>
    <col min="4098" max="4098" width="31.28515625" style="1795" customWidth="1"/>
    <col min="4099" max="4099" width="15.85546875" style="1795" bestFit="1" customWidth="1"/>
    <col min="4100" max="4100" width="10" style="1795" customWidth="1"/>
    <col min="4101" max="4101" width="2.28515625" style="1795" customWidth="1"/>
    <col min="4102" max="4102" width="33" style="1795" customWidth="1"/>
    <col min="4103" max="4103" width="2.7109375" style="1795" customWidth="1"/>
    <col min="4104" max="4104" width="12.5703125" style="1795" bestFit="1" customWidth="1"/>
    <col min="4105" max="4108" width="13" style="1795" bestFit="1" customWidth="1"/>
    <col min="4109" max="4109" width="2.28515625" style="1795" customWidth="1"/>
    <col min="4110" max="4110" width="10.7109375" style="1795" customWidth="1"/>
    <col min="4111" max="4111" width="15.5703125" style="1795" customWidth="1"/>
    <col min="4112" max="4112" width="13.42578125" style="1795" bestFit="1" customWidth="1"/>
    <col min="4113" max="4115" width="11" style="1795" bestFit="1" customWidth="1"/>
    <col min="4116" max="4117" width="9.28515625" style="1795" bestFit="1" customWidth="1"/>
    <col min="4118" max="4118" width="2" style="1795" customWidth="1"/>
    <col min="4119" max="4353" width="9.140625" style="1795"/>
    <col min="4354" max="4354" width="31.28515625" style="1795" customWidth="1"/>
    <col min="4355" max="4355" width="15.85546875" style="1795" bestFit="1" customWidth="1"/>
    <col min="4356" max="4356" width="10" style="1795" customWidth="1"/>
    <col min="4357" max="4357" width="2.28515625" style="1795" customWidth="1"/>
    <col min="4358" max="4358" width="33" style="1795" customWidth="1"/>
    <col min="4359" max="4359" width="2.7109375" style="1795" customWidth="1"/>
    <col min="4360" max="4360" width="12.5703125" style="1795" bestFit="1" customWidth="1"/>
    <col min="4361" max="4364" width="13" style="1795" bestFit="1" customWidth="1"/>
    <col min="4365" max="4365" width="2.28515625" style="1795" customWidth="1"/>
    <col min="4366" max="4366" width="10.7109375" style="1795" customWidth="1"/>
    <col min="4367" max="4367" width="15.5703125" style="1795" customWidth="1"/>
    <col min="4368" max="4368" width="13.42578125" style="1795" bestFit="1" customWidth="1"/>
    <col min="4369" max="4371" width="11" style="1795" bestFit="1" customWidth="1"/>
    <col min="4372" max="4373" width="9.28515625" style="1795" bestFit="1" customWidth="1"/>
    <col min="4374" max="4374" width="2" style="1795" customWidth="1"/>
    <col min="4375" max="4609" width="9.140625" style="1795"/>
    <col min="4610" max="4610" width="31.28515625" style="1795" customWidth="1"/>
    <col min="4611" max="4611" width="15.85546875" style="1795" bestFit="1" customWidth="1"/>
    <col min="4612" max="4612" width="10" style="1795" customWidth="1"/>
    <col min="4613" max="4613" width="2.28515625" style="1795" customWidth="1"/>
    <col min="4614" max="4614" width="33" style="1795" customWidth="1"/>
    <col min="4615" max="4615" width="2.7109375" style="1795" customWidth="1"/>
    <col min="4616" max="4616" width="12.5703125" style="1795" bestFit="1" customWidth="1"/>
    <col min="4617" max="4620" width="13" style="1795" bestFit="1" customWidth="1"/>
    <col min="4621" max="4621" width="2.28515625" style="1795" customWidth="1"/>
    <col min="4622" max="4622" width="10.7109375" style="1795" customWidth="1"/>
    <col min="4623" max="4623" width="15.5703125" style="1795" customWidth="1"/>
    <col min="4624" max="4624" width="13.42578125" style="1795" bestFit="1" customWidth="1"/>
    <col min="4625" max="4627" width="11" style="1795" bestFit="1" customWidth="1"/>
    <col min="4628" max="4629" width="9.28515625" style="1795" bestFit="1" customWidth="1"/>
    <col min="4630" max="4630" width="2" style="1795" customWidth="1"/>
    <col min="4631" max="4865" width="9.140625" style="1795"/>
    <col min="4866" max="4866" width="31.28515625" style="1795" customWidth="1"/>
    <col min="4867" max="4867" width="15.85546875" style="1795" bestFit="1" customWidth="1"/>
    <col min="4868" max="4868" width="10" style="1795" customWidth="1"/>
    <col min="4869" max="4869" width="2.28515625" style="1795" customWidth="1"/>
    <col min="4870" max="4870" width="33" style="1795" customWidth="1"/>
    <col min="4871" max="4871" width="2.7109375" style="1795" customWidth="1"/>
    <col min="4872" max="4872" width="12.5703125" style="1795" bestFit="1" customWidth="1"/>
    <col min="4873" max="4876" width="13" style="1795" bestFit="1" customWidth="1"/>
    <col min="4877" max="4877" width="2.28515625" style="1795" customWidth="1"/>
    <col min="4878" max="4878" width="10.7109375" style="1795" customWidth="1"/>
    <col min="4879" max="4879" width="15.5703125" style="1795" customWidth="1"/>
    <col min="4880" max="4880" width="13.42578125" style="1795" bestFit="1" customWidth="1"/>
    <col min="4881" max="4883" width="11" style="1795" bestFit="1" customWidth="1"/>
    <col min="4884" max="4885" width="9.28515625" style="1795" bestFit="1" customWidth="1"/>
    <col min="4886" max="4886" width="2" style="1795" customWidth="1"/>
    <col min="4887" max="5121" width="9.140625" style="1795"/>
    <col min="5122" max="5122" width="31.28515625" style="1795" customWidth="1"/>
    <col min="5123" max="5123" width="15.85546875" style="1795" bestFit="1" customWidth="1"/>
    <col min="5124" max="5124" width="10" style="1795" customWidth="1"/>
    <col min="5125" max="5125" width="2.28515625" style="1795" customWidth="1"/>
    <col min="5126" max="5126" width="33" style="1795" customWidth="1"/>
    <col min="5127" max="5127" width="2.7109375" style="1795" customWidth="1"/>
    <col min="5128" max="5128" width="12.5703125" style="1795" bestFit="1" customWidth="1"/>
    <col min="5129" max="5132" width="13" style="1795" bestFit="1" customWidth="1"/>
    <col min="5133" max="5133" width="2.28515625" style="1795" customWidth="1"/>
    <col min="5134" max="5134" width="10.7109375" style="1795" customWidth="1"/>
    <col min="5135" max="5135" width="15.5703125" style="1795" customWidth="1"/>
    <col min="5136" max="5136" width="13.42578125" style="1795" bestFit="1" customWidth="1"/>
    <col min="5137" max="5139" width="11" style="1795" bestFit="1" customWidth="1"/>
    <col min="5140" max="5141" width="9.28515625" style="1795" bestFit="1" customWidth="1"/>
    <col min="5142" max="5142" width="2" style="1795" customWidth="1"/>
    <col min="5143" max="5377" width="9.140625" style="1795"/>
    <col min="5378" max="5378" width="31.28515625" style="1795" customWidth="1"/>
    <col min="5379" max="5379" width="15.85546875" style="1795" bestFit="1" customWidth="1"/>
    <col min="5380" max="5380" width="10" style="1795" customWidth="1"/>
    <col min="5381" max="5381" width="2.28515625" style="1795" customWidth="1"/>
    <col min="5382" max="5382" width="33" style="1795" customWidth="1"/>
    <col min="5383" max="5383" width="2.7109375" style="1795" customWidth="1"/>
    <col min="5384" max="5384" width="12.5703125" style="1795" bestFit="1" customWidth="1"/>
    <col min="5385" max="5388" width="13" style="1795" bestFit="1" customWidth="1"/>
    <col min="5389" max="5389" width="2.28515625" style="1795" customWidth="1"/>
    <col min="5390" max="5390" width="10.7109375" style="1795" customWidth="1"/>
    <col min="5391" max="5391" width="15.5703125" style="1795" customWidth="1"/>
    <col min="5392" max="5392" width="13.42578125" style="1795" bestFit="1" customWidth="1"/>
    <col min="5393" max="5395" width="11" style="1795" bestFit="1" customWidth="1"/>
    <col min="5396" max="5397" width="9.28515625" style="1795" bestFit="1" customWidth="1"/>
    <col min="5398" max="5398" width="2" style="1795" customWidth="1"/>
    <col min="5399" max="5633" width="9.140625" style="1795"/>
    <col min="5634" max="5634" width="31.28515625" style="1795" customWidth="1"/>
    <col min="5635" max="5635" width="15.85546875" style="1795" bestFit="1" customWidth="1"/>
    <col min="5636" max="5636" width="10" style="1795" customWidth="1"/>
    <col min="5637" max="5637" width="2.28515625" style="1795" customWidth="1"/>
    <col min="5638" max="5638" width="33" style="1795" customWidth="1"/>
    <col min="5639" max="5639" width="2.7109375" style="1795" customWidth="1"/>
    <col min="5640" max="5640" width="12.5703125" style="1795" bestFit="1" customWidth="1"/>
    <col min="5641" max="5644" width="13" style="1795" bestFit="1" customWidth="1"/>
    <col min="5645" max="5645" width="2.28515625" style="1795" customWidth="1"/>
    <col min="5646" max="5646" width="10.7109375" style="1795" customWidth="1"/>
    <col min="5647" max="5647" width="15.5703125" style="1795" customWidth="1"/>
    <col min="5648" max="5648" width="13.42578125" style="1795" bestFit="1" customWidth="1"/>
    <col min="5649" max="5651" width="11" style="1795" bestFit="1" customWidth="1"/>
    <col min="5652" max="5653" width="9.28515625" style="1795" bestFit="1" customWidth="1"/>
    <col min="5654" max="5654" width="2" style="1795" customWidth="1"/>
    <col min="5655" max="5889" width="9.140625" style="1795"/>
    <col min="5890" max="5890" width="31.28515625" style="1795" customWidth="1"/>
    <col min="5891" max="5891" width="15.85546875" style="1795" bestFit="1" customWidth="1"/>
    <col min="5892" max="5892" width="10" style="1795" customWidth="1"/>
    <col min="5893" max="5893" width="2.28515625" style="1795" customWidth="1"/>
    <col min="5894" max="5894" width="33" style="1795" customWidth="1"/>
    <col min="5895" max="5895" width="2.7109375" style="1795" customWidth="1"/>
    <col min="5896" max="5896" width="12.5703125" style="1795" bestFit="1" customWidth="1"/>
    <col min="5897" max="5900" width="13" style="1795" bestFit="1" customWidth="1"/>
    <col min="5901" max="5901" width="2.28515625" style="1795" customWidth="1"/>
    <col min="5902" max="5902" width="10.7109375" style="1795" customWidth="1"/>
    <col min="5903" max="5903" width="15.5703125" style="1795" customWidth="1"/>
    <col min="5904" max="5904" width="13.42578125" style="1795" bestFit="1" customWidth="1"/>
    <col min="5905" max="5907" width="11" style="1795" bestFit="1" customWidth="1"/>
    <col min="5908" max="5909" width="9.28515625" style="1795" bestFit="1" customWidth="1"/>
    <col min="5910" max="5910" width="2" style="1795" customWidth="1"/>
    <col min="5911" max="6145" width="9.140625" style="1795"/>
    <col min="6146" max="6146" width="31.28515625" style="1795" customWidth="1"/>
    <col min="6147" max="6147" width="15.85546875" style="1795" bestFit="1" customWidth="1"/>
    <col min="6148" max="6148" width="10" style="1795" customWidth="1"/>
    <col min="6149" max="6149" width="2.28515625" style="1795" customWidth="1"/>
    <col min="6150" max="6150" width="33" style="1795" customWidth="1"/>
    <col min="6151" max="6151" width="2.7109375" style="1795" customWidth="1"/>
    <col min="6152" max="6152" width="12.5703125" style="1795" bestFit="1" customWidth="1"/>
    <col min="6153" max="6156" width="13" style="1795" bestFit="1" customWidth="1"/>
    <col min="6157" max="6157" width="2.28515625" style="1795" customWidth="1"/>
    <col min="6158" max="6158" width="10.7109375" style="1795" customWidth="1"/>
    <col min="6159" max="6159" width="15.5703125" style="1795" customWidth="1"/>
    <col min="6160" max="6160" width="13.42578125" style="1795" bestFit="1" customWidth="1"/>
    <col min="6161" max="6163" width="11" style="1795" bestFit="1" customWidth="1"/>
    <col min="6164" max="6165" width="9.28515625" style="1795" bestFit="1" customWidth="1"/>
    <col min="6166" max="6166" width="2" style="1795" customWidth="1"/>
    <col min="6167" max="6401" width="9.140625" style="1795"/>
    <col min="6402" max="6402" width="31.28515625" style="1795" customWidth="1"/>
    <col min="6403" max="6403" width="15.85546875" style="1795" bestFit="1" customWidth="1"/>
    <col min="6404" max="6404" width="10" style="1795" customWidth="1"/>
    <col min="6405" max="6405" width="2.28515625" style="1795" customWidth="1"/>
    <col min="6406" max="6406" width="33" style="1795" customWidth="1"/>
    <col min="6407" max="6407" width="2.7109375" style="1795" customWidth="1"/>
    <col min="6408" max="6408" width="12.5703125" style="1795" bestFit="1" customWidth="1"/>
    <col min="6409" max="6412" width="13" style="1795" bestFit="1" customWidth="1"/>
    <col min="6413" max="6413" width="2.28515625" style="1795" customWidth="1"/>
    <col min="6414" max="6414" width="10.7109375" style="1795" customWidth="1"/>
    <col min="6415" max="6415" width="15.5703125" style="1795" customWidth="1"/>
    <col min="6416" max="6416" width="13.42578125" style="1795" bestFit="1" customWidth="1"/>
    <col min="6417" max="6419" width="11" style="1795" bestFit="1" customWidth="1"/>
    <col min="6420" max="6421" width="9.28515625" style="1795" bestFit="1" customWidth="1"/>
    <col min="6422" max="6422" width="2" style="1795" customWidth="1"/>
    <col min="6423" max="6657" width="9.140625" style="1795"/>
    <col min="6658" max="6658" width="31.28515625" style="1795" customWidth="1"/>
    <col min="6659" max="6659" width="15.85546875" style="1795" bestFit="1" customWidth="1"/>
    <col min="6660" max="6660" width="10" style="1795" customWidth="1"/>
    <col min="6661" max="6661" width="2.28515625" style="1795" customWidth="1"/>
    <col min="6662" max="6662" width="33" style="1795" customWidth="1"/>
    <col min="6663" max="6663" width="2.7109375" style="1795" customWidth="1"/>
    <col min="6664" max="6664" width="12.5703125" style="1795" bestFit="1" customWidth="1"/>
    <col min="6665" max="6668" width="13" style="1795" bestFit="1" customWidth="1"/>
    <col min="6669" max="6669" width="2.28515625" style="1795" customWidth="1"/>
    <col min="6670" max="6670" width="10.7109375" style="1795" customWidth="1"/>
    <col min="6671" max="6671" width="15.5703125" style="1795" customWidth="1"/>
    <col min="6672" max="6672" width="13.42578125" style="1795" bestFit="1" customWidth="1"/>
    <col min="6673" max="6675" width="11" style="1795" bestFit="1" customWidth="1"/>
    <col min="6676" max="6677" width="9.28515625" style="1795" bestFit="1" customWidth="1"/>
    <col min="6678" max="6678" width="2" style="1795" customWidth="1"/>
    <col min="6679" max="6913" width="9.140625" style="1795"/>
    <col min="6914" max="6914" width="31.28515625" style="1795" customWidth="1"/>
    <col min="6915" max="6915" width="15.85546875" style="1795" bestFit="1" customWidth="1"/>
    <col min="6916" max="6916" width="10" style="1795" customWidth="1"/>
    <col min="6917" max="6917" width="2.28515625" style="1795" customWidth="1"/>
    <col min="6918" max="6918" width="33" style="1795" customWidth="1"/>
    <col min="6919" max="6919" width="2.7109375" style="1795" customWidth="1"/>
    <col min="6920" max="6920" width="12.5703125" style="1795" bestFit="1" customWidth="1"/>
    <col min="6921" max="6924" width="13" style="1795" bestFit="1" customWidth="1"/>
    <col min="6925" max="6925" width="2.28515625" style="1795" customWidth="1"/>
    <col min="6926" max="6926" width="10.7109375" style="1795" customWidth="1"/>
    <col min="6927" max="6927" width="15.5703125" style="1795" customWidth="1"/>
    <col min="6928" max="6928" width="13.42578125" style="1795" bestFit="1" customWidth="1"/>
    <col min="6929" max="6931" width="11" style="1795" bestFit="1" customWidth="1"/>
    <col min="6932" max="6933" width="9.28515625" style="1795" bestFit="1" customWidth="1"/>
    <col min="6934" max="6934" width="2" style="1795" customWidth="1"/>
    <col min="6935" max="7169" width="9.140625" style="1795"/>
    <col min="7170" max="7170" width="31.28515625" style="1795" customWidth="1"/>
    <col min="7171" max="7171" width="15.85546875" style="1795" bestFit="1" customWidth="1"/>
    <col min="7172" max="7172" width="10" style="1795" customWidth="1"/>
    <col min="7173" max="7173" width="2.28515625" style="1795" customWidth="1"/>
    <col min="7174" max="7174" width="33" style="1795" customWidth="1"/>
    <col min="7175" max="7175" width="2.7109375" style="1795" customWidth="1"/>
    <col min="7176" max="7176" width="12.5703125" style="1795" bestFit="1" customWidth="1"/>
    <col min="7177" max="7180" width="13" style="1795" bestFit="1" customWidth="1"/>
    <col min="7181" max="7181" width="2.28515625" style="1795" customWidth="1"/>
    <col min="7182" max="7182" width="10.7109375" style="1795" customWidth="1"/>
    <col min="7183" max="7183" width="15.5703125" style="1795" customWidth="1"/>
    <col min="7184" max="7184" width="13.42578125" style="1795" bestFit="1" customWidth="1"/>
    <col min="7185" max="7187" width="11" style="1795" bestFit="1" customWidth="1"/>
    <col min="7188" max="7189" width="9.28515625" style="1795" bestFit="1" customWidth="1"/>
    <col min="7190" max="7190" width="2" style="1795" customWidth="1"/>
    <col min="7191" max="7425" width="9.140625" style="1795"/>
    <col min="7426" max="7426" width="31.28515625" style="1795" customWidth="1"/>
    <col min="7427" max="7427" width="15.85546875" style="1795" bestFit="1" customWidth="1"/>
    <col min="7428" max="7428" width="10" style="1795" customWidth="1"/>
    <col min="7429" max="7429" width="2.28515625" style="1795" customWidth="1"/>
    <col min="7430" max="7430" width="33" style="1795" customWidth="1"/>
    <col min="7431" max="7431" width="2.7109375" style="1795" customWidth="1"/>
    <col min="7432" max="7432" width="12.5703125" style="1795" bestFit="1" customWidth="1"/>
    <col min="7433" max="7436" width="13" style="1795" bestFit="1" customWidth="1"/>
    <col min="7437" max="7437" width="2.28515625" style="1795" customWidth="1"/>
    <col min="7438" max="7438" width="10.7109375" style="1795" customWidth="1"/>
    <col min="7439" max="7439" width="15.5703125" style="1795" customWidth="1"/>
    <col min="7440" max="7440" width="13.42578125" style="1795" bestFit="1" customWidth="1"/>
    <col min="7441" max="7443" width="11" style="1795" bestFit="1" customWidth="1"/>
    <col min="7444" max="7445" width="9.28515625" style="1795" bestFit="1" customWidth="1"/>
    <col min="7446" max="7446" width="2" style="1795" customWidth="1"/>
    <col min="7447" max="7681" width="9.140625" style="1795"/>
    <col min="7682" max="7682" width="31.28515625" style="1795" customWidth="1"/>
    <col min="7683" max="7683" width="15.85546875" style="1795" bestFit="1" customWidth="1"/>
    <col min="7684" max="7684" width="10" style="1795" customWidth="1"/>
    <col min="7685" max="7685" width="2.28515625" style="1795" customWidth="1"/>
    <col min="7686" max="7686" width="33" style="1795" customWidth="1"/>
    <col min="7687" max="7687" width="2.7109375" style="1795" customWidth="1"/>
    <col min="7688" max="7688" width="12.5703125" style="1795" bestFit="1" customWidth="1"/>
    <col min="7689" max="7692" width="13" style="1795" bestFit="1" customWidth="1"/>
    <col min="7693" max="7693" width="2.28515625" style="1795" customWidth="1"/>
    <col min="7694" max="7694" width="10.7109375" style="1795" customWidth="1"/>
    <col min="7695" max="7695" width="15.5703125" style="1795" customWidth="1"/>
    <col min="7696" max="7696" width="13.42578125" style="1795" bestFit="1" customWidth="1"/>
    <col min="7697" max="7699" width="11" style="1795" bestFit="1" customWidth="1"/>
    <col min="7700" max="7701" width="9.28515625" style="1795" bestFit="1" customWidth="1"/>
    <col min="7702" max="7702" width="2" style="1795" customWidth="1"/>
    <col min="7703" max="7937" width="9.140625" style="1795"/>
    <col min="7938" max="7938" width="31.28515625" style="1795" customWidth="1"/>
    <col min="7939" max="7939" width="15.85546875" style="1795" bestFit="1" customWidth="1"/>
    <col min="7940" max="7940" width="10" style="1795" customWidth="1"/>
    <col min="7941" max="7941" width="2.28515625" style="1795" customWidth="1"/>
    <col min="7942" max="7942" width="33" style="1795" customWidth="1"/>
    <col min="7943" max="7943" width="2.7109375" style="1795" customWidth="1"/>
    <col min="7944" max="7944" width="12.5703125" style="1795" bestFit="1" customWidth="1"/>
    <col min="7945" max="7948" width="13" style="1795" bestFit="1" customWidth="1"/>
    <col min="7949" max="7949" width="2.28515625" style="1795" customWidth="1"/>
    <col min="7950" max="7950" width="10.7109375" style="1795" customWidth="1"/>
    <col min="7951" max="7951" width="15.5703125" style="1795" customWidth="1"/>
    <col min="7952" max="7952" width="13.42578125" style="1795" bestFit="1" customWidth="1"/>
    <col min="7953" max="7955" width="11" style="1795" bestFit="1" customWidth="1"/>
    <col min="7956" max="7957" width="9.28515625" style="1795" bestFit="1" customWidth="1"/>
    <col min="7958" max="7958" width="2" style="1795" customWidth="1"/>
    <col min="7959" max="8193" width="9.140625" style="1795"/>
    <col min="8194" max="8194" width="31.28515625" style="1795" customWidth="1"/>
    <col min="8195" max="8195" width="15.85546875" style="1795" bestFit="1" customWidth="1"/>
    <col min="8196" max="8196" width="10" style="1795" customWidth="1"/>
    <col min="8197" max="8197" width="2.28515625" style="1795" customWidth="1"/>
    <col min="8198" max="8198" width="33" style="1795" customWidth="1"/>
    <col min="8199" max="8199" width="2.7109375" style="1795" customWidth="1"/>
    <col min="8200" max="8200" width="12.5703125" style="1795" bestFit="1" customWidth="1"/>
    <col min="8201" max="8204" width="13" style="1795" bestFit="1" customWidth="1"/>
    <col min="8205" max="8205" width="2.28515625" style="1795" customWidth="1"/>
    <col min="8206" max="8206" width="10.7109375" style="1795" customWidth="1"/>
    <col min="8207" max="8207" width="15.5703125" style="1795" customWidth="1"/>
    <col min="8208" max="8208" width="13.42578125" style="1795" bestFit="1" customWidth="1"/>
    <col min="8209" max="8211" width="11" style="1795" bestFit="1" customWidth="1"/>
    <col min="8212" max="8213" width="9.28515625" style="1795" bestFit="1" customWidth="1"/>
    <col min="8214" max="8214" width="2" style="1795" customWidth="1"/>
    <col min="8215" max="8449" width="9.140625" style="1795"/>
    <col min="8450" max="8450" width="31.28515625" style="1795" customWidth="1"/>
    <col min="8451" max="8451" width="15.85546875" style="1795" bestFit="1" customWidth="1"/>
    <col min="8452" max="8452" width="10" style="1795" customWidth="1"/>
    <col min="8453" max="8453" width="2.28515625" style="1795" customWidth="1"/>
    <col min="8454" max="8454" width="33" style="1795" customWidth="1"/>
    <col min="8455" max="8455" width="2.7109375" style="1795" customWidth="1"/>
    <col min="8456" max="8456" width="12.5703125" style="1795" bestFit="1" customWidth="1"/>
    <col min="8457" max="8460" width="13" style="1795" bestFit="1" customWidth="1"/>
    <col min="8461" max="8461" width="2.28515625" style="1795" customWidth="1"/>
    <col min="8462" max="8462" width="10.7109375" style="1795" customWidth="1"/>
    <col min="8463" max="8463" width="15.5703125" style="1795" customWidth="1"/>
    <col min="8464" max="8464" width="13.42578125" style="1795" bestFit="1" customWidth="1"/>
    <col min="8465" max="8467" width="11" style="1795" bestFit="1" customWidth="1"/>
    <col min="8468" max="8469" width="9.28515625" style="1795" bestFit="1" customWidth="1"/>
    <col min="8470" max="8470" width="2" style="1795" customWidth="1"/>
    <col min="8471" max="8705" width="9.140625" style="1795"/>
    <col min="8706" max="8706" width="31.28515625" style="1795" customWidth="1"/>
    <col min="8707" max="8707" width="15.85546875" style="1795" bestFit="1" customWidth="1"/>
    <col min="8708" max="8708" width="10" style="1795" customWidth="1"/>
    <col min="8709" max="8709" width="2.28515625" style="1795" customWidth="1"/>
    <col min="8710" max="8710" width="33" style="1795" customWidth="1"/>
    <col min="8711" max="8711" width="2.7109375" style="1795" customWidth="1"/>
    <col min="8712" max="8712" width="12.5703125" style="1795" bestFit="1" customWidth="1"/>
    <col min="8713" max="8716" width="13" style="1795" bestFit="1" customWidth="1"/>
    <col min="8717" max="8717" width="2.28515625" style="1795" customWidth="1"/>
    <col min="8718" max="8718" width="10.7109375" style="1795" customWidth="1"/>
    <col min="8719" max="8719" width="15.5703125" style="1795" customWidth="1"/>
    <col min="8720" max="8720" width="13.42578125" style="1795" bestFit="1" customWidth="1"/>
    <col min="8721" max="8723" width="11" style="1795" bestFit="1" customWidth="1"/>
    <col min="8724" max="8725" width="9.28515625" style="1795" bestFit="1" customWidth="1"/>
    <col min="8726" max="8726" width="2" style="1795" customWidth="1"/>
    <col min="8727" max="8961" width="9.140625" style="1795"/>
    <col min="8962" max="8962" width="31.28515625" style="1795" customWidth="1"/>
    <col min="8963" max="8963" width="15.85546875" style="1795" bestFit="1" customWidth="1"/>
    <col min="8964" max="8964" width="10" style="1795" customWidth="1"/>
    <col min="8965" max="8965" width="2.28515625" style="1795" customWidth="1"/>
    <col min="8966" max="8966" width="33" style="1795" customWidth="1"/>
    <col min="8967" max="8967" width="2.7109375" style="1795" customWidth="1"/>
    <col min="8968" max="8968" width="12.5703125" style="1795" bestFit="1" customWidth="1"/>
    <col min="8969" max="8972" width="13" style="1795" bestFit="1" customWidth="1"/>
    <col min="8973" max="8973" width="2.28515625" style="1795" customWidth="1"/>
    <col min="8974" max="8974" width="10.7109375" style="1795" customWidth="1"/>
    <col min="8975" max="8975" width="15.5703125" style="1795" customWidth="1"/>
    <col min="8976" max="8976" width="13.42578125" style="1795" bestFit="1" customWidth="1"/>
    <col min="8977" max="8979" width="11" style="1795" bestFit="1" customWidth="1"/>
    <col min="8980" max="8981" width="9.28515625" style="1795" bestFit="1" customWidth="1"/>
    <col min="8982" max="8982" width="2" style="1795" customWidth="1"/>
    <col min="8983" max="9217" width="9.140625" style="1795"/>
    <col min="9218" max="9218" width="31.28515625" style="1795" customWidth="1"/>
    <col min="9219" max="9219" width="15.85546875" style="1795" bestFit="1" customWidth="1"/>
    <col min="9220" max="9220" width="10" style="1795" customWidth="1"/>
    <col min="9221" max="9221" width="2.28515625" style="1795" customWidth="1"/>
    <col min="9222" max="9222" width="33" style="1795" customWidth="1"/>
    <col min="9223" max="9223" width="2.7109375" style="1795" customWidth="1"/>
    <col min="9224" max="9224" width="12.5703125" style="1795" bestFit="1" customWidth="1"/>
    <col min="9225" max="9228" width="13" style="1795" bestFit="1" customWidth="1"/>
    <col min="9229" max="9229" width="2.28515625" style="1795" customWidth="1"/>
    <col min="9230" max="9230" width="10.7109375" style="1795" customWidth="1"/>
    <col min="9231" max="9231" width="15.5703125" style="1795" customWidth="1"/>
    <col min="9232" max="9232" width="13.42578125" style="1795" bestFit="1" customWidth="1"/>
    <col min="9233" max="9235" width="11" style="1795" bestFit="1" customWidth="1"/>
    <col min="9236" max="9237" width="9.28515625" style="1795" bestFit="1" customWidth="1"/>
    <col min="9238" max="9238" width="2" style="1795" customWidth="1"/>
    <col min="9239" max="9473" width="9.140625" style="1795"/>
    <col min="9474" max="9474" width="31.28515625" style="1795" customWidth="1"/>
    <col min="9475" max="9475" width="15.85546875" style="1795" bestFit="1" customWidth="1"/>
    <col min="9476" max="9476" width="10" style="1795" customWidth="1"/>
    <col min="9477" max="9477" width="2.28515625" style="1795" customWidth="1"/>
    <col min="9478" max="9478" width="33" style="1795" customWidth="1"/>
    <col min="9479" max="9479" width="2.7109375" style="1795" customWidth="1"/>
    <col min="9480" max="9480" width="12.5703125" style="1795" bestFit="1" customWidth="1"/>
    <col min="9481" max="9484" width="13" style="1795" bestFit="1" customWidth="1"/>
    <col min="9485" max="9485" width="2.28515625" style="1795" customWidth="1"/>
    <col min="9486" max="9486" width="10.7109375" style="1795" customWidth="1"/>
    <col min="9487" max="9487" width="15.5703125" style="1795" customWidth="1"/>
    <col min="9488" max="9488" width="13.42578125" style="1795" bestFit="1" customWidth="1"/>
    <col min="9489" max="9491" width="11" style="1795" bestFit="1" customWidth="1"/>
    <col min="9492" max="9493" width="9.28515625" style="1795" bestFit="1" customWidth="1"/>
    <col min="9494" max="9494" width="2" style="1795" customWidth="1"/>
    <col min="9495" max="9729" width="9.140625" style="1795"/>
    <col min="9730" max="9730" width="31.28515625" style="1795" customWidth="1"/>
    <col min="9731" max="9731" width="15.85546875" style="1795" bestFit="1" customWidth="1"/>
    <col min="9732" max="9732" width="10" style="1795" customWidth="1"/>
    <col min="9733" max="9733" width="2.28515625" style="1795" customWidth="1"/>
    <col min="9734" max="9734" width="33" style="1795" customWidth="1"/>
    <col min="9735" max="9735" width="2.7109375" style="1795" customWidth="1"/>
    <col min="9736" max="9736" width="12.5703125" style="1795" bestFit="1" customWidth="1"/>
    <col min="9737" max="9740" width="13" style="1795" bestFit="1" customWidth="1"/>
    <col min="9741" max="9741" width="2.28515625" style="1795" customWidth="1"/>
    <col min="9742" max="9742" width="10.7109375" style="1795" customWidth="1"/>
    <col min="9743" max="9743" width="15.5703125" style="1795" customWidth="1"/>
    <col min="9744" max="9744" width="13.42578125" style="1795" bestFit="1" customWidth="1"/>
    <col min="9745" max="9747" width="11" style="1795" bestFit="1" customWidth="1"/>
    <col min="9748" max="9749" width="9.28515625" style="1795" bestFit="1" customWidth="1"/>
    <col min="9750" max="9750" width="2" style="1795" customWidth="1"/>
    <col min="9751" max="9985" width="9.140625" style="1795"/>
    <col min="9986" max="9986" width="31.28515625" style="1795" customWidth="1"/>
    <col min="9987" max="9987" width="15.85546875" style="1795" bestFit="1" customWidth="1"/>
    <col min="9988" max="9988" width="10" style="1795" customWidth="1"/>
    <col min="9989" max="9989" width="2.28515625" style="1795" customWidth="1"/>
    <col min="9990" max="9990" width="33" style="1795" customWidth="1"/>
    <col min="9991" max="9991" width="2.7109375" style="1795" customWidth="1"/>
    <col min="9992" max="9992" width="12.5703125" style="1795" bestFit="1" customWidth="1"/>
    <col min="9993" max="9996" width="13" style="1795" bestFit="1" customWidth="1"/>
    <col min="9997" max="9997" width="2.28515625" style="1795" customWidth="1"/>
    <col min="9998" max="9998" width="10.7109375" style="1795" customWidth="1"/>
    <col min="9999" max="9999" width="15.5703125" style="1795" customWidth="1"/>
    <col min="10000" max="10000" width="13.42578125" style="1795" bestFit="1" customWidth="1"/>
    <col min="10001" max="10003" width="11" style="1795" bestFit="1" customWidth="1"/>
    <col min="10004" max="10005" width="9.28515625" style="1795" bestFit="1" customWidth="1"/>
    <col min="10006" max="10006" width="2" style="1795" customWidth="1"/>
    <col min="10007" max="10241" width="9.140625" style="1795"/>
    <col min="10242" max="10242" width="31.28515625" style="1795" customWidth="1"/>
    <col min="10243" max="10243" width="15.85546875" style="1795" bestFit="1" customWidth="1"/>
    <col min="10244" max="10244" width="10" style="1795" customWidth="1"/>
    <col min="10245" max="10245" width="2.28515625" style="1795" customWidth="1"/>
    <col min="10246" max="10246" width="33" style="1795" customWidth="1"/>
    <col min="10247" max="10247" width="2.7109375" style="1795" customWidth="1"/>
    <col min="10248" max="10248" width="12.5703125" style="1795" bestFit="1" customWidth="1"/>
    <col min="10249" max="10252" width="13" style="1795" bestFit="1" customWidth="1"/>
    <col min="10253" max="10253" width="2.28515625" style="1795" customWidth="1"/>
    <col min="10254" max="10254" width="10.7109375" style="1795" customWidth="1"/>
    <col min="10255" max="10255" width="15.5703125" style="1795" customWidth="1"/>
    <col min="10256" max="10256" width="13.42578125" style="1795" bestFit="1" customWidth="1"/>
    <col min="10257" max="10259" width="11" style="1795" bestFit="1" customWidth="1"/>
    <col min="10260" max="10261" width="9.28515625" style="1795" bestFit="1" customWidth="1"/>
    <col min="10262" max="10262" width="2" style="1795" customWidth="1"/>
    <col min="10263" max="10497" width="9.140625" style="1795"/>
    <col min="10498" max="10498" width="31.28515625" style="1795" customWidth="1"/>
    <col min="10499" max="10499" width="15.85546875" style="1795" bestFit="1" customWidth="1"/>
    <col min="10500" max="10500" width="10" style="1795" customWidth="1"/>
    <col min="10501" max="10501" width="2.28515625" style="1795" customWidth="1"/>
    <col min="10502" max="10502" width="33" style="1795" customWidth="1"/>
    <col min="10503" max="10503" width="2.7109375" style="1795" customWidth="1"/>
    <col min="10504" max="10504" width="12.5703125" style="1795" bestFit="1" customWidth="1"/>
    <col min="10505" max="10508" width="13" style="1795" bestFit="1" customWidth="1"/>
    <col min="10509" max="10509" width="2.28515625" style="1795" customWidth="1"/>
    <col min="10510" max="10510" width="10.7109375" style="1795" customWidth="1"/>
    <col min="10511" max="10511" width="15.5703125" style="1795" customWidth="1"/>
    <col min="10512" max="10512" width="13.42578125" style="1795" bestFit="1" customWidth="1"/>
    <col min="10513" max="10515" width="11" style="1795" bestFit="1" customWidth="1"/>
    <col min="10516" max="10517" width="9.28515625" style="1795" bestFit="1" customWidth="1"/>
    <col min="10518" max="10518" width="2" style="1795" customWidth="1"/>
    <col min="10519" max="10753" width="9.140625" style="1795"/>
    <col min="10754" max="10754" width="31.28515625" style="1795" customWidth="1"/>
    <col min="10755" max="10755" width="15.85546875" style="1795" bestFit="1" customWidth="1"/>
    <col min="10756" max="10756" width="10" style="1795" customWidth="1"/>
    <col min="10757" max="10757" width="2.28515625" style="1795" customWidth="1"/>
    <col min="10758" max="10758" width="33" style="1795" customWidth="1"/>
    <col min="10759" max="10759" width="2.7109375" style="1795" customWidth="1"/>
    <col min="10760" max="10760" width="12.5703125" style="1795" bestFit="1" customWidth="1"/>
    <col min="10761" max="10764" width="13" style="1795" bestFit="1" customWidth="1"/>
    <col min="10765" max="10765" width="2.28515625" style="1795" customWidth="1"/>
    <col min="10766" max="10766" width="10.7109375" style="1795" customWidth="1"/>
    <col min="10767" max="10767" width="15.5703125" style="1795" customWidth="1"/>
    <col min="10768" max="10768" width="13.42578125" style="1795" bestFit="1" customWidth="1"/>
    <col min="10769" max="10771" width="11" style="1795" bestFit="1" customWidth="1"/>
    <col min="10772" max="10773" width="9.28515625" style="1795" bestFit="1" customWidth="1"/>
    <col min="10774" max="10774" width="2" style="1795" customWidth="1"/>
    <col min="10775" max="11009" width="9.140625" style="1795"/>
    <col min="11010" max="11010" width="31.28515625" style="1795" customWidth="1"/>
    <col min="11011" max="11011" width="15.85546875" style="1795" bestFit="1" customWidth="1"/>
    <col min="11012" max="11012" width="10" style="1795" customWidth="1"/>
    <col min="11013" max="11013" width="2.28515625" style="1795" customWidth="1"/>
    <col min="11014" max="11014" width="33" style="1795" customWidth="1"/>
    <col min="11015" max="11015" width="2.7109375" style="1795" customWidth="1"/>
    <col min="11016" max="11016" width="12.5703125" style="1795" bestFit="1" customWidth="1"/>
    <col min="11017" max="11020" width="13" style="1795" bestFit="1" customWidth="1"/>
    <col min="11021" max="11021" width="2.28515625" style="1795" customWidth="1"/>
    <col min="11022" max="11022" width="10.7109375" style="1795" customWidth="1"/>
    <col min="11023" max="11023" width="15.5703125" style="1795" customWidth="1"/>
    <col min="11024" max="11024" width="13.42578125" style="1795" bestFit="1" customWidth="1"/>
    <col min="11025" max="11027" width="11" style="1795" bestFit="1" customWidth="1"/>
    <col min="11028" max="11029" width="9.28515625" style="1795" bestFit="1" customWidth="1"/>
    <col min="11030" max="11030" width="2" style="1795" customWidth="1"/>
    <col min="11031" max="11265" width="9.140625" style="1795"/>
    <col min="11266" max="11266" width="31.28515625" style="1795" customWidth="1"/>
    <col min="11267" max="11267" width="15.85546875" style="1795" bestFit="1" customWidth="1"/>
    <col min="11268" max="11268" width="10" style="1795" customWidth="1"/>
    <col min="11269" max="11269" width="2.28515625" style="1795" customWidth="1"/>
    <col min="11270" max="11270" width="33" style="1795" customWidth="1"/>
    <col min="11271" max="11271" width="2.7109375" style="1795" customWidth="1"/>
    <col min="11272" max="11272" width="12.5703125" style="1795" bestFit="1" customWidth="1"/>
    <col min="11273" max="11276" width="13" style="1795" bestFit="1" customWidth="1"/>
    <col min="11277" max="11277" width="2.28515625" style="1795" customWidth="1"/>
    <col min="11278" max="11278" width="10.7109375" style="1795" customWidth="1"/>
    <col min="11279" max="11279" width="15.5703125" style="1795" customWidth="1"/>
    <col min="11280" max="11280" width="13.42578125" style="1795" bestFit="1" customWidth="1"/>
    <col min="11281" max="11283" width="11" style="1795" bestFit="1" customWidth="1"/>
    <col min="11284" max="11285" width="9.28515625" style="1795" bestFit="1" customWidth="1"/>
    <col min="11286" max="11286" width="2" style="1795" customWidth="1"/>
    <col min="11287" max="11521" width="9.140625" style="1795"/>
    <col min="11522" max="11522" width="31.28515625" style="1795" customWidth="1"/>
    <col min="11523" max="11523" width="15.85546875" style="1795" bestFit="1" customWidth="1"/>
    <col min="11524" max="11524" width="10" style="1795" customWidth="1"/>
    <col min="11525" max="11525" width="2.28515625" style="1795" customWidth="1"/>
    <col min="11526" max="11526" width="33" style="1795" customWidth="1"/>
    <col min="11527" max="11527" width="2.7109375" style="1795" customWidth="1"/>
    <col min="11528" max="11528" width="12.5703125" style="1795" bestFit="1" customWidth="1"/>
    <col min="11529" max="11532" width="13" style="1795" bestFit="1" customWidth="1"/>
    <col min="11533" max="11533" width="2.28515625" style="1795" customWidth="1"/>
    <col min="11534" max="11534" width="10.7109375" style="1795" customWidth="1"/>
    <col min="11535" max="11535" width="15.5703125" style="1795" customWidth="1"/>
    <col min="11536" max="11536" width="13.42578125" style="1795" bestFit="1" customWidth="1"/>
    <col min="11537" max="11539" width="11" style="1795" bestFit="1" customWidth="1"/>
    <col min="11540" max="11541" width="9.28515625" style="1795" bestFit="1" customWidth="1"/>
    <col min="11542" max="11542" width="2" style="1795" customWidth="1"/>
    <col min="11543" max="11777" width="9.140625" style="1795"/>
    <col min="11778" max="11778" width="31.28515625" style="1795" customWidth="1"/>
    <col min="11779" max="11779" width="15.85546875" style="1795" bestFit="1" customWidth="1"/>
    <col min="11780" max="11780" width="10" style="1795" customWidth="1"/>
    <col min="11781" max="11781" width="2.28515625" style="1795" customWidth="1"/>
    <col min="11782" max="11782" width="33" style="1795" customWidth="1"/>
    <col min="11783" max="11783" width="2.7109375" style="1795" customWidth="1"/>
    <col min="11784" max="11784" width="12.5703125" style="1795" bestFit="1" customWidth="1"/>
    <col min="11785" max="11788" width="13" style="1795" bestFit="1" customWidth="1"/>
    <col min="11789" max="11789" width="2.28515625" style="1795" customWidth="1"/>
    <col min="11790" max="11790" width="10.7109375" style="1795" customWidth="1"/>
    <col min="11791" max="11791" width="15.5703125" style="1795" customWidth="1"/>
    <col min="11792" max="11792" width="13.42578125" style="1795" bestFit="1" customWidth="1"/>
    <col min="11793" max="11795" width="11" style="1795" bestFit="1" customWidth="1"/>
    <col min="11796" max="11797" width="9.28515625" style="1795" bestFit="1" customWidth="1"/>
    <col min="11798" max="11798" width="2" style="1795" customWidth="1"/>
    <col min="11799" max="12033" width="9.140625" style="1795"/>
    <col min="12034" max="12034" width="31.28515625" style="1795" customWidth="1"/>
    <col min="12035" max="12035" width="15.85546875" style="1795" bestFit="1" customWidth="1"/>
    <col min="12036" max="12036" width="10" style="1795" customWidth="1"/>
    <col min="12037" max="12037" width="2.28515625" style="1795" customWidth="1"/>
    <col min="12038" max="12038" width="33" style="1795" customWidth="1"/>
    <col min="12039" max="12039" width="2.7109375" style="1795" customWidth="1"/>
    <col min="12040" max="12040" width="12.5703125" style="1795" bestFit="1" customWidth="1"/>
    <col min="12041" max="12044" width="13" style="1795" bestFit="1" customWidth="1"/>
    <col min="12045" max="12045" width="2.28515625" style="1795" customWidth="1"/>
    <col min="12046" max="12046" width="10.7109375" style="1795" customWidth="1"/>
    <col min="12047" max="12047" width="15.5703125" style="1795" customWidth="1"/>
    <col min="12048" max="12048" width="13.42578125" style="1795" bestFit="1" customWidth="1"/>
    <col min="12049" max="12051" width="11" style="1795" bestFit="1" customWidth="1"/>
    <col min="12052" max="12053" width="9.28515625" style="1795" bestFit="1" customWidth="1"/>
    <col min="12054" max="12054" width="2" style="1795" customWidth="1"/>
    <col min="12055" max="12289" width="9.140625" style="1795"/>
    <col min="12290" max="12290" width="31.28515625" style="1795" customWidth="1"/>
    <col min="12291" max="12291" width="15.85546875" style="1795" bestFit="1" customWidth="1"/>
    <col min="12292" max="12292" width="10" style="1795" customWidth="1"/>
    <col min="12293" max="12293" width="2.28515625" style="1795" customWidth="1"/>
    <col min="12294" max="12294" width="33" style="1795" customWidth="1"/>
    <col min="12295" max="12295" width="2.7109375" style="1795" customWidth="1"/>
    <col min="12296" max="12296" width="12.5703125" style="1795" bestFit="1" customWidth="1"/>
    <col min="12297" max="12300" width="13" style="1795" bestFit="1" customWidth="1"/>
    <col min="12301" max="12301" width="2.28515625" style="1795" customWidth="1"/>
    <col min="12302" max="12302" width="10.7109375" style="1795" customWidth="1"/>
    <col min="12303" max="12303" width="15.5703125" style="1795" customWidth="1"/>
    <col min="12304" max="12304" width="13.42578125" style="1795" bestFit="1" customWidth="1"/>
    <col min="12305" max="12307" width="11" style="1795" bestFit="1" customWidth="1"/>
    <col min="12308" max="12309" width="9.28515625" style="1795" bestFit="1" customWidth="1"/>
    <col min="12310" max="12310" width="2" style="1795" customWidth="1"/>
    <col min="12311" max="12545" width="9.140625" style="1795"/>
    <col min="12546" max="12546" width="31.28515625" style="1795" customWidth="1"/>
    <col min="12547" max="12547" width="15.85546875" style="1795" bestFit="1" customWidth="1"/>
    <col min="12548" max="12548" width="10" style="1795" customWidth="1"/>
    <col min="12549" max="12549" width="2.28515625" style="1795" customWidth="1"/>
    <col min="12550" max="12550" width="33" style="1795" customWidth="1"/>
    <col min="12551" max="12551" width="2.7109375" style="1795" customWidth="1"/>
    <col min="12552" max="12552" width="12.5703125" style="1795" bestFit="1" customWidth="1"/>
    <col min="12553" max="12556" width="13" style="1795" bestFit="1" customWidth="1"/>
    <col min="12557" max="12557" width="2.28515625" style="1795" customWidth="1"/>
    <col min="12558" max="12558" width="10.7109375" style="1795" customWidth="1"/>
    <col min="12559" max="12559" width="15.5703125" style="1795" customWidth="1"/>
    <col min="12560" max="12560" width="13.42578125" style="1795" bestFit="1" customWidth="1"/>
    <col min="12561" max="12563" width="11" style="1795" bestFit="1" customWidth="1"/>
    <col min="12564" max="12565" width="9.28515625" style="1795" bestFit="1" customWidth="1"/>
    <col min="12566" max="12566" width="2" style="1795" customWidth="1"/>
    <col min="12567" max="12801" width="9.140625" style="1795"/>
    <col min="12802" max="12802" width="31.28515625" style="1795" customWidth="1"/>
    <col min="12803" max="12803" width="15.85546875" style="1795" bestFit="1" customWidth="1"/>
    <col min="12804" max="12804" width="10" style="1795" customWidth="1"/>
    <col min="12805" max="12805" width="2.28515625" style="1795" customWidth="1"/>
    <col min="12806" max="12806" width="33" style="1795" customWidth="1"/>
    <col min="12807" max="12807" width="2.7109375" style="1795" customWidth="1"/>
    <col min="12808" max="12808" width="12.5703125" style="1795" bestFit="1" customWidth="1"/>
    <col min="12809" max="12812" width="13" style="1795" bestFit="1" customWidth="1"/>
    <col min="12813" max="12813" width="2.28515625" style="1795" customWidth="1"/>
    <col min="12814" max="12814" width="10.7109375" style="1795" customWidth="1"/>
    <col min="12815" max="12815" width="15.5703125" style="1795" customWidth="1"/>
    <col min="12816" max="12816" width="13.42578125" style="1795" bestFit="1" customWidth="1"/>
    <col min="12817" max="12819" width="11" style="1795" bestFit="1" customWidth="1"/>
    <col min="12820" max="12821" width="9.28515625" style="1795" bestFit="1" customWidth="1"/>
    <col min="12822" max="12822" width="2" style="1795" customWidth="1"/>
    <col min="12823" max="13057" width="9.140625" style="1795"/>
    <col min="13058" max="13058" width="31.28515625" style="1795" customWidth="1"/>
    <col min="13059" max="13059" width="15.85546875" style="1795" bestFit="1" customWidth="1"/>
    <col min="13060" max="13060" width="10" style="1795" customWidth="1"/>
    <col min="13061" max="13061" width="2.28515625" style="1795" customWidth="1"/>
    <col min="13062" max="13062" width="33" style="1795" customWidth="1"/>
    <col min="13063" max="13063" width="2.7109375" style="1795" customWidth="1"/>
    <col min="13064" max="13064" width="12.5703125" style="1795" bestFit="1" customWidth="1"/>
    <col min="13065" max="13068" width="13" style="1795" bestFit="1" customWidth="1"/>
    <col min="13069" max="13069" width="2.28515625" style="1795" customWidth="1"/>
    <col min="13070" max="13070" width="10.7109375" style="1795" customWidth="1"/>
    <col min="13071" max="13071" width="15.5703125" style="1795" customWidth="1"/>
    <col min="13072" max="13072" width="13.42578125" style="1795" bestFit="1" customWidth="1"/>
    <col min="13073" max="13075" width="11" style="1795" bestFit="1" customWidth="1"/>
    <col min="13076" max="13077" width="9.28515625" style="1795" bestFit="1" customWidth="1"/>
    <col min="13078" max="13078" width="2" style="1795" customWidth="1"/>
    <col min="13079" max="13313" width="9.140625" style="1795"/>
    <col min="13314" max="13314" width="31.28515625" style="1795" customWidth="1"/>
    <col min="13315" max="13315" width="15.85546875" style="1795" bestFit="1" customWidth="1"/>
    <col min="13316" max="13316" width="10" style="1795" customWidth="1"/>
    <col min="13317" max="13317" width="2.28515625" style="1795" customWidth="1"/>
    <col min="13318" max="13318" width="33" style="1795" customWidth="1"/>
    <col min="13319" max="13319" width="2.7109375" style="1795" customWidth="1"/>
    <col min="13320" max="13320" width="12.5703125" style="1795" bestFit="1" customWidth="1"/>
    <col min="13321" max="13324" width="13" style="1795" bestFit="1" customWidth="1"/>
    <col min="13325" max="13325" width="2.28515625" style="1795" customWidth="1"/>
    <col min="13326" max="13326" width="10.7109375" style="1795" customWidth="1"/>
    <col min="13327" max="13327" width="15.5703125" style="1795" customWidth="1"/>
    <col min="13328" max="13328" width="13.42578125" style="1795" bestFit="1" customWidth="1"/>
    <col min="13329" max="13331" width="11" style="1795" bestFit="1" customWidth="1"/>
    <col min="13332" max="13333" width="9.28515625" style="1795" bestFit="1" customWidth="1"/>
    <col min="13334" max="13334" width="2" style="1795" customWidth="1"/>
    <col min="13335" max="13569" width="9.140625" style="1795"/>
    <col min="13570" max="13570" width="31.28515625" style="1795" customWidth="1"/>
    <col min="13571" max="13571" width="15.85546875" style="1795" bestFit="1" customWidth="1"/>
    <col min="13572" max="13572" width="10" style="1795" customWidth="1"/>
    <col min="13573" max="13573" width="2.28515625" style="1795" customWidth="1"/>
    <col min="13574" max="13574" width="33" style="1795" customWidth="1"/>
    <col min="13575" max="13575" width="2.7109375" style="1795" customWidth="1"/>
    <col min="13576" max="13576" width="12.5703125" style="1795" bestFit="1" customWidth="1"/>
    <col min="13577" max="13580" width="13" style="1795" bestFit="1" customWidth="1"/>
    <col min="13581" max="13581" width="2.28515625" style="1795" customWidth="1"/>
    <col min="13582" max="13582" width="10.7109375" style="1795" customWidth="1"/>
    <col min="13583" max="13583" width="15.5703125" style="1795" customWidth="1"/>
    <col min="13584" max="13584" width="13.42578125" style="1795" bestFit="1" customWidth="1"/>
    <col min="13585" max="13587" width="11" style="1795" bestFit="1" customWidth="1"/>
    <col min="13588" max="13589" width="9.28515625" style="1795" bestFit="1" customWidth="1"/>
    <col min="13590" max="13590" width="2" style="1795" customWidth="1"/>
    <col min="13591" max="13825" width="9.140625" style="1795"/>
    <col min="13826" max="13826" width="31.28515625" style="1795" customWidth="1"/>
    <col min="13827" max="13827" width="15.85546875" style="1795" bestFit="1" customWidth="1"/>
    <col min="13828" max="13828" width="10" style="1795" customWidth="1"/>
    <col min="13829" max="13829" width="2.28515625" style="1795" customWidth="1"/>
    <col min="13830" max="13830" width="33" style="1795" customWidth="1"/>
    <col min="13831" max="13831" width="2.7109375" style="1795" customWidth="1"/>
    <col min="13832" max="13832" width="12.5703125" style="1795" bestFit="1" customWidth="1"/>
    <col min="13833" max="13836" width="13" style="1795" bestFit="1" customWidth="1"/>
    <col min="13837" max="13837" width="2.28515625" style="1795" customWidth="1"/>
    <col min="13838" max="13838" width="10.7109375" style="1795" customWidth="1"/>
    <col min="13839" max="13839" width="15.5703125" style="1795" customWidth="1"/>
    <col min="13840" max="13840" width="13.42578125" style="1795" bestFit="1" customWidth="1"/>
    <col min="13841" max="13843" width="11" style="1795" bestFit="1" customWidth="1"/>
    <col min="13844" max="13845" width="9.28515625" style="1795" bestFit="1" customWidth="1"/>
    <col min="13846" max="13846" width="2" style="1795" customWidth="1"/>
    <col min="13847" max="14081" width="9.140625" style="1795"/>
    <col min="14082" max="14082" width="31.28515625" style="1795" customWidth="1"/>
    <col min="14083" max="14083" width="15.85546875" style="1795" bestFit="1" customWidth="1"/>
    <col min="14084" max="14084" width="10" style="1795" customWidth="1"/>
    <col min="14085" max="14085" width="2.28515625" style="1795" customWidth="1"/>
    <col min="14086" max="14086" width="33" style="1795" customWidth="1"/>
    <col min="14087" max="14087" width="2.7109375" style="1795" customWidth="1"/>
    <col min="14088" max="14088" width="12.5703125" style="1795" bestFit="1" customWidth="1"/>
    <col min="14089" max="14092" width="13" style="1795" bestFit="1" customWidth="1"/>
    <col min="14093" max="14093" width="2.28515625" style="1795" customWidth="1"/>
    <col min="14094" max="14094" width="10.7109375" style="1795" customWidth="1"/>
    <col min="14095" max="14095" width="15.5703125" style="1795" customWidth="1"/>
    <col min="14096" max="14096" width="13.42578125" style="1795" bestFit="1" customWidth="1"/>
    <col min="14097" max="14099" width="11" style="1795" bestFit="1" customWidth="1"/>
    <col min="14100" max="14101" width="9.28515625" style="1795" bestFit="1" customWidth="1"/>
    <col min="14102" max="14102" width="2" style="1795" customWidth="1"/>
    <col min="14103" max="14337" width="9.140625" style="1795"/>
    <col min="14338" max="14338" width="31.28515625" style="1795" customWidth="1"/>
    <col min="14339" max="14339" width="15.85546875" style="1795" bestFit="1" customWidth="1"/>
    <col min="14340" max="14340" width="10" style="1795" customWidth="1"/>
    <col min="14341" max="14341" width="2.28515625" style="1795" customWidth="1"/>
    <col min="14342" max="14342" width="33" style="1795" customWidth="1"/>
    <col min="14343" max="14343" width="2.7109375" style="1795" customWidth="1"/>
    <col min="14344" max="14344" width="12.5703125" style="1795" bestFit="1" customWidth="1"/>
    <col min="14345" max="14348" width="13" style="1795" bestFit="1" customWidth="1"/>
    <col min="14349" max="14349" width="2.28515625" style="1795" customWidth="1"/>
    <col min="14350" max="14350" width="10.7109375" style="1795" customWidth="1"/>
    <col min="14351" max="14351" width="15.5703125" style="1795" customWidth="1"/>
    <col min="14352" max="14352" width="13.42578125" style="1795" bestFit="1" customWidth="1"/>
    <col min="14353" max="14355" width="11" style="1795" bestFit="1" customWidth="1"/>
    <col min="14356" max="14357" width="9.28515625" style="1795" bestFit="1" customWidth="1"/>
    <col min="14358" max="14358" width="2" style="1795" customWidth="1"/>
    <col min="14359" max="14593" width="9.140625" style="1795"/>
    <col min="14594" max="14594" width="31.28515625" style="1795" customWidth="1"/>
    <col min="14595" max="14595" width="15.85546875" style="1795" bestFit="1" customWidth="1"/>
    <col min="14596" max="14596" width="10" style="1795" customWidth="1"/>
    <col min="14597" max="14597" width="2.28515625" style="1795" customWidth="1"/>
    <col min="14598" max="14598" width="33" style="1795" customWidth="1"/>
    <col min="14599" max="14599" width="2.7109375" style="1795" customWidth="1"/>
    <col min="14600" max="14600" width="12.5703125" style="1795" bestFit="1" customWidth="1"/>
    <col min="14601" max="14604" width="13" style="1795" bestFit="1" customWidth="1"/>
    <col min="14605" max="14605" width="2.28515625" style="1795" customWidth="1"/>
    <col min="14606" max="14606" width="10.7109375" style="1795" customWidth="1"/>
    <col min="14607" max="14607" width="15.5703125" style="1795" customWidth="1"/>
    <col min="14608" max="14608" width="13.42578125" style="1795" bestFit="1" customWidth="1"/>
    <col min="14609" max="14611" width="11" style="1795" bestFit="1" customWidth="1"/>
    <col min="14612" max="14613" width="9.28515625" style="1795" bestFit="1" customWidth="1"/>
    <col min="14614" max="14614" width="2" style="1795" customWidth="1"/>
    <col min="14615" max="14849" width="9.140625" style="1795"/>
    <col min="14850" max="14850" width="31.28515625" style="1795" customWidth="1"/>
    <col min="14851" max="14851" width="15.85546875" style="1795" bestFit="1" customWidth="1"/>
    <col min="14852" max="14852" width="10" style="1795" customWidth="1"/>
    <col min="14853" max="14853" width="2.28515625" style="1795" customWidth="1"/>
    <col min="14854" max="14854" width="33" style="1795" customWidth="1"/>
    <col min="14855" max="14855" width="2.7109375" style="1795" customWidth="1"/>
    <col min="14856" max="14856" width="12.5703125" style="1795" bestFit="1" customWidth="1"/>
    <col min="14857" max="14860" width="13" style="1795" bestFit="1" customWidth="1"/>
    <col min="14861" max="14861" width="2.28515625" style="1795" customWidth="1"/>
    <col min="14862" max="14862" width="10.7109375" style="1795" customWidth="1"/>
    <col min="14863" max="14863" width="15.5703125" style="1795" customWidth="1"/>
    <col min="14864" max="14864" width="13.42578125" style="1795" bestFit="1" customWidth="1"/>
    <col min="14865" max="14867" width="11" style="1795" bestFit="1" customWidth="1"/>
    <col min="14868" max="14869" width="9.28515625" style="1795" bestFit="1" customWidth="1"/>
    <col min="14870" max="14870" width="2" style="1795" customWidth="1"/>
    <col min="14871" max="15105" width="9.140625" style="1795"/>
    <col min="15106" max="15106" width="31.28515625" style="1795" customWidth="1"/>
    <col min="15107" max="15107" width="15.85546875" style="1795" bestFit="1" customWidth="1"/>
    <col min="15108" max="15108" width="10" style="1795" customWidth="1"/>
    <col min="15109" max="15109" width="2.28515625" style="1795" customWidth="1"/>
    <col min="15110" max="15110" width="33" style="1795" customWidth="1"/>
    <col min="15111" max="15111" width="2.7109375" style="1795" customWidth="1"/>
    <col min="15112" max="15112" width="12.5703125" style="1795" bestFit="1" customWidth="1"/>
    <col min="15113" max="15116" width="13" style="1795" bestFit="1" customWidth="1"/>
    <col min="15117" max="15117" width="2.28515625" style="1795" customWidth="1"/>
    <col min="15118" max="15118" width="10.7109375" style="1795" customWidth="1"/>
    <col min="15119" max="15119" width="15.5703125" style="1795" customWidth="1"/>
    <col min="15120" max="15120" width="13.42578125" style="1795" bestFit="1" customWidth="1"/>
    <col min="15121" max="15123" width="11" style="1795" bestFit="1" customWidth="1"/>
    <col min="15124" max="15125" width="9.28515625" style="1795" bestFit="1" customWidth="1"/>
    <col min="15126" max="15126" width="2" style="1795" customWidth="1"/>
    <col min="15127" max="15361" width="9.140625" style="1795"/>
    <col min="15362" max="15362" width="31.28515625" style="1795" customWidth="1"/>
    <col min="15363" max="15363" width="15.85546875" style="1795" bestFit="1" customWidth="1"/>
    <col min="15364" max="15364" width="10" style="1795" customWidth="1"/>
    <col min="15365" max="15365" width="2.28515625" style="1795" customWidth="1"/>
    <col min="15366" max="15366" width="33" style="1795" customWidth="1"/>
    <col min="15367" max="15367" width="2.7109375" style="1795" customWidth="1"/>
    <col min="15368" max="15368" width="12.5703125" style="1795" bestFit="1" customWidth="1"/>
    <col min="15369" max="15372" width="13" style="1795" bestFit="1" customWidth="1"/>
    <col min="15373" max="15373" width="2.28515625" style="1795" customWidth="1"/>
    <col min="15374" max="15374" width="10.7109375" style="1795" customWidth="1"/>
    <col min="15375" max="15375" width="15.5703125" style="1795" customWidth="1"/>
    <col min="15376" max="15376" width="13.42578125" style="1795" bestFit="1" customWidth="1"/>
    <col min="15377" max="15379" width="11" style="1795" bestFit="1" customWidth="1"/>
    <col min="15380" max="15381" width="9.28515625" style="1795" bestFit="1" customWidth="1"/>
    <col min="15382" max="15382" width="2" style="1795" customWidth="1"/>
    <col min="15383" max="15617" width="9.140625" style="1795"/>
    <col min="15618" max="15618" width="31.28515625" style="1795" customWidth="1"/>
    <col min="15619" max="15619" width="15.85546875" style="1795" bestFit="1" customWidth="1"/>
    <col min="15620" max="15620" width="10" style="1795" customWidth="1"/>
    <col min="15621" max="15621" width="2.28515625" style="1795" customWidth="1"/>
    <col min="15622" max="15622" width="33" style="1795" customWidth="1"/>
    <col min="15623" max="15623" width="2.7109375" style="1795" customWidth="1"/>
    <col min="15624" max="15624" width="12.5703125" style="1795" bestFit="1" customWidth="1"/>
    <col min="15625" max="15628" width="13" style="1795" bestFit="1" customWidth="1"/>
    <col min="15629" max="15629" width="2.28515625" style="1795" customWidth="1"/>
    <col min="15630" max="15630" width="10.7109375" style="1795" customWidth="1"/>
    <col min="15631" max="15631" width="15.5703125" style="1795" customWidth="1"/>
    <col min="15632" max="15632" width="13.42578125" style="1795" bestFit="1" customWidth="1"/>
    <col min="15633" max="15635" width="11" style="1795" bestFit="1" customWidth="1"/>
    <col min="15636" max="15637" width="9.28515625" style="1795" bestFit="1" customWidth="1"/>
    <col min="15638" max="15638" width="2" style="1795" customWidth="1"/>
    <col min="15639" max="15873" width="9.140625" style="1795"/>
    <col min="15874" max="15874" width="31.28515625" style="1795" customWidth="1"/>
    <col min="15875" max="15875" width="15.85546875" style="1795" bestFit="1" customWidth="1"/>
    <col min="15876" max="15876" width="10" style="1795" customWidth="1"/>
    <col min="15877" max="15877" width="2.28515625" style="1795" customWidth="1"/>
    <col min="15878" max="15878" width="33" style="1795" customWidth="1"/>
    <col min="15879" max="15879" width="2.7109375" style="1795" customWidth="1"/>
    <col min="15880" max="15880" width="12.5703125" style="1795" bestFit="1" customWidth="1"/>
    <col min="15881" max="15884" width="13" style="1795" bestFit="1" customWidth="1"/>
    <col min="15885" max="15885" width="2.28515625" style="1795" customWidth="1"/>
    <col min="15886" max="15886" width="10.7109375" style="1795" customWidth="1"/>
    <col min="15887" max="15887" width="15.5703125" style="1795" customWidth="1"/>
    <col min="15888" max="15888" width="13.42578125" style="1795" bestFit="1" customWidth="1"/>
    <col min="15889" max="15891" width="11" style="1795" bestFit="1" customWidth="1"/>
    <col min="15892" max="15893" width="9.28515625" style="1795" bestFit="1" customWidth="1"/>
    <col min="15894" max="15894" width="2" style="1795" customWidth="1"/>
    <col min="15895" max="16129" width="9.140625" style="1795"/>
    <col min="16130" max="16130" width="31.28515625" style="1795" customWidth="1"/>
    <col min="16131" max="16131" width="15.85546875" style="1795" bestFit="1" customWidth="1"/>
    <col min="16132" max="16132" width="10" style="1795" customWidth="1"/>
    <col min="16133" max="16133" width="2.28515625" style="1795" customWidth="1"/>
    <col min="16134" max="16134" width="33" style="1795" customWidth="1"/>
    <col min="16135" max="16135" width="2.7109375" style="1795" customWidth="1"/>
    <col min="16136" max="16136" width="12.5703125" style="1795" bestFit="1" customWidth="1"/>
    <col min="16137" max="16140" width="13" style="1795" bestFit="1" customWidth="1"/>
    <col min="16141" max="16141" width="2.28515625" style="1795" customWidth="1"/>
    <col min="16142" max="16142" width="10.7109375" style="1795" customWidth="1"/>
    <col min="16143" max="16143" width="15.5703125" style="1795" customWidth="1"/>
    <col min="16144" max="16144" width="13.42578125" style="1795" bestFit="1" customWidth="1"/>
    <col min="16145" max="16147" width="11" style="1795" bestFit="1" customWidth="1"/>
    <col min="16148" max="16149" width="9.28515625" style="1795" bestFit="1" customWidth="1"/>
    <col min="16150" max="16150" width="2" style="1795" customWidth="1"/>
    <col min="16151" max="16384" width="9.140625" style="1795"/>
  </cols>
  <sheetData>
    <row r="1" spans="1:22" ht="15">
      <c r="A1" s="1793" t="s">
        <v>989</v>
      </c>
      <c r="B1" s="1794"/>
    </row>
    <row r="2" spans="1:22" ht="13.5" thickBot="1">
      <c r="A2" s="1796"/>
      <c r="D2" s="1797"/>
      <c r="F2" s="1798">
        <v>2022</v>
      </c>
      <c r="G2" s="1798">
        <f t="shared" ref="G2:L2" si="0">F2+1</f>
        <v>2023</v>
      </c>
      <c r="H2" s="1798">
        <f t="shared" si="0"/>
        <v>2024</v>
      </c>
      <c r="I2" s="1798">
        <f t="shared" si="0"/>
        <v>2025</v>
      </c>
      <c r="J2" s="1798">
        <f t="shared" si="0"/>
        <v>2026</v>
      </c>
      <c r="K2" s="1799">
        <f t="shared" si="0"/>
        <v>2027</v>
      </c>
      <c r="L2" s="1799">
        <f t="shared" si="0"/>
        <v>2028</v>
      </c>
      <c r="M2" s="1799"/>
    </row>
    <row r="3" spans="1:22" ht="15.75" thickBot="1">
      <c r="A3" s="1800" t="s">
        <v>11</v>
      </c>
      <c r="B3" s="1801">
        <v>5</v>
      </c>
      <c r="D3" s="1797"/>
      <c r="E3" s="1802" t="s">
        <v>772</v>
      </c>
      <c r="F3" s="1803"/>
      <c r="G3" s="1803">
        <v>1</v>
      </c>
      <c r="H3" s="1803">
        <v>2</v>
      </c>
      <c r="I3" s="1803">
        <v>3</v>
      </c>
      <c r="J3" s="1803">
        <v>4</v>
      </c>
      <c r="K3" s="1803">
        <v>5</v>
      </c>
      <c r="L3" s="1803">
        <v>6</v>
      </c>
      <c r="M3" s="1804">
        <v>7</v>
      </c>
      <c r="O3" s="1805" t="s">
        <v>693</v>
      </c>
      <c r="P3" s="1806"/>
      <c r="Q3" s="1807">
        <f>G4</f>
        <v>2023</v>
      </c>
      <c r="R3" s="1807">
        <f>H4</f>
        <v>2024</v>
      </c>
      <c r="S3" s="1807">
        <f>I4</f>
        <v>2025</v>
      </c>
      <c r="T3" s="1807">
        <f>J4</f>
        <v>2026</v>
      </c>
      <c r="U3" s="1801">
        <f>K4</f>
        <v>2027</v>
      </c>
    </row>
    <row r="4" spans="1:22" ht="13.5" thickBot="1">
      <c r="A4" s="1808" t="s">
        <v>15</v>
      </c>
      <c r="B4" s="1809">
        <f>Bond!B12</f>
        <v>45285</v>
      </c>
      <c r="D4" s="1797"/>
      <c r="E4" s="1810"/>
      <c r="F4" s="1811"/>
      <c r="G4" s="1812">
        <f>YEAR(B4)</f>
        <v>2023</v>
      </c>
      <c r="H4" s="1812">
        <f t="shared" ref="H4:M4" si="1">G4+1</f>
        <v>2024</v>
      </c>
      <c r="I4" s="1812">
        <f t="shared" si="1"/>
        <v>2025</v>
      </c>
      <c r="J4" s="1812">
        <f t="shared" si="1"/>
        <v>2026</v>
      </c>
      <c r="K4" s="1812">
        <f t="shared" si="1"/>
        <v>2027</v>
      </c>
      <c r="L4" s="1812">
        <f t="shared" si="1"/>
        <v>2028</v>
      </c>
      <c r="M4" s="1813">
        <f t="shared" si="1"/>
        <v>2029</v>
      </c>
      <c r="O4" s="1814" t="s">
        <v>400</v>
      </c>
      <c r="P4" s="1815"/>
      <c r="Q4" s="1815"/>
      <c r="R4" s="1815"/>
      <c r="S4" s="1815"/>
      <c r="T4" s="1815"/>
      <c r="U4" s="1816"/>
    </row>
    <row r="5" spans="1:22" ht="13.5" thickBot="1">
      <c r="A5" s="1817" t="s">
        <v>401</v>
      </c>
      <c r="B5" s="1818">
        <f>IF(SUM(G35:J35)=0,DATE(K4,12,31),DATE(M4,12,31))</f>
        <v>46752</v>
      </c>
      <c r="D5" s="1797"/>
      <c r="E5" s="1819"/>
      <c r="F5" s="1815"/>
      <c r="G5" s="1815"/>
      <c r="H5" s="1815"/>
      <c r="I5" s="1815"/>
      <c r="J5" s="1815"/>
      <c r="K5" s="1815"/>
      <c r="L5" s="1815"/>
      <c r="M5" s="1816"/>
      <c r="O5" s="1820">
        <f>O92</f>
        <v>2023</v>
      </c>
      <c r="P5" s="1821"/>
      <c r="Q5" s="1822">
        <v>1</v>
      </c>
      <c r="R5" s="1822">
        <v>0.5</v>
      </c>
      <c r="S5" s="1822">
        <v>0.35</v>
      </c>
      <c r="T5" s="1822">
        <v>0</v>
      </c>
      <c r="U5" s="1823">
        <v>0</v>
      </c>
      <c r="V5" s="1824"/>
    </row>
    <row r="6" spans="1:22" ht="13.5" thickBot="1">
      <c r="D6" s="1797"/>
      <c r="E6" s="1715" t="s">
        <v>990</v>
      </c>
      <c r="F6" s="1821"/>
      <c r="G6" s="969">
        <f>B24</f>
        <v>100000</v>
      </c>
      <c r="H6" s="969">
        <f t="shared" ref="H6:M6" si="2">G9</f>
        <v>100000</v>
      </c>
      <c r="I6" s="969">
        <f>H9</f>
        <v>100000</v>
      </c>
      <c r="J6" s="969">
        <f t="shared" si="2"/>
        <v>100000</v>
      </c>
      <c r="K6" s="969">
        <f t="shared" si="2"/>
        <v>100000</v>
      </c>
      <c r="L6" s="969">
        <f t="shared" si="2"/>
        <v>0</v>
      </c>
      <c r="M6" s="970">
        <f t="shared" si="2"/>
        <v>0</v>
      </c>
      <c r="O6" s="1820">
        <f>O93</f>
        <v>2024</v>
      </c>
      <c r="P6" s="1821"/>
      <c r="Q6" s="1825"/>
      <c r="R6" s="1822">
        <v>1</v>
      </c>
      <c r="S6" s="1822">
        <v>0.5</v>
      </c>
      <c r="T6" s="1822">
        <v>0.2</v>
      </c>
      <c r="U6" s="1823">
        <v>0.1</v>
      </c>
      <c r="V6" s="1824"/>
    </row>
    <row r="7" spans="1:22" ht="13.5" thickBot="1">
      <c r="A7" s="1805" t="s">
        <v>697</v>
      </c>
      <c r="B7" s="1826">
        <v>4</v>
      </c>
      <c r="D7" s="1797"/>
      <c r="E7" s="1715" t="s">
        <v>685</v>
      </c>
      <c r="F7" s="1821"/>
      <c r="G7" s="969">
        <f t="shared" ref="G7:M7" si="3">-G35*$B$10</f>
        <v>0</v>
      </c>
      <c r="H7" s="969">
        <f t="shared" si="3"/>
        <v>0</v>
      </c>
      <c r="I7" s="969">
        <f t="shared" si="3"/>
        <v>0</v>
      </c>
      <c r="J7" s="969">
        <f t="shared" si="3"/>
        <v>0</v>
      </c>
      <c r="K7" s="969">
        <f t="shared" si="3"/>
        <v>0</v>
      </c>
      <c r="L7" s="969">
        <f t="shared" si="3"/>
        <v>0</v>
      </c>
      <c r="M7" s="970">
        <f t="shared" si="3"/>
        <v>0</v>
      </c>
      <c r="O7" s="1820">
        <f>O94</f>
        <v>2025</v>
      </c>
      <c r="P7" s="1821"/>
      <c r="Q7" s="1825"/>
      <c r="R7" s="1827"/>
      <c r="S7" s="1822">
        <v>1</v>
      </c>
      <c r="T7" s="1822">
        <v>0.5</v>
      </c>
      <c r="U7" s="1823">
        <v>0.1</v>
      </c>
      <c r="V7" s="1824"/>
    </row>
    <row r="8" spans="1:22" ht="13.5" thickBot="1">
      <c r="B8" s="1828"/>
      <c r="D8" s="1797"/>
      <c r="E8" s="1715" t="s">
        <v>393</v>
      </c>
      <c r="F8" s="1821"/>
      <c r="G8" s="974"/>
      <c r="H8" s="974"/>
      <c r="I8" s="974"/>
      <c r="J8" s="974"/>
      <c r="K8" s="974">
        <f>IF(K4=YEAR($B$5),-K6-K7,0)</f>
        <v>-100000</v>
      </c>
      <c r="L8" s="974"/>
      <c r="M8" s="975"/>
      <c r="N8" s="1829"/>
      <c r="O8" s="1820">
        <f>O95</f>
        <v>2026</v>
      </c>
      <c r="P8" s="1821"/>
      <c r="Q8" s="1825"/>
      <c r="R8" s="1830"/>
      <c r="S8" s="1830"/>
      <c r="T8" s="1822">
        <v>0.5</v>
      </c>
      <c r="U8" s="1823">
        <v>0.5</v>
      </c>
      <c r="V8" s="1824"/>
    </row>
    <row r="9" spans="1:22" ht="13.5" thickBot="1">
      <c r="A9" s="1819" t="s">
        <v>992</v>
      </c>
      <c r="B9" s="1831">
        <f>Bond!B6</f>
        <v>196</v>
      </c>
      <c r="C9" s="1797"/>
      <c r="D9" s="1797"/>
      <c r="E9" s="1716" t="s">
        <v>991</v>
      </c>
      <c r="F9" s="1832"/>
      <c r="G9" s="1833">
        <f t="shared" ref="G9:L9" si="4">SUM(G6:G8)</f>
        <v>100000</v>
      </c>
      <c r="H9" s="1833">
        <f t="shared" si="4"/>
        <v>100000</v>
      </c>
      <c r="I9" s="1833">
        <f t="shared" si="4"/>
        <v>100000</v>
      </c>
      <c r="J9" s="1833">
        <f t="shared" si="4"/>
        <v>100000</v>
      </c>
      <c r="K9" s="1833">
        <f>SUM(K6:K8)</f>
        <v>0</v>
      </c>
      <c r="L9" s="1833">
        <f t="shared" si="4"/>
        <v>0</v>
      </c>
      <c r="M9" s="1834">
        <f>SUM(M6:M8)</f>
        <v>0</v>
      </c>
      <c r="N9" s="1835"/>
      <c r="O9" s="1820">
        <f>O96</f>
        <v>2027</v>
      </c>
      <c r="P9" s="1821"/>
      <c r="Q9" s="1825"/>
      <c r="R9" s="1836"/>
      <c r="S9" s="1836"/>
      <c r="T9" s="1836"/>
      <c r="U9" s="1823">
        <v>1</v>
      </c>
      <c r="V9" s="1824"/>
    </row>
    <row r="10" spans="1:22" ht="13.5" thickBot="1">
      <c r="A10" s="1715" t="s">
        <v>694</v>
      </c>
      <c r="B10" s="1746">
        <f>Bond!B7</f>
        <v>25000</v>
      </c>
      <c r="C10" s="1797"/>
      <c r="D10" s="1837"/>
      <c r="K10" s="1821"/>
      <c r="L10" s="1821"/>
      <c r="M10" s="1821"/>
      <c r="N10" s="1835"/>
      <c r="O10" s="1820">
        <v>2027</v>
      </c>
      <c r="P10" s="1821"/>
      <c r="Q10" s="1838"/>
      <c r="R10" s="1839"/>
      <c r="S10" s="1839"/>
      <c r="T10" s="1839"/>
      <c r="U10" s="1840"/>
      <c r="V10" s="1824"/>
    </row>
    <row r="11" spans="1:22" ht="13.5" thickBot="1">
      <c r="A11" s="1716" t="s">
        <v>695</v>
      </c>
      <c r="B11" s="1841">
        <f>Bond!B8</f>
        <v>4900000</v>
      </c>
      <c r="C11" s="1797"/>
      <c r="D11" s="1837"/>
      <c r="E11" s="1814" t="s">
        <v>993</v>
      </c>
      <c r="F11" s="1815"/>
      <c r="G11" s="1815"/>
      <c r="H11" s="1815"/>
      <c r="I11" s="1815"/>
      <c r="J11" s="1815"/>
      <c r="K11" s="1815"/>
      <c r="L11" s="1815"/>
      <c r="M11" s="1816"/>
      <c r="N11" s="1835"/>
      <c r="O11" s="1820"/>
      <c r="P11" s="1821"/>
      <c r="Q11" s="1838"/>
      <c r="R11" s="1839"/>
      <c r="S11" s="1839"/>
      <c r="T11" s="1839"/>
      <c r="U11" s="1840"/>
    </row>
    <row r="12" spans="1:22" ht="13.5" thickBot="1">
      <c r="C12" s="1797"/>
      <c r="D12" s="1797"/>
      <c r="E12" s="1715" t="s">
        <v>422</v>
      </c>
      <c r="F12" s="1821"/>
      <c r="G12" s="1842">
        <f>(($B$18*G34)+MROUND(FLOOR(G34,4),4)/4*$B$19)*((DATE(G4,12,31)-B4+1)/365)</f>
        <v>7.0191780821917815</v>
      </c>
      <c r="H12" s="1842">
        <f t="shared" ref="H12:M12" si="5">IF(H34&lt;0,0,($B$18*H34)+MROUND(FLOOR(H34,4),4)/4*$B$19)</f>
        <v>366</v>
      </c>
      <c r="I12" s="1842">
        <f t="shared" si="5"/>
        <v>366</v>
      </c>
      <c r="J12" s="1842">
        <f t="shared" si="5"/>
        <v>366</v>
      </c>
      <c r="K12" s="1842">
        <f t="shared" si="5"/>
        <v>366</v>
      </c>
      <c r="L12" s="1842">
        <f t="shared" si="5"/>
        <v>0</v>
      </c>
      <c r="M12" s="1843">
        <f t="shared" si="5"/>
        <v>0</v>
      </c>
      <c r="N12" s="1835"/>
      <c r="O12" s="1844" t="s">
        <v>404</v>
      </c>
      <c r="P12" s="1821"/>
      <c r="Q12" s="1821"/>
      <c r="R12" s="1821"/>
      <c r="S12" s="1821"/>
      <c r="T12" s="1821"/>
      <c r="U12" s="1845"/>
    </row>
    <row r="13" spans="1:22">
      <c r="A13" s="1814" t="s">
        <v>681</v>
      </c>
      <c r="B13" s="1816"/>
      <c r="C13" s="1797"/>
      <c r="D13" s="1797"/>
      <c r="E13" s="1715" t="s">
        <v>409</v>
      </c>
      <c r="F13" s="1821"/>
      <c r="G13" s="1846">
        <f>G78</f>
        <v>25.1</v>
      </c>
      <c r="H13" s="1847">
        <f>H79</f>
        <v>25.602</v>
      </c>
      <c r="I13" s="1847">
        <f>I80</f>
        <v>26.114039999999999</v>
      </c>
      <c r="J13" s="1847">
        <f>J81</f>
        <v>26.6363208</v>
      </c>
      <c r="K13" s="1847">
        <f>K82</f>
        <v>27.169047215999999</v>
      </c>
      <c r="L13" s="1847">
        <f>IF(L3&gt;B3,0,L82)</f>
        <v>0</v>
      </c>
      <c r="M13" s="1848">
        <f>IF(M3&gt;C3,0,M82)</f>
        <v>0</v>
      </c>
      <c r="N13" s="1835"/>
      <c r="O13" s="1820">
        <f>O5</f>
        <v>2023</v>
      </c>
      <c r="P13" s="1821"/>
      <c r="Q13" s="1849">
        <f>MROUND(Q5*$G$12,1)</f>
        <v>7</v>
      </c>
      <c r="R13" s="1849">
        <f>IF(SUM($P$22:Q22)&gt;0,0,MROUND(R5*$G$12,1))</f>
        <v>4</v>
      </c>
      <c r="S13" s="1849">
        <f>IF(SUM($P$22:R22)&gt;0,0,MROUND(S5*$G$12,1))</f>
        <v>2</v>
      </c>
      <c r="T13" s="1849">
        <f>IF(SUM($P$22:S22)&gt;0,0,MROUND(T5*$G$12,1))</f>
        <v>0</v>
      </c>
      <c r="U13" s="1850">
        <f>IF(SUM($P$22:T22)&gt;0,0,MROUND(U5*$G$12,1))</f>
        <v>0</v>
      </c>
    </row>
    <row r="14" spans="1:22">
      <c r="A14" s="1715" t="s">
        <v>682</v>
      </c>
      <c r="B14" s="1851">
        <v>4</v>
      </c>
      <c r="D14" s="1797"/>
      <c r="E14" s="1844" t="s">
        <v>698</v>
      </c>
      <c r="F14" s="1821"/>
      <c r="G14" s="1852">
        <f t="shared" ref="G14:M14" si="6">G12*G13</f>
        <v>176.18136986301371</v>
      </c>
      <c r="H14" s="1852">
        <f t="shared" si="6"/>
        <v>9370.3320000000003</v>
      </c>
      <c r="I14" s="1852">
        <f t="shared" si="6"/>
        <v>9557.7386399999996</v>
      </c>
      <c r="J14" s="1852">
        <f t="shared" si="6"/>
        <v>9748.8934128000001</v>
      </c>
      <c r="K14" s="1852">
        <f t="shared" si="6"/>
        <v>9943.8712810559991</v>
      </c>
      <c r="L14" s="1852">
        <f t="shared" si="6"/>
        <v>0</v>
      </c>
      <c r="M14" s="1853">
        <f t="shared" si="6"/>
        <v>0</v>
      </c>
      <c r="N14" s="1835"/>
      <c r="O14" s="1820">
        <f>O6</f>
        <v>2024</v>
      </c>
      <c r="P14" s="1821"/>
      <c r="Q14" s="1854"/>
      <c r="R14" s="1849">
        <f>IF(SUM($P$23:Q23)&gt;0,0,MROUND(R6*$H$12,1))</f>
        <v>366</v>
      </c>
      <c r="S14" s="1849">
        <f>IF(SUM($P$23:R23)&gt;0,0,MROUND(S6*$H$12,1))</f>
        <v>183</v>
      </c>
      <c r="T14" s="1849">
        <f>IF(SUM($P$23:S23)&gt;0,0,MROUND(T6*$H$12,1))</f>
        <v>73</v>
      </c>
      <c r="U14" s="1850">
        <f>IF(SUM($P$23:T23)&gt;0,0,MROUND(U6*$H$12,1))</f>
        <v>37</v>
      </c>
    </row>
    <row r="15" spans="1:22" ht="13.5" thickBot="1">
      <c r="A15" s="1716" t="s">
        <v>185</v>
      </c>
      <c r="B15" s="1855">
        <v>100000</v>
      </c>
      <c r="D15" s="1797"/>
      <c r="E15" s="1715"/>
      <c r="F15" s="1821"/>
      <c r="G15" s="1856"/>
      <c r="H15" s="1856"/>
      <c r="I15" s="1856"/>
      <c r="J15" s="1856"/>
      <c r="K15" s="1856"/>
      <c r="L15" s="1856"/>
      <c r="M15" s="1857"/>
      <c r="N15" s="1835"/>
      <c r="O15" s="1820">
        <f>O7</f>
        <v>2025</v>
      </c>
      <c r="P15" s="1821"/>
      <c r="Q15" s="1854"/>
      <c r="R15" s="1854"/>
      <c r="S15" s="1849">
        <f>IF(SUM($P$24:R24)&gt;0,0,MROUND(S7*$I$12,1))</f>
        <v>366</v>
      </c>
      <c r="T15" s="1849">
        <f>IF(SUM($P$24:S24)&gt;0,0,MROUND(T7*$I$12,1))</f>
        <v>183</v>
      </c>
      <c r="U15" s="1850">
        <f>IF(SUM($P$24:T24)&gt;0,0,MROUND(U7*$I$12,1))</f>
        <v>37</v>
      </c>
    </row>
    <row r="16" spans="1:22">
      <c r="D16" s="1797"/>
      <c r="E16" s="1844"/>
      <c r="F16" s="1821"/>
      <c r="G16" s="1849"/>
      <c r="H16" s="1821"/>
      <c r="I16" s="1821"/>
      <c r="J16" s="1821"/>
      <c r="K16" s="1821"/>
      <c r="L16" s="1821"/>
      <c r="M16" s="1845"/>
      <c r="N16" s="1835"/>
      <c r="O16" s="1820">
        <f>O8</f>
        <v>2026</v>
      </c>
      <c r="P16" s="1821"/>
      <c r="Q16" s="1854"/>
      <c r="R16" s="1854"/>
      <c r="S16" s="1854"/>
      <c r="T16" s="1849">
        <f>IF(SUM($P$25:S25)&gt;0,0,MROUND(T8*$J$12,1))</f>
        <v>183</v>
      </c>
      <c r="U16" s="1850">
        <f>IF(SUM($P$25:T25)&gt;0,0,MROUND(U8*$J$12,1))</f>
        <v>183</v>
      </c>
    </row>
    <row r="17" spans="1:22" ht="13.5" thickBot="1">
      <c r="A17" s="1858" t="s">
        <v>994</v>
      </c>
      <c r="D17" s="1859"/>
      <c r="E17" s="1715" t="str">
        <f>E14</f>
        <v xml:space="preserve">Value of bottles </v>
      </c>
      <c r="F17" s="1821"/>
      <c r="G17" s="1860">
        <f t="shared" ref="G17:M17" si="7">G14</f>
        <v>176.18136986301371</v>
      </c>
      <c r="H17" s="1860">
        <f>H14</f>
        <v>9370.3320000000003</v>
      </c>
      <c r="I17" s="1860">
        <f t="shared" si="7"/>
        <v>9557.7386399999996</v>
      </c>
      <c r="J17" s="1860">
        <f t="shared" si="7"/>
        <v>9748.8934128000001</v>
      </c>
      <c r="K17" s="1860">
        <f t="shared" si="7"/>
        <v>9943.8712810559991</v>
      </c>
      <c r="L17" s="1860">
        <f t="shared" si="7"/>
        <v>0</v>
      </c>
      <c r="M17" s="1861">
        <f t="shared" si="7"/>
        <v>0</v>
      </c>
      <c r="N17" s="1835"/>
      <c r="O17" s="1820">
        <f>O9</f>
        <v>2027</v>
      </c>
      <c r="P17" s="1821"/>
      <c r="Q17" s="1854"/>
      <c r="R17" s="1854"/>
      <c r="S17" s="1854"/>
      <c r="T17" s="1854"/>
      <c r="U17" s="1850">
        <f>IF(SUM($P$26:T26)&gt;0,0,MROUND(U9*$K$12,1))</f>
        <v>366</v>
      </c>
    </row>
    <row r="18" spans="1:22">
      <c r="A18" s="1819" t="s">
        <v>995</v>
      </c>
      <c r="B18" s="1862">
        <v>91</v>
      </c>
      <c r="D18" s="1859"/>
      <c r="E18" s="1715" t="s">
        <v>701</v>
      </c>
      <c r="F18" s="1821"/>
      <c r="G18" s="1860">
        <f t="shared" ref="G18:M18" si="8">Q98</f>
        <v>0</v>
      </c>
      <c r="H18" s="1860">
        <f t="shared" si="8"/>
        <v>1.5059999999999967</v>
      </c>
      <c r="I18" s="1860">
        <f t="shared" si="8"/>
        <v>94.737219945205297</v>
      </c>
      <c r="J18" s="1860">
        <f t="shared" si="8"/>
        <v>154.07283600000022</v>
      </c>
      <c r="K18" s="1860">
        <f t="shared" si="8"/>
        <v>233.86689662399962</v>
      </c>
      <c r="L18" s="1860">
        <f t="shared" si="8"/>
        <v>0</v>
      </c>
      <c r="M18" s="1861">
        <f t="shared" si="8"/>
        <v>0</v>
      </c>
      <c r="N18" s="1835"/>
      <c r="O18" s="1820">
        <v>2027</v>
      </c>
      <c r="P18" s="1821"/>
      <c r="Q18" s="1863"/>
      <c r="R18" s="1863"/>
      <c r="S18" s="1863"/>
      <c r="T18" s="1863"/>
      <c r="U18" s="1864"/>
    </row>
    <row r="19" spans="1:22">
      <c r="A19" s="1715" t="s">
        <v>996</v>
      </c>
      <c r="B19" s="1845">
        <v>2</v>
      </c>
      <c r="C19" s="1865"/>
      <c r="D19" s="1797"/>
      <c r="E19" s="1037" t="s">
        <v>414</v>
      </c>
      <c r="F19" s="1821"/>
      <c r="G19" s="974">
        <f t="shared" ref="G19:M19" si="9">Q81</f>
        <v>0</v>
      </c>
      <c r="H19" s="974">
        <f t="shared" si="9"/>
        <v>2.0079999999999956</v>
      </c>
      <c r="I19" s="974">
        <f t="shared" si="9"/>
        <v>94.727399999999818</v>
      </c>
      <c r="J19" s="974">
        <f t="shared" si="9"/>
        <v>133.7038848000002</v>
      </c>
      <c r="K19" s="974">
        <f t="shared" si="9"/>
        <v>0</v>
      </c>
      <c r="L19" s="974">
        <f t="shared" si="9"/>
        <v>0</v>
      </c>
      <c r="M19" s="975">
        <f t="shared" si="9"/>
        <v>0</v>
      </c>
      <c r="N19" s="1835"/>
      <c r="O19" s="1715"/>
      <c r="P19" s="1821"/>
      <c r="Q19" s="1849">
        <f>SUM(Q13:Q18)</f>
        <v>7</v>
      </c>
      <c r="R19" s="1849">
        <f>SUM(R13:R18)</f>
        <v>370</v>
      </c>
      <c r="S19" s="1849">
        <f>SUM(S13:S18)</f>
        <v>551</v>
      </c>
      <c r="T19" s="1849">
        <f>SUM(T13:T18)</f>
        <v>439</v>
      </c>
      <c r="U19" s="1850">
        <f>SUM(U13:U18)</f>
        <v>623</v>
      </c>
    </row>
    <row r="20" spans="1:22" ht="13.5" thickBot="1">
      <c r="A20" s="1716" t="s">
        <v>683</v>
      </c>
      <c r="B20" s="1866">
        <f>B18*B14+B19</f>
        <v>366</v>
      </c>
      <c r="D20" s="1797"/>
      <c r="E20" s="1844" t="s">
        <v>699</v>
      </c>
      <c r="F20" s="1821"/>
      <c r="G20" s="1852">
        <f t="shared" ref="G20:M20" si="10">G17+G19+G18</f>
        <v>176.18136986301371</v>
      </c>
      <c r="H20" s="1852">
        <f t="shared" si="10"/>
        <v>9373.8459999999995</v>
      </c>
      <c r="I20" s="1852">
        <f t="shared" si="10"/>
        <v>9747.203259945205</v>
      </c>
      <c r="J20" s="1852">
        <f t="shared" si="10"/>
        <v>10036.670133600001</v>
      </c>
      <c r="K20" s="1852">
        <f t="shared" si="10"/>
        <v>10177.738177679999</v>
      </c>
      <c r="L20" s="1852">
        <f t="shared" si="10"/>
        <v>0</v>
      </c>
      <c r="M20" s="1853">
        <f t="shared" si="10"/>
        <v>0</v>
      </c>
      <c r="N20" s="1835"/>
      <c r="O20" s="1715"/>
      <c r="P20" s="1821"/>
      <c r="Q20" s="1849"/>
      <c r="R20" s="1849"/>
      <c r="S20" s="1849"/>
      <c r="T20" s="1849"/>
      <c r="U20" s="1850"/>
    </row>
    <row r="21" spans="1:22">
      <c r="D21" s="1797"/>
      <c r="E21" s="1715"/>
      <c r="F21" s="1821"/>
      <c r="G21" s="1852"/>
      <c r="H21" s="1852"/>
      <c r="I21" s="1852"/>
      <c r="J21" s="1852"/>
      <c r="K21" s="1852"/>
      <c r="L21" s="1852"/>
      <c r="M21" s="1853"/>
      <c r="N21" s="1835"/>
      <c r="O21" s="1844" t="s">
        <v>1036</v>
      </c>
      <c r="P21" s="1821"/>
      <c r="Q21" s="1849"/>
      <c r="R21" s="1849"/>
      <c r="S21" s="1849"/>
      <c r="T21" s="1849"/>
      <c r="U21" s="1850"/>
      <c r="V21" s="1867"/>
    </row>
    <row r="22" spans="1:22" ht="13.5" thickBot="1">
      <c r="A22" s="1858" t="s">
        <v>684</v>
      </c>
      <c r="D22" s="1797"/>
      <c r="E22" s="1715" t="s">
        <v>704</v>
      </c>
      <c r="F22" s="1821"/>
      <c r="G22" s="1852">
        <f t="shared" ref="G22:M22" si="11">-Q107</f>
        <v>0</v>
      </c>
      <c r="H22" s="1852">
        <f t="shared" si="11"/>
        <v>0</v>
      </c>
      <c r="I22" s="1852">
        <f t="shared" si="11"/>
        <v>0</v>
      </c>
      <c r="J22" s="1852">
        <f t="shared" si="11"/>
        <v>0</v>
      </c>
      <c r="K22" s="1852">
        <f t="shared" si="11"/>
        <v>0</v>
      </c>
      <c r="L22" s="1852">
        <f t="shared" si="11"/>
        <v>0</v>
      </c>
      <c r="M22" s="1853">
        <f t="shared" si="11"/>
        <v>0</v>
      </c>
      <c r="N22" s="1835"/>
      <c r="O22" s="1820">
        <f t="shared" ref="O22:O27" si="12">O13</f>
        <v>2023</v>
      </c>
      <c r="P22" s="1821"/>
      <c r="Q22" s="1849">
        <f>IF(F$37=0,0,IF(G$37=0,Q13,0))</f>
        <v>0</v>
      </c>
      <c r="R22" s="1849">
        <f>IF(G$37=0,0,IF(H$37=0,R13,0))</f>
        <v>0</v>
      </c>
      <c r="S22" s="1849">
        <f>IF(H$37=0,0,IF(I$37=0,S13,0))</f>
        <v>0</v>
      </c>
      <c r="T22" s="1849">
        <f>IF(I$37=0,0,IF(J$37=0,T13,0))</f>
        <v>0</v>
      </c>
      <c r="U22" s="1850">
        <f>IF(J$37=0,0,IF(K$37=0,U13,0))</f>
        <v>0</v>
      </c>
    </row>
    <row r="23" spans="1:22">
      <c r="A23" s="1819" t="s">
        <v>682</v>
      </c>
      <c r="B23" s="1881">
        <f>B7</f>
        <v>4</v>
      </c>
      <c r="D23" s="1797"/>
      <c r="E23" s="1715"/>
      <c r="F23" s="1821"/>
      <c r="G23" s="1860"/>
      <c r="H23" s="1860"/>
      <c r="I23" s="1860"/>
      <c r="J23" s="1860"/>
      <c r="K23" s="1860"/>
      <c r="L23" s="1860"/>
      <c r="M23" s="1861"/>
      <c r="N23" s="1835"/>
      <c r="O23" s="1820">
        <f t="shared" si="12"/>
        <v>2024</v>
      </c>
      <c r="P23" s="1821"/>
      <c r="Q23" s="1854"/>
      <c r="R23" s="1849">
        <f>IF(G$37=0,0,IF(H$37=0,R14,0))</f>
        <v>0</v>
      </c>
      <c r="S23" s="1849">
        <f>IF(H$37=0,0,IF(I$37=0,S14,0))</f>
        <v>0</v>
      </c>
      <c r="T23" s="1849">
        <f>IF(I$37=0,0,IF(J$37=0,T14,0))</f>
        <v>0</v>
      </c>
      <c r="U23" s="1850">
        <f>IF(J$37=0,0,IF(K$37=0,U14,0))</f>
        <v>37</v>
      </c>
    </row>
    <row r="24" spans="1:22">
      <c r="A24" s="1715" t="s">
        <v>185</v>
      </c>
      <c r="B24" s="1861">
        <f>B23*B10</f>
        <v>100000</v>
      </c>
      <c r="D24" s="1797"/>
      <c r="E24" s="1844" t="s">
        <v>700</v>
      </c>
      <c r="F24" s="1821"/>
      <c r="G24" s="1852">
        <f t="shared" ref="G24:M24" si="13">G20+G22</f>
        <v>176.18136986301371</v>
      </c>
      <c r="H24" s="1852">
        <f t="shared" si="13"/>
        <v>9373.8459999999995</v>
      </c>
      <c r="I24" s="1852">
        <f t="shared" si="13"/>
        <v>9747.203259945205</v>
      </c>
      <c r="J24" s="1852">
        <f t="shared" si="13"/>
        <v>10036.670133600001</v>
      </c>
      <c r="K24" s="1852">
        <f t="shared" si="13"/>
        <v>10177.738177679999</v>
      </c>
      <c r="L24" s="1852">
        <f t="shared" si="13"/>
        <v>0</v>
      </c>
      <c r="M24" s="1853">
        <f t="shared" si="13"/>
        <v>0</v>
      </c>
      <c r="N24" s="1835"/>
      <c r="O24" s="1820">
        <f t="shared" si="12"/>
        <v>2025</v>
      </c>
      <c r="P24" s="1821"/>
      <c r="Q24" s="1854"/>
      <c r="R24" s="1854"/>
      <c r="S24" s="1849">
        <f>IF(H$37=0,0,IF(I$37=0,S15,0))</f>
        <v>0</v>
      </c>
      <c r="T24" s="1849">
        <f>IF(I$37=0,0,IF(J$37=0,T15,0))</f>
        <v>0</v>
      </c>
      <c r="U24" s="1850">
        <f>IF(J$37=0,0,IF(K$37=0,U15,0))</f>
        <v>37</v>
      </c>
    </row>
    <row r="25" spans="1:22" ht="13.5" thickBot="1">
      <c r="A25" s="1716" t="s">
        <v>1009</v>
      </c>
      <c r="B25" s="1855">
        <f>(B18*B23)+MROUND(FLOOR(B14,4),4)/4*B19</f>
        <v>366</v>
      </c>
      <c r="D25" s="1797"/>
      <c r="E25" s="1715"/>
      <c r="F25" s="1821"/>
      <c r="G25" s="1868"/>
      <c r="H25" s="1869"/>
      <c r="I25" s="1869"/>
      <c r="J25" s="1869"/>
      <c r="K25" s="1869"/>
      <c r="L25" s="1869"/>
      <c r="M25" s="1870"/>
      <c r="O25" s="1820">
        <f t="shared" si="12"/>
        <v>2026</v>
      </c>
      <c r="P25" s="1821"/>
      <c r="Q25" s="1854"/>
      <c r="R25" s="1854"/>
      <c r="S25" s="1854"/>
      <c r="T25" s="1849">
        <f>IF(I$37=0,0,IF(J$37=0,T16,0))</f>
        <v>0</v>
      </c>
      <c r="U25" s="1850">
        <f>IF(J$37=0,0,IF(K$37=0,U16,0))</f>
        <v>183</v>
      </c>
    </row>
    <row r="26" spans="1:22">
      <c r="D26" s="1797"/>
      <c r="E26" s="1715" t="s">
        <v>410</v>
      </c>
      <c r="F26" s="1821"/>
      <c r="G26" s="969">
        <f t="shared" ref="G26:M26" si="14">Q37</f>
        <v>0.875</v>
      </c>
      <c r="H26" s="969">
        <f t="shared" si="14"/>
        <v>47.868749999999991</v>
      </c>
      <c r="I26" s="969">
        <f t="shared" si="14"/>
        <v>75.256234312499984</v>
      </c>
      <c r="J26" s="969">
        <f t="shared" si="14"/>
        <v>64.564842793278359</v>
      </c>
      <c r="K26" s="969">
        <f t="shared" si="14"/>
        <v>100.63765056668676</v>
      </c>
      <c r="L26" s="969">
        <f t="shared" si="14"/>
        <v>0</v>
      </c>
      <c r="M26" s="970">
        <f t="shared" si="14"/>
        <v>0</v>
      </c>
      <c r="O26" s="1820">
        <f t="shared" si="12"/>
        <v>2027</v>
      </c>
      <c r="P26" s="1821"/>
      <c r="Q26" s="1854"/>
      <c r="R26" s="1854"/>
      <c r="S26" s="1854"/>
      <c r="T26" s="1854"/>
      <c r="U26" s="1850">
        <f>IF(J$37=0,0,IF(K$37=0,U17,0))</f>
        <v>366</v>
      </c>
    </row>
    <row r="27" spans="1:22" ht="13.5" thickBot="1">
      <c r="A27" s="1858" t="s">
        <v>320</v>
      </c>
      <c r="B27" s="1884"/>
      <c r="D27" s="1797"/>
      <c r="E27" s="1715" t="s">
        <v>411</v>
      </c>
      <c r="F27" s="1821"/>
      <c r="G27" s="969">
        <f t="shared" ref="G27:M27" si="15">Q64</f>
        <v>0</v>
      </c>
      <c r="H27" s="969">
        <f t="shared" si="15"/>
        <v>2.3287499999999994</v>
      </c>
      <c r="I27" s="969">
        <f t="shared" si="15"/>
        <v>143.70844044143834</v>
      </c>
      <c r="J27" s="969">
        <f t="shared" si="15"/>
        <v>403.36024129365364</v>
      </c>
      <c r="K27" s="969">
        <f t="shared" si="15"/>
        <v>449.05469740235384</v>
      </c>
      <c r="L27" s="969">
        <f t="shared" si="15"/>
        <v>0</v>
      </c>
      <c r="M27" s="970">
        <f t="shared" si="15"/>
        <v>0</v>
      </c>
      <c r="O27" s="1820">
        <f t="shared" si="12"/>
        <v>2027</v>
      </c>
      <c r="P27" s="1821"/>
      <c r="Q27" s="1863"/>
      <c r="R27" s="1863"/>
      <c r="S27" s="1863"/>
      <c r="T27" s="1863"/>
      <c r="U27" s="1864"/>
    </row>
    <row r="28" spans="1:22">
      <c r="A28" s="1712" t="s">
        <v>997</v>
      </c>
      <c r="B28" s="1885">
        <v>0.75</v>
      </c>
      <c r="C28" s="1797"/>
      <c r="D28" s="1797"/>
      <c r="E28" s="1844" t="s">
        <v>60</v>
      </c>
      <c r="F28" s="1821"/>
      <c r="G28" s="1871">
        <f t="shared" ref="G28:M28" si="16">G26+G27</f>
        <v>0.875</v>
      </c>
      <c r="H28" s="1871">
        <f t="shared" si="16"/>
        <v>50.197499999999991</v>
      </c>
      <c r="I28" s="1871">
        <f t="shared" si="16"/>
        <v>218.96467475393831</v>
      </c>
      <c r="J28" s="1871">
        <f t="shared" si="16"/>
        <v>467.92508408693197</v>
      </c>
      <c r="K28" s="1872">
        <f t="shared" si="16"/>
        <v>549.69234796904061</v>
      </c>
      <c r="L28" s="1871">
        <f t="shared" si="16"/>
        <v>0</v>
      </c>
      <c r="M28" s="1873">
        <f t="shared" si="16"/>
        <v>0</v>
      </c>
      <c r="O28" s="1715"/>
      <c r="P28" s="1821"/>
      <c r="Q28" s="1849">
        <f>SUM(Q22:Q27)</f>
        <v>0</v>
      </c>
      <c r="R28" s="1849">
        <f>SUM(R22:R27)</f>
        <v>0</v>
      </c>
      <c r="S28" s="1849">
        <f>SUM(S22:S27)</f>
        <v>0</v>
      </c>
      <c r="T28" s="1849">
        <f>SUM(T22:T27)</f>
        <v>0</v>
      </c>
      <c r="U28" s="1850">
        <f>SUM(U22:U27)</f>
        <v>623</v>
      </c>
    </row>
    <row r="29" spans="1:22" ht="13.5" thickBot="1">
      <c r="A29" s="1716" t="s">
        <v>1020</v>
      </c>
      <c r="B29" s="1886">
        <v>0.125</v>
      </c>
      <c r="C29" s="1797"/>
      <c r="D29" s="1797"/>
      <c r="E29" s="1715"/>
      <c r="F29" s="1821"/>
      <c r="G29" s="1821"/>
      <c r="H29" s="1821"/>
      <c r="I29" s="1821"/>
      <c r="J29" s="1821"/>
      <c r="K29" s="1821"/>
      <c r="L29" s="1821"/>
      <c r="M29" s="1845"/>
      <c r="O29" s="1715"/>
      <c r="P29" s="1821"/>
      <c r="Q29" s="1849"/>
      <c r="R29" s="1849"/>
      <c r="S29" s="1849"/>
      <c r="T29" s="1849"/>
      <c r="U29" s="1850"/>
    </row>
    <row r="30" spans="1:22" ht="13.5" thickBot="1">
      <c r="C30" s="1797"/>
      <c r="D30" s="1874"/>
      <c r="E30" s="1844" t="s">
        <v>406</v>
      </c>
      <c r="F30" s="1821"/>
      <c r="G30" s="1852">
        <f t="shared" ref="G30:M30" si="17">G24-G28</f>
        <v>175.30636986301371</v>
      </c>
      <c r="H30" s="1852">
        <f t="shared" si="17"/>
        <v>9323.6484999999993</v>
      </c>
      <c r="I30" s="1852">
        <f t="shared" si="17"/>
        <v>9528.2385851912659</v>
      </c>
      <c r="J30" s="1852">
        <f t="shared" si="17"/>
        <v>9568.7450495130688</v>
      </c>
      <c r="K30" s="1852">
        <f t="shared" si="17"/>
        <v>9628.0458297109581</v>
      </c>
      <c r="L30" s="1852">
        <f t="shared" si="17"/>
        <v>0</v>
      </c>
      <c r="M30" s="1853">
        <f t="shared" si="17"/>
        <v>0</v>
      </c>
      <c r="O30" s="1844" t="s">
        <v>696</v>
      </c>
      <c r="P30" s="1821"/>
      <c r="Q30" s="1821"/>
      <c r="R30" s="1821"/>
      <c r="S30" s="1821"/>
      <c r="T30" s="1821"/>
      <c r="U30" s="1845"/>
    </row>
    <row r="31" spans="1:22" ht="13.5" thickBot="1">
      <c r="A31" s="1887" t="s">
        <v>998</v>
      </c>
      <c r="B31" s="902">
        <v>0.8</v>
      </c>
      <c r="C31" s="1797"/>
      <c r="D31" s="1797"/>
      <c r="E31" s="1875" t="s">
        <v>869</v>
      </c>
      <c r="F31" s="1832"/>
      <c r="G31" s="1876">
        <f>IF(G6=0,0,G30/G6)/((DATE(G4,12,31)-$B$4)/365)</f>
        <v>0.10664470833333335</v>
      </c>
      <c r="H31" s="1876">
        <f t="shared" ref="H31:M31" si="18">IF(H6=0,0,H30/H6)</f>
        <v>9.3236484999999994E-2</v>
      </c>
      <c r="I31" s="1876">
        <f t="shared" si="18"/>
        <v>9.5282385851912663E-2</v>
      </c>
      <c r="J31" s="1876">
        <f t="shared" si="18"/>
        <v>9.5687450495130694E-2</v>
      </c>
      <c r="K31" s="1876">
        <f t="shared" si="18"/>
        <v>9.6280458297109586E-2</v>
      </c>
      <c r="L31" s="1876">
        <f t="shared" si="18"/>
        <v>0</v>
      </c>
      <c r="M31" s="1877">
        <f t="shared" si="18"/>
        <v>0</v>
      </c>
      <c r="O31" s="1820">
        <f>O13</f>
        <v>2023</v>
      </c>
      <c r="P31" s="1821"/>
      <c r="Q31" s="1878">
        <f>Q13*G$96</f>
        <v>0.875</v>
      </c>
      <c r="R31" s="1878">
        <f>R13*H$96</f>
        <v>0.51749999999999996</v>
      </c>
      <c r="S31" s="1878">
        <f>S13*I$96</f>
        <v>0.27316237499999996</v>
      </c>
      <c r="T31" s="1878">
        <f>T13*J$96</f>
        <v>0</v>
      </c>
      <c r="U31" s="1879">
        <f>U13*K$96</f>
        <v>0</v>
      </c>
    </row>
    <row r="32" spans="1:22" ht="13.5" thickBot="1">
      <c r="C32" s="1797"/>
      <c r="D32" s="1797"/>
      <c r="K32" s="1821"/>
      <c r="L32" s="1821"/>
      <c r="M32" s="1821"/>
      <c r="O32" s="1820">
        <f>O14</f>
        <v>2024</v>
      </c>
      <c r="P32" s="1821"/>
      <c r="Q32" s="1880"/>
      <c r="R32" s="1878">
        <f>R14*H$96</f>
        <v>47.351249999999993</v>
      </c>
      <c r="S32" s="1878">
        <f>S14*I$96</f>
        <v>24.994357312499996</v>
      </c>
      <c r="T32" s="1878">
        <f>T14*J$96</f>
        <v>10.736295043073623</v>
      </c>
      <c r="U32" s="1879">
        <f>U14*K$96</f>
        <v>5.9768749132703212</v>
      </c>
    </row>
    <row r="33" spans="1:23">
      <c r="A33" s="1819" t="s">
        <v>999</v>
      </c>
      <c r="B33" s="1889">
        <v>25.1</v>
      </c>
      <c r="C33" s="1797"/>
      <c r="D33" s="1797"/>
      <c r="E33" s="1814" t="s">
        <v>296</v>
      </c>
      <c r="F33" s="1815"/>
      <c r="G33" s="1815"/>
      <c r="H33" s="1815"/>
      <c r="I33" s="1815"/>
      <c r="J33" s="1815"/>
      <c r="K33" s="1815"/>
      <c r="L33" s="1815"/>
      <c r="M33" s="1816"/>
      <c r="O33" s="1820">
        <f>O15</f>
        <v>2025</v>
      </c>
      <c r="P33" s="1821"/>
      <c r="Q33" s="1880"/>
      <c r="R33" s="1880"/>
      <c r="S33" s="1878">
        <f>S15*I$96</f>
        <v>49.988714624999993</v>
      </c>
      <c r="T33" s="1878">
        <f>T15*J$96</f>
        <v>26.914273875102371</v>
      </c>
      <c r="U33" s="1879">
        <f>U15*K$96</f>
        <v>5.9768749132703212</v>
      </c>
    </row>
    <row r="34" spans="1:23" ht="13.5" thickBot="1">
      <c r="A34" s="1716" t="s">
        <v>407</v>
      </c>
      <c r="B34" s="1890">
        <v>0.02</v>
      </c>
      <c r="D34" s="1797"/>
      <c r="E34" s="1715" t="s">
        <v>686</v>
      </c>
      <c r="F34" s="1821"/>
      <c r="G34" s="1860">
        <f>B23</f>
        <v>4</v>
      </c>
      <c r="H34" s="1821">
        <f t="shared" ref="H34:M34" si="19">G37</f>
        <v>4</v>
      </c>
      <c r="I34" s="1821">
        <f t="shared" si="19"/>
        <v>4</v>
      </c>
      <c r="J34" s="1821">
        <f t="shared" si="19"/>
        <v>4</v>
      </c>
      <c r="K34" s="1821">
        <f t="shared" si="19"/>
        <v>4</v>
      </c>
      <c r="L34" s="1821">
        <f t="shared" si="19"/>
        <v>0</v>
      </c>
      <c r="M34" s="1845">
        <f t="shared" si="19"/>
        <v>0</v>
      </c>
      <c r="O34" s="1820">
        <f>O16</f>
        <v>2026</v>
      </c>
      <c r="P34" s="1821"/>
      <c r="Q34" s="1880"/>
      <c r="R34" s="1880"/>
      <c r="S34" s="1880"/>
      <c r="T34" s="1878">
        <f>T16*J$96</f>
        <v>26.914273875102371</v>
      </c>
      <c r="U34" s="1879">
        <f>U16*K$96</f>
        <v>29.561300246715373</v>
      </c>
    </row>
    <row r="35" spans="1:23">
      <c r="D35" s="1797"/>
      <c r="E35" s="1715" t="s">
        <v>296</v>
      </c>
      <c r="F35" s="1821"/>
      <c r="G35" s="1898">
        <f>Bond!F45</f>
        <v>0</v>
      </c>
      <c r="H35" s="1898">
        <v>0</v>
      </c>
      <c r="I35" s="1898">
        <v>0</v>
      </c>
      <c r="J35" s="1898">
        <v>0</v>
      </c>
      <c r="K35" s="1849"/>
      <c r="L35" s="1849"/>
      <c r="M35" s="1850"/>
      <c r="O35" s="1820">
        <f>O17</f>
        <v>2027</v>
      </c>
      <c r="P35" s="1821"/>
      <c r="Q35" s="1880"/>
      <c r="R35" s="1880"/>
      <c r="S35" s="1880"/>
      <c r="T35" s="1880"/>
      <c r="U35" s="1879">
        <f>U17*K$96</f>
        <v>59.122600493430745</v>
      </c>
    </row>
    <row r="36" spans="1:23" ht="13.5" thickBot="1">
      <c r="A36" s="1858" t="s">
        <v>868</v>
      </c>
      <c r="C36" s="1797"/>
      <c r="D36" s="1797"/>
      <c r="E36" s="1715" t="s">
        <v>393</v>
      </c>
      <c r="F36" s="1849"/>
      <c r="G36" s="1913">
        <f t="shared" ref="G36:M36" si="20">-G8/$B$10</f>
        <v>0</v>
      </c>
      <c r="H36" s="1913">
        <f t="shared" si="20"/>
        <v>0</v>
      </c>
      <c r="I36" s="1913">
        <f t="shared" si="20"/>
        <v>0</v>
      </c>
      <c r="J36" s="1913">
        <f t="shared" si="20"/>
        <v>0</v>
      </c>
      <c r="K36" s="1913">
        <f t="shared" si="20"/>
        <v>4</v>
      </c>
      <c r="L36" s="2911">
        <f t="shared" si="20"/>
        <v>0</v>
      </c>
      <c r="M36" s="2912">
        <f t="shared" si="20"/>
        <v>0</v>
      </c>
      <c r="O36" s="1820">
        <v>2027</v>
      </c>
      <c r="P36" s="1821"/>
      <c r="Q36" s="1882"/>
      <c r="R36" s="1882"/>
      <c r="S36" s="1882"/>
      <c r="T36" s="1882"/>
      <c r="U36" s="1883"/>
    </row>
    <row r="37" spans="1:23">
      <c r="A37" s="1892" t="s">
        <v>382</v>
      </c>
      <c r="B37" s="1893">
        <f>B4</f>
        <v>45285</v>
      </c>
      <c r="C37" s="1881">
        <f>-B24</f>
        <v>-100000</v>
      </c>
      <c r="D37" s="1797"/>
      <c r="E37" s="1715" t="s">
        <v>687</v>
      </c>
      <c r="F37" s="1821"/>
      <c r="G37" s="1860">
        <f t="shared" ref="G37:L37" si="21">G34-G35-G36</f>
        <v>4</v>
      </c>
      <c r="H37" s="1860">
        <f t="shared" si="21"/>
        <v>4</v>
      </c>
      <c r="I37" s="1860">
        <f t="shared" si="21"/>
        <v>4</v>
      </c>
      <c r="J37" s="1860">
        <f t="shared" si="21"/>
        <v>4</v>
      </c>
      <c r="K37" s="1860">
        <f>K34-K35-K36</f>
        <v>0</v>
      </c>
      <c r="L37" s="1849">
        <f t="shared" si="21"/>
        <v>0</v>
      </c>
      <c r="M37" s="1850">
        <f>M34-M35-M36</f>
        <v>0</v>
      </c>
      <c r="O37" s="1715"/>
      <c r="P37" s="1821"/>
      <c r="Q37" s="1878">
        <f>SUM(Q31:Q36)</f>
        <v>0.875</v>
      </c>
      <c r="R37" s="1878">
        <f>SUM(R31:R36)</f>
        <v>47.868749999999991</v>
      </c>
      <c r="S37" s="1878">
        <f>SUM(S31:S36)</f>
        <v>75.256234312499984</v>
      </c>
      <c r="T37" s="1878">
        <f>SUM(T31:T36)</f>
        <v>64.564842793278359</v>
      </c>
      <c r="U37" s="1879">
        <f>SUM(U31:U36)</f>
        <v>100.63765056668676</v>
      </c>
    </row>
    <row r="38" spans="1:23">
      <c r="A38" s="1715" t="s">
        <v>706</v>
      </c>
      <c r="B38" s="1895">
        <f>DATE(G4,12,31)</f>
        <v>45291</v>
      </c>
      <c r="C38" s="1861">
        <f>G55</f>
        <v>175.30636986301371</v>
      </c>
      <c r="D38" s="1797"/>
      <c r="E38" s="1715" t="s">
        <v>292</v>
      </c>
      <c r="F38" s="1821"/>
      <c r="G38" s="1860">
        <f>-G7-SUM($F$7:F7)</f>
        <v>0</v>
      </c>
      <c r="H38" s="1860">
        <f>-H7-SUM($F$7:G7)</f>
        <v>0</v>
      </c>
      <c r="I38" s="1860">
        <f>-I7-SUM($F$7:H7)</f>
        <v>0</v>
      </c>
      <c r="J38" s="1860">
        <f>-J7-SUM($F$7:I7)</f>
        <v>0</v>
      </c>
      <c r="K38" s="1860">
        <f>-K7-SUM($F$7:J7)</f>
        <v>0</v>
      </c>
      <c r="L38" s="1860">
        <f>-L7-SUM($F$7:K7)</f>
        <v>0</v>
      </c>
      <c r="M38" s="1861">
        <f>-M7-SUM($F$7:L7)</f>
        <v>0</v>
      </c>
      <c r="O38" s="1715"/>
      <c r="P38" s="1821"/>
      <c r="Q38" s="1878"/>
      <c r="R38" s="1878"/>
      <c r="S38" s="1878"/>
      <c r="T38" s="1878"/>
      <c r="U38" s="1879"/>
    </row>
    <row r="39" spans="1:23">
      <c r="A39" s="1715" t="str">
        <f>A38</f>
        <v>Return</v>
      </c>
      <c r="B39" s="1895">
        <f>DATE(H4,12,1)</f>
        <v>45627</v>
      </c>
      <c r="C39" s="1861">
        <f ca="1">+H55</f>
        <v>9323.6484999999993</v>
      </c>
      <c r="D39" s="1797"/>
      <c r="E39" s="1715"/>
      <c r="F39" s="1821"/>
      <c r="G39" s="1821"/>
      <c r="H39" s="1821"/>
      <c r="I39" s="1821"/>
      <c r="J39" s="1821"/>
      <c r="K39" s="1821"/>
      <c r="L39" s="1821"/>
      <c r="M39" s="1845"/>
      <c r="O39" s="1844" t="s">
        <v>703</v>
      </c>
      <c r="P39" s="1821"/>
      <c r="Q39" s="1878"/>
      <c r="R39" s="1878"/>
      <c r="S39" s="1878"/>
      <c r="T39" s="1878"/>
      <c r="U39" s="1879"/>
    </row>
    <row r="40" spans="1:23">
      <c r="A40" s="1715" t="str">
        <f>A39</f>
        <v>Return</v>
      </c>
      <c r="B40" s="1895">
        <f>DATE(I4,12,1)</f>
        <v>45992</v>
      </c>
      <c r="C40" s="1861">
        <f ca="1">+I55</f>
        <v>9528.2385851912659</v>
      </c>
      <c r="D40" s="1797"/>
      <c r="E40" s="1844" t="s">
        <v>688</v>
      </c>
      <c r="F40" s="1821"/>
      <c r="G40" s="1821"/>
      <c r="H40" s="1821"/>
      <c r="I40" s="1821"/>
      <c r="J40" s="1821"/>
      <c r="K40" s="1821"/>
      <c r="L40" s="1821"/>
      <c r="M40" s="1845"/>
      <c r="O40" s="1820">
        <f>O31</f>
        <v>2023</v>
      </c>
      <c r="P40" s="1821"/>
      <c r="Q40" s="969">
        <f>ROUND($G$12-Q13+Q22-SUM($P$40:P40),0)</f>
        <v>0</v>
      </c>
      <c r="R40" s="1878">
        <f>ROUND($G$12-R13+R22-SUM($P$40:Q40),0)</f>
        <v>3</v>
      </c>
      <c r="S40" s="969">
        <f>$G$12-S13+S22-SUM($P$40:R40)</f>
        <v>2.0191780821917815</v>
      </c>
      <c r="T40" s="1878">
        <f>$G$12-T13+T22-SUM($P$40:S40)</f>
        <v>2</v>
      </c>
      <c r="U40" s="1879">
        <f>$G$12-U13+U22-SUM($P$40:T40)</f>
        <v>0</v>
      </c>
    </row>
    <row r="41" spans="1:23">
      <c r="A41" s="1715" t="str">
        <f>A40</f>
        <v>Return</v>
      </c>
      <c r="B41" s="1895">
        <f>DATE(J4,12,1)</f>
        <v>46357</v>
      </c>
      <c r="C41" s="1861">
        <f>+J55</f>
        <v>9568.7450495130688</v>
      </c>
      <c r="D41" s="1797"/>
      <c r="E41" s="1715" t="s">
        <v>689</v>
      </c>
      <c r="F41" s="1821"/>
      <c r="G41" s="1821">
        <v>25</v>
      </c>
      <c r="H41" s="1821">
        <v>25</v>
      </c>
      <c r="I41" s="1821">
        <v>25</v>
      </c>
      <c r="J41" s="1821">
        <v>25</v>
      </c>
      <c r="K41" s="1821">
        <v>25</v>
      </c>
      <c r="L41" s="1821">
        <v>25</v>
      </c>
      <c r="M41" s="1845">
        <v>25</v>
      </c>
      <c r="O41" s="1820">
        <f>O32</f>
        <v>2024</v>
      </c>
      <c r="P41" s="1821"/>
      <c r="Q41" s="1880"/>
      <c r="R41" s="1878">
        <f>$H$12-R14-SUM($P$41:Q41)+R23</f>
        <v>0</v>
      </c>
      <c r="S41" s="969">
        <f>$H$12-S14-SUM($P$41:R41)+S23</f>
        <v>183</v>
      </c>
      <c r="T41" s="1878">
        <f>$H$12-T14-SUM($P$41:S41)+T23</f>
        <v>110</v>
      </c>
      <c r="U41" s="1879">
        <f>$H$12-U14-SUM($P$41:T41)+U23</f>
        <v>73</v>
      </c>
    </row>
    <row r="42" spans="1:23">
      <c r="A42" s="1715" t="str">
        <f>A41</f>
        <v>Return</v>
      </c>
      <c r="B42" s="1895">
        <f>DATE(K4,12,1)</f>
        <v>46722</v>
      </c>
      <c r="C42" s="1861">
        <f ca="1">+K55</f>
        <v>9628.0458297109581</v>
      </c>
      <c r="D42" s="1797"/>
      <c r="E42" s="1715" t="s">
        <v>691</v>
      </c>
      <c r="F42" s="1821"/>
      <c r="G42" s="1860">
        <f t="shared" ref="G42:M42" si="22">G41*G35-IF(G37&lt;0,-G37*G41)</f>
        <v>0</v>
      </c>
      <c r="H42" s="1860">
        <f t="shared" si="22"/>
        <v>0</v>
      </c>
      <c r="I42" s="1860">
        <f t="shared" si="22"/>
        <v>0</v>
      </c>
      <c r="J42" s="1860">
        <f t="shared" si="22"/>
        <v>0</v>
      </c>
      <c r="K42" s="1860">
        <f t="shared" si="22"/>
        <v>0</v>
      </c>
      <c r="L42" s="1860">
        <f t="shared" si="22"/>
        <v>0</v>
      </c>
      <c r="M42" s="1861">
        <f t="shared" si="22"/>
        <v>0</v>
      </c>
      <c r="O42" s="1820">
        <f>O33</f>
        <v>2025</v>
      </c>
      <c r="P42" s="1821"/>
      <c r="Q42" s="1888"/>
      <c r="R42" s="1888"/>
      <c r="S42" s="969">
        <f>$I$12-S15-SUM($P$42:R42)+S24</f>
        <v>0</v>
      </c>
      <c r="T42" s="969">
        <f>$I$12-T15-SUM($P$42:S42)+T24</f>
        <v>183</v>
      </c>
      <c r="U42" s="970">
        <f>$I$12-U15-SUM($P$42:T42)+U24</f>
        <v>183</v>
      </c>
    </row>
    <row r="43" spans="1:23">
      <c r="A43" s="1715" t="s">
        <v>393</v>
      </c>
      <c r="B43" s="1895">
        <f>DATE(K4,12,31)</f>
        <v>46752</v>
      </c>
      <c r="C43" s="1861">
        <f>K36*B10</f>
        <v>100000</v>
      </c>
      <c r="D43" s="1797"/>
      <c r="E43" s="1715" t="s">
        <v>692</v>
      </c>
      <c r="F43" s="1821"/>
      <c r="G43" s="1821">
        <f>G42+F43</f>
        <v>0</v>
      </c>
      <c r="H43" s="1821">
        <f t="shared" ref="H43:M43" si="23">H42+G43</f>
        <v>0</v>
      </c>
      <c r="I43" s="1821">
        <f t="shared" si="23"/>
        <v>0</v>
      </c>
      <c r="J43" s="1821">
        <f>J42+I43</f>
        <v>0</v>
      </c>
      <c r="K43" s="1821">
        <f t="shared" si="23"/>
        <v>0</v>
      </c>
      <c r="L43" s="1821">
        <f t="shared" si="23"/>
        <v>0</v>
      </c>
      <c r="M43" s="1845">
        <f t="shared" si="23"/>
        <v>0</v>
      </c>
      <c r="O43" s="1820">
        <f>O34</f>
        <v>2026</v>
      </c>
      <c r="P43" s="1821"/>
      <c r="Q43" s="1888"/>
      <c r="R43" s="1888"/>
      <c r="S43" s="1888"/>
      <c r="T43" s="969">
        <f>$J$12-T16-SUM($P$43:S43)+T25</f>
        <v>183</v>
      </c>
      <c r="U43" s="970">
        <f>$J$12-U16-SUM($P$43:T43)+U25</f>
        <v>183</v>
      </c>
    </row>
    <row r="44" spans="1:23" ht="13.5" thickBot="1">
      <c r="A44" s="1715" t="str">
        <f>A42</f>
        <v>Return</v>
      </c>
      <c r="B44" s="1895">
        <f>IF(SUM(G35:J35)=0,B43,DATE(L4,12,1))</f>
        <v>46752</v>
      </c>
      <c r="C44" s="1861">
        <f ca="1">L48</f>
        <v>0</v>
      </c>
      <c r="D44" s="1797"/>
      <c r="E44" s="1716" t="s">
        <v>690</v>
      </c>
      <c r="F44" s="1904"/>
      <c r="G44" s="1876">
        <f t="shared" ref="G44:M44" si="24">G43/10000</f>
        <v>0</v>
      </c>
      <c r="H44" s="1876">
        <f t="shared" si="24"/>
        <v>0</v>
      </c>
      <c r="I44" s="1876">
        <f t="shared" si="24"/>
        <v>0</v>
      </c>
      <c r="J44" s="1876">
        <f t="shared" si="24"/>
        <v>0</v>
      </c>
      <c r="K44" s="1876">
        <f>K43/10000</f>
        <v>0</v>
      </c>
      <c r="L44" s="1876">
        <f t="shared" si="24"/>
        <v>0</v>
      </c>
      <c r="M44" s="1877">
        <f t="shared" si="24"/>
        <v>0</v>
      </c>
      <c r="O44" s="1820">
        <f>O35</f>
        <v>2027</v>
      </c>
      <c r="P44" s="1821"/>
      <c r="Q44" s="1880"/>
      <c r="R44" s="1880"/>
      <c r="S44" s="1880"/>
      <c r="T44" s="1880"/>
      <c r="U44" s="970">
        <f>$K$12-U17-SUM($P$44:T44)+U35</f>
        <v>59.122600493430745</v>
      </c>
    </row>
    <row r="45" spans="1:23">
      <c r="A45" s="1715" t="s">
        <v>706</v>
      </c>
      <c r="B45" s="1895">
        <f>IF(SUM(G35:J35)=0,B44,DATE(M4,12,1))</f>
        <v>46752</v>
      </c>
      <c r="C45" s="1861">
        <f ca="1">M48</f>
        <v>0</v>
      </c>
      <c r="D45" s="1797"/>
      <c r="E45" s="1814" t="s">
        <v>867</v>
      </c>
      <c r="F45" s="1905"/>
      <c r="G45" s="1815"/>
      <c r="H45" s="1815"/>
      <c r="I45" s="1815"/>
      <c r="J45" s="1815"/>
      <c r="K45" s="1815"/>
      <c r="L45" s="1815"/>
      <c r="M45" s="1816"/>
      <c r="O45" s="1820">
        <v>2027</v>
      </c>
      <c r="P45" s="1821"/>
      <c r="Q45" s="1882"/>
      <c r="R45" s="1882"/>
      <c r="S45" s="1882"/>
      <c r="T45" s="1882"/>
      <c r="U45" s="1891"/>
    </row>
    <row r="46" spans="1:23" ht="13.5" thickBot="1">
      <c r="A46" s="1716" t="s">
        <v>1035</v>
      </c>
      <c r="B46" s="1899">
        <f>IF(SUM(G35:J35)=0,B43,IF(M34=0,DATE(M4,12,31),B5))</f>
        <v>46752</v>
      </c>
      <c r="C46" s="2910">
        <f>-C37-C43</f>
        <v>0</v>
      </c>
      <c r="D46" s="1797"/>
      <c r="E46" s="1715" t="s">
        <v>933</v>
      </c>
      <c r="F46" s="1868"/>
      <c r="G46" s="1878">
        <f>EN!O49</f>
        <v>0</v>
      </c>
      <c r="H46" s="1878">
        <f ca="1">EN!P49</f>
        <v>0</v>
      </c>
      <c r="I46" s="1878">
        <f ca="1">EN!Q49</f>
        <v>0</v>
      </c>
      <c r="J46" s="1878">
        <f>EN!R49</f>
        <v>0</v>
      </c>
      <c r="K46" s="1878">
        <f ca="1">EN!S49</f>
        <v>253.5454004570629</v>
      </c>
      <c r="L46" s="1878">
        <f ca="1">EN!T49</f>
        <v>491.91786201324715</v>
      </c>
      <c r="M46" s="1879">
        <f ca="1">EN!U49</f>
        <v>376.44811145825656</v>
      </c>
      <c r="O46" s="1715"/>
      <c r="P46" s="1821"/>
      <c r="Q46" s="1860">
        <f>SUM(Q40:Q45)</f>
        <v>0</v>
      </c>
      <c r="R46" s="1860">
        <f>SUM(R40:R45)</f>
        <v>3</v>
      </c>
      <c r="S46" s="1860">
        <f>SUM(S40:S45)</f>
        <v>185.01917808219179</v>
      </c>
      <c r="T46" s="1860">
        <f>SUM(T40:T45)</f>
        <v>478</v>
      </c>
      <c r="U46" s="1861">
        <f>SUM(U40:U45)</f>
        <v>498.12260049343075</v>
      </c>
    </row>
    <row r="47" spans="1:23" ht="13.5" thickBot="1">
      <c r="A47" s="1875" t="s">
        <v>41</v>
      </c>
      <c r="B47" s="1832"/>
      <c r="C47" s="1900">
        <f ca="1">XIRR(C37:C46,B37:B46,8%)</f>
        <v>9.5727639198303238E-2</v>
      </c>
      <c r="D47" s="1797"/>
      <c r="E47" s="1715" t="s">
        <v>684</v>
      </c>
      <c r="F47" s="1868"/>
      <c r="G47" s="1907">
        <f t="shared" ref="G47:M47" si="25">G44</f>
        <v>0</v>
      </c>
      <c r="H47" s="1907">
        <f t="shared" si="25"/>
        <v>0</v>
      </c>
      <c r="I47" s="1907">
        <f t="shared" si="25"/>
        <v>0</v>
      </c>
      <c r="J47" s="1907">
        <f t="shared" si="25"/>
        <v>0</v>
      </c>
      <c r="K47" s="1907">
        <f>K44</f>
        <v>0</v>
      </c>
      <c r="L47" s="1907">
        <f t="shared" si="25"/>
        <v>0</v>
      </c>
      <c r="M47" s="1908">
        <f t="shared" si="25"/>
        <v>0</v>
      </c>
      <c r="O47" s="1715"/>
      <c r="P47" s="1821"/>
      <c r="Q47" s="1821"/>
      <c r="R47" s="1821"/>
      <c r="S47" s="1821"/>
      <c r="T47" s="1821"/>
      <c r="U47" s="1845"/>
      <c r="W47" s="1894"/>
    </row>
    <row r="48" spans="1:23" ht="13.5" thickBot="1">
      <c r="B48" s="1894"/>
      <c r="C48" s="1894"/>
      <c r="D48" s="1797"/>
      <c r="E48" s="1844" t="s">
        <v>1004</v>
      </c>
      <c r="F48" s="1868"/>
      <c r="G48" s="1842">
        <f t="shared" ref="G48:M48" si="26">G43*G46</f>
        <v>0</v>
      </c>
      <c r="H48" s="1842">
        <f t="shared" ca="1" si="26"/>
        <v>0</v>
      </c>
      <c r="I48" s="1842">
        <f t="shared" ca="1" si="26"/>
        <v>0</v>
      </c>
      <c r="J48" s="1842">
        <f t="shared" si="26"/>
        <v>0</v>
      </c>
      <c r="K48" s="1842">
        <f ca="1">K43*K46</f>
        <v>0</v>
      </c>
      <c r="L48" s="1842">
        <f ca="1">L43*L46</f>
        <v>0</v>
      </c>
      <c r="M48" s="1843">
        <f t="shared" ca="1" si="26"/>
        <v>0</v>
      </c>
      <c r="O48" s="1844" t="s">
        <v>702</v>
      </c>
      <c r="P48" s="1821"/>
      <c r="Q48" s="1821"/>
      <c r="R48" s="1821"/>
      <c r="S48" s="1821"/>
      <c r="T48" s="1821"/>
      <c r="U48" s="1845"/>
    </row>
    <row r="49" spans="1:21" ht="13.5" thickBot="1">
      <c r="A49" s="1757" t="s">
        <v>1000</v>
      </c>
      <c r="B49" s="1758"/>
      <c r="C49" s="1901"/>
      <c r="D49" s="1797"/>
      <c r="E49" s="1844"/>
      <c r="F49" s="1821"/>
      <c r="G49" s="1821"/>
      <c r="H49" s="1821"/>
      <c r="I49" s="1821"/>
      <c r="J49" s="1821"/>
      <c r="K49" s="1821"/>
      <c r="L49" s="1821"/>
      <c r="M49" s="1845"/>
      <c r="O49" s="1820">
        <f t="shared" ref="O49:O54" si="27">O40</f>
        <v>2023</v>
      </c>
      <c r="P49" s="1821"/>
      <c r="Q49" s="1896" t="s">
        <v>99</v>
      </c>
      <c r="R49" s="1896" t="s">
        <v>99</v>
      </c>
      <c r="S49" s="1896" t="s">
        <v>99</v>
      </c>
      <c r="T49" s="1896" t="s">
        <v>99</v>
      </c>
      <c r="U49" s="1897" t="s">
        <v>99</v>
      </c>
    </row>
    <row r="50" spans="1:21" ht="13.5" thickBot="1">
      <c r="A50" s="1819" t="s">
        <v>1001</v>
      </c>
      <c r="B50" s="1815"/>
      <c r="C50" s="1903">
        <v>6.7500000000000004E-2</v>
      </c>
      <c r="D50" s="1797"/>
      <c r="E50" s="1875" t="s">
        <v>1005</v>
      </c>
      <c r="F50" s="1904"/>
      <c r="G50" s="1912">
        <f>IF(G7=0,0,G48/-SUM($G$7:G7))</f>
        <v>0</v>
      </c>
      <c r="H50" s="1876">
        <f t="shared" ref="H50:M50" si="28">IF(H38=0,0,H48/H38)</f>
        <v>0</v>
      </c>
      <c r="I50" s="1876">
        <f t="shared" si="28"/>
        <v>0</v>
      </c>
      <c r="J50" s="1876">
        <f t="shared" si="28"/>
        <v>0</v>
      </c>
      <c r="K50" s="1876">
        <f t="shared" si="28"/>
        <v>0</v>
      </c>
      <c r="L50" s="1876">
        <f t="shared" si="28"/>
        <v>0</v>
      </c>
      <c r="M50" s="1877">
        <f t="shared" si="28"/>
        <v>0</v>
      </c>
      <c r="O50" s="1820">
        <f t="shared" si="27"/>
        <v>2024</v>
      </c>
      <c r="P50" s="1821"/>
      <c r="Q50" s="1839"/>
      <c r="R50" s="1896" t="s">
        <v>99</v>
      </c>
      <c r="S50" s="1896" t="s">
        <v>99</v>
      </c>
      <c r="T50" s="1896" t="s">
        <v>99</v>
      </c>
      <c r="U50" s="1897" t="s">
        <v>99</v>
      </c>
    </row>
    <row r="51" spans="1:21" ht="13.5" thickBot="1">
      <c r="A51" s="1037" t="s">
        <v>1002</v>
      </c>
      <c r="B51" s="1287"/>
      <c r="C51" s="1861">
        <f ca="1">XNPV(C50,C37:C46,B37:B46)+B24</f>
        <v>109594.58519013823</v>
      </c>
      <c r="D51" s="1797"/>
      <c r="K51" s="1821"/>
      <c r="L51" s="1821"/>
      <c r="M51" s="1821"/>
      <c r="O51" s="1820">
        <f t="shared" si="27"/>
        <v>2025</v>
      </c>
      <c r="P51" s="1821"/>
      <c r="Q51" s="1839"/>
      <c r="R51" s="1839"/>
      <c r="S51" s="1896" t="s">
        <v>99</v>
      </c>
      <c r="T51" s="1896" t="s">
        <v>99</v>
      </c>
      <c r="U51" s="1897" t="s">
        <v>99</v>
      </c>
    </row>
    <row r="52" spans="1:21">
      <c r="A52" s="1037" t="s">
        <v>1003</v>
      </c>
      <c r="B52" s="1287"/>
      <c r="C52" s="1861">
        <f>-C37</f>
        <v>100000</v>
      </c>
      <c r="E52" s="1814" t="s">
        <v>866</v>
      </c>
      <c r="F52" s="1815"/>
      <c r="G52" s="1815"/>
      <c r="H52" s="1815"/>
      <c r="I52" s="1815"/>
      <c r="J52" s="1815"/>
      <c r="K52" s="1815"/>
      <c r="L52" s="1815"/>
      <c r="M52" s="1816"/>
      <c r="O52" s="1820">
        <f t="shared" si="27"/>
        <v>2026</v>
      </c>
      <c r="P52" s="1821"/>
      <c r="Q52" s="1839"/>
      <c r="R52" s="1839"/>
      <c r="S52" s="1839"/>
      <c r="T52" s="1896" t="s">
        <v>99</v>
      </c>
      <c r="U52" s="1897" t="s">
        <v>99</v>
      </c>
    </row>
    <row r="53" spans="1:21" ht="13.5" thickBot="1">
      <c r="A53" s="1333" t="s">
        <v>377</v>
      </c>
      <c r="B53" s="1524"/>
      <c r="C53" s="1834">
        <f ca="1">C51-C52</f>
        <v>9594.5851901382266</v>
      </c>
      <c r="E53" s="1715" t="str">
        <f>E31</f>
        <v>Annual return on Bond</v>
      </c>
      <c r="F53" s="1821"/>
      <c r="G53" s="1860">
        <f>G30</f>
        <v>175.30636986301371</v>
      </c>
      <c r="H53" s="1860">
        <f t="shared" ref="H53:M53" si="29">H30</f>
        <v>9323.6484999999993</v>
      </c>
      <c r="I53" s="1860">
        <f t="shared" si="29"/>
        <v>9528.2385851912659</v>
      </c>
      <c r="J53" s="1860">
        <f t="shared" si="29"/>
        <v>9568.7450495130688</v>
      </c>
      <c r="K53" s="1860">
        <f t="shared" si="29"/>
        <v>9628.0458297109581</v>
      </c>
      <c r="L53" s="1860">
        <f t="shared" si="29"/>
        <v>0</v>
      </c>
      <c r="M53" s="1861">
        <f t="shared" si="29"/>
        <v>0</v>
      </c>
      <c r="O53" s="1820">
        <f t="shared" si="27"/>
        <v>2027</v>
      </c>
      <c r="P53" s="1821"/>
      <c r="Q53" s="1839"/>
      <c r="R53" s="1839"/>
      <c r="S53" s="1839"/>
      <c r="T53" s="1839"/>
      <c r="U53" s="1897" t="s">
        <v>99</v>
      </c>
    </row>
    <row r="54" spans="1:21" ht="13.5" customHeight="1">
      <c r="E54" s="1715" t="str">
        <f>E50</f>
        <v>Annual return on conversion</v>
      </c>
      <c r="F54" s="1821"/>
      <c r="G54" s="1913">
        <f t="shared" ref="G54:M54" si="30">G48+G49</f>
        <v>0</v>
      </c>
      <c r="H54" s="1913">
        <f t="shared" ca="1" si="30"/>
        <v>0</v>
      </c>
      <c r="I54" s="1913">
        <f t="shared" ca="1" si="30"/>
        <v>0</v>
      </c>
      <c r="J54" s="1913">
        <f t="shared" si="30"/>
        <v>0</v>
      </c>
      <c r="K54" s="1913">
        <f ca="1">K48+K49</f>
        <v>0</v>
      </c>
      <c r="L54" s="1913">
        <f ca="1">L48+L49</f>
        <v>0</v>
      </c>
      <c r="M54" s="1914">
        <f t="shared" ca="1" si="30"/>
        <v>0</v>
      </c>
      <c r="O54" s="1820">
        <f t="shared" si="27"/>
        <v>2027</v>
      </c>
      <c r="P54" s="1821"/>
      <c r="Q54" s="1839"/>
      <c r="R54" s="1839"/>
      <c r="S54" s="1839"/>
      <c r="T54" s="1839"/>
      <c r="U54" s="1840"/>
    </row>
    <row r="55" spans="1:21" ht="13.5" customHeight="1">
      <c r="E55" s="1844" t="s">
        <v>866</v>
      </c>
      <c r="F55" s="1821"/>
      <c r="G55" s="1852">
        <f t="shared" ref="G55:M55" si="31">G53+G54</f>
        <v>175.30636986301371</v>
      </c>
      <c r="H55" s="1852">
        <f t="shared" ca="1" si="31"/>
        <v>9323.6484999999993</v>
      </c>
      <c r="I55" s="1852">
        <f t="shared" ca="1" si="31"/>
        <v>9528.2385851912659</v>
      </c>
      <c r="J55" s="1852">
        <f t="shared" si="31"/>
        <v>9568.7450495130688</v>
      </c>
      <c r="K55" s="1852">
        <f t="shared" ca="1" si="31"/>
        <v>9628.0458297109581</v>
      </c>
      <c r="L55" s="1852">
        <f t="shared" ca="1" si="31"/>
        <v>0</v>
      </c>
      <c r="M55" s="1853">
        <f t="shared" ca="1" si="31"/>
        <v>0</v>
      </c>
      <c r="O55" s="1715"/>
      <c r="P55" s="1821"/>
      <c r="Q55" s="1821"/>
      <c r="R55" s="1821"/>
      <c r="S55" s="1821"/>
      <c r="T55" s="1821"/>
      <c r="U55" s="1845"/>
    </row>
    <row r="56" spans="1:21" ht="13.5" thickBot="1">
      <c r="E56" s="1875" t="s">
        <v>1006</v>
      </c>
      <c r="F56" s="1832"/>
      <c r="G56" s="1876">
        <f>IF(G6=0,0,G55/(G6))</f>
        <v>1.753063698630137E-3</v>
      </c>
      <c r="H56" s="1876">
        <f ca="1">IF(H6=0,0,H55/(H6))</f>
        <v>9.3236484999999994E-2</v>
      </c>
      <c r="I56" s="1876">
        <f ca="1">IF(I6=0,0,I55/(I6))</f>
        <v>9.5282385851912663E-2</v>
      </c>
      <c r="J56" s="1876">
        <f>IF(J6=0,0,J55/(J6))</f>
        <v>9.5687450495130694E-2</v>
      </c>
      <c r="K56" s="1915">
        <f ca="1">IF(K6=0,IF($C$46=0,0,K55/$C$46),K55/(K6+K38))</f>
        <v>9.6280458297109586E-2</v>
      </c>
      <c r="L56" s="1876">
        <f>IF(L6=0,IF($C$46=0,0,L55/$C$46),L55/(L6+L38))</f>
        <v>0</v>
      </c>
      <c r="M56" s="1877">
        <f>IF(M6=0,IF($C$46=0,0,M55/$C$46),M55/(M6+M38))</f>
        <v>0</v>
      </c>
      <c r="O56" s="1715"/>
      <c r="P56" s="1821"/>
      <c r="Q56" s="1821"/>
      <c r="R56" s="1821"/>
      <c r="S56" s="1821"/>
      <c r="T56" s="1821"/>
      <c r="U56" s="1845"/>
    </row>
    <row r="57" spans="1:21">
      <c r="K57" s="1821"/>
      <c r="L57" s="1821"/>
      <c r="M57" s="1821"/>
      <c r="O57" s="1844" t="s">
        <v>408</v>
      </c>
      <c r="P57" s="1821"/>
      <c r="Q57" s="1821"/>
      <c r="R57" s="1821"/>
      <c r="S57" s="1821"/>
      <c r="T57" s="1821"/>
      <c r="U57" s="1845"/>
    </row>
    <row r="58" spans="1:21" ht="13.5" thickBot="1">
      <c r="K58" s="1821"/>
      <c r="L58" s="1821"/>
      <c r="M58" s="1821"/>
      <c r="O58" s="1820">
        <f>O40</f>
        <v>2023</v>
      </c>
      <c r="P58" s="1821"/>
      <c r="Q58" s="969">
        <f>IF(Q49="Yes",0,Q40*G$97)</f>
        <v>0</v>
      </c>
      <c r="R58" s="969">
        <f>IF(R49="Yes",0,R40*H$97)</f>
        <v>2.3287499999999994</v>
      </c>
      <c r="S58" s="969">
        <f>IF(S49="Yes",0,S40*I$97)</f>
        <v>1.6546904414383563</v>
      </c>
      <c r="T58" s="969">
        <f>IF(T49="Yes",0,T40*J$97)</f>
        <v>1.7648704180394994</v>
      </c>
      <c r="U58" s="970">
        <f>IF(U49="Yes",0,U40*K$97)</f>
        <v>0</v>
      </c>
    </row>
    <row r="59" spans="1:21">
      <c r="E59" s="1814" t="s">
        <v>309</v>
      </c>
      <c r="F59" s="1815"/>
      <c r="G59" s="1919">
        <f>G78</f>
        <v>25.1</v>
      </c>
      <c r="H59" s="1920">
        <f>H79</f>
        <v>25.602</v>
      </c>
      <c r="I59" s="1920">
        <f>I80</f>
        <v>26.114039999999999</v>
      </c>
      <c r="J59" s="1920">
        <f>J81</f>
        <v>26.6363208</v>
      </c>
      <c r="K59" s="1920">
        <f>K82</f>
        <v>27.169047215999999</v>
      </c>
      <c r="L59" s="1920">
        <f>L82</f>
        <v>27.712428160319998</v>
      </c>
      <c r="M59" s="1921">
        <f>M82</f>
        <v>27.712428160319998</v>
      </c>
      <c r="O59" s="1820">
        <f>O41</f>
        <v>2024</v>
      </c>
      <c r="P59" s="1821"/>
      <c r="Q59" s="1902"/>
      <c r="R59" s="969">
        <f>IF(R50="Yes",0,R41*G$97)</f>
        <v>0</v>
      </c>
      <c r="S59" s="969">
        <f>IF(S50="Yes",0,S41*H$97)</f>
        <v>142.05374999999998</v>
      </c>
      <c r="T59" s="969">
        <f>IF(T50="Yes",0,T41*I$97)</f>
        <v>90.143583749999976</v>
      </c>
      <c r="U59" s="970">
        <f>IF(U50="Yes",0,U41*J$97)</f>
        <v>64.417770258441735</v>
      </c>
    </row>
    <row r="60" spans="1:21">
      <c r="E60" s="1715"/>
      <c r="F60" s="1821"/>
      <c r="G60" s="1821"/>
      <c r="H60" s="1821"/>
      <c r="I60" s="1821"/>
      <c r="J60" s="1821"/>
      <c r="K60" s="1821"/>
      <c r="L60" s="1821"/>
      <c r="M60" s="1845"/>
      <c r="O60" s="1820">
        <f>O42</f>
        <v>2025</v>
      </c>
      <c r="P60" s="1821"/>
      <c r="Q60" s="1902"/>
      <c r="R60" s="1902"/>
      <c r="S60" s="969">
        <f>IF(S51="Yes",0,S42*$I97)</f>
        <v>0</v>
      </c>
      <c r="T60" s="969">
        <f>IF(T51="Yes",0,T42*$I97)</f>
        <v>149.96614387499994</v>
      </c>
      <c r="U60" s="970">
        <f>IF(U51="Yes",0,U42*$I97)</f>
        <v>149.96614387499994</v>
      </c>
    </row>
    <row r="61" spans="1:21">
      <c r="E61" s="1715" t="s">
        <v>1007</v>
      </c>
      <c r="F61" s="1821"/>
      <c r="G61" s="1922">
        <f>E62</f>
        <v>2023</v>
      </c>
      <c r="H61" s="1922">
        <f>E63</f>
        <v>2024</v>
      </c>
      <c r="I61" s="1922">
        <f>E64</f>
        <v>2025</v>
      </c>
      <c r="J61" s="1922">
        <f>E65</f>
        <v>2026</v>
      </c>
      <c r="K61" s="1922">
        <f>E66</f>
        <v>2027</v>
      </c>
      <c r="L61" s="1922">
        <f>F66</f>
        <v>0</v>
      </c>
      <c r="M61" s="1923">
        <f>G66</f>
        <v>0</v>
      </c>
      <c r="O61" s="1820">
        <f>O43</f>
        <v>2026</v>
      </c>
      <c r="P61" s="1821"/>
      <c r="Q61" s="1902"/>
      <c r="R61" s="1902"/>
      <c r="S61" s="1902"/>
      <c r="T61" s="969">
        <f>IF(T52="Yes",0,T43*J$97)</f>
        <v>161.4856432506142</v>
      </c>
      <c r="U61" s="970">
        <f>IF(U52="Yes",0,U43*K$97)</f>
        <v>177.3678014802922</v>
      </c>
    </row>
    <row r="62" spans="1:21">
      <c r="E62" s="1820">
        <f>G4</f>
        <v>2023</v>
      </c>
      <c r="F62" s="1821"/>
      <c r="G62" s="1902"/>
      <c r="H62" s="1924">
        <v>0.02</v>
      </c>
      <c r="I62" s="1924">
        <v>0.02</v>
      </c>
      <c r="J62" s="1924">
        <v>0.02</v>
      </c>
      <c r="K62" s="1924">
        <v>0.02</v>
      </c>
      <c r="L62" s="1924">
        <v>0.02</v>
      </c>
      <c r="M62" s="1925">
        <v>0.02</v>
      </c>
      <c r="O62" s="1820">
        <f>O44</f>
        <v>2027</v>
      </c>
      <c r="P62" s="1821"/>
      <c r="Q62" s="1906"/>
      <c r="R62" s="1906"/>
      <c r="S62" s="1906"/>
      <c r="T62" s="1906"/>
      <c r="U62" s="970">
        <f>IF(U53="Yes",0,U44*K$97)</f>
        <v>57.302981788619945</v>
      </c>
    </row>
    <row r="63" spans="1:21">
      <c r="E63" s="1820">
        <f>H4</f>
        <v>2024</v>
      </c>
      <c r="F63" s="1821"/>
      <c r="G63" s="1902"/>
      <c r="H63" s="1906"/>
      <c r="I63" s="1924">
        <v>0.02</v>
      </c>
      <c r="J63" s="1924">
        <v>0.02</v>
      </c>
      <c r="K63" s="1924">
        <v>0.02</v>
      </c>
      <c r="L63" s="1924">
        <v>0.02</v>
      </c>
      <c r="M63" s="1925">
        <v>0.02</v>
      </c>
      <c r="O63" s="1820">
        <v>2027</v>
      </c>
      <c r="P63" s="1821"/>
      <c r="Q63" s="1909"/>
      <c r="R63" s="1909"/>
      <c r="S63" s="1909"/>
      <c r="T63" s="1909"/>
      <c r="U63" s="1910"/>
    </row>
    <row r="64" spans="1:21" ht="13.5" thickBot="1">
      <c r="E64" s="1820">
        <f>I4</f>
        <v>2025</v>
      </c>
      <c r="F64" s="1821"/>
      <c r="G64" s="1902"/>
      <c r="H64" s="1906"/>
      <c r="I64" s="1906"/>
      <c r="J64" s="1924">
        <v>0.02</v>
      </c>
      <c r="K64" s="1924">
        <v>0.02</v>
      </c>
      <c r="L64" s="1924">
        <v>0.02</v>
      </c>
      <c r="M64" s="1925">
        <v>0.02</v>
      </c>
      <c r="O64" s="1716"/>
      <c r="P64" s="1832"/>
      <c r="Q64" s="1833">
        <f>SUM(Q58:Q62)</f>
        <v>0</v>
      </c>
      <c r="R64" s="1833">
        <f>SUM(R58:R62)</f>
        <v>2.3287499999999994</v>
      </c>
      <c r="S64" s="1833">
        <f>SUM(S58:S62)</f>
        <v>143.70844044143834</v>
      </c>
      <c r="T64" s="1833">
        <f>SUM(T58:T62)</f>
        <v>403.36024129365364</v>
      </c>
      <c r="U64" s="1834">
        <f>SUM(U58:U62)</f>
        <v>449.05469740235384</v>
      </c>
    </row>
    <row r="65" spans="3:21" ht="13.5" thickBot="1">
      <c r="C65" s="1911"/>
      <c r="E65" s="1820">
        <f>J4</f>
        <v>2026</v>
      </c>
      <c r="F65" s="1821"/>
      <c r="G65" s="1902"/>
      <c r="H65" s="1906"/>
      <c r="I65" s="1906"/>
      <c r="J65" s="1906"/>
      <c r="K65" s="1924">
        <v>0.02</v>
      </c>
      <c r="L65" s="1924">
        <v>0.02</v>
      </c>
      <c r="M65" s="1925">
        <v>0.02</v>
      </c>
    </row>
    <row r="66" spans="3:21">
      <c r="C66" s="1911"/>
      <c r="E66" s="1820">
        <f>K4</f>
        <v>2027</v>
      </c>
      <c r="F66" s="1821"/>
      <c r="G66" s="1906"/>
      <c r="H66" s="1906"/>
      <c r="I66" s="1906"/>
      <c r="J66" s="1906"/>
      <c r="K66" s="1906"/>
      <c r="L66" s="1906"/>
      <c r="M66" s="1926"/>
      <c r="O66" s="1814" t="s">
        <v>412</v>
      </c>
      <c r="P66" s="1815"/>
      <c r="Q66" s="1815"/>
      <c r="R66" s="1815"/>
      <c r="S66" s="1815"/>
      <c r="T66" s="1815"/>
      <c r="U66" s="1816"/>
    </row>
    <row r="67" spans="3:21">
      <c r="C67" s="1865"/>
      <c r="E67" s="1820">
        <v>2027</v>
      </c>
      <c r="F67" s="1821"/>
      <c r="G67" s="1906"/>
      <c r="H67" s="1906"/>
      <c r="I67" s="1906"/>
      <c r="J67" s="1906"/>
      <c r="K67" s="1906"/>
      <c r="L67" s="1906"/>
      <c r="M67" s="1926"/>
      <c r="O67" s="1820">
        <f>O5</f>
        <v>2023</v>
      </c>
      <c r="P67" s="1821"/>
      <c r="Q67" s="969">
        <f>Q13*G78</f>
        <v>175.70000000000002</v>
      </c>
      <c r="R67" s="969">
        <f>R13*H78</f>
        <v>102.408</v>
      </c>
      <c r="S67" s="969">
        <f>S13*I78</f>
        <v>52.228080000000006</v>
      </c>
      <c r="T67" s="969">
        <f>T13*J78</f>
        <v>0</v>
      </c>
      <c r="U67" s="970">
        <f>U13*K78</f>
        <v>0</v>
      </c>
    </row>
    <row r="68" spans="3:21">
      <c r="E68" s="1715"/>
      <c r="F68" s="1821"/>
      <c r="G68" s="1924"/>
      <c r="H68" s="1924"/>
      <c r="I68" s="1924"/>
      <c r="J68" s="1924"/>
      <c r="K68" s="1924"/>
      <c r="L68" s="1924"/>
      <c r="M68" s="1925"/>
      <c r="O68" s="1820">
        <f>O6</f>
        <v>2024</v>
      </c>
      <c r="P68" s="1821"/>
      <c r="Q68" s="1902"/>
      <c r="R68" s="969">
        <f>R14*H79</f>
        <v>9370.3320000000003</v>
      </c>
      <c r="S68" s="969">
        <f>S14*I79</f>
        <v>4778.8693199999998</v>
      </c>
      <c r="T68" s="969">
        <f>T14*J79</f>
        <v>1944.4514184</v>
      </c>
      <c r="U68" s="970">
        <f>U14*K79</f>
        <v>1005.2547469919999</v>
      </c>
    </row>
    <row r="69" spans="3:21">
      <c r="E69" s="1715" t="s">
        <v>311</v>
      </c>
      <c r="F69" s="1821"/>
      <c r="G69" s="1924"/>
      <c r="H69" s="1924"/>
      <c r="I69" s="1924"/>
      <c r="J69" s="1924"/>
      <c r="K69" s="1924"/>
      <c r="L69" s="1924"/>
      <c r="M69" s="1925"/>
      <c r="O69" s="1820">
        <f>O7</f>
        <v>2025</v>
      </c>
      <c r="P69" s="1821"/>
      <c r="Q69" s="1902"/>
      <c r="R69" s="1902"/>
      <c r="S69" s="969">
        <f>S15*I80</f>
        <v>9557.7386399999996</v>
      </c>
      <c r="T69" s="969">
        <f>T15*J80</f>
        <v>4874.4467064</v>
      </c>
      <c r="U69" s="970">
        <f>U15*K80</f>
        <v>1005.2547469919999</v>
      </c>
    </row>
    <row r="70" spans="3:21">
      <c r="E70" s="1820">
        <f>E62</f>
        <v>2023</v>
      </c>
      <c r="F70" s="1821"/>
      <c r="G70" s="1906"/>
      <c r="H70" s="1924">
        <f>H62</f>
        <v>0.02</v>
      </c>
      <c r="I70" s="1924">
        <f>(1+H70)*(I62)+H70</f>
        <v>4.0400000000000005E-2</v>
      </c>
      <c r="J70" s="1924">
        <f>(1+I70)*(J62)+I70</f>
        <v>6.1208000000000005E-2</v>
      </c>
      <c r="K70" s="1924">
        <f>(1+J70)*(K62)+J70</f>
        <v>8.2432160000000004E-2</v>
      </c>
      <c r="L70" s="1924">
        <f>(1+K70)*(L62)+K70</f>
        <v>0.1040808032</v>
      </c>
      <c r="M70" s="1925">
        <f>(1+L70)*(M62)+L70</f>
        <v>0.12616241926400001</v>
      </c>
      <c r="O70" s="1820">
        <f>O8</f>
        <v>2026</v>
      </c>
      <c r="P70" s="1821"/>
      <c r="Q70" s="1902"/>
      <c r="R70" s="1902"/>
      <c r="S70" s="1902"/>
      <c r="T70" s="969">
        <f>T16*J81</f>
        <v>4874.4467064</v>
      </c>
      <c r="U70" s="970">
        <f>U16*K81</f>
        <v>4971.9356405279996</v>
      </c>
    </row>
    <row r="71" spans="3:21">
      <c r="E71" s="1820">
        <f>E63</f>
        <v>2024</v>
      </c>
      <c r="F71" s="1821"/>
      <c r="G71" s="1906"/>
      <c r="H71" s="1906"/>
      <c r="I71" s="1924">
        <f>I63</f>
        <v>0.02</v>
      </c>
      <c r="J71" s="1924">
        <f>(1+I71)*(J63)+I71</f>
        <v>4.0400000000000005E-2</v>
      </c>
      <c r="K71" s="1924">
        <f>(1+J71)*(K63)+J71</f>
        <v>6.1208000000000005E-2</v>
      </c>
      <c r="L71" s="1924">
        <f>(1+K71)*(L63)+K71</f>
        <v>8.2432160000000004E-2</v>
      </c>
      <c r="M71" s="1925">
        <f>(1+L71)*(M63)+L71</f>
        <v>0.1040808032</v>
      </c>
      <c r="O71" s="1820">
        <f>O9</f>
        <v>2027</v>
      </c>
      <c r="P71" s="1821"/>
      <c r="Q71" s="1906"/>
      <c r="R71" s="1906"/>
      <c r="S71" s="1906"/>
      <c r="T71" s="1906"/>
      <c r="U71" s="970">
        <f>K82*U17</f>
        <v>9943.8712810559991</v>
      </c>
    </row>
    <row r="72" spans="3:21" ht="13.5" thickBot="1">
      <c r="E72" s="1820">
        <f>E64</f>
        <v>2025</v>
      </c>
      <c r="F72" s="1821"/>
      <c r="G72" s="1906"/>
      <c r="H72" s="1906"/>
      <c r="I72" s="1906"/>
      <c r="J72" s="1924">
        <f>J64</f>
        <v>0.02</v>
      </c>
      <c r="K72" s="1924">
        <f>(1+J72)*(K64)+J72</f>
        <v>4.0400000000000005E-2</v>
      </c>
      <c r="L72" s="1924">
        <f>(1+K72)*(L64)+K72</f>
        <v>6.1208000000000005E-2</v>
      </c>
      <c r="M72" s="1925">
        <f>(1+L72)*(M64)+L72</f>
        <v>8.2432160000000004E-2</v>
      </c>
      <c r="O72" s="1820">
        <v>2027</v>
      </c>
      <c r="P72" s="1821"/>
      <c r="Q72" s="1916"/>
      <c r="R72" s="1916"/>
      <c r="S72" s="1916"/>
      <c r="T72" s="1916"/>
      <c r="U72" s="1917"/>
    </row>
    <row r="73" spans="3:21" ht="13.5" thickBot="1">
      <c r="E73" s="1820">
        <f>E65</f>
        <v>2026</v>
      </c>
      <c r="F73" s="1821"/>
      <c r="G73" s="1906"/>
      <c r="H73" s="1906"/>
      <c r="I73" s="1906"/>
      <c r="J73" s="1906"/>
      <c r="K73" s="1924">
        <f>K65</f>
        <v>0.02</v>
      </c>
      <c r="L73" s="1924">
        <f>L65</f>
        <v>0.02</v>
      </c>
      <c r="M73" s="1925">
        <f>M65</f>
        <v>0.02</v>
      </c>
      <c r="O73" s="1716"/>
      <c r="P73" s="1832"/>
      <c r="Q73" s="1918">
        <f>SUM(Q67:Q71)</f>
        <v>175.70000000000002</v>
      </c>
      <c r="R73" s="1918">
        <f>SUM(R67:R71)</f>
        <v>9472.74</v>
      </c>
      <c r="S73" s="1918">
        <f>SUM(S67:S71)</f>
        <v>14388.836039999998</v>
      </c>
      <c r="T73" s="1918">
        <f>SUM(T67:T71)</f>
        <v>11693.3448312</v>
      </c>
      <c r="U73" s="1866">
        <f>SUM(U67:U71)</f>
        <v>16926.316415567999</v>
      </c>
    </row>
    <row r="74" spans="3:21">
      <c r="E74" s="1820">
        <f>E66</f>
        <v>2027</v>
      </c>
      <c r="F74" s="1821"/>
      <c r="G74" s="1906"/>
      <c r="H74" s="1906"/>
      <c r="I74" s="1906"/>
      <c r="J74" s="1906"/>
      <c r="K74" s="1906"/>
      <c r="L74" s="1906"/>
      <c r="M74" s="1926"/>
      <c r="O74" s="1814" t="s">
        <v>414</v>
      </c>
      <c r="P74" s="1815"/>
      <c r="Q74" s="1815"/>
      <c r="R74" s="1815"/>
      <c r="S74" s="1815"/>
      <c r="T74" s="1815"/>
      <c r="U74" s="1816"/>
    </row>
    <row r="75" spans="3:21">
      <c r="E75" s="1820">
        <v>2027</v>
      </c>
      <c r="F75" s="1821"/>
      <c r="G75" s="1906"/>
      <c r="H75" s="1906"/>
      <c r="I75" s="1906"/>
      <c r="J75" s="1906"/>
      <c r="K75" s="1906"/>
      <c r="L75" s="1906"/>
      <c r="M75" s="1926"/>
      <c r="O75" s="1820">
        <f>O84</f>
        <v>2023</v>
      </c>
      <c r="P75" s="1821"/>
      <c r="Q75" s="969">
        <f>G86*(Q13-Q22)</f>
        <v>0</v>
      </c>
      <c r="R75" s="969">
        <f>H86*(R13-R22)</f>
        <v>2.0079999999999956</v>
      </c>
      <c r="S75" s="969">
        <f>I86*(S13-S22)</f>
        <v>1.024080000000005</v>
      </c>
      <c r="T75" s="969">
        <f>J86*(T13-T22)</f>
        <v>0</v>
      </c>
      <c r="U75" s="970">
        <f>K86*(U13-U22)</f>
        <v>0</v>
      </c>
    </row>
    <row r="76" spans="3:21">
      <c r="E76" s="1715"/>
      <c r="F76" s="1821"/>
      <c r="G76" s="1927"/>
      <c r="H76" s="1927"/>
      <c r="I76" s="1927"/>
      <c r="J76" s="1927"/>
      <c r="K76" s="1927"/>
      <c r="L76" s="1927"/>
      <c r="M76" s="1928"/>
      <c r="O76" s="1820">
        <f>O85</f>
        <v>2024</v>
      </c>
      <c r="P76" s="1821"/>
      <c r="Q76" s="1902"/>
      <c r="R76" s="969">
        <f>H87*(R14-R23)</f>
        <v>0</v>
      </c>
      <c r="S76" s="969">
        <f>I87*(S14-S23)</f>
        <v>93.703319999999806</v>
      </c>
      <c r="T76" s="969">
        <f>J87*(T14-T23)</f>
        <v>38.12649840000006</v>
      </c>
      <c r="U76" s="970">
        <f>K87*(U14-U23)</f>
        <v>0</v>
      </c>
    </row>
    <row r="77" spans="3:21">
      <c r="E77" s="1715" t="s">
        <v>312</v>
      </c>
      <c r="F77" s="1821"/>
      <c r="G77" s="1927"/>
      <c r="H77" s="1927"/>
      <c r="I77" s="1927"/>
      <c r="J77" s="1927"/>
      <c r="K77" s="1927"/>
      <c r="L77" s="1927"/>
      <c r="M77" s="1928"/>
      <c r="O77" s="1820">
        <f>O86</f>
        <v>2025</v>
      </c>
      <c r="P77" s="1821"/>
      <c r="Q77" s="1902"/>
      <c r="R77" s="1902"/>
      <c r="S77" s="969">
        <f>I88*(S15-S24)</f>
        <v>0</v>
      </c>
      <c r="T77" s="969">
        <f>J88*(T15-T24)</f>
        <v>95.577386400000137</v>
      </c>
      <c r="U77" s="970">
        <f>K88*(U15-U24)</f>
        <v>0</v>
      </c>
    </row>
    <row r="78" spans="3:21">
      <c r="E78" s="1820">
        <f>E62</f>
        <v>2023</v>
      </c>
      <c r="F78" s="1821"/>
      <c r="G78" s="1929">
        <f>B33</f>
        <v>25.1</v>
      </c>
      <c r="H78" s="1930">
        <f t="shared" ref="H78:M78" si="32">$G$78*(1+H70)</f>
        <v>25.602</v>
      </c>
      <c r="I78" s="1930">
        <f t="shared" si="32"/>
        <v>26.114040000000003</v>
      </c>
      <c r="J78" s="1930">
        <f t="shared" si="32"/>
        <v>26.6363208</v>
      </c>
      <c r="K78" s="1930">
        <f t="shared" si="32"/>
        <v>27.169047216000003</v>
      </c>
      <c r="L78" s="1930">
        <f t="shared" si="32"/>
        <v>27.712428160320002</v>
      </c>
      <c r="M78" s="1931">
        <f t="shared" si="32"/>
        <v>28.266676723526402</v>
      </c>
      <c r="O78" s="1820">
        <f>O87</f>
        <v>2026</v>
      </c>
      <c r="P78" s="1821"/>
      <c r="Q78" s="1902"/>
      <c r="R78" s="1902"/>
      <c r="S78" s="1902"/>
      <c r="T78" s="969">
        <f>J89*(T16-T25)</f>
        <v>0</v>
      </c>
      <c r="U78" s="970">
        <f>K89*(U16-U25)</f>
        <v>0</v>
      </c>
    </row>
    <row r="79" spans="3:21">
      <c r="E79" s="1820">
        <f>E63</f>
        <v>2024</v>
      </c>
      <c r="F79" s="1821"/>
      <c r="G79" s="1902"/>
      <c r="H79" s="1932">
        <f>G78*$B$34+G78</f>
        <v>25.602</v>
      </c>
      <c r="I79" s="1930">
        <f>$H$79*(1+I71)</f>
        <v>26.114039999999999</v>
      </c>
      <c r="J79" s="1930">
        <f>$H$79*(1+J71)</f>
        <v>26.6363208</v>
      </c>
      <c r="K79" s="1930">
        <f>$H$79*(1+K71)</f>
        <v>27.169047215999999</v>
      </c>
      <c r="L79" s="1930">
        <f>$H$79*(1+L71)</f>
        <v>27.712428160319998</v>
      </c>
      <c r="M79" s="1931">
        <f>$H$79*(1+M71)</f>
        <v>28.266676723526402</v>
      </c>
      <c r="O79" s="1820">
        <f>O88</f>
        <v>2027</v>
      </c>
      <c r="P79" s="1821"/>
      <c r="Q79" s="1906"/>
      <c r="R79" s="1906"/>
      <c r="S79" s="1906"/>
      <c r="T79" s="1906"/>
      <c r="U79" s="970">
        <f>K90*(U17-U26)</f>
        <v>0</v>
      </c>
    </row>
    <row r="80" spans="3:21" ht="13.5" thickBot="1">
      <c r="E80" s="1820">
        <f>E64</f>
        <v>2025</v>
      </c>
      <c r="F80" s="1821"/>
      <c r="G80" s="1902"/>
      <c r="H80" s="1902"/>
      <c r="I80" s="1932">
        <f>H79*$B$34+H79</f>
        <v>26.114039999999999</v>
      </c>
      <c r="J80" s="1930">
        <f>$I$80*(1+J72)</f>
        <v>26.6363208</v>
      </c>
      <c r="K80" s="1930">
        <f>$I$80*(1+K72)</f>
        <v>27.169047215999999</v>
      </c>
      <c r="L80" s="1930">
        <f>$I$80*(1+L72)</f>
        <v>27.712428160319998</v>
      </c>
      <c r="M80" s="1931">
        <f>$I$80*(1+M72)</f>
        <v>28.266676723526398</v>
      </c>
      <c r="O80" s="1820">
        <v>2027</v>
      </c>
      <c r="P80" s="1821"/>
      <c r="Q80" s="1916"/>
      <c r="R80" s="1916"/>
      <c r="S80" s="1916"/>
      <c r="T80" s="1916"/>
      <c r="U80" s="1917"/>
    </row>
    <row r="81" spans="5:21" ht="13.5" thickBot="1">
      <c r="E81" s="1820">
        <f>E65</f>
        <v>2026</v>
      </c>
      <c r="F81" s="1821"/>
      <c r="G81" s="1902"/>
      <c r="H81" s="1902"/>
      <c r="I81" s="1902"/>
      <c r="J81" s="1932">
        <f>I80*$B$34+I80</f>
        <v>26.6363208</v>
      </c>
      <c r="K81" s="1930">
        <f>$J$81*(1+K73)</f>
        <v>27.169047215999999</v>
      </c>
      <c r="L81" s="1930">
        <f>$J$81*(1+L73)</f>
        <v>27.169047215999999</v>
      </c>
      <c r="M81" s="1931">
        <f>$J$81*(1+M73)</f>
        <v>27.169047215999999</v>
      </c>
      <c r="O81" s="1716"/>
      <c r="P81" s="1832"/>
      <c r="Q81" s="1833">
        <f>SUM(Q75:Q79)</f>
        <v>0</v>
      </c>
      <c r="R81" s="1833">
        <f>SUM(R75:R79)</f>
        <v>2.0079999999999956</v>
      </c>
      <c r="S81" s="1833">
        <f>SUM(S75:S79)</f>
        <v>94.727399999999818</v>
      </c>
      <c r="T81" s="1833">
        <f>SUM(T75:T79)</f>
        <v>133.7038848000002</v>
      </c>
      <c r="U81" s="1834">
        <f>SUM(U75:U79)</f>
        <v>0</v>
      </c>
    </row>
    <row r="82" spans="5:21" ht="13.5" thickBot="1">
      <c r="E82" s="1820">
        <f>E66</f>
        <v>2027</v>
      </c>
      <c r="F82" s="1821"/>
      <c r="G82" s="1902"/>
      <c r="H82" s="1902"/>
      <c r="I82" s="1902"/>
      <c r="J82" s="1902"/>
      <c r="K82" s="1932">
        <f>J81*$B$34+J81</f>
        <v>27.169047215999999</v>
      </c>
      <c r="L82" s="1932">
        <f>K81*$B$34+K81</f>
        <v>27.712428160319998</v>
      </c>
      <c r="M82" s="1934">
        <f>L81*$B$34+L81</f>
        <v>27.712428160319998</v>
      </c>
    </row>
    <row r="83" spans="5:21">
      <c r="E83" s="1820">
        <v>2027</v>
      </c>
      <c r="F83" s="1821"/>
      <c r="G83" s="1906"/>
      <c r="H83" s="1906"/>
      <c r="I83" s="1906"/>
      <c r="J83" s="1906"/>
      <c r="K83" s="1906"/>
      <c r="L83" s="1906"/>
      <c r="M83" s="1926"/>
      <c r="O83" s="1814" t="s">
        <v>413</v>
      </c>
      <c r="P83" s="1815"/>
      <c r="Q83" s="1815"/>
      <c r="R83" s="1815"/>
      <c r="S83" s="1815"/>
      <c r="T83" s="1815"/>
      <c r="U83" s="1816"/>
    </row>
    <row r="84" spans="5:21">
      <c r="E84" s="1820"/>
      <c r="F84" s="1821"/>
      <c r="G84" s="1927"/>
      <c r="H84" s="1927"/>
      <c r="I84" s="1927"/>
      <c r="J84" s="1927"/>
      <c r="K84" s="1927"/>
      <c r="L84" s="1927"/>
      <c r="M84" s="1928"/>
      <c r="O84" s="1820">
        <f>O13</f>
        <v>2023</v>
      </c>
      <c r="P84" s="1821"/>
      <c r="Q84" s="969">
        <f>Q40*G78*IF(Q49="Yes",($B$31),1)</f>
        <v>0</v>
      </c>
      <c r="R84" s="969">
        <f>R40*H78*IF(R49="Yes",($B$31),1)</f>
        <v>76.805999999999997</v>
      </c>
      <c r="S84" s="969">
        <f>S40*I78*IF(S49="Yes",($B$31),1)</f>
        <v>52.728897205479477</v>
      </c>
      <c r="T84" s="969">
        <f>T40*J78*IF(T49="Yes",($B$31),1)</f>
        <v>53.2726416</v>
      </c>
      <c r="U84" s="970">
        <f>U40*K78*IF(U49="Yes",($B$31),1)</f>
        <v>0</v>
      </c>
    </row>
    <row r="85" spans="5:21">
      <c r="E85" s="1715" t="s">
        <v>313</v>
      </c>
      <c r="F85" s="1821"/>
      <c r="G85" s="1927"/>
      <c r="H85" s="1927"/>
      <c r="I85" s="1927"/>
      <c r="J85" s="1927"/>
      <c r="K85" s="1927"/>
      <c r="L85" s="1927"/>
      <c r="M85" s="1928"/>
      <c r="O85" s="1820">
        <f>O14</f>
        <v>2024</v>
      </c>
      <c r="P85" s="1821"/>
      <c r="Q85" s="1902"/>
      <c r="R85" s="969">
        <f>R41*H79*IF(R50="Yes",($B$31),1)</f>
        <v>0</v>
      </c>
      <c r="S85" s="969">
        <f>S41*I79*IF(S50="Yes",($B$31),1)</f>
        <v>4778.8693199999998</v>
      </c>
      <c r="T85" s="969">
        <f>T41*J79*IF(T50="Yes",($B$31),1)</f>
        <v>2929.9952880000001</v>
      </c>
      <c r="U85" s="970">
        <f>U41*K79*IF(U50="Yes",($B$31),1)</f>
        <v>1983.340446768</v>
      </c>
    </row>
    <row r="86" spans="5:21">
      <c r="E86" s="1820">
        <f>E78</f>
        <v>2023</v>
      </c>
      <c r="F86" s="1821"/>
      <c r="G86" s="1906"/>
      <c r="H86" s="1937">
        <f>H78-G78</f>
        <v>0.50199999999999889</v>
      </c>
      <c r="I86" s="1937">
        <f t="shared" ref="I86:M88" si="33">I78-H78</f>
        <v>0.51204000000000249</v>
      </c>
      <c r="J86" s="1937">
        <f t="shared" si="33"/>
        <v>0.52228079999999721</v>
      </c>
      <c r="K86" s="1937">
        <f t="shared" si="33"/>
        <v>0.5327264160000027</v>
      </c>
      <c r="L86" s="1937">
        <f t="shared" si="33"/>
        <v>0.54338094431999906</v>
      </c>
      <c r="M86" s="1938">
        <f t="shared" si="33"/>
        <v>0.55424856320640004</v>
      </c>
      <c r="O86" s="1820">
        <f>O15</f>
        <v>2025</v>
      </c>
      <c r="P86" s="1821"/>
      <c r="Q86" s="1902"/>
      <c r="R86" s="1902"/>
      <c r="S86" s="969">
        <f>S42*I80*IF(S51="Yes",($B$31),1)</f>
        <v>0</v>
      </c>
      <c r="T86" s="969">
        <f>T42*J80*IF(T51="Yes",($B$31),1)</f>
        <v>4874.4467064</v>
      </c>
      <c r="U86" s="970">
        <f>U42*K80*IF(U51="Yes",($B$31),1)</f>
        <v>4971.9356405279996</v>
      </c>
    </row>
    <row r="87" spans="5:21">
      <c r="E87" s="1820">
        <f>E79</f>
        <v>2024</v>
      </c>
      <c r="F87" s="1821"/>
      <c r="G87" s="1906"/>
      <c r="H87" s="1906"/>
      <c r="I87" s="1937">
        <f t="shared" si="33"/>
        <v>0.51203999999999894</v>
      </c>
      <c r="J87" s="1937">
        <f t="shared" si="33"/>
        <v>0.52228080000000077</v>
      </c>
      <c r="K87" s="1937">
        <f t="shared" si="33"/>
        <v>0.53272641599999915</v>
      </c>
      <c r="L87" s="1937">
        <f t="shared" si="33"/>
        <v>0.54338094431999906</v>
      </c>
      <c r="M87" s="1938">
        <f t="shared" si="33"/>
        <v>0.55424856320640359</v>
      </c>
      <c r="O87" s="1820">
        <f>O16</f>
        <v>2026</v>
      </c>
      <c r="P87" s="1821"/>
      <c r="Q87" s="1902"/>
      <c r="R87" s="1902"/>
      <c r="S87" s="1902"/>
      <c r="T87" s="969">
        <f>T43*J81*IF(T52="Yes",($B$31),1)</f>
        <v>4874.4467064</v>
      </c>
      <c r="U87" s="970">
        <f>U43*K81*IF(U52="Yes",($B$31),1)</f>
        <v>4971.9356405279996</v>
      </c>
    </row>
    <row r="88" spans="5:21">
      <c r="E88" s="1820">
        <f>E80</f>
        <v>2025</v>
      </c>
      <c r="F88" s="1821"/>
      <c r="G88" s="1906"/>
      <c r="H88" s="1906"/>
      <c r="I88" s="1906"/>
      <c r="J88" s="1937">
        <f t="shared" si="33"/>
        <v>0.52228080000000077</v>
      </c>
      <c r="K88" s="1937">
        <f t="shared" si="33"/>
        <v>0.53272641599999915</v>
      </c>
      <c r="L88" s="1937">
        <f t="shared" si="33"/>
        <v>0.54338094431999906</v>
      </c>
      <c r="M88" s="1938">
        <f t="shared" si="33"/>
        <v>0.55424856320640004</v>
      </c>
      <c r="O88" s="1820">
        <f>O17</f>
        <v>2027</v>
      </c>
      <c r="P88" s="1821"/>
      <c r="Q88" s="1906"/>
      <c r="R88" s="1906"/>
      <c r="S88" s="1906"/>
      <c r="T88" s="1906"/>
      <c r="U88" s="970">
        <f>U44*K82*IF(U53="Yes",($B$31),1)</f>
        <v>1606.3047243387248</v>
      </c>
    </row>
    <row r="89" spans="5:21" ht="13.5" thickBot="1">
      <c r="E89" s="1820">
        <f>E81</f>
        <v>2026</v>
      </c>
      <c r="F89" s="1821"/>
      <c r="G89" s="1836"/>
      <c r="H89" s="1836"/>
      <c r="I89" s="1836"/>
      <c r="J89" s="1836"/>
      <c r="K89" s="1939">
        <f>K81-J81</f>
        <v>0.53272641599999915</v>
      </c>
      <c r="L89" s="1939">
        <f>L81-K81</f>
        <v>0</v>
      </c>
      <c r="M89" s="1940">
        <f>M81-L81</f>
        <v>0</v>
      </c>
      <c r="O89" s="1820">
        <v>2027</v>
      </c>
      <c r="P89" s="1821"/>
      <c r="Q89" s="1916"/>
      <c r="R89" s="1916"/>
      <c r="S89" s="1916"/>
      <c r="T89" s="1916"/>
      <c r="U89" s="1917"/>
    </row>
    <row r="90" spans="5:21" ht="13.5" thickBot="1">
      <c r="E90" s="1820">
        <f>E82</f>
        <v>2027</v>
      </c>
      <c r="F90" s="1821"/>
      <c r="G90" s="1836"/>
      <c r="H90" s="1836"/>
      <c r="I90" s="1836"/>
      <c r="J90" s="1836"/>
      <c r="K90" s="1941"/>
      <c r="L90" s="1941"/>
      <c r="M90" s="1942"/>
      <c r="O90" s="1716"/>
      <c r="P90" s="1832"/>
      <c r="Q90" s="1833">
        <f>SUM(Q84:Q88)</f>
        <v>0</v>
      </c>
      <c r="R90" s="1833">
        <f>SUM(R84:R88)</f>
        <v>76.805999999999997</v>
      </c>
      <c r="S90" s="1833">
        <f>SUM(S84:S88)</f>
        <v>4831.5982172054792</v>
      </c>
      <c r="T90" s="1833">
        <f>SUM(T84:T88)</f>
        <v>12732.161342400001</v>
      </c>
      <c r="U90" s="1834">
        <f>SUM(U84:U88)</f>
        <v>13533.516452162725</v>
      </c>
    </row>
    <row r="91" spans="5:21" ht="13.5" thickBot="1">
      <c r="E91" s="1945">
        <v>2027</v>
      </c>
      <c r="F91" s="1832"/>
      <c r="G91" s="1946"/>
      <c r="H91" s="1946"/>
      <c r="I91" s="1946"/>
      <c r="J91" s="1946"/>
      <c r="K91" s="1947"/>
      <c r="L91" s="1947"/>
      <c r="M91" s="1948"/>
      <c r="O91" s="1814" t="s">
        <v>701</v>
      </c>
      <c r="P91" s="1815"/>
      <c r="Q91" s="1815"/>
      <c r="R91" s="1815"/>
      <c r="S91" s="1815"/>
      <c r="T91" s="1815"/>
      <c r="U91" s="1816"/>
    </row>
    <row r="92" spans="5:21" ht="13.5" thickBot="1">
      <c r="K92" s="1821"/>
      <c r="L92" s="1821"/>
      <c r="M92" s="1821"/>
      <c r="O92" s="1820">
        <f>G4</f>
        <v>2023</v>
      </c>
      <c r="P92" s="1821"/>
      <c r="Q92" s="969">
        <f>Q40*G86</f>
        <v>0</v>
      </c>
      <c r="R92" s="969">
        <f>R40*H86</f>
        <v>1.5059999999999967</v>
      </c>
      <c r="S92" s="969">
        <f>S40*I86</f>
        <v>1.0338999452054849</v>
      </c>
      <c r="T92" s="969">
        <f>T40*J86</f>
        <v>1.0445615999999944</v>
      </c>
      <c r="U92" s="970">
        <f>U40*K86</f>
        <v>0</v>
      </c>
    </row>
    <row r="93" spans="5:21">
      <c r="E93" s="1819" t="s">
        <v>169</v>
      </c>
      <c r="F93" s="1815"/>
      <c r="G93" s="1951"/>
      <c r="H93" s="1952">
        <f>Opex!E28</f>
        <v>3.5000000000000003E-2</v>
      </c>
      <c r="I93" s="1952">
        <f>Opex!F28</f>
        <v>0.02</v>
      </c>
      <c r="J93" s="1952">
        <f>Opex!G28</f>
        <v>0.02</v>
      </c>
      <c r="K93" s="1952">
        <f>Opex!H28</f>
        <v>0.02</v>
      </c>
      <c r="L93" s="1952">
        <f>Opex!I28</f>
        <v>0.02</v>
      </c>
      <c r="M93" s="1953">
        <f>Opex!J28</f>
        <v>0.02</v>
      </c>
      <c r="O93" s="1820">
        <f>H4</f>
        <v>2024</v>
      </c>
      <c r="P93" s="1821"/>
      <c r="Q93" s="1902"/>
      <c r="R93" s="969">
        <f>R41*H87</f>
        <v>0</v>
      </c>
      <c r="S93" s="969">
        <f>S41*I87</f>
        <v>93.703319999999806</v>
      </c>
      <c r="T93" s="969">
        <f>T41*J87</f>
        <v>57.450888000000084</v>
      </c>
      <c r="U93" s="970">
        <f>U41*K87</f>
        <v>38.889028367999941</v>
      </c>
    </row>
    <row r="94" spans="5:21" ht="13.5" thickBot="1">
      <c r="E94" s="1716"/>
      <c r="F94" s="1832"/>
      <c r="G94" s="1955">
        <f>100%</f>
        <v>1</v>
      </c>
      <c r="H94" s="1955">
        <f t="shared" ref="H94:M94" si="34">G94*H93+G94</f>
        <v>1.0349999999999999</v>
      </c>
      <c r="I94" s="1955">
        <f t="shared" si="34"/>
        <v>1.0556999999999999</v>
      </c>
      <c r="J94" s="1955">
        <f t="shared" si="34"/>
        <v>1.0768139999999999</v>
      </c>
      <c r="K94" s="1955">
        <f t="shared" si="34"/>
        <v>1.09835028</v>
      </c>
      <c r="L94" s="1955">
        <f t="shared" si="34"/>
        <v>1.1203172856000001</v>
      </c>
      <c r="M94" s="1956">
        <f t="shared" si="34"/>
        <v>1.1427236313120002</v>
      </c>
      <c r="O94" s="1820">
        <f>I4</f>
        <v>2025</v>
      </c>
      <c r="P94" s="1821"/>
      <c r="Q94" s="1902"/>
      <c r="R94" s="1902"/>
      <c r="S94" s="969">
        <f>S42*I88</f>
        <v>0</v>
      </c>
      <c r="T94" s="969">
        <f>T42*J88</f>
        <v>95.577386400000137</v>
      </c>
      <c r="U94" s="970">
        <f>U42*K88</f>
        <v>97.48893412799984</v>
      </c>
    </row>
    <row r="95" spans="5:21" ht="13.5" thickBot="1">
      <c r="K95" s="1821"/>
      <c r="L95" s="1821"/>
      <c r="M95" s="1821"/>
      <c r="O95" s="1820">
        <f>J4</f>
        <v>2026</v>
      </c>
      <c r="P95" s="1821"/>
      <c r="Q95" s="1902"/>
      <c r="R95" s="1902"/>
      <c r="S95" s="1902"/>
      <c r="T95" s="969">
        <f>T43*J89</f>
        <v>0</v>
      </c>
      <c r="U95" s="970">
        <f>U43*K89</f>
        <v>97.48893412799984</v>
      </c>
    </row>
    <row r="96" spans="5:21">
      <c r="E96" s="1819" t="s">
        <v>696</v>
      </c>
      <c r="F96" s="1815"/>
      <c r="G96" s="1958">
        <f>B29</f>
        <v>0.125</v>
      </c>
      <c r="H96" s="1959">
        <f t="shared" ref="H96:M96" si="35">H94*G96</f>
        <v>0.12937499999999999</v>
      </c>
      <c r="I96" s="1959">
        <f t="shared" si="35"/>
        <v>0.13658118749999998</v>
      </c>
      <c r="J96" s="1959">
        <f t="shared" si="35"/>
        <v>0.14707253483662497</v>
      </c>
      <c r="K96" s="1959">
        <f t="shared" si="35"/>
        <v>0.16153715981811678</v>
      </c>
      <c r="L96" s="1959">
        <f t="shared" si="35"/>
        <v>0.18097287241096599</v>
      </c>
      <c r="M96" s="1960">
        <f t="shared" si="35"/>
        <v>0.20680197793042235</v>
      </c>
      <c r="O96" s="1820">
        <f>K4</f>
        <v>2027</v>
      </c>
      <c r="P96" s="1821"/>
      <c r="Q96" s="1906"/>
      <c r="R96" s="1906"/>
      <c r="S96" s="1906"/>
      <c r="T96" s="1906"/>
      <c r="U96" s="970">
        <f>U44*K90</f>
        <v>0</v>
      </c>
    </row>
    <row r="97" spans="3:21" ht="13.5" thickBot="1">
      <c r="E97" s="1716" t="s">
        <v>746</v>
      </c>
      <c r="F97" s="1832"/>
      <c r="G97" s="1962">
        <f>B28</f>
        <v>0.75</v>
      </c>
      <c r="H97" s="1963">
        <f t="shared" ref="H97:M97" si="36">H94*G97</f>
        <v>0.77624999999999988</v>
      </c>
      <c r="I97" s="1963">
        <f t="shared" si="36"/>
        <v>0.81948712499999976</v>
      </c>
      <c r="J97" s="1963">
        <f t="shared" si="36"/>
        <v>0.8824352090197497</v>
      </c>
      <c r="K97" s="1963">
        <f t="shared" si="36"/>
        <v>0.96922295890870058</v>
      </c>
      <c r="L97" s="1963">
        <f t="shared" si="36"/>
        <v>1.0858372344657958</v>
      </c>
      <c r="M97" s="1964">
        <f t="shared" si="36"/>
        <v>1.2408118675825339</v>
      </c>
      <c r="O97" s="1820">
        <v>2027</v>
      </c>
      <c r="P97" s="1821"/>
      <c r="Q97" s="1916"/>
      <c r="R97" s="1916"/>
      <c r="S97" s="1916"/>
      <c r="T97" s="1916"/>
      <c r="U97" s="1917"/>
    </row>
    <row r="98" spans="3:21" ht="13.5" thickBot="1">
      <c r="C98" s="1933"/>
      <c r="O98" s="1716"/>
      <c r="P98" s="1832"/>
      <c r="Q98" s="1935">
        <f>SUM(Q92:Q96)</f>
        <v>0</v>
      </c>
      <c r="R98" s="1935">
        <f>SUM(R92:R96)</f>
        <v>1.5059999999999967</v>
      </c>
      <c r="S98" s="1935">
        <f>SUM(S92:S96)</f>
        <v>94.737219945205297</v>
      </c>
      <c r="T98" s="1935">
        <f>SUM(T92:T96)</f>
        <v>154.07283600000022</v>
      </c>
      <c r="U98" s="1936">
        <f>SUM(U92:U96)</f>
        <v>233.86689662399962</v>
      </c>
    </row>
    <row r="99" spans="3:21" ht="13.5" thickBot="1">
      <c r="C99" s="1933"/>
      <c r="E99" s="2930" t="s">
        <v>1008</v>
      </c>
      <c r="F99" s="2931"/>
      <c r="G99" s="2931"/>
      <c r="H99" s="2931"/>
      <c r="I99" s="2931"/>
      <c r="J99" s="2931"/>
      <c r="K99" s="2931"/>
      <c r="L99" s="1965"/>
      <c r="M99" s="1965"/>
    </row>
    <row r="100" spans="3:21">
      <c r="C100" s="1933"/>
      <c r="E100" s="1966"/>
      <c r="F100" s="1967"/>
      <c r="G100" s="1967"/>
      <c r="H100" s="1967"/>
      <c r="I100" s="1967"/>
      <c r="J100" s="1967"/>
      <c r="K100" s="1967"/>
      <c r="L100" s="1967"/>
      <c r="M100" s="1967"/>
      <c r="O100" s="1814" t="s">
        <v>705</v>
      </c>
      <c r="P100" s="1815"/>
      <c r="Q100" s="1815"/>
      <c r="R100" s="1815"/>
      <c r="S100" s="1815"/>
      <c r="T100" s="1815"/>
      <c r="U100" s="1816"/>
    </row>
    <row r="101" spans="3:21">
      <c r="C101" s="1933"/>
      <c r="E101" s="2932" t="s">
        <v>1138</v>
      </c>
      <c r="F101" s="2933"/>
      <c r="G101" s="2933"/>
      <c r="H101" s="2933"/>
      <c r="I101" s="2933"/>
      <c r="J101" s="2933"/>
      <c r="K101" s="2933"/>
      <c r="L101" s="2933"/>
      <c r="M101" s="2933"/>
      <c r="O101" s="1820">
        <f t="shared" ref="O101:O106" si="37">O92</f>
        <v>2023</v>
      </c>
      <c r="P101" s="1821"/>
      <c r="Q101" s="1821">
        <f t="shared" ref="Q101:U106" si="38">IF(Q49="Yes",Q84*(1-$B$31),0)</f>
        <v>0</v>
      </c>
      <c r="R101" s="1821">
        <f t="shared" si="38"/>
        <v>0</v>
      </c>
      <c r="S101" s="1821">
        <f t="shared" si="38"/>
        <v>0</v>
      </c>
      <c r="T101" s="1821">
        <f t="shared" si="38"/>
        <v>0</v>
      </c>
      <c r="U101" s="1845">
        <f t="shared" si="38"/>
        <v>0</v>
      </c>
    </row>
    <row r="102" spans="3:21">
      <c r="E102" s="1968"/>
      <c r="F102" s="1969"/>
      <c r="G102" s="1969"/>
      <c r="H102" s="1969"/>
      <c r="I102" s="1969"/>
      <c r="J102" s="1969"/>
      <c r="K102" s="1969"/>
      <c r="L102" s="1969"/>
      <c r="M102" s="1969"/>
      <c r="O102" s="1820">
        <f t="shared" si="37"/>
        <v>2024</v>
      </c>
      <c r="P102" s="1821"/>
      <c r="Q102" s="1821">
        <f t="shared" si="38"/>
        <v>0</v>
      </c>
      <c r="R102" s="1821">
        <f t="shared" si="38"/>
        <v>0</v>
      </c>
      <c r="S102" s="1821">
        <f t="shared" si="38"/>
        <v>0</v>
      </c>
      <c r="T102" s="1821">
        <f t="shared" si="38"/>
        <v>0</v>
      </c>
      <c r="U102" s="1845">
        <f t="shared" si="38"/>
        <v>0</v>
      </c>
    </row>
    <row r="103" spans="3:21" ht="281.25" thickBot="1">
      <c r="E103" s="2906" t="s">
        <v>1034</v>
      </c>
      <c r="F103" s="2907"/>
      <c r="G103" s="2907"/>
      <c r="H103" s="2907"/>
      <c r="I103" s="2907"/>
      <c r="J103" s="2907"/>
      <c r="K103" s="2907"/>
      <c r="L103" s="2907"/>
      <c r="M103" s="2907"/>
      <c r="O103" s="1820">
        <f t="shared" si="37"/>
        <v>2025</v>
      </c>
      <c r="P103" s="1821"/>
      <c r="Q103" s="1821">
        <f t="shared" si="38"/>
        <v>0</v>
      </c>
      <c r="R103" s="1821">
        <f t="shared" si="38"/>
        <v>0</v>
      </c>
      <c r="S103" s="1821">
        <f t="shared" si="38"/>
        <v>0</v>
      </c>
      <c r="T103" s="1821">
        <f t="shared" si="38"/>
        <v>0</v>
      </c>
      <c r="U103" s="1845">
        <f t="shared" si="38"/>
        <v>0</v>
      </c>
    </row>
    <row r="104" spans="3:21">
      <c r="O104" s="1820">
        <f t="shared" si="37"/>
        <v>2026</v>
      </c>
      <c r="P104" s="1821"/>
      <c r="Q104" s="1821">
        <f t="shared" si="38"/>
        <v>0</v>
      </c>
      <c r="R104" s="1821">
        <f t="shared" si="38"/>
        <v>0</v>
      </c>
      <c r="S104" s="1821">
        <f t="shared" si="38"/>
        <v>0</v>
      </c>
      <c r="T104" s="1821">
        <f t="shared" si="38"/>
        <v>0</v>
      </c>
      <c r="U104" s="1845">
        <f t="shared" si="38"/>
        <v>0</v>
      </c>
    </row>
    <row r="105" spans="3:21">
      <c r="O105" s="1820">
        <f t="shared" si="37"/>
        <v>2027</v>
      </c>
      <c r="P105" s="1821"/>
      <c r="Q105" s="1821">
        <f t="shared" si="38"/>
        <v>0</v>
      </c>
      <c r="R105" s="1821">
        <f t="shared" si="38"/>
        <v>0</v>
      </c>
      <c r="S105" s="1821">
        <f t="shared" si="38"/>
        <v>0</v>
      </c>
      <c r="T105" s="1821">
        <f t="shared" si="38"/>
        <v>0</v>
      </c>
      <c r="U105" s="1845">
        <f t="shared" si="38"/>
        <v>0</v>
      </c>
    </row>
    <row r="106" spans="3:21">
      <c r="O106" s="1820">
        <f t="shared" si="37"/>
        <v>2027</v>
      </c>
      <c r="P106" s="1821"/>
      <c r="Q106" s="1943">
        <f t="shared" si="38"/>
        <v>0</v>
      </c>
      <c r="R106" s="1943">
        <f t="shared" si="38"/>
        <v>0</v>
      </c>
      <c r="S106" s="1943">
        <f t="shared" si="38"/>
        <v>0</v>
      </c>
      <c r="T106" s="1943">
        <f t="shared" si="38"/>
        <v>0</v>
      </c>
      <c r="U106" s="1944">
        <f t="shared" si="38"/>
        <v>0</v>
      </c>
    </row>
    <row r="107" spans="3:21" ht="13.5" thickBot="1">
      <c r="O107" s="1716"/>
      <c r="P107" s="1832"/>
      <c r="Q107" s="1949">
        <f>SUM(Q101:Q106)</f>
        <v>0</v>
      </c>
      <c r="R107" s="1949">
        <f>SUM(R101:R106)</f>
        <v>0</v>
      </c>
      <c r="S107" s="1949">
        <f>SUM(S101:S106)</f>
        <v>0</v>
      </c>
      <c r="T107" s="1949">
        <f>SUM(T101:T106)</f>
        <v>0</v>
      </c>
      <c r="U107" s="1950">
        <f>SUM(U101:U106)</f>
        <v>0</v>
      </c>
    </row>
    <row r="108" spans="3:21">
      <c r="G108" s="1868"/>
      <c r="H108" s="1868"/>
      <c r="I108" s="1868"/>
      <c r="J108" s="1868"/>
      <c r="K108" s="1868"/>
      <c r="L108" s="1868"/>
      <c r="M108" s="1868"/>
    </row>
    <row r="109" spans="3:21">
      <c r="O109" s="1954"/>
      <c r="P109" s="1954"/>
      <c r="Q109" s="1954"/>
    </row>
    <row r="111" spans="3:21" ht="30.75" customHeight="1">
      <c r="C111" s="1957"/>
    </row>
    <row r="112" spans="3:21" ht="13.5" customHeight="1"/>
    <row r="113" spans="1:14" s="1961" customFormat="1">
      <c r="A113" s="1795"/>
      <c r="B113" s="1795"/>
      <c r="C113" s="1795"/>
      <c r="E113" s="1795"/>
      <c r="F113" s="1795"/>
      <c r="G113" s="1795"/>
      <c r="H113" s="1795"/>
      <c r="I113" s="1795"/>
      <c r="J113" s="1795"/>
      <c r="K113" s="1795"/>
      <c r="L113" s="1795"/>
      <c r="M113" s="1795"/>
      <c r="N113" s="1795"/>
    </row>
    <row r="114" spans="1:14" ht="15" customHeight="1" thickBot="1">
      <c r="A114" s="1961"/>
      <c r="B114" s="1961"/>
      <c r="C114" s="1961"/>
    </row>
    <row r="115" spans="1:14" ht="18.75" customHeight="1">
      <c r="N115" s="1816"/>
    </row>
    <row r="116" spans="1:14">
      <c r="N116" s="1845"/>
    </row>
    <row r="117" spans="1:14" ht="52.5" customHeight="1">
      <c r="N117" s="1845"/>
    </row>
    <row r="118" spans="1:14">
      <c r="N118" s="1845"/>
    </row>
    <row r="119" spans="1:14" ht="75.75" customHeight="1" thickBot="1">
      <c r="N119" s="2908"/>
    </row>
  </sheetData>
  <sheetProtection password="CD53" sheet="1" objects="1" scenarios="1" selectLockedCells="1"/>
  <mergeCells count="2">
    <mergeCell ref="E99:K99"/>
    <mergeCell ref="E101:M101"/>
  </mergeCells>
  <conditionalFormatting sqref="S5">
    <cfRule type="expression" dxfId="110" priority="30" stopIfTrue="1">
      <formula>S5&gt;R5</formula>
    </cfRule>
  </conditionalFormatting>
  <conditionalFormatting sqref="R5">
    <cfRule type="expression" dxfId="109" priority="29" stopIfTrue="1">
      <formula>R5&gt;Q5</formula>
    </cfRule>
  </conditionalFormatting>
  <conditionalFormatting sqref="T5">
    <cfRule type="expression" dxfId="108" priority="28" stopIfTrue="1">
      <formula>T5&gt;S5</formula>
    </cfRule>
  </conditionalFormatting>
  <conditionalFormatting sqref="U5">
    <cfRule type="expression" dxfId="107" priority="27" stopIfTrue="1">
      <formula>U5&gt;T5</formula>
    </cfRule>
  </conditionalFormatting>
  <conditionalFormatting sqref="U6:V6">
    <cfRule type="expression" dxfId="106" priority="26" stopIfTrue="1">
      <formula>U6&gt;T6</formula>
    </cfRule>
  </conditionalFormatting>
  <conditionalFormatting sqref="T6">
    <cfRule type="expression" dxfId="105" priority="25" stopIfTrue="1">
      <formula>T6&gt;S6</formula>
    </cfRule>
  </conditionalFormatting>
  <conditionalFormatting sqref="S6">
    <cfRule type="expression" dxfId="104" priority="24" stopIfTrue="1">
      <formula>S6&gt;R6</formula>
    </cfRule>
  </conditionalFormatting>
  <conditionalFormatting sqref="T7">
    <cfRule type="expression" dxfId="103" priority="23" stopIfTrue="1">
      <formula>T7&gt;S7</formula>
    </cfRule>
  </conditionalFormatting>
  <conditionalFormatting sqref="U7:V7">
    <cfRule type="expression" dxfId="102" priority="22" stopIfTrue="1">
      <formula>U7&gt;T7</formula>
    </cfRule>
  </conditionalFormatting>
  <conditionalFormatting sqref="U8:V8">
    <cfRule type="expression" dxfId="101" priority="21" stopIfTrue="1">
      <formula>U8&gt;T8</formula>
    </cfRule>
  </conditionalFormatting>
  <conditionalFormatting sqref="H9">
    <cfRule type="cellIs" dxfId="100" priority="20" operator="between">
      <formula>1</formula>
      <formula>99999</formula>
    </cfRule>
  </conditionalFormatting>
  <conditionalFormatting sqref="Q5">
    <cfRule type="expression" dxfId="99" priority="18">
      <formula>"$G$14=0"</formula>
    </cfRule>
  </conditionalFormatting>
  <conditionalFormatting sqref="B7">
    <cfRule type="cellIs" dxfId="98" priority="15" operator="lessThan">
      <formula>4</formula>
    </cfRule>
    <cfRule type="cellIs" dxfId="97" priority="16" operator="greaterThan">
      <formula>$B$9</formula>
    </cfRule>
  </conditionalFormatting>
  <conditionalFormatting sqref="G35:L35 F36:L36 M35:M36">
    <cfRule type="cellIs" dxfId="96" priority="13" operator="greaterThan">
      <formula>$B$7</formula>
    </cfRule>
  </conditionalFormatting>
  <conditionalFormatting sqref="C53">
    <cfRule type="cellIs" dxfId="95" priority="10" operator="lessThan">
      <formula>0</formula>
    </cfRule>
    <cfRule type="cellIs" dxfId="94" priority="11" operator="greaterThan">
      <formula>0</formula>
    </cfRule>
  </conditionalFormatting>
  <conditionalFormatting sqref="C47">
    <cfRule type="cellIs" dxfId="93" priority="5" operator="lessThan">
      <formula>$C$50</formula>
    </cfRule>
    <cfRule type="cellIs" dxfId="92" priority="6" operator="equal">
      <formula>$C$50</formula>
    </cfRule>
    <cfRule type="cellIs" dxfId="91" priority="7" operator="greaterThan">
      <formula>$C$50</formula>
    </cfRule>
  </conditionalFormatting>
  <conditionalFormatting sqref="G9:M9">
    <cfRule type="cellIs" dxfId="90" priority="4" operator="lessThan">
      <formula>0</formula>
    </cfRule>
  </conditionalFormatting>
  <conditionalFormatting sqref="G37:K37">
    <cfRule type="cellIs" dxfId="89" priority="2" operator="lessThan">
      <formula>0</formula>
    </cfRule>
  </conditionalFormatting>
  <conditionalFormatting sqref="L37:M37">
    <cfRule type="cellIs" dxfId="88" priority="1" operator="greaterThan">
      <formula>$B$7</formula>
    </cfRule>
  </conditionalFormatting>
  <dataValidations count="1">
    <dataValidation type="list" allowBlank="1" showInputMessage="1" showErrorMessage="1" sqref="U49:U53 T49:T52 S49:S51 R49:R50 Q49">
      <formula1>"Yes,No"</formula1>
    </dataValidation>
  </dataValidations>
  <pageMargins left="0.7" right="0.7" top="0.75" bottom="0.75" header="0.3" footer="0.3"/>
  <ignoredErrors>
    <ignoredError sqref="J42" formula="1"/>
  </ignoredErrors>
  <extLst>
    <ext xmlns:x14="http://schemas.microsoft.com/office/spreadsheetml/2009/9/main" uri="{78C0D931-6437-407d-A8EE-F0AAD7539E65}">
      <x14:conditionalFormattings>
        <x14:conditionalFormatting xmlns:xm="http://schemas.microsoft.com/office/excel/2006/main">
          <x14:cfRule type="cellIs" priority="31" stopIfTrue="1" operator="greaterThan" id="{FDA3901E-A128-4EF5-828C-ED392A2BE67E}">
            <xm:f>'C:\1. Hartburg\03. Red Church\02. Red Church Finance B.V\3. Bond\06. Forecast model\Red church\[RC - Forecast model 4.1.2.1.xlsx]Bond'!#REF!</xm:f>
            <x14:dxf>
              <font>
                <color rgb="FF9C0006"/>
              </font>
              <fill>
                <patternFill>
                  <bgColor rgb="FFFFC7CE"/>
                </patternFill>
              </fill>
            </x14:dxf>
          </x14:cfRule>
          <xm:sqref>B7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8" tint="0.79998168889431442"/>
    <pageSetUpPr fitToPage="1"/>
  </sheetPr>
  <dimension ref="A1:V104"/>
  <sheetViews>
    <sheetView zoomScale="60" zoomScaleNormal="60" workbookViewId="0">
      <selection activeCell="F45" sqref="F45"/>
    </sheetView>
  </sheetViews>
  <sheetFormatPr defaultColWidth="9.140625" defaultRowHeight="12.75"/>
  <cols>
    <col min="1" max="1" width="27.85546875" style="1304" customWidth="1"/>
    <col min="2" max="2" width="16" style="1304" customWidth="1"/>
    <col min="3" max="3" width="3.28515625" style="1304" customWidth="1"/>
    <col min="4" max="4" width="23" style="1304" customWidth="1"/>
    <col min="5" max="5" width="11.85546875" style="1304" bestFit="1" customWidth="1"/>
    <col min="6" max="6" width="18.28515625" style="1304" customWidth="1"/>
    <col min="7" max="7" width="16.5703125" style="1304" bestFit="1" customWidth="1"/>
    <col min="8" max="8" width="17" style="1304" bestFit="1" customWidth="1"/>
    <col min="9" max="9" width="16.5703125" style="1304" bestFit="1" customWidth="1"/>
    <col min="10" max="10" width="16.28515625" style="1304" bestFit="1" customWidth="1"/>
    <col min="11" max="11" width="17" style="1304" bestFit="1" customWidth="1"/>
    <col min="12" max="12" width="16.28515625" style="1304" bestFit="1" customWidth="1"/>
    <col min="13" max="16" width="15.85546875" style="1304" hidden="1" customWidth="1"/>
    <col min="17" max="17" width="9.7109375" style="1304" bestFit="1" customWidth="1"/>
    <col min="18" max="21" width="9.140625" style="1304"/>
    <col min="22" max="22" width="13.28515625" style="1304" bestFit="1" customWidth="1"/>
    <col min="23" max="16384" width="9.140625" style="1304"/>
  </cols>
  <sheetData>
    <row r="1" spans="1:17" ht="15">
      <c r="A1" s="1698" t="s">
        <v>17</v>
      </c>
      <c r="B1" s="1699"/>
      <c r="F1" s="1700"/>
      <c r="G1" s="1700"/>
      <c r="H1" s="1700"/>
      <c r="I1" s="1700"/>
      <c r="J1" s="1700"/>
      <c r="K1" s="1700"/>
      <c r="L1" s="1700"/>
      <c r="M1" s="1700"/>
      <c r="N1" s="1700"/>
      <c r="O1" s="1700"/>
      <c r="P1" s="1700"/>
    </row>
    <row r="2" spans="1:17" ht="13.5" thickBot="1">
      <c r="A2" s="1701"/>
      <c r="C2" s="1294"/>
    </row>
    <row r="3" spans="1:17" ht="15.75" thickBot="1">
      <c r="A3" s="1702" t="s">
        <v>11</v>
      </c>
      <c r="B3" s="1703">
        <v>5</v>
      </c>
      <c r="C3" s="1704"/>
      <c r="D3" s="1705" t="s">
        <v>2</v>
      </c>
      <c r="E3" s="1503"/>
      <c r="F3" s="1503">
        <v>1</v>
      </c>
      <c r="G3" s="1503">
        <v>2</v>
      </c>
      <c r="H3" s="1503">
        <v>3</v>
      </c>
      <c r="I3" s="1503">
        <v>4</v>
      </c>
      <c r="J3" s="1503">
        <v>5</v>
      </c>
      <c r="K3" s="1503">
        <v>6</v>
      </c>
      <c r="L3" s="1504">
        <v>7</v>
      </c>
      <c r="M3" s="1503">
        <v>8</v>
      </c>
      <c r="N3" s="1503">
        <v>9</v>
      </c>
      <c r="O3" s="1503">
        <v>10</v>
      </c>
      <c r="P3" s="1504">
        <v>11</v>
      </c>
    </row>
    <row r="4" spans="1:17" ht="13.5" thickBot="1">
      <c r="C4" s="1294"/>
      <c r="D4" s="1706"/>
      <c r="E4" s="1707"/>
      <c r="F4" s="1505">
        <f>'RCF-F'!F3</f>
        <v>2023</v>
      </c>
      <c r="G4" s="1505">
        <f t="shared" ref="G4:P4" si="0">F4+1</f>
        <v>2024</v>
      </c>
      <c r="H4" s="1505">
        <f t="shared" si="0"/>
        <v>2025</v>
      </c>
      <c r="I4" s="1505">
        <f t="shared" si="0"/>
        <v>2026</v>
      </c>
      <c r="J4" s="1505">
        <f t="shared" si="0"/>
        <v>2027</v>
      </c>
      <c r="K4" s="1505">
        <f t="shared" si="0"/>
        <v>2028</v>
      </c>
      <c r="L4" s="1506">
        <f t="shared" si="0"/>
        <v>2029</v>
      </c>
      <c r="M4" s="1294">
        <f t="shared" si="0"/>
        <v>2030</v>
      </c>
      <c r="N4" s="1294">
        <f t="shared" si="0"/>
        <v>2031</v>
      </c>
      <c r="O4" s="1294">
        <f t="shared" si="0"/>
        <v>2032</v>
      </c>
      <c r="P4" s="1295">
        <f t="shared" si="0"/>
        <v>2033</v>
      </c>
    </row>
    <row r="5" spans="1:17" ht="13.5" thickBot="1">
      <c r="A5" s="1708" t="s">
        <v>418</v>
      </c>
      <c r="B5" s="1709"/>
      <c r="C5" s="152"/>
      <c r="D5" s="1539" t="s">
        <v>418</v>
      </c>
      <c r="E5" s="1502"/>
      <c r="F5" s="1710">
        <f>IF($B$3&gt;=F3,IF((AND($B$13=F4))=TRUE,$B$11,0))</f>
        <v>4900000</v>
      </c>
      <c r="G5" s="1710">
        <f t="shared" ref="G5:P5" si="1">IF($B$3&gt;=G3,IF((AND($B$13=G4))=TRUE,$B$11,IF((AND(G4&gt;$B$13))=TRUE,F9,0)),0)</f>
        <v>4900000</v>
      </c>
      <c r="H5" s="1710">
        <f t="shared" si="1"/>
        <v>4900000</v>
      </c>
      <c r="I5" s="1710">
        <f t="shared" si="1"/>
        <v>4900000</v>
      </c>
      <c r="J5" s="1710">
        <f t="shared" si="1"/>
        <v>4900000</v>
      </c>
      <c r="K5" s="1710">
        <f t="shared" si="1"/>
        <v>0</v>
      </c>
      <c r="L5" s="1711">
        <f t="shared" si="1"/>
        <v>0</v>
      </c>
      <c r="M5" s="1710">
        <f t="shared" si="1"/>
        <v>0</v>
      </c>
      <c r="N5" s="1710">
        <f t="shared" si="1"/>
        <v>0</v>
      </c>
      <c r="O5" s="1710">
        <f t="shared" si="1"/>
        <v>0</v>
      </c>
      <c r="P5" s="1711">
        <f t="shared" si="1"/>
        <v>0</v>
      </c>
    </row>
    <row r="6" spans="1:17">
      <c r="A6" s="1712" t="s">
        <v>402</v>
      </c>
      <c r="B6" s="1713">
        <v>196</v>
      </c>
      <c r="C6" s="152"/>
      <c r="D6" s="1299" t="s">
        <v>449</v>
      </c>
      <c r="E6" s="1714"/>
      <c r="F6" s="1714"/>
      <c r="G6" s="1714"/>
      <c r="H6" s="1714"/>
      <c r="I6" s="1714"/>
      <c r="J6" s="1714"/>
      <c r="K6" s="1714"/>
      <c r="L6" s="1530"/>
      <c r="M6" s="1541"/>
      <c r="N6" s="1541"/>
      <c r="O6" s="1541"/>
      <c r="P6" s="1530"/>
    </row>
    <row r="7" spans="1:17">
      <c r="A7" s="1715" t="s">
        <v>403</v>
      </c>
      <c r="B7" s="970">
        <v>25000</v>
      </c>
      <c r="C7" s="1294"/>
      <c r="D7" s="1299" t="s">
        <v>296</v>
      </c>
      <c r="E7" s="1714"/>
      <c r="F7" s="1714">
        <f>-F38</f>
        <v>0</v>
      </c>
      <c r="G7" s="1714">
        <f t="shared" ref="G7:P7" si="2">-G38</f>
        <v>0</v>
      </c>
      <c r="H7" s="1714">
        <f t="shared" si="2"/>
        <v>0</v>
      </c>
      <c r="I7" s="1714">
        <f t="shared" si="2"/>
        <v>0</v>
      </c>
      <c r="J7" s="1714">
        <f t="shared" si="2"/>
        <v>0</v>
      </c>
      <c r="K7" s="1714">
        <f t="shared" si="2"/>
        <v>0</v>
      </c>
      <c r="L7" s="1530">
        <f t="shared" si="2"/>
        <v>0</v>
      </c>
      <c r="M7" s="1541">
        <f>-M38</f>
        <v>0</v>
      </c>
      <c r="N7" s="1541">
        <f t="shared" si="2"/>
        <v>0</v>
      </c>
      <c r="O7" s="1541">
        <f t="shared" si="2"/>
        <v>0</v>
      </c>
      <c r="P7" s="1530">
        <f t="shared" si="2"/>
        <v>0</v>
      </c>
    </row>
    <row r="8" spans="1:17" ht="13.5" thickBot="1">
      <c r="A8" s="1716" t="s">
        <v>405</v>
      </c>
      <c r="B8" s="1717">
        <f>B6*B7</f>
        <v>4900000</v>
      </c>
      <c r="C8" s="152"/>
      <c r="D8" s="1299" t="s">
        <v>16</v>
      </c>
      <c r="E8" s="1714"/>
      <c r="F8" s="1718">
        <f t="shared" ref="F8:P8" si="3">IF($B$3&gt;=F3,IF(AND($B$14&gt;DATE(F4,1,1),$B$14&lt;=DATE(F4,12,31))=TRUE,-F5-F6-F7,IF($B$3=F3,-F5-F6-F7,0)),0)</f>
        <v>0</v>
      </c>
      <c r="G8" s="1718">
        <f t="shared" si="3"/>
        <v>0</v>
      </c>
      <c r="H8" s="1718">
        <f t="shared" si="3"/>
        <v>0</v>
      </c>
      <c r="I8" s="1718">
        <f t="shared" si="3"/>
        <v>0</v>
      </c>
      <c r="J8" s="1718">
        <f t="shared" si="3"/>
        <v>-4900000</v>
      </c>
      <c r="K8" s="1718">
        <f>IF($B$3&gt;=K3,IF(AND($B$14&gt;DATE(K4,1,1),$B$14&lt;=DATE(K4,12,31))=TRUE,-K5-K6-K7,IF($B$3=K3,-K5-K6-K7,0)),0)</f>
        <v>0</v>
      </c>
      <c r="L8" s="1719">
        <f t="shared" si="3"/>
        <v>0</v>
      </c>
      <c r="M8" s="1718">
        <f t="shared" si="3"/>
        <v>0</v>
      </c>
      <c r="N8" s="1718">
        <f t="shared" si="3"/>
        <v>0</v>
      </c>
      <c r="O8" s="1718">
        <f t="shared" si="3"/>
        <v>0</v>
      </c>
      <c r="P8" s="1719">
        <f t="shared" si="3"/>
        <v>0</v>
      </c>
    </row>
    <row r="9" spans="1:17" ht="13.5" thickBot="1">
      <c r="C9" s="1720"/>
      <c r="D9" s="1319" t="s">
        <v>6</v>
      </c>
      <c r="E9" s="1721"/>
      <c r="F9" s="1722">
        <f t="shared" ref="F9:P9" si="4">IF($B$3&gt;=F3,F5+F6+F8+F7,0)</f>
        <v>4900000</v>
      </c>
      <c r="G9" s="1722">
        <f t="shared" si="4"/>
        <v>4900000</v>
      </c>
      <c r="H9" s="1722">
        <f t="shared" si="4"/>
        <v>4900000</v>
      </c>
      <c r="I9" s="1722">
        <f t="shared" si="4"/>
        <v>4900000</v>
      </c>
      <c r="J9" s="1722">
        <f t="shared" si="4"/>
        <v>0</v>
      </c>
      <c r="K9" s="1722">
        <f t="shared" si="4"/>
        <v>0</v>
      </c>
      <c r="L9" s="1723">
        <f t="shared" si="4"/>
        <v>0</v>
      </c>
      <c r="M9" s="1722">
        <f t="shared" si="4"/>
        <v>0</v>
      </c>
      <c r="N9" s="1722">
        <f t="shared" si="4"/>
        <v>0</v>
      </c>
      <c r="O9" s="1722">
        <f t="shared" si="4"/>
        <v>0</v>
      </c>
      <c r="P9" s="1724">
        <f t="shared" si="4"/>
        <v>0</v>
      </c>
    </row>
    <row r="10" spans="1:17">
      <c r="A10" s="1522" t="s">
        <v>448</v>
      </c>
      <c r="B10" s="1725"/>
      <c r="C10" s="1294"/>
      <c r="D10" s="1526"/>
      <c r="E10" s="1726"/>
      <c r="F10" s="1726"/>
      <c r="G10" s="1726"/>
      <c r="H10" s="1726"/>
      <c r="I10" s="1726"/>
      <c r="J10" s="1726"/>
      <c r="K10" s="1726"/>
      <c r="L10" s="1727"/>
      <c r="M10" s="1726"/>
      <c r="N10" s="1728"/>
      <c r="O10" s="1574"/>
      <c r="P10" s="1575"/>
    </row>
    <row r="11" spans="1:17">
      <c r="A11" s="1299" t="s">
        <v>22</v>
      </c>
      <c r="B11" s="1729">
        <f>B8</f>
        <v>4900000</v>
      </c>
      <c r="C11" s="158"/>
      <c r="D11" s="1299" t="s">
        <v>18</v>
      </c>
      <c r="E11" s="1730"/>
      <c r="F11" s="2">
        <f ca="1">F68</f>
        <v>89176.960610641778</v>
      </c>
      <c r="G11" s="2">
        <f t="shared" ref="G11:P11" ca="1" si="5">G68</f>
        <v>144747.41729405065</v>
      </c>
      <c r="H11" s="2">
        <f ca="1">H68</f>
        <v>149040.80289584838</v>
      </c>
      <c r="I11" s="2">
        <f ca="1">I68</f>
        <v>150536.93339342831</v>
      </c>
      <c r="J11" s="2">
        <f t="shared" ca="1" si="5"/>
        <v>151668.3559266529</v>
      </c>
      <c r="K11" s="2">
        <f ca="1">K68</f>
        <v>0</v>
      </c>
      <c r="L11" s="3">
        <f t="shared" ca="1" si="5"/>
        <v>0</v>
      </c>
      <c r="M11" s="2">
        <f>M68</f>
        <v>0</v>
      </c>
      <c r="N11" s="2">
        <f t="shared" si="5"/>
        <v>0</v>
      </c>
      <c r="O11" s="2">
        <f t="shared" si="5"/>
        <v>0</v>
      </c>
      <c r="P11" s="3">
        <f t="shared" si="5"/>
        <v>0</v>
      </c>
    </row>
    <row r="12" spans="1:17">
      <c r="A12" s="1299" t="s">
        <v>15</v>
      </c>
      <c r="B12" s="1731">
        <v>45285</v>
      </c>
      <c r="C12" s="1732"/>
      <c r="D12" s="1299" t="s">
        <v>451</v>
      </c>
      <c r="E12" s="1733">
        <v>0.05</v>
      </c>
      <c r="F12" s="107">
        <f ca="1">-F11*$E$12</f>
        <v>-4458.8480305320891</v>
      </c>
      <c r="G12" s="107">
        <f t="shared" ref="G12:L12" ca="1" si="6">-G11*$E$12</f>
        <v>-7237.3708647025333</v>
      </c>
      <c r="H12" s="107">
        <f t="shared" ca="1" si="6"/>
        <v>-7452.0401447924196</v>
      </c>
      <c r="I12" s="107">
        <f t="shared" ca="1" si="6"/>
        <v>-7526.8466696714158</v>
      </c>
      <c r="J12" s="107">
        <f t="shared" ca="1" si="6"/>
        <v>-7583.4177963326456</v>
      </c>
      <c r="K12" s="107">
        <f t="shared" ca="1" si="6"/>
        <v>0</v>
      </c>
      <c r="L12" s="108">
        <f t="shared" ca="1" si="6"/>
        <v>0</v>
      </c>
      <c r="M12" s="107">
        <f>-M66</f>
        <v>0</v>
      </c>
      <c r="N12" s="107">
        <f>-N66</f>
        <v>0</v>
      </c>
      <c r="O12" s="107">
        <f>-O66</f>
        <v>0</v>
      </c>
      <c r="P12" s="108">
        <f>-P66</f>
        <v>0</v>
      </c>
    </row>
    <row r="13" spans="1:17" ht="13.5" thickBot="1">
      <c r="A13" s="1299" t="s">
        <v>24</v>
      </c>
      <c r="B13" s="1305">
        <f>YEAR(B12)</f>
        <v>2023</v>
      </c>
      <c r="C13" s="1732"/>
      <c r="D13" s="1319" t="s">
        <v>450</v>
      </c>
      <c r="E13" s="1721"/>
      <c r="F13" s="569">
        <f ca="1">F11+F12</f>
        <v>84718.112580109693</v>
      </c>
      <c r="G13" s="569">
        <f t="shared" ref="G13:L13" ca="1" si="7">G11+G12</f>
        <v>137510.04642934812</v>
      </c>
      <c r="H13" s="569">
        <f t="shared" ca="1" si="7"/>
        <v>141588.76275105597</v>
      </c>
      <c r="I13" s="569">
        <f t="shared" ca="1" si="7"/>
        <v>143010.08672375689</v>
      </c>
      <c r="J13" s="569">
        <f t="shared" ca="1" si="7"/>
        <v>144084.93813032025</v>
      </c>
      <c r="K13" s="569">
        <f t="shared" ca="1" si="7"/>
        <v>0</v>
      </c>
      <c r="L13" s="570">
        <f t="shared" ca="1" si="7"/>
        <v>0</v>
      </c>
      <c r="M13" s="569">
        <f>M11-M12</f>
        <v>0</v>
      </c>
      <c r="N13" s="569">
        <f>N11-N12</f>
        <v>0</v>
      </c>
      <c r="O13" s="569">
        <f>O11-O12</f>
        <v>0</v>
      </c>
      <c r="P13" s="683">
        <f>P11-P12</f>
        <v>0</v>
      </c>
    </row>
    <row r="14" spans="1:17" ht="13.5" thickBot="1">
      <c r="A14" s="1299" t="s">
        <v>27</v>
      </c>
      <c r="B14" s="1731">
        <v>46752</v>
      </c>
      <c r="D14" s="1734"/>
      <c r="E14" s="1730"/>
      <c r="F14" s="1730"/>
      <c r="G14" s="1730"/>
      <c r="H14" s="1730"/>
      <c r="I14" s="1730"/>
      <c r="J14" s="1730"/>
      <c r="K14" s="1730"/>
      <c r="L14" s="1735"/>
    </row>
    <row r="15" spans="1:17" ht="13.5" thickBot="1">
      <c r="A15" s="1299" t="s">
        <v>25</v>
      </c>
      <c r="B15" s="1305">
        <f>IF(B14="",0,YEAR(B14))</f>
        <v>2027</v>
      </c>
      <c r="C15" s="160"/>
      <c r="D15" s="1736" t="s">
        <v>285</v>
      </c>
      <c r="E15" s="1737"/>
      <c r="F15" s="1738"/>
      <c r="G15" s="1738"/>
      <c r="H15" s="1738"/>
      <c r="I15" s="1738"/>
      <c r="J15" s="1738"/>
      <c r="K15" s="1738"/>
      <c r="L15" s="1739"/>
      <c r="M15" s="1740"/>
      <c r="N15" s="1741"/>
      <c r="O15" s="1742"/>
      <c r="P15" s="1743"/>
    </row>
    <row r="16" spans="1:17" ht="13.5" thickBot="1">
      <c r="A16" s="1319" t="s">
        <v>23</v>
      </c>
      <c r="B16" s="1744">
        <v>4.29</v>
      </c>
      <c r="C16" s="160"/>
      <c r="D16" s="1581" t="s">
        <v>286</v>
      </c>
      <c r="E16" s="1745"/>
      <c r="F16" s="1139"/>
      <c r="G16" s="1139"/>
      <c r="H16" s="1139"/>
      <c r="I16" s="1139"/>
      <c r="J16" s="1139"/>
      <c r="K16" s="1139"/>
      <c r="L16" s="1746"/>
      <c r="M16" s="1747"/>
      <c r="N16" s="859"/>
      <c r="O16" s="1574"/>
      <c r="P16" s="1575"/>
      <c r="Q16" s="1294"/>
    </row>
    <row r="17" spans="1:17">
      <c r="C17" s="160"/>
      <c r="D17" s="1748" t="str">
        <f>'RCF-F'!D10</f>
        <v>Start-up costs</v>
      </c>
      <c r="E17" s="1745"/>
      <c r="F17" s="1139">
        <f>-'RCF-F'!F10</f>
        <v>12000</v>
      </c>
      <c r="G17" s="1139"/>
      <c r="H17" s="1139"/>
      <c r="I17" s="1139"/>
      <c r="J17" s="1139"/>
      <c r="K17" s="1139"/>
      <c r="L17" s="1746"/>
      <c r="M17" s="1139"/>
      <c r="N17" s="688"/>
      <c r="O17" s="1749"/>
      <c r="P17" s="1583"/>
      <c r="Q17" s="1294"/>
    </row>
    <row r="18" spans="1:17">
      <c r="A18" s="1582"/>
      <c r="B18" s="1582"/>
      <c r="D18" s="1612" t="s">
        <v>287</v>
      </c>
      <c r="E18" s="1749"/>
      <c r="F18" s="1750">
        <v>12000</v>
      </c>
      <c r="G18" s="1750">
        <f>IF($B$3+1&lt;G3,0,F18*(1+Opex!E28))</f>
        <v>12419.999999999998</v>
      </c>
      <c r="H18" s="1750">
        <f>IF(H5=0,0,IF($B$3+1&lt;H3,0,G18*(1+Opex!F28)))</f>
        <v>12668.399999999998</v>
      </c>
      <c r="I18" s="1750">
        <f>IF(I5=0,0,IF($B$3+1&lt;I3,0,H18*(1+Opex!G28)))</f>
        <v>12921.767999999998</v>
      </c>
      <c r="J18" s="1750">
        <f>IF($B$3+1&lt;J3,0,I18*(1+Opex!H28))</f>
        <v>13180.203359999998</v>
      </c>
      <c r="K18" s="1750">
        <f>IF($B$3&lt;K3,0,J18*(1+Opex!I28))</f>
        <v>0</v>
      </c>
      <c r="L18" s="1751">
        <f>IF($B$3+1&lt;L3,0,K18*(1+Opex!J28))</f>
        <v>0</v>
      </c>
      <c r="M18" s="1750">
        <f>IF($B$3+1&lt;M3,0,L18*(1+Opex!K28))</f>
        <v>0</v>
      </c>
      <c r="N18" s="1750">
        <f>IF($B$3+1&lt;N3,0,M18*(1+Opex!#REF!))</f>
        <v>0</v>
      </c>
      <c r="O18" s="1750">
        <f>IF($B$3+1&lt;O3,0,N18*(1+Opex!L26))</f>
        <v>0</v>
      </c>
      <c r="P18" s="1751">
        <f>IF($B$3+1&lt;P3,0,O18*(1+Opex!M30))</f>
        <v>0</v>
      </c>
    </row>
    <row r="19" spans="1:17">
      <c r="D19" s="1612" t="s">
        <v>288</v>
      </c>
      <c r="E19" s="1749"/>
      <c r="F19" s="1750">
        <v>12000</v>
      </c>
      <c r="G19" s="1750">
        <f>IF($B$3+1&lt;G3,0,F19*(1+Opex!E28))</f>
        <v>12419.999999999998</v>
      </c>
      <c r="H19" s="1750">
        <f>IF(H5=0,0,IF($B$3+1&lt;H3,0,G19*(1+Opex!F28)))</f>
        <v>12668.399999999998</v>
      </c>
      <c r="I19" s="1750">
        <f>IF(I5=0,0,IF($B$3+1&lt;I3,0,H19*(1+Opex!G28)))</f>
        <v>12921.767999999998</v>
      </c>
      <c r="J19" s="1750">
        <f>IF($B$3+1&lt;J3,0,I19*(1+Opex!H28))</f>
        <v>13180.203359999998</v>
      </c>
      <c r="K19" s="1750">
        <f>IF($B$3&lt;K3,0,J19*(1+Opex!I28))</f>
        <v>0</v>
      </c>
      <c r="L19" s="1751">
        <f>IF($B$3+1&lt;L3,0,K19*(1+Opex!J28))</f>
        <v>0</v>
      </c>
      <c r="M19" s="1750">
        <f>IF($B$3+1&lt;M3,0,L19*(1+Opex!K28))</f>
        <v>0</v>
      </c>
      <c r="N19" s="1750">
        <f>IF($B$3+1&lt;N3,0,M19*(1+Opex!#REF!))</f>
        <v>0</v>
      </c>
      <c r="O19" s="1750">
        <f>IF($B$3+1&lt;O3,0,N19*(1+Opex!L26))</f>
        <v>0</v>
      </c>
      <c r="P19" s="1751">
        <f>IF($B$3+1&lt;P3,0,O19*(1+Opex!M30))</f>
        <v>0</v>
      </c>
    </row>
    <row r="20" spans="1:17">
      <c r="D20" s="1612" t="str">
        <f>'RCF-F'!A20</f>
        <v>Director's liability insurance</v>
      </c>
      <c r="E20" s="1749"/>
      <c r="F20" s="1750">
        <f>'RCF-F'!B20</f>
        <v>4500</v>
      </c>
      <c r="G20" s="1750">
        <f>IF($B$3+1&lt;G3,0,F20*(1+Opex!E28))</f>
        <v>4657.5</v>
      </c>
      <c r="H20" s="1750">
        <f>IF(H5=0,0,IF($B$3+1&lt;H3,0,G20*(1+Opex!F28)))</f>
        <v>4750.6499999999996</v>
      </c>
      <c r="I20" s="1750">
        <f>IF(I5=0,0,IF($B$3+1&lt;I3,0,H20*(1+Opex!G28)))</f>
        <v>4845.6629999999996</v>
      </c>
      <c r="J20" s="1750">
        <f>IF($B$3+1&lt;J3,0,I20*(1+Opex!H28))</f>
        <v>4942.5762599999998</v>
      </c>
      <c r="K20" s="1750">
        <f>IF($B$3&lt;K3,0,J20*(1+Opex!I28))</f>
        <v>0</v>
      </c>
      <c r="L20" s="1751">
        <f>IF($B$3+1&lt;L3,0,K20*(1+Opex!J28))</f>
        <v>0</v>
      </c>
      <c r="M20" s="1750">
        <f>IF($B$3+1&lt;M3,0,L20*(1+Opex!K28))</f>
        <v>0</v>
      </c>
      <c r="N20" s="1750">
        <f>IF($B$3+1&lt;N3,0,M20*(1+Opex!#REF!))</f>
        <v>0</v>
      </c>
      <c r="O20" s="1750">
        <f>IF($B$3+1&lt;O3,0,N20*(1+Opex!L26))</f>
        <v>0</v>
      </c>
      <c r="P20" s="1751">
        <f>IF($B$3+1&lt;P3,0,O20*(1+Opex!M30))</f>
        <v>0</v>
      </c>
    </row>
    <row r="21" spans="1:17" ht="13.5" thickBot="1">
      <c r="D21" s="1612" t="s">
        <v>141</v>
      </c>
      <c r="E21" s="1749"/>
      <c r="F21" s="104">
        <v>2500</v>
      </c>
      <c r="G21" s="104">
        <f>IF($B$3+1&lt;G3,0,F21*(1+Opex!E28))</f>
        <v>2587.5</v>
      </c>
      <c r="H21" s="104">
        <f>IF(H5=0,0,IF($B$3+1&lt;H3,0,G21*(1+Opex!F28)))</f>
        <v>2639.25</v>
      </c>
      <c r="I21" s="104">
        <f>IF(I5=0,0,IF($B$3+1&lt;I3,0,H21*(1+Opex!G28)))</f>
        <v>2692.0349999999999</v>
      </c>
      <c r="J21" s="104">
        <f>IF($B$3+1&lt;J3,0,I21*(1+Opex!H28))</f>
        <v>2745.8757000000001</v>
      </c>
      <c r="K21" s="104">
        <f>IF($B$3&lt;K3,0,J21*(1+Opex!I28))</f>
        <v>0</v>
      </c>
      <c r="L21" s="140">
        <f>IF($B$3+1&lt;L3,0,K21*(1+Opex!J28))</f>
        <v>0</v>
      </c>
      <c r="M21" s="104">
        <f>IF($B$3+1&lt;M3,0,L21*(1+Opex!K28))</f>
        <v>0</v>
      </c>
      <c r="N21" s="104">
        <f>IF($B$3+1&lt;N3,0,M21*(1+Opex!#REF!))</f>
        <v>0</v>
      </c>
      <c r="O21" s="104">
        <f>IF($B$3+1&lt;O3,0,N21*(1+Opex!L26))</f>
        <v>0</v>
      </c>
      <c r="P21" s="140">
        <f>IF($B$3+1&lt;P3,0,O21*(1+Opex!M30))</f>
        <v>0</v>
      </c>
    </row>
    <row r="22" spans="1:17" ht="13.5" thickTop="1">
      <c r="D22" s="1612"/>
      <c r="E22" s="1749"/>
      <c r="F22" s="689">
        <f>SUM(F17:F21)</f>
        <v>43000</v>
      </c>
      <c r="G22" s="689">
        <f t="shared" ref="G22:P22" si="8">SUM(G18:G21)</f>
        <v>32084.999999999996</v>
      </c>
      <c r="H22" s="689">
        <f t="shared" si="8"/>
        <v>32726.699999999997</v>
      </c>
      <c r="I22" s="689">
        <f t="shared" si="8"/>
        <v>33381.233999999997</v>
      </c>
      <c r="J22" s="689">
        <f t="shared" si="8"/>
        <v>34048.85867999999</v>
      </c>
      <c r="K22" s="689">
        <f>SUM(K18:K21)</f>
        <v>0</v>
      </c>
      <c r="L22" s="1620">
        <f t="shared" si="8"/>
        <v>0</v>
      </c>
      <c r="M22" s="689">
        <f t="shared" si="8"/>
        <v>0</v>
      </c>
      <c r="N22" s="689">
        <f t="shared" si="8"/>
        <v>0</v>
      </c>
      <c r="O22" s="689">
        <f t="shared" si="8"/>
        <v>0</v>
      </c>
      <c r="P22" s="1620">
        <f t="shared" si="8"/>
        <v>0</v>
      </c>
    </row>
    <row r="23" spans="1:17">
      <c r="D23" s="1612"/>
      <c r="E23" s="1749"/>
      <c r="F23" s="1752"/>
      <c r="G23" s="1753"/>
      <c r="H23" s="1753"/>
      <c r="I23" s="1753"/>
      <c r="J23" s="1753"/>
      <c r="K23" s="1753"/>
      <c r="L23" s="1754"/>
      <c r="M23" s="1755"/>
      <c r="N23" s="1755"/>
      <c r="O23" s="1755"/>
      <c r="P23" s="1754"/>
    </row>
    <row r="24" spans="1:17">
      <c r="D24" s="1581" t="s">
        <v>289</v>
      </c>
      <c r="E24" s="1749"/>
      <c r="F24" s="1752"/>
      <c r="G24" s="1753"/>
      <c r="H24" s="1753"/>
      <c r="I24" s="1753"/>
      <c r="J24" s="1753"/>
      <c r="K24" s="1753"/>
      <c r="L24" s="1754"/>
      <c r="M24" s="1755"/>
      <c r="N24" s="1755"/>
      <c r="O24" s="1755"/>
      <c r="P24" s="1754"/>
    </row>
    <row r="25" spans="1:17">
      <c r="D25" s="1612" t="s">
        <v>287</v>
      </c>
      <c r="E25" s="1749"/>
      <c r="F25" s="1750">
        <v>12000</v>
      </c>
      <c r="G25" s="1750">
        <f>IF($B$3+1&lt;G3,0,F25*(1+Opex!E28))</f>
        <v>12419.999999999998</v>
      </c>
      <c r="H25" s="1750">
        <f>IF(H5=0,0,IF($B$3+1&lt;H3,0,G25*(1+Opex!F28)))</f>
        <v>12668.399999999998</v>
      </c>
      <c r="I25" s="1750">
        <f>IF(I5=0,0,IF($B$3+1&lt;I3,0,H25*(1+Opex!G28)))</f>
        <v>12921.767999999998</v>
      </c>
      <c r="J25" s="1750">
        <f>IF($B$3+1&lt;J3,0,I25*(1+Opex!H28))</f>
        <v>13180.203359999998</v>
      </c>
      <c r="K25" s="1750">
        <f>IF($B$3&lt;K3,0,J25*(1+Opex!I28))</f>
        <v>0</v>
      </c>
      <c r="L25" s="1751">
        <f>IF($B$3+1&lt;L3,0,K25*(1+Opex!J28))</f>
        <v>0</v>
      </c>
      <c r="M25" s="1750">
        <f>IF($B$3+1&lt;M3,0,L25*(1+Opex!K28))</f>
        <v>0</v>
      </c>
      <c r="N25" s="1750">
        <f>IF($B$3+1&lt;N3,0,M25*(1+Opex!#REF!))</f>
        <v>0</v>
      </c>
      <c r="O25" s="1750">
        <f>IF($B$3+1&lt;O3,0,N25*(1+Opex!L26))</f>
        <v>0</v>
      </c>
      <c r="P25" s="1751">
        <f>IF($B$3+1&lt;P3,0,O25*(1+Opex!M30))</f>
        <v>0</v>
      </c>
    </row>
    <row r="26" spans="1:17">
      <c r="B26" s="1515"/>
      <c r="D26" s="1612" t="s">
        <v>141</v>
      </c>
      <c r="E26" s="1749"/>
      <c r="F26" s="1750">
        <v>7500</v>
      </c>
      <c r="G26" s="1750">
        <f>IF($B$3+1&lt;G3,0,F26*(1+Opex!E28))</f>
        <v>7762.4999999999991</v>
      </c>
      <c r="H26" s="1750">
        <f>IF(H5=0,0,IF($B$3+1&lt;H3,0,G26*(1+Opex!F28)))</f>
        <v>7917.7499999999991</v>
      </c>
      <c r="I26" s="1750">
        <f>IF(I5=0,0,IF($B$3+1&lt;I3,0,H26*(1+Opex!G28)))</f>
        <v>8076.1049999999996</v>
      </c>
      <c r="J26" s="1750">
        <f>IF($B$3+1&lt;J3,0,I26*(1+Opex!H28))</f>
        <v>8237.6270999999997</v>
      </c>
      <c r="K26" s="1750">
        <f>IF($B$3&lt;K3,0,J26*(1+Opex!I28))</f>
        <v>0</v>
      </c>
      <c r="L26" s="1751">
        <f>IF($B$3+1&lt;L3,0,K26*(1+Opex!J28))</f>
        <v>0</v>
      </c>
      <c r="M26" s="1750">
        <f>IF($B$3+1&lt;M3,0,L26*(1+Opex!K28))</f>
        <v>0</v>
      </c>
      <c r="N26" s="1750">
        <f>IF($B$3+1&lt;N3,0,M26*(1+Opex!#REF!))</f>
        <v>0</v>
      </c>
      <c r="O26" s="1750">
        <f>IF($B$3+1&lt;O3,0,N26*(1+Opex!L26))</f>
        <v>0</v>
      </c>
      <c r="P26" s="1751">
        <f>IF($B$3+1&lt;P3,0,O26*(1+Opex!M30))</f>
        <v>0</v>
      </c>
    </row>
    <row r="27" spans="1:17">
      <c r="D27" s="1612" t="str">
        <f>'RCF-F'!A26</f>
        <v>Director's liability insurance</v>
      </c>
      <c r="E27" s="1749"/>
      <c r="F27" s="1750">
        <f>'RCF-F'!B26</f>
        <v>4500</v>
      </c>
      <c r="G27" s="1750">
        <f>IF($B$3+1&lt;G3,0,F27*(1+Opex!E28))</f>
        <v>4657.5</v>
      </c>
      <c r="H27" s="1750">
        <f>IF(H5=0,0,IF($B$3+1&lt;H3,0,G27*(1+Opex!F28)))</f>
        <v>4750.6499999999996</v>
      </c>
      <c r="I27" s="1750">
        <f>IF(I5=0,0,IF($B$3+1&lt;I3,0,H27*(1+Opex!G28)))</f>
        <v>4845.6629999999996</v>
      </c>
      <c r="J27" s="1750">
        <f>IF($B$3+1&lt;J3,0,I27*(1+Opex!H28))</f>
        <v>4942.5762599999998</v>
      </c>
      <c r="K27" s="1750">
        <f>IF($B$3&lt;K3,0,J27*(1+Opex!I28))</f>
        <v>0</v>
      </c>
      <c r="L27" s="1751">
        <f>IF($B$3+1&lt;L3,0,K27*(1+Opex!J28))</f>
        <v>0</v>
      </c>
      <c r="M27" s="1750">
        <f>IF($B$3+1&lt;M3,0,L27*(1+Opex!K28))</f>
        <v>0</v>
      </c>
      <c r="N27" s="1750">
        <f>IF($B$3+1&lt;N3,0,M27*(1+Opex!#REF!))</f>
        <v>0</v>
      </c>
      <c r="O27" s="1750">
        <f>IF($B$3+1&lt;O3,0,N27*(1+Opex!L26))</f>
        <v>0</v>
      </c>
      <c r="P27" s="1751">
        <f>IF($B$3+1&lt;P3,0,O27*(1+Opex!M30))</f>
        <v>0</v>
      </c>
    </row>
    <row r="28" spans="1:17" ht="13.5" thickBot="1">
      <c r="D28" s="1612" t="s">
        <v>140</v>
      </c>
      <c r="E28" s="1749"/>
      <c r="F28" s="104">
        <v>3500</v>
      </c>
      <c r="G28" s="104">
        <f>IF($B$3+1&lt;G3,0,F28*(1+Opex!E28))</f>
        <v>3622.4999999999995</v>
      </c>
      <c r="H28" s="104">
        <f>IF(H5=0,0,IF($B$3+1&lt;H3,0,G28*(1+Opex!F28)))</f>
        <v>3694.95</v>
      </c>
      <c r="I28" s="104">
        <f>IF(I5=0,0,IF($B$3+1&lt;I3,0,H28*(1+Opex!G28)))</f>
        <v>3768.8489999999997</v>
      </c>
      <c r="J28" s="104">
        <f>IF($B$3+1&lt;J3,0,I28*(1+Opex!H28))</f>
        <v>3844.2259799999997</v>
      </c>
      <c r="K28" s="104">
        <f>IF($B$3&lt;K3,0,J28*(1+Opex!I28))</f>
        <v>0</v>
      </c>
      <c r="L28" s="140">
        <f>IF($B$3+1&lt;L3,0,K28*(1+Opex!J28))</f>
        <v>0</v>
      </c>
      <c r="M28" s="104">
        <f>IF($B$3+1&lt;M3,0,L28*(1+Opex!K28))</f>
        <v>0</v>
      </c>
      <c r="N28" s="104">
        <f>IF($B$3+1&lt;N3,0,M28*(1+Opex!#REF!))</f>
        <v>0</v>
      </c>
      <c r="O28" s="104">
        <f>IF($B$3+1&lt;O3,0,N28*(1+Opex!L26))</f>
        <v>0</v>
      </c>
      <c r="P28" s="140">
        <f>IF($B$3+1&lt;P3,0,O28*(1+Opex!M30))</f>
        <v>0</v>
      </c>
    </row>
    <row r="29" spans="1:17" ht="13.5" thickTop="1">
      <c r="D29" s="1612"/>
      <c r="E29" s="1749"/>
      <c r="F29" s="689">
        <f>SUM(F25:F28)</f>
        <v>27500</v>
      </c>
      <c r="G29" s="689">
        <f t="shared" ref="G29:P29" si="9">SUM(G25:G28)</f>
        <v>28462.499999999996</v>
      </c>
      <c r="H29" s="689">
        <f t="shared" si="9"/>
        <v>29031.749999999996</v>
      </c>
      <c r="I29" s="689">
        <f t="shared" si="9"/>
        <v>29612.384999999998</v>
      </c>
      <c r="J29" s="689">
        <f t="shared" si="9"/>
        <v>30204.632699999998</v>
      </c>
      <c r="K29" s="689">
        <f>SUM(K25:K28)</f>
        <v>0</v>
      </c>
      <c r="L29" s="1620">
        <f t="shared" si="9"/>
        <v>0</v>
      </c>
      <c r="M29" s="689">
        <f t="shared" si="9"/>
        <v>0</v>
      </c>
      <c r="N29" s="689">
        <f t="shared" si="9"/>
        <v>0</v>
      </c>
      <c r="O29" s="689">
        <f t="shared" si="9"/>
        <v>0</v>
      </c>
      <c r="P29" s="1620">
        <f t="shared" si="9"/>
        <v>0</v>
      </c>
    </row>
    <row r="30" spans="1:17">
      <c r="D30" s="1612"/>
      <c r="E30" s="1749"/>
      <c r="F30" s="689"/>
      <c r="G30" s="689"/>
      <c r="H30" s="689"/>
      <c r="I30" s="689"/>
      <c r="J30" s="689"/>
      <c r="K30" s="689"/>
      <c r="L30" s="1620"/>
      <c r="M30" s="689"/>
      <c r="N30" s="689"/>
      <c r="O30" s="689"/>
      <c r="P30" s="1620"/>
    </row>
    <row r="31" spans="1:17">
      <c r="D31" s="1612" t="s">
        <v>105</v>
      </c>
      <c r="E31" s="1749"/>
      <c r="F31" s="689">
        <f>-'RCF-F'!F26</f>
        <v>12915</v>
      </c>
      <c r="G31" s="689">
        <f>-'RCF-F'!G26</f>
        <v>10758.824999999999</v>
      </c>
      <c r="H31" s="689">
        <f>-'RCF-F'!H26</f>
        <v>10974.001499999998</v>
      </c>
      <c r="I31" s="689">
        <f>-'RCF-F'!I26</f>
        <v>11193.481529999997</v>
      </c>
      <c r="J31" s="689">
        <f>-'RCF-F'!J26</f>
        <v>11417.351160599999</v>
      </c>
      <c r="K31" s="689">
        <f>-'RCF-F'!K26</f>
        <v>0</v>
      </c>
      <c r="L31" s="1620">
        <f>-'RCF-F'!L26</f>
        <v>0</v>
      </c>
      <c r="M31" s="689"/>
      <c r="N31" s="689"/>
      <c r="O31" s="689"/>
      <c r="P31" s="1620"/>
    </row>
    <row r="32" spans="1:17">
      <c r="D32" s="1612" t="s">
        <v>437</v>
      </c>
      <c r="E32" s="1756">
        <v>5.2630000000000003E-2</v>
      </c>
      <c r="F32" s="1750">
        <f>(F29+F22+F31)*$E$32</f>
        <v>4390.1314499999999</v>
      </c>
      <c r="G32" s="1750">
        <f t="shared" ref="G32:L32" si="10">(G29+G22+G31)*$E$32</f>
        <v>3752.85188475</v>
      </c>
      <c r="H32" s="1750">
        <f t="shared" si="10"/>
        <v>3827.9089224449999</v>
      </c>
      <c r="I32" s="1750">
        <f t="shared" si="10"/>
        <v>3904.4671008938999</v>
      </c>
      <c r="J32" s="1750">
        <f t="shared" si="10"/>
        <v>3982.5564429117776</v>
      </c>
      <c r="K32" s="1750">
        <f t="shared" si="10"/>
        <v>0</v>
      </c>
      <c r="L32" s="1751">
        <f t="shared" si="10"/>
        <v>0</v>
      </c>
      <c r="M32" s="1750">
        <f>(M29+M31)*$E$32</f>
        <v>0</v>
      </c>
      <c r="N32" s="1750">
        <f>(N29+N31)*$E$32</f>
        <v>0</v>
      </c>
      <c r="O32" s="1750">
        <f>(O29+O31)*$E$32</f>
        <v>0</v>
      </c>
      <c r="P32" s="1751">
        <f>(P29+P31)*$E$32</f>
        <v>0</v>
      </c>
    </row>
    <row r="33" spans="4:16">
      <c r="D33" s="1612"/>
      <c r="E33" s="1749"/>
      <c r="F33" s="1750"/>
      <c r="G33" s="1750"/>
      <c r="H33" s="1750"/>
      <c r="I33" s="1750"/>
      <c r="J33" s="1750"/>
      <c r="K33" s="1750"/>
      <c r="L33" s="1751"/>
      <c r="M33" s="1750"/>
      <c r="N33" s="1750"/>
      <c r="O33" s="1750"/>
      <c r="P33" s="1751"/>
    </row>
    <row r="34" spans="4:16" ht="13.5" thickBot="1">
      <c r="D34" s="1631" t="s">
        <v>87</v>
      </c>
      <c r="E34" s="1663"/>
      <c r="F34" s="693">
        <f>F22+F29+F31+F32</f>
        <v>87805.131450000001</v>
      </c>
      <c r="G34" s="693">
        <f t="shared" ref="G34:P34" si="11">G22+G29+G31+G32</f>
        <v>75059.176884749992</v>
      </c>
      <c r="H34" s="693">
        <f t="shared" si="11"/>
        <v>76560.360422444995</v>
      </c>
      <c r="I34" s="693">
        <f t="shared" si="11"/>
        <v>78091.5676308939</v>
      </c>
      <c r="J34" s="693">
        <f t="shared" si="11"/>
        <v>79653.398983511768</v>
      </c>
      <c r="K34" s="693">
        <f t="shared" si="11"/>
        <v>0</v>
      </c>
      <c r="L34" s="694">
        <f t="shared" si="11"/>
        <v>0</v>
      </c>
      <c r="M34" s="693">
        <f t="shared" si="11"/>
        <v>0</v>
      </c>
      <c r="N34" s="693">
        <f t="shared" si="11"/>
        <v>0</v>
      </c>
      <c r="O34" s="693">
        <f t="shared" si="11"/>
        <v>0</v>
      </c>
      <c r="P34" s="694">
        <f t="shared" si="11"/>
        <v>0</v>
      </c>
    </row>
    <row r="35" spans="4:16" ht="13.5" thickBot="1">
      <c r="D35" s="1757" t="s">
        <v>290</v>
      </c>
      <c r="E35" s="1758"/>
      <c r="F35" s="1758"/>
      <c r="G35" s="1758"/>
      <c r="H35" s="1758"/>
      <c r="I35" s="1758"/>
      <c r="J35" s="1758"/>
      <c r="K35" s="1758"/>
      <c r="L35" s="1759"/>
      <c r="M35" s="1742"/>
      <c r="N35" s="1742"/>
      <c r="O35" s="1742"/>
      <c r="P35" s="1743"/>
    </row>
    <row r="36" spans="4:16">
      <c r="D36" s="1712"/>
      <c r="E36" s="1726"/>
      <c r="F36" s="1726"/>
      <c r="G36" s="1726"/>
      <c r="H36" s="1726"/>
      <c r="I36" s="1726"/>
      <c r="J36" s="1726"/>
      <c r="K36" s="1726"/>
      <c r="L36" s="1727"/>
      <c r="M36" s="1574"/>
      <c r="N36" s="1574"/>
      <c r="O36" s="1574"/>
      <c r="P36" s="1575"/>
    </row>
    <row r="37" spans="4:16">
      <c r="D37" s="1037" t="s">
        <v>291</v>
      </c>
      <c r="E37" s="1461"/>
      <c r="F37" s="882">
        <f>F5</f>
        <v>4900000</v>
      </c>
      <c r="G37" s="2728">
        <f t="shared" ref="G37:L37" si="12">F41</f>
        <v>4900000</v>
      </c>
      <c r="H37" s="2728">
        <f t="shared" si="12"/>
        <v>4900000</v>
      </c>
      <c r="I37" s="2728">
        <f>H41</f>
        <v>4900000</v>
      </c>
      <c r="J37" s="2728">
        <f t="shared" si="12"/>
        <v>4900000</v>
      </c>
      <c r="K37" s="2728">
        <f t="shared" si="12"/>
        <v>0</v>
      </c>
      <c r="L37" s="1761">
        <f t="shared" si="12"/>
        <v>0</v>
      </c>
      <c r="M37" s="1760">
        <v>0</v>
      </c>
      <c r="N37" s="1760">
        <v>0</v>
      </c>
      <c r="O37" s="1760">
        <v>0</v>
      </c>
      <c r="P37" s="1761">
        <v>0</v>
      </c>
    </row>
    <row r="38" spans="4:16">
      <c r="D38" s="1037" t="s">
        <v>292</v>
      </c>
      <c r="E38" s="1461"/>
      <c r="F38" s="882">
        <f>F45*$B$7</f>
        <v>0</v>
      </c>
      <c r="G38" s="882">
        <f t="shared" ref="G38:P38" si="13">G45*$B$7</f>
        <v>0</v>
      </c>
      <c r="H38" s="882">
        <f t="shared" si="13"/>
        <v>0</v>
      </c>
      <c r="I38" s="882">
        <f>I45*$B$7</f>
        <v>0</v>
      </c>
      <c r="J38" s="882">
        <f t="shared" si="13"/>
        <v>0</v>
      </c>
      <c r="K38" s="882">
        <f t="shared" si="13"/>
        <v>0</v>
      </c>
      <c r="L38" s="1">
        <f t="shared" si="13"/>
        <v>0</v>
      </c>
      <c r="M38" s="1">
        <f t="shared" si="13"/>
        <v>0</v>
      </c>
      <c r="N38" s="1">
        <f t="shared" si="13"/>
        <v>0</v>
      </c>
      <c r="O38" s="1">
        <f t="shared" si="13"/>
        <v>0</v>
      </c>
      <c r="P38" s="1">
        <f t="shared" si="13"/>
        <v>0</v>
      </c>
    </row>
    <row r="39" spans="4:16">
      <c r="D39" s="1037" t="str">
        <f>D6</f>
        <v>Early repayment</v>
      </c>
      <c r="E39" s="1461"/>
      <c r="F39" s="882">
        <f t="shared" ref="F39:P39" si="14">F6</f>
        <v>0</v>
      </c>
      <c r="G39" s="882">
        <f t="shared" si="14"/>
        <v>0</v>
      </c>
      <c r="H39" s="882">
        <f t="shared" si="14"/>
        <v>0</v>
      </c>
      <c r="I39" s="882">
        <f t="shared" si="14"/>
        <v>0</v>
      </c>
      <c r="J39" s="882">
        <f t="shared" si="14"/>
        <v>0</v>
      </c>
      <c r="K39" s="882">
        <f t="shared" si="14"/>
        <v>0</v>
      </c>
      <c r="L39" s="1">
        <f t="shared" si="14"/>
        <v>0</v>
      </c>
      <c r="M39" s="882">
        <f t="shared" si="14"/>
        <v>0</v>
      </c>
      <c r="N39" s="882">
        <f t="shared" si="14"/>
        <v>0</v>
      </c>
      <c r="O39" s="882">
        <f t="shared" si="14"/>
        <v>0</v>
      </c>
      <c r="P39" s="1">
        <f t="shared" si="14"/>
        <v>0</v>
      </c>
    </row>
    <row r="40" spans="4:16">
      <c r="D40" s="1037" t="s">
        <v>393</v>
      </c>
      <c r="E40" s="1461"/>
      <c r="F40" s="1762">
        <f t="shared" ref="F40:P40" si="15">-F8</f>
        <v>0</v>
      </c>
      <c r="G40" s="1762">
        <f t="shared" si="15"/>
        <v>0</v>
      </c>
      <c r="H40" s="1762">
        <f t="shared" si="15"/>
        <v>0</v>
      </c>
      <c r="I40" s="1762">
        <f t="shared" si="15"/>
        <v>0</v>
      </c>
      <c r="J40" s="1762">
        <f t="shared" si="15"/>
        <v>4900000</v>
      </c>
      <c r="K40" s="1762">
        <f t="shared" si="15"/>
        <v>0</v>
      </c>
      <c r="L40" s="1763">
        <f t="shared" si="15"/>
        <v>0</v>
      </c>
      <c r="M40" s="1762">
        <f t="shared" si="15"/>
        <v>0</v>
      </c>
      <c r="N40" s="1762">
        <f t="shared" si="15"/>
        <v>0</v>
      </c>
      <c r="O40" s="1762">
        <f t="shared" si="15"/>
        <v>0</v>
      </c>
      <c r="P40" s="1763">
        <f t="shared" si="15"/>
        <v>0</v>
      </c>
    </row>
    <row r="41" spans="4:16">
      <c r="D41" s="1037" t="s">
        <v>294</v>
      </c>
      <c r="E41" s="1461"/>
      <c r="F41" s="882">
        <f t="shared" ref="F41:L41" si="16">F37-F38+F39-F40</f>
        <v>4900000</v>
      </c>
      <c r="G41" s="882">
        <f t="shared" si="16"/>
        <v>4900000</v>
      </c>
      <c r="H41" s="882">
        <f t="shared" si="16"/>
        <v>4900000</v>
      </c>
      <c r="I41" s="882">
        <f t="shared" si="16"/>
        <v>4900000</v>
      </c>
      <c r="J41" s="882">
        <f t="shared" si="16"/>
        <v>0</v>
      </c>
      <c r="K41" s="882">
        <f t="shared" si="16"/>
        <v>0</v>
      </c>
      <c r="L41" s="1">
        <f t="shared" si="16"/>
        <v>0</v>
      </c>
      <c r="M41" s="882">
        <f>M37-M38-M39-M40</f>
        <v>0</v>
      </c>
      <c r="N41" s="882">
        <f>N37-N38-N39-N40</f>
        <v>0</v>
      </c>
      <c r="O41" s="882">
        <f>O37-O38-O39-O40</f>
        <v>0</v>
      </c>
      <c r="P41" s="1">
        <f>P37-P38-P39-P40</f>
        <v>0</v>
      </c>
    </row>
    <row r="42" spans="4:16">
      <c r="D42" s="1290"/>
      <c r="E42" s="1461"/>
      <c r="F42" s="882"/>
      <c r="G42" s="2728"/>
      <c r="H42" s="2728"/>
      <c r="I42" s="2728"/>
      <c r="J42" s="2728"/>
      <c r="K42" s="2728"/>
      <c r="L42" s="1761"/>
      <c r="M42" s="1760"/>
      <c r="N42" s="1760"/>
      <c r="O42" s="1760"/>
      <c r="P42" s="1761"/>
    </row>
    <row r="43" spans="4:16">
      <c r="D43" s="1037" t="s">
        <v>295</v>
      </c>
      <c r="E43" s="1461"/>
      <c r="F43" s="2728">
        <f>F37/$B$7</f>
        <v>196</v>
      </c>
      <c r="G43" s="2746">
        <f>F51</f>
        <v>196</v>
      </c>
      <c r="H43" s="2746">
        <f>G51</f>
        <v>196</v>
      </c>
      <c r="I43" s="2746">
        <f t="shared" ref="I43:P43" si="17">H51</f>
        <v>196</v>
      </c>
      <c r="J43" s="2746">
        <f t="shared" si="17"/>
        <v>196</v>
      </c>
      <c r="K43" s="2746">
        <f>J51</f>
        <v>0</v>
      </c>
      <c r="L43" s="1765">
        <f>K51</f>
        <v>0</v>
      </c>
      <c r="M43" s="1764">
        <f t="shared" si="17"/>
        <v>0</v>
      </c>
      <c r="N43" s="1764">
        <f t="shared" si="17"/>
        <v>0</v>
      </c>
      <c r="O43" s="1764">
        <f t="shared" si="17"/>
        <v>0</v>
      </c>
      <c r="P43" s="1765">
        <f t="shared" si="17"/>
        <v>0</v>
      </c>
    </row>
    <row r="44" spans="4:16">
      <c r="D44" s="1037" t="s">
        <v>296</v>
      </c>
      <c r="E44" s="1461"/>
      <c r="F44" s="1766">
        <v>0</v>
      </c>
      <c r="G44" s="1766">
        <v>0</v>
      </c>
      <c r="H44" s="1766">
        <v>0</v>
      </c>
      <c r="I44" s="1766">
        <v>0</v>
      </c>
      <c r="J44" s="1767"/>
      <c r="K44" s="1767"/>
      <c r="L44" s="1768"/>
      <c r="M44" s="1766"/>
      <c r="N44" s="1766"/>
      <c r="O44" s="1766"/>
      <c r="P44" s="1769"/>
    </row>
    <row r="45" spans="4:16">
      <c r="D45" s="1037" t="s">
        <v>297</v>
      </c>
      <c r="E45" s="1461"/>
      <c r="F45" s="2746">
        <f t="shared" ref="F45:L45" si="18">MROUND($F$43*F44,4)</f>
        <v>0</v>
      </c>
      <c r="G45" s="2746">
        <f t="shared" si="18"/>
        <v>0</v>
      </c>
      <c r="H45" s="2746">
        <f t="shared" si="18"/>
        <v>0</v>
      </c>
      <c r="I45" s="2746">
        <f t="shared" si="18"/>
        <v>0</v>
      </c>
      <c r="J45" s="2746">
        <f t="shared" si="18"/>
        <v>0</v>
      </c>
      <c r="K45" s="2746">
        <f t="shared" si="18"/>
        <v>0</v>
      </c>
      <c r="L45" s="1765">
        <f t="shared" si="18"/>
        <v>0</v>
      </c>
      <c r="M45" s="1764">
        <f>M43*M44</f>
        <v>0</v>
      </c>
      <c r="N45" s="1764">
        <f>N43*N44</f>
        <v>0</v>
      </c>
      <c r="O45" s="1764">
        <f>O43*O44</f>
        <v>0</v>
      </c>
      <c r="P45" s="1765">
        <f>P43*P44</f>
        <v>0</v>
      </c>
    </row>
    <row r="46" spans="4:16">
      <c r="D46" s="1037" t="s">
        <v>298</v>
      </c>
      <c r="E46" s="1461"/>
      <c r="F46" s="2728">
        <f t="shared" ref="F46:P46" si="19">F43-F45</f>
        <v>196</v>
      </c>
      <c r="G46" s="2728">
        <f t="shared" si="19"/>
        <v>196</v>
      </c>
      <c r="H46" s="2728">
        <f t="shared" si="19"/>
        <v>196</v>
      </c>
      <c r="I46" s="2728">
        <f t="shared" si="19"/>
        <v>196</v>
      </c>
      <c r="J46" s="2728">
        <f>J43-J45</f>
        <v>196</v>
      </c>
      <c r="K46" s="2728">
        <f t="shared" si="19"/>
        <v>0</v>
      </c>
      <c r="L46" s="1761">
        <f t="shared" si="19"/>
        <v>0</v>
      </c>
      <c r="M46" s="1760">
        <f t="shared" si="19"/>
        <v>0</v>
      </c>
      <c r="N46" s="1760">
        <f t="shared" si="19"/>
        <v>0</v>
      </c>
      <c r="O46" s="1760">
        <f t="shared" si="19"/>
        <v>0</v>
      </c>
      <c r="P46" s="1761">
        <f t="shared" si="19"/>
        <v>0</v>
      </c>
    </row>
    <row r="47" spans="4:16">
      <c r="D47" s="1037"/>
      <c r="E47" s="1461"/>
      <c r="F47" s="2728"/>
      <c r="G47" s="2728"/>
      <c r="H47" s="2728"/>
      <c r="I47" s="2728"/>
      <c r="J47" s="2728"/>
      <c r="K47" s="2728"/>
      <c r="L47" s="1761"/>
      <c r="M47" s="1760"/>
      <c r="N47" s="1760"/>
      <c r="O47" s="1760"/>
      <c r="P47" s="1761"/>
    </row>
    <row r="48" spans="4:16">
      <c r="D48" s="1037" t="s">
        <v>293</v>
      </c>
      <c r="E48" s="1461"/>
      <c r="F48" s="2728">
        <f>F39+F40</f>
        <v>0</v>
      </c>
      <c r="G48" s="2728">
        <f t="shared" ref="G48:P48" si="20">G39+G40</f>
        <v>0</v>
      </c>
      <c r="H48" s="2728">
        <f>H39+H40</f>
        <v>0</v>
      </c>
      <c r="I48" s="2728">
        <f t="shared" si="20"/>
        <v>0</v>
      </c>
      <c r="J48" s="2728">
        <f>J39+J40</f>
        <v>4900000</v>
      </c>
      <c r="K48" s="2728">
        <f>K39+K40</f>
        <v>0</v>
      </c>
      <c r="L48" s="1761">
        <f t="shared" si="20"/>
        <v>0</v>
      </c>
      <c r="M48" s="1760">
        <f t="shared" si="20"/>
        <v>0</v>
      </c>
      <c r="N48" s="1760">
        <f t="shared" si="20"/>
        <v>0</v>
      </c>
      <c r="O48" s="1760">
        <f t="shared" si="20"/>
        <v>0</v>
      </c>
      <c r="P48" s="1761">
        <f t="shared" si="20"/>
        <v>0</v>
      </c>
    </row>
    <row r="49" spans="1:22">
      <c r="D49" s="1037" t="s">
        <v>295</v>
      </c>
      <c r="E49" s="1461"/>
      <c r="F49" s="2728">
        <f t="shared" ref="F49:P49" si="21">F48/$B$7</f>
        <v>0</v>
      </c>
      <c r="G49" s="2728">
        <f t="shared" si="21"/>
        <v>0</v>
      </c>
      <c r="H49" s="2728">
        <f t="shared" si="21"/>
        <v>0</v>
      </c>
      <c r="I49" s="2728">
        <f t="shared" si="21"/>
        <v>0</v>
      </c>
      <c r="J49" s="2728">
        <f>J48/$B$7</f>
        <v>196</v>
      </c>
      <c r="K49" s="2728">
        <f t="shared" si="21"/>
        <v>0</v>
      </c>
      <c r="L49" s="1761">
        <f t="shared" si="21"/>
        <v>0</v>
      </c>
      <c r="M49" s="1760">
        <f t="shared" si="21"/>
        <v>0</v>
      </c>
      <c r="N49" s="1760">
        <f t="shared" si="21"/>
        <v>0</v>
      </c>
      <c r="O49" s="1760">
        <f t="shared" si="21"/>
        <v>0</v>
      </c>
      <c r="P49" s="1761">
        <f t="shared" si="21"/>
        <v>0</v>
      </c>
    </row>
    <row r="50" spans="1:22">
      <c r="D50" s="1037"/>
      <c r="E50" s="1461"/>
      <c r="F50" s="2728"/>
      <c r="G50" s="2728"/>
      <c r="H50" s="2728"/>
      <c r="I50" s="2728"/>
      <c r="J50" s="2728"/>
      <c r="K50" s="2728"/>
      <c r="L50" s="1761"/>
      <c r="M50" s="1760"/>
      <c r="N50" s="1760"/>
      <c r="O50" s="1760"/>
      <c r="P50" s="1761"/>
    </row>
    <row r="51" spans="1:22">
      <c r="D51" s="1037" t="s">
        <v>298</v>
      </c>
      <c r="E51" s="1461"/>
      <c r="F51" s="2728">
        <f t="shared" ref="F51:P51" si="22">F46-F49</f>
        <v>196</v>
      </c>
      <c r="G51" s="2728">
        <f t="shared" si="22"/>
        <v>196</v>
      </c>
      <c r="H51" s="2728">
        <f t="shared" si="22"/>
        <v>196</v>
      </c>
      <c r="I51" s="2728">
        <f t="shared" si="22"/>
        <v>196</v>
      </c>
      <c r="J51" s="2728">
        <f t="shared" si="22"/>
        <v>0</v>
      </c>
      <c r="K51" s="2728">
        <f t="shared" si="22"/>
        <v>0</v>
      </c>
      <c r="L51" s="1761">
        <f t="shared" si="22"/>
        <v>0</v>
      </c>
      <c r="M51" s="1760">
        <f t="shared" si="22"/>
        <v>0</v>
      </c>
      <c r="N51" s="1760">
        <f t="shared" si="22"/>
        <v>0</v>
      </c>
      <c r="O51" s="1760">
        <f t="shared" si="22"/>
        <v>0</v>
      </c>
      <c r="P51" s="1761">
        <f t="shared" si="22"/>
        <v>0</v>
      </c>
    </row>
    <row r="52" spans="1:22">
      <c r="A52" s="1316"/>
      <c r="D52" s="1037"/>
      <c r="E52" s="1461"/>
      <c r="F52" s="2728"/>
      <c r="G52" s="2728"/>
      <c r="H52" s="2728"/>
      <c r="I52" s="2728"/>
      <c r="J52" s="2728"/>
      <c r="K52" s="2728"/>
      <c r="L52" s="1761"/>
      <c r="M52" s="1760"/>
      <c r="N52" s="1760"/>
      <c r="O52" s="1760"/>
      <c r="P52" s="1761"/>
    </row>
    <row r="53" spans="1:22" ht="13.5" thickBot="1">
      <c r="D53" s="1037" t="s">
        <v>299</v>
      </c>
      <c r="E53" s="1461"/>
      <c r="F53" s="1770">
        <f>MROUND(((F37/100000)*Investors!B20)*((DATE(F4,12,31)-B12+1)/365),1)</f>
        <v>344</v>
      </c>
      <c r="G53" s="1770">
        <f>MROUND((G37/100000)*Investors!$B$20,1)</f>
        <v>17934</v>
      </c>
      <c r="H53" s="1770">
        <f>MROUND((H37/100000)*Investors!$B$20,1)</f>
        <v>17934</v>
      </c>
      <c r="I53" s="1770">
        <f>MROUND((I37/100000)*Investors!$B$20,1)</f>
        <v>17934</v>
      </c>
      <c r="J53" s="1770">
        <f>MROUND((J37/100000)*Investors!$B$20,1)</f>
        <v>17934</v>
      </c>
      <c r="K53" s="1770">
        <f>MROUND((K37/100000)*Investors!$B$20,1)</f>
        <v>0</v>
      </c>
      <c r="L53" s="1771">
        <f>MROUND((L37/100000)*Investors!$B$20,1)</f>
        <v>0</v>
      </c>
      <c r="M53" s="1770">
        <f>MROUND((M37/100000)*365,1)</f>
        <v>0</v>
      </c>
      <c r="N53" s="1770">
        <f>MROUND((N37/100000)*365,1)</f>
        <v>0</v>
      </c>
      <c r="O53" s="1770">
        <f>MROUND((O37/100000)*365,1)</f>
        <v>0</v>
      </c>
      <c r="P53" s="1771">
        <f>MROUND((P37/100000)*365,1)</f>
        <v>0</v>
      </c>
      <c r="V53" s="2770"/>
    </row>
    <row r="54" spans="1:22" ht="13.5" thickTop="1">
      <c r="D54" s="1037"/>
      <c r="E54" s="1461"/>
      <c r="F54" s="1461"/>
      <c r="G54" s="1461"/>
      <c r="H54" s="1461"/>
      <c r="I54" s="1461"/>
      <c r="J54" s="1461"/>
      <c r="K54" s="1461"/>
      <c r="L54" s="1467"/>
      <c r="M54" s="1287"/>
      <c r="N54" s="1287"/>
      <c r="O54" s="1582"/>
      <c r="P54" s="1583"/>
      <c r="V54" s="2770"/>
    </row>
    <row r="55" spans="1:22">
      <c r="D55" s="1037" t="s">
        <v>1014</v>
      </c>
      <c r="E55" s="1461"/>
      <c r="F55" s="2867">
        <f ca="1">Costprice!O36+Costprice!O49+Costprice!O50</f>
        <v>9.8731252111203602</v>
      </c>
      <c r="G55" s="2868">
        <f ca="1">Costprice!P36+Costprice!P49+Costprice!P50</f>
        <v>9.5526102443075764</v>
      </c>
      <c r="H55" s="2868">
        <f ca="1">Costprice!Q36+Costprice!Q49+Costprice!Q50</f>
        <v>10.041564866681721</v>
      </c>
      <c r="I55" s="2868">
        <f ca="1">Costprice!R36+Costprice!R49+Costprice!R50</f>
        <v>10.03542243159883</v>
      </c>
      <c r="J55" s="2868">
        <f ca="1">Costprice!S36+Costprice!S49+Costprice!S50</f>
        <v>9.9600516751415782</v>
      </c>
      <c r="K55" s="2746">
        <f ca="1">Costprice!T36+Costprice!T49+Costprice!T50</f>
        <v>11.05207314293162</v>
      </c>
      <c r="L55" s="1765">
        <f ca="1">Costprice!U36+Costprice!U49+Costprice!U50</f>
        <v>10.787756465890066</v>
      </c>
      <c r="M55" s="1772"/>
      <c r="N55" s="1772"/>
      <c r="O55" s="1772"/>
      <c r="P55" s="1773"/>
      <c r="V55" s="2770"/>
    </row>
    <row r="56" spans="1:22">
      <c r="D56" s="1037" t="s">
        <v>300</v>
      </c>
      <c r="E56" s="1461"/>
      <c r="F56" s="2728">
        <f ca="1">F53*F55</f>
        <v>3396.3550726254039</v>
      </c>
      <c r="G56" s="2728">
        <f t="shared" ref="G56:P56" ca="1" si="23">G53*G55</f>
        <v>171316.51212141209</v>
      </c>
      <c r="H56" s="2728">
        <f t="shared" ca="1" si="23"/>
        <v>180085.42431906998</v>
      </c>
      <c r="I56" s="2728">
        <f t="shared" ca="1" si="23"/>
        <v>179975.26588829342</v>
      </c>
      <c r="J56" s="2728">
        <f ca="1">J53*J55</f>
        <v>178623.56674198905</v>
      </c>
      <c r="K56" s="2728">
        <f ca="1">K53*K55</f>
        <v>0</v>
      </c>
      <c r="L56" s="1761">
        <f t="shared" ca="1" si="23"/>
        <v>0</v>
      </c>
      <c r="M56" s="1760">
        <f t="shared" si="23"/>
        <v>0</v>
      </c>
      <c r="N56" s="1760">
        <f t="shared" si="23"/>
        <v>0</v>
      </c>
      <c r="O56" s="1760">
        <f t="shared" si="23"/>
        <v>0</v>
      </c>
      <c r="P56" s="1761">
        <f t="shared" si="23"/>
        <v>0</v>
      </c>
      <c r="V56" s="2770"/>
    </row>
    <row r="57" spans="1:22">
      <c r="D57" s="1037"/>
      <c r="E57" s="1461"/>
      <c r="F57" s="1461"/>
      <c r="G57" s="1461"/>
      <c r="H57" s="1461"/>
      <c r="I57" s="1461"/>
      <c r="J57" s="1461"/>
      <c r="K57" s="1461"/>
      <c r="L57" s="1467"/>
      <c r="M57" s="1287"/>
      <c r="N57" s="1287"/>
      <c r="O57" s="1287"/>
      <c r="P57" s="1467"/>
      <c r="V57" s="1316"/>
    </row>
    <row r="58" spans="1:22">
      <c r="D58" s="1037" t="s">
        <v>282</v>
      </c>
      <c r="E58" s="1461"/>
      <c r="F58" s="1767">
        <v>0.75</v>
      </c>
      <c r="G58" s="1767">
        <v>0.75</v>
      </c>
      <c r="H58" s="1767">
        <v>0.75</v>
      </c>
      <c r="I58" s="1767">
        <v>0.75</v>
      </c>
      <c r="J58" s="1767">
        <v>0.75</v>
      </c>
      <c r="K58" s="1767">
        <v>0.75</v>
      </c>
      <c r="L58" s="1768">
        <v>0.75</v>
      </c>
      <c r="M58" s="1767">
        <f>95%</f>
        <v>0.95</v>
      </c>
      <c r="N58" s="1767">
        <f>95%</f>
        <v>0.95</v>
      </c>
      <c r="O58" s="1767">
        <f>95%</f>
        <v>0.95</v>
      </c>
      <c r="P58" s="1768">
        <f>95%</f>
        <v>0.95</v>
      </c>
    </row>
    <row r="59" spans="1:22">
      <c r="D59" s="1037" t="s">
        <v>85</v>
      </c>
      <c r="E59" s="1461"/>
      <c r="F59" s="1774">
        <f ca="1">F56*(1-F58)</f>
        <v>849.08876815635097</v>
      </c>
      <c r="G59" s="1774">
        <f ca="1">G56*(1-G58)</f>
        <v>42829.128030353022</v>
      </c>
      <c r="H59" s="1774">
        <f ca="1">H56*(1-H58)</f>
        <v>45021.356079767495</v>
      </c>
      <c r="I59" s="1774">
        <f t="shared" ref="I59:P59" ca="1" si="24">I56*(1-I58)</f>
        <v>44993.816472073355</v>
      </c>
      <c r="J59" s="1774">
        <f ca="1">J56*(1-J58)</f>
        <v>44655.891685497263</v>
      </c>
      <c r="K59" s="1774">
        <f ca="1">K56*(1-K58)</f>
        <v>0</v>
      </c>
      <c r="L59" s="1775">
        <f t="shared" ca="1" si="24"/>
        <v>0</v>
      </c>
      <c r="M59" s="1774">
        <f t="shared" si="24"/>
        <v>0</v>
      </c>
      <c r="N59" s="1774">
        <f t="shared" si="24"/>
        <v>0</v>
      </c>
      <c r="O59" s="1774">
        <f t="shared" si="24"/>
        <v>0</v>
      </c>
      <c r="P59" s="1775">
        <f t="shared" si="24"/>
        <v>0</v>
      </c>
    </row>
    <row r="60" spans="1:22">
      <c r="D60" s="1037" t="s">
        <v>946</v>
      </c>
      <c r="E60" s="1776">
        <f>Bond!H81</f>
        <v>0.66269999999999996</v>
      </c>
      <c r="F60" s="2746">
        <f>F53*$E$60</f>
        <v>227.96879999999999</v>
      </c>
      <c r="G60" s="2746">
        <f t="shared" ref="G60:P60" si="25">G53*$E$60</f>
        <v>11884.861799999999</v>
      </c>
      <c r="H60" s="2746">
        <f t="shared" si="25"/>
        <v>11884.861799999999</v>
      </c>
      <c r="I60" s="2746">
        <f t="shared" si="25"/>
        <v>11884.861799999999</v>
      </c>
      <c r="J60" s="2746">
        <f t="shared" si="25"/>
        <v>11884.861799999999</v>
      </c>
      <c r="K60" s="2746">
        <f t="shared" si="25"/>
        <v>0</v>
      </c>
      <c r="L60" s="1765">
        <f t="shared" si="25"/>
        <v>0</v>
      </c>
      <c r="M60" s="1764">
        <f t="shared" si="25"/>
        <v>0</v>
      </c>
      <c r="N60" s="1764">
        <f t="shared" si="25"/>
        <v>0</v>
      </c>
      <c r="O60" s="1764">
        <f t="shared" si="25"/>
        <v>0</v>
      </c>
      <c r="P60" s="1765">
        <f t="shared" si="25"/>
        <v>0</v>
      </c>
    </row>
    <row r="61" spans="1:22">
      <c r="D61" s="1037" t="s">
        <v>301</v>
      </c>
      <c r="E61" s="1777">
        <v>0.21</v>
      </c>
      <c r="F61" s="2746">
        <f ca="1">(F59+F60)*$E$61</f>
        <v>226.18208931283368</v>
      </c>
      <c r="G61" s="2746">
        <f t="shared" ref="G61:P61" ca="1" si="26">(G59+G60)*$E$61</f>
        <v>11489.937864374135</v>
      </c>
      <c r="H61" s="2746">
        <f t="shared" ca="1" si="26"/>
        <v>11950.305754751173</v>
      </c>
      <c r="I61" s="2746">
        <f t="shared" ca="1" si="26"/>
        <v>11944.522437135403</v>
      </c>
      <c r="J61" s="2746">
        <f t="shared" ca="1" si="26"/>
        <v>11873.558231954425</v>
      </c>
      <c r="K61" s="2746">
        <f t="shared" ca="1" si="26"/>
        <v>0</v>
      </c>
      <c r="L61" s="1765">
        <f t="shared" ca="1" si="26"/>
        <v>0</v>
      </c>
      <c r="M61" s="1764">
        <f t="shared" si="26"/>
        <v>0</v>
      </c>
      <c r="N61" s="1764">
        <f t="shared" si="26"/>
        <v>0</v>
      </c>
      <c r="O61" s="1764">
        <f t="shared" si="26"/>
        <v>0</v>
      </c>
      <c r="P61" s="1765">
        <f t="shared" si="26"/>
        <v>0</v>
      </c>
    </row>
    <row r="62" spans="1:22" ht="13.5" thickBot="1">
      <c r="D62" s="1333" t="s">
        <v>302</v>
      </c>
      <c r="E62" s="1524"/>
      <c r="F62" s="1778">
        <f ca="1">F59+F60+F61</f>
        <v>1303.2396574691847</v>
      </c>
      <c r="G62" s="1778">
        <f t="shared" ref="G62:P62" ca="1" si="27">G59+G60+G61</f>
        <v>66203.927694727157</v>
      </c>
      <c r="H62" s="1778">
        <f t="shared" ca="1" si="27"/>
        <v>68856.523634518671</v>
      </c>
      <c r="I62" s="1778">
        <f t="shared" ca="1" si="27"/>
        <v>68823.200709208759</v>
      </c>
      <c r="J62" s="1778">
        <f t="shared" ca="1" si="27"/>
        <v>68414.311717451681</v>
      </c>
      <c r="K62" s="1778">
        <f t="shared" ca="1" si="27"/>
        <v>0</v>
      </c>
      <c r="L62" s="2869">
        <f t="shared" ca="1" si="27"/>
        <v>0</v>
      </c>
      <c r="M62" s="1778">
        <f t="shared" si="27"/>
        <v>0</v>
      </c>
      <c r="N62" s="1778">
        <f t="shared" si="27"/>
        <v>0</v>
      </c>
      <c r="O62" s="1778">
        <f t="shared" si="27"/>
        <v>0</v>
      </c>
      <c r="P62" s="1779">
        <f t="shared" si="27"/>
        <v>0</v>
      </c>
    </row>
    <row r="63" spans="1:22">
      <c r="D63" s="1539"/>
      <c r="E63" s="1502"/>
      <c r="F63" s="1502"/>
      <c r="G63" s="1502"/>
      <c r="H63" s="1502"/>
      <c r="I63" s="1502"/>
      <c r="J63" s="1502"/>
      <c r="K63" s="1502"/>
      <c r="L63" s="1725"/>
      <c r="M63" s="1502"/>
      <c r="N63" s="1502"/>
      <c r="O63" s="1574"/>
      <c r="P63" s="1575"/>
    </row>
    <row r="64" spans="1:22">
      <c r="D64" s="1581" t="s">
        <v>303</v>
      </c>
      <c r="E64" s="1749"/>
      <c r="F64" s="689">
        <f ca="1">F31+F62+F22+F29</f>
        <v>84718.239657469181</v>
      </c>
      <c r="G64" s="689">
        <f t="shared" ref="G64:L64" ca="1" si="28">G31+G62+G22+G29</f>
        <v>137510.25269472715</v>
      </c>
      <c r="H64" s="689">
        <f t="shared" ca="1" si="28"/>
        <v>141588.97513451867</v>
      </c>
      <c r="I64" s="689">
        <f t="shared" ca="1" si="28"/>
        <v>143010.30123920875</v>
      </c>
      <c r="J64" s="689">
        <f t="shared" ca="1" si="28"/>
        <v>144085.15425805165</v>
      </c>
      <c r="K64" s="689">
        <f t="shared" ca="1" si="28"/>
        <v>0</v>
      </c>
      <c r="L64" s="1620">
        <f t="shared" ca="1" si="28"/>
        <v>0</v>
      </c>
      <c r="M64" s="689">
        <f>M34+M62</f>
        <v>0</v>
      </c>
      <c r="N64" s="689">
        <f>N34+N62</f>
        <v>0</v>
      </c>
      <c r="O64" s="689">
        <f>O34+O62</f>
        <v>0</v>
      </c>
      <c r="P64" s="1620">
        <f>P34+P62</f>
        <v>0</v>
      </c>
    </row>
    <row r="65" spans="4:17">
      <c r="D65" s="1612"/>
      <c r="E65" s="1749"/>
      <c r="F65" s="688"/>
      <c r="G65" s="688"/>
      <c r="H65" s="688"/>
      <c r="I65" s="688"/>
      <c r="J65" s="688"/>
      <c r="K65" s="688"/>
      <c r="L65" s="690"/>
      <c r="M65" s="688"/>
      <c r="N65" s="688"/>
      <c r="O65" s="688"/>
      <c r="P65" s="690"/>
    </row>
    <row r="66" spans="4:17">
      <c r="D66" s="1612" t="s">
        <v>304</v>
      </c>
      <c r="E66" s="1756">
        <v>5.2630000000000003E-2</v>
      </c>
      <c r="F66" s="688">
        <f ca="1">F64*$E$66</f>
        <v>4458.720953172603</v>
      </c>
      <c r="G66" s="688">
        <f t="shared" ref="G66:P66" ca="1" si="29">G64*$E$66</f>
        <v>7237.1645993234906</v>
      </c>
      <c r="H66" s="688">
        <f t="shared" ca="1" si="29"/>
        <v>7451.8277613297178</v>
      </c>
      <c r="I66" s="688">
        <f t="shared" ca="1" si="29"/>
        <v>7526.6321542195574</v>
      </c>
      <c r="J66" s="688">
        <f t="shared" ca="1" si="29"/>
        <v>7583.2016686012594</v>
      </c>
      <c r="K66" s="688">
        <f t="shared" ca="1" si="29"/>
        <v>0</v>
      </c>
      <c r="L66" s="690">
        <f t="shared" ca="1" si="29"/>
        <v>0</v>
      </c>
      <c r="M66" s="688">
        <f t="shared" si="29"/>
        <v>0</v>
      </c>
      <c r="N66" s="688">
        <f t="shared" si="29"/>
        <v>0</v>
      </c>
      <c r="O66" s="688">
        <f t="shared" si="29"/>
        <v>0</v>
      </c>
      <c r="P66" s="690">
        <f t="shared" si="29"/>
        <v>0</v>
      </c>
    </row>
    <row r="67" spans="4:17" ht="13.5" thickBot="1">
      <c r="D67" s="1662"/>
      <c r="E67" s="1663"/>
      <c r="F67" s="692"/>
      <c r="G67" s="692"/>
      <c r="H67" s="692"/>
      <c r="I67" s="692"/>
      <c r="J67" s="692"/>
      <c r="K67" s="692"/>
      <c r="L67" s="2870"/>
      <c r="M67" s="692"/>
      <c r="N67" s="692"/>
      <c r="O67" s="692"/>
      <c r="P67" s="842"/>
    </row>
    <row r="68" spans="4:17" ht="13.5" thickBot="1">
      <c r="D68" s="1631" t="s">
        <v>305</v>
      </c>
      <c r="E68" s="1663"/>
      <c r="F68" s="693">
        <f ca="1">F64+F66</f>
        <v>89176.960610641778</v>
      </c>
      <c r="G68" s="693">
        <f t="shared" ref="G68:N68" ca="1" si="30">G64+G66</f>
        <v>144747.41729405065</v>
      </c>
      <c r="H68" s="693">
        <f t="shared" ca="1" si="30"/>
        <v>149040.80289584838</v>
      </c>
      <c r="I68" s="693">
        <f t="shared" ca="1" si="30"/>
        <v>150536.93339342831</v>
      </c>
      <c r="J68" s="693">
        <f t="shared" ca="1" si="30"/>
        <v>151668.3559266529</v>
      </c>
      <c r="K68" s="693">
        <f ca="1">K64+K66</f>
        <v>0</v>
      </c>
      <c r="L68" s="694">
        <f t="shared" ca="1" si="30"/>
        <v>0</v>
      </c>
      <c r="M68" s="693">
        <f t="shared" si="30"/>
        <v>0</v>
      </c>
      <c r="N68" s="693">
        <f t="shared" si="30"/>
        <v>0</v>
      </c>
      <c r="O68" s="693">
        <f>O64+O66</f>
        <v>0</v>
      </c>
      <c r="P68" s="694">
        <f>P64+P66</f>
        <v>0</v>
      </c>
    </row>
    <row r="69" spans="4:17" ht="13.5" thickBot="1">
      <c r="O69" s="1287"/>
      <c r="P69" s="1287"/>
    </row>
    <row r="70" spans="4:17" ht="13.5" thickBot="1">
      <c r="D70" s="1708" t="s">
        <v>810</v>
      </c>
      <c r="E70" s="1781"/>
      <c r="F70" s="747">
        <f t="shared" ref="F70:P70" ca="1" si="31">IF(F53=0,0,F59/F53)</f>
        <v>2.4682813027800901</v>
      </c>
      <c r="G70" s="747">
        <f t="shared" ca="1" si="31"/>
        <v>2.3881525610768941</v>
      </c>
      <c r="H70" s="747">
        <f t="shared" ca="1" si="31"/>
        <v>2.5103912166704303</v>
      </c>
      <c r="I70" s="747">
        <f t="shared" ca="1" si="31"/>
        <v>2.5088556078997075</v>
      </c>
      <c r="J70" s="747">
        <f t="shared" ca="1" si="31"/>
        <v>2.4900129187853945</v>
      </c>
      <c r="K70" s="747">
        <f t="shared" si="31"/>
        <v>0</v>
      </c>
      <c r="L70" s="748">
        <f t="shared" si="31"/>
        <v>0</v>
      </c>
      <c r="M70" s="747">
        <f t="shared" si="31"/>
        <v>0</v>
      </c>
      <c r="N70" s="747">
        <f t="shared" si="31"/>
        <v>0</v>
      </c>
      <c r="O70" s="747">
        <f t="shared" si="31"/>
        <v>0</v>
      </c>
      <c r="P70" s="748">
        <f t="shared" si="31"/>
        <v>0</v>
      </c>
    </row>
    <row r="71" spans="4:17" ht="13.5" thickBot="1">
      <c r="O71" s="1582"/>
      <c r="P71" s="1582"/>
    </row>
    <row r="72" spans="4:17">
      <c r="D72" s="1522" t="s">
        <v>1016</v>
      </c>
      <c r="E72" s="1502"/>
      <c r="F72" s="1502"/>
      <c r="G72" s="1502"/>
      <c r="H72" s="1502"/>
      <c r="I72" s="1502"/>
      <c r="J72" s="1502"/>
      <c r="K72" s="1502"/>
      <c r="L72" s="1725"/>
      <c r="O72" s="1582"/>
      <c r="P72" s="1582"/>
    </row>
    <row r="73" spans="4:17">
      <c r="D73" s="1299" t="s">
        <v>1017</v>
      </c>
      <c r="E73" s="1730"/>
      <c r="F73" s="1782">
        <f>Investors!G96</f>
        <v>0.125</v>
      </c>
      <c r="G73" s="1782">
        <f>Investors!H96</f>
        <v>0.12937499999999999</v>
      </c>
      <c r="H73" s="1782">
        <f>Investors!I96</f>
        <v>0.13658118749999998</v>
      </c>
      <c r="I73" s="1782">
        <f>Investors!J96</f>
        <v>0.14707253483662497</v>
      </c>
      <c r="J73" s="1782">
        <f>Investors!K96</f>
        <v>0.16153715981811678</v>
      </c>
      <c r="K73" s="1782">
        <f>Investors!N110</f>
        <v>0</v>
      </c>
      <c r="L73" s="1783">
        <f>Investors!O110</f>
        <v>0</v>
      </c>
      <c r="O73" s="1582"/>
      <c r="P73" s="1582"/>
    </row>
    <row r="74" spans="4:17">
      <c r="D74" s="1299" t="s">
        <v>1018</v>
      </c>
      <c r="E74" s="1730"/>
      <c r="F74" s="107">
        <f>'RCF-F'!Q78</f>
        <v>344</v>
      </c>
      <c r="G74" s="107">
        <f>'RCF-F'!R78</f>
        <v>18106</v>
      </c>
      <c r="H74" s="107">
        <f>'RCF-F'!S78</f>
        <v>17934</v>
      </c>
      <c r="I74" s="107">
        <f>'RCF-F'!T78</f>
        <v>35868</v>
      </c>
      <c r="J74" s="107">
        <f>'RCF-F'!U78</f>
        <v>0</v>
      </c>
      <c r="K74" s="107">
        <f>'RCF-F'!V78</f>
        <v>0</v>
      </c>
      <c r="L74" s="108">
        <f>'RCF-F'!W78</f>
        <v>0</v>
      </c>
      <c r="M74" s="1784"/>
      <c r="N74" s="1784"/>
      <c r="O74" s="1785"/>
      <c r="P74" s="1785"/>
      <c r="Q74" s="1784"/>
    </row>
    <row r="75" spans="4:17" ht="13.5" thickBot="1">
      <c r="D75" s="1319" t="s">
        <v>1019</v>
      </c>
      <c r="E75" s="1721"/>
      <c r="F75" s="1786">
        <f>F73*F74</f>
        <v>43</v>
      </c>
      <c r="G75" s="1786">
        <f t="shared" ref="G75:L75" si="32">G73*G74</f>
        <v>2342.4637499999999</v>
      </c>
      <c r="H75" s="1786">
        <f t="shared" si="32"/>
        <v>2449.4470166249998</v>
      </c>
      <c r="I75" s="1786">
        <f t="shared" si="32"/>
        <v>5275.1976795200644</v>
      </c>
      <c r="J75" s="1786">
        <f t="shared" si="32"/>
        <v>0</v>
      </c>
      <c r="K75" s="1786">
        <f t="shared" si="32"/>
        <v>0</v>
      </c>
      <c r="L75" s="1787">
        <f t="shared" si="32"/>
        <v>0</v>
      </c>
      <c r="M75" s="1582"/>
      <c r="N75" s="1582"/>
      <c r="O75" s="1582"/>
      <c r="P75" s="1582"/>
    </row>
    <row r="76" spans="4:17" ht="13.5" thickBot="1">
      <c r="I76" s="1582"/>
      <c r="J76" s="1582"/>
      <c r="K76" s="1582"/>
      <c r="L76" s="1582"/>
      <c r="M76" s="1582"/>
      <c r="N76" s="1582"/>
      <c r="O76" s="1582"/>
      <c r="P76" s="1582"/>
    </row>
    <row r="77" spans="4:17" ht="15">
      <c r="D77" s="1788" t="s">
        <v>456</v>
      </c>
      <c r="E77" s="1574"/>
      <c r="F77" s="1574"/>
      <c r="G77" s="1574"/>
      <c r="H77" s="1575"/>
      <c r="P77" s="1582"/>
    </row>
    <row r="78" spans="4:17">
      <c r="D78" s="1612" t="s">
        <v>453</v>
      </c>
      <c r="E78" s="1582" t="s">
        <v>452</v>
      </c>
      <c r="F78" s="1599" t="s">
        <v>277</v>
      </c>
      <c r="G78" s="1582" t="s">
        <v>454</v>
      </c>
      <c r="H78" s="1583" t="s">
        <v>455</v>
      </c>
      <c r="P78" s="1582"/>
    </row>
    <row r="79" spans="4:17">
      <c r="D79" s="1612" t="s">
        <v>278</v>
      </c>
      <c r="E79" s="1582">
        <v>44.24</v>
      </c>
      <c r="F79" s="1582">
        <f>E79/100</f>
        <v>0.44240000000000002</v>
      </c>
      <c r="G79" s="1582">
        <v>0.75</v>
      </c>
      <c r="H79" s="1583">
        <f>F79*G79</f>
        <v>0.33179999999999998</v>
      </c>
      <c r="P79" s="1582"/>
    </row>
    <row r="80" spans="4:17">
      <c r="D80" s="1612" t="s">
        <v>279</v>
      </c>
      <c r="E80" s="1582">
        <v>44.24</v>
      </c>
      <c r="F80" s="1582">
        <f>E80/100</f>
        <v>0.44240000000000002</v>
      </c>
      <c r="G80" s="1582">
        <v>0.75</v>
      </c>
      <c r="H80" s="1583">
        <f>F80*G80</f>
        <v>0.33179999999999998</v>
      </c>
      <c r="P80" s="1582"/>
    </row>
    <row r="81" spans="4:16">
      <c r="D81" s="1789" t="s">
        <v>280</v>
      </c>
      <c r="E81" s="1790">
        <v>88.36</v>
      </c>
      <c r="F81" s="1790">
        <f>E81/100</f>
        <v>0.88359999999999994</v>
      </c>
      <c r="G81" s="1790">
        <v>0.75</v>
      </c>
      <c r="H81" s="1791">
        <f>F81*G81</f>
        <v>0.66269999999999996</v>
      </c>
      <c r="P81" s="1582"/>
    </row>
    <row r="82" spans="4:16" ht="13.5" thickBot="1">
      <c r="D82" s="1662" t="s">
        <v>281</v>
      </c>
      <c r="E82" s="1663">
        <v>149.30000000000001</v>
      </c>
      <c r="F82" s="1663">
        <f>E82/100</f>
        <v>1.4930000000000001</v>
      </c>
      <c r="G82" s="1663">
        <v>0.75</v>
      </c>
      <c r="H82" s="1792">
        <f>F82*G82</f>
        <v>1.11975</v>
      </c>
      <c r="P82" s="1582"/>
    </row>
    <row r="83" spans="4:16">
      <c r="P83" s="1582"/>
    </row>
    <row r="84" spans="4:16">
      <c r="F84" s="1316"/>
      <c r="P84" s="1582"/>
    </row>
    <row r="85" spans="4:16">
      <c r="P85" s="1582"/>
    </row>
    <row r="86" spans="4:16">
      <c r="P86" s="1582"/>
    </row>
    <row r="87" spans="4:16">
      <c r="G87" s="1316"/>
      <c r="P87" s="1582"/>
    </row>
    <row r="88" spans="4:16">
      <c r="P88" s="1582"/>
    </row>
    <row r="89" spans="4:16">
      <c r="P89" s="1582"/>
    </row>
    <row r="90" spans="4:16">
      <c r="P90" s="1582"/>
    </row>
    <row r="91" spans="4:16">
      <c r="P91" s="1582"/>
    </row>
    <row r="92" spans="4:16">
      <c r="P92" s="1582"/>
    </row>
    <row r="93" spans="4:16">
      <c r="P93" s="1582"/>
    </row>
    <row r="94" spans="4:16">
      <c r="P94" s="1582"/>
    </row>
    <row r="95" spans="4:16">
      <c r="P95" s="1582"/>
    </row>
    <row r="96" spans="4:16">
      <c r="P96" s="1582"/>
    </row>
    <row r="97" spans="4:16">
      <c r="P97" s="1582"/>
    </row>
    <row r="98" spans="4:16">
      <c r="P98" s="1582"/>
    </row>
    <row r="99" spans="4:16">
      <c r="P99" s="1582"/>
    </row>
    <row r="100" spans="4:16">
      <c r="P100" s="1582"/>
    </row>
    <row r="101" spans="4:16">
      <c r="P101" s="1582"/>
    </row>
    <row r="102" spans="4:16">
      <c r="P102" s="1582"/>
    </row>
    <row r="103" spans="4:16">
      <c r="P103" s="1582"/>
    </row>
    <row r="104" spans="4:16">
      <c r="D104" s="1582"/>
      <c r="E104" s="1582"/>
      <c r="F104" s="1582"/>
      <c r="G104" s="1582"/>
      <c r="H104" s="1582"/>
      <c r="I104" s="1582"/>
      <c r="J104" s="1582"/>
      <c r="K104" s="1582"/>
      <c r="L104" s="1582"/>
      <c r="M104" s="1582"/>
      <c r="N104" s="1582"/>
      <c r="O104" s="1582"/>
      <c r="P104" s="1582"/>
    </row>
  </sheetData>
  <sheetProtection password="CD53" sheet="1" objects="1" scenarios="1" selectLockedCells="1"/>
  <dataConsolidate leftLabels="1"/>
  <conditionalFormatting sqref="B13 B15">
    <cfRule type="cellIs" dxfId="86" priority="121" stopIfTrue="1" operator="lessThan">
      <formula>#REF!</formula>
    </cfRule>
  </conditionalFormatting>
  <pageMargins left="0.7" right="0.7" top="0.75" bottom="0.75" header="0.3" footer="0.3"/>
  <pageSetup paperSize="9" scale="4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4" tint="0.59999389629810485"/>
    <pageSetUpPr fitToPage="1"/>
  </sheetPr>
  <dimension ref="A1:AL99"/>
  <sheetViews>
    <sheetView zoomScale="60" zoomScaleNormal="60" workbookViewId="0">
      <pane xSplit="3" ySplit="3" topLeftCell="D4" activePane="bottomRight" state="frozen"/>
      <selection pane="topRight" activeCell="E1" sqref="E1"/>
      <selection pane="bottomLeft" activeCell="A4" sqref="A4"/>
      <selection pane="bottomRight" activeCell="J2" sqref="J2"/>
    </sheetView>
  </sheetViews>
  <sheetFormatPr defaultColWidth="9.140625" defaultRowHeight="12.75"/>
  <cols>
    <col min="1" max="1" width="30" style="1347" customWidth="1"/>
    <col min="2" max="2" width="17.42578125" style="1347" customWidth="1"/>
    <col min="3" max="3" width="2" style="1347" customWidth="1"/>
    <col min="4" max="4" width="30.85546875" style="1347" customWidth="1"/>
    <col min="5" max="5" width="5.28515625" style="1347" customWidth="1"/>
    <col min="6" max="6" width="15.5703125" style="1347" bestFit="1" customWidth="1"/>
    <col min="7" max="7" width="16.7109375" style="1347" customWidth="1"/>
    <col min="8" max="8" width="15.140625" style="1347" bestFit="1" customWidth="1"/>
    <col min="9" max="9" width="15.85546875" style="1347" bestFit="1" customWidth="1"/>
    <col min="10" max="10" width="15.42578125" style="1347" bestFit="1" customWidth="1"/>
    <col min="11" max="11" width="15.140625" style="1347" customWidth="1"/>
    <col min="12" max="13" width="13" style="1347" bestFit="1" customWidth="1"/>
    <col min="14" max="14" width="2" style="1347" customWidth="1"/>
    <col min="15" max="15" width="21.85546875" style="306" customWidth="1"/>
    <col min="16" max="16" width="13.85546875" style="1347" customWidth="1"/>
    <col min="17" max="17" width="11.42578125" style="1347" bestFit="1" customWidth="1"/>
    <col min="18" max="18" width="11.85546875" style="1347" bestFit="1" customWidth="1"/>
    <col min="19" max="19" width="12.140625" style="1347" customWidth="1"/>
    <col min="20" max="20" width="11.42578125" style="1347" bestFit="1" customWidth="1"/>
    <col min="21" max="21" width="14.5703125" style="1347" customWidth="1"/>
    <col min="22" max="22" width="13.28515625" style="1347" customWidth="1"/>
    <col min="23" max="23" width="11.42578125" style="1347" bestFit="1" customWidth="1"/>
    <col min="24" max="24" width="11.140625" style="1347" bestFit="1" customWidth="1"/>
    <col min="25" max="26" width="9.7109375" style="1347" bestFit="1" customWidth="1"/>
    <col min="27" max="27" width="11.28515625" style="1347" bestFit="1" customWidth="1"/>
    <col min="28" max="28" width="10.5703125" style="1347" bestFit="1" customWidth="1"/>
    <col min="29" max="29" width="8.42578125" style="1347" bestFit="1" customWidth="1"/>
    <col min="30" max="30" width="7.7109375" style="1347" bestFit="1" customWidth="1"/>
    <col min="31" max="31" width="7.5703125" style="1347" bestFit="1" customWidth="1"/>
    <col min="32" max="34" width="10.42578125" style="1347" bestFit="1" customWidth="1"/>
    <col min="35" max="35" width="9.140625" style="1347"/>
    <col min="36" max="36" width="11.85546875" style="1347" bestFit="1" customWidth="1"/>
    <col min="37" max="16384" width="9.140625" style="1347"/>
  </cols>
  <sheetData>
    <row r="1" spans="1:38" ht="15.75" thickBot="1">
      <c r="A1" s="1552"/>
      <c r="B1" s="1553"/>
      <c r="C1" s="1554"/>
      <c r="D1" s="1554"/>
      <c r="E1" s="1554"/>
      <c r="F1" s="1554"/>
      <c r="G1" s="1554"/>
      <c r="H1" s="1554"/>
      <c r="I1" s="1554"/>
      <c r="J1" s="1554"/>
      <c r="K1" s="1554"/>
      <c r="L1" s="1554"/>
      <c r="M1" s="1554"/>
      <c r="N1" s="1554"/>
      <c r="O1" s="1554"/>
      <c r="P1" s="1554"/>
      <c r="Q1" s="1554"/>
    </row>
    <row r="2" spans="1:38" ht="15.75" thickBot="1">
      <c r="A2" s="1555" t="s">
        <v>11</v>
      </c>
      <c r="B2" s="1556">
        <f>Bond!B3+1</f>
        <v>6</v>
      </c>
      <c r="C2" s="1557"/>
      <c r="D2" s="1558" t="s">
        <v>2</v>
      </c>
      <c r="E2" s="1559"/>
      <c r="F2" s="1559">
        <v>1</v>
      </c>
      <c r="G2" s="1559">
        <v>2</v>
      </c>
      <c r="H2" s="1559">
        <v>3</v>
      </c>
      <c r="I2" s="1559">
        <v>4</v>
      </c>
      <c r="J2" s="1559">
        <v>5</v>
      </c>
      <c r="K2" s="1559">
        <v>6</v>
      </c>
      <c r="L2" s="1559">
        <v>7</v>
      </c>
      <c r="M2" s="1560">
        <v>8</v>
      </c>
      <c r="N2" s="1561"/>
    </row>
    <row r="3" spans="1:38" ht="13.5" thickBot="1">
      <c r="A3" s="1562" t="s">
        <v>15</v>
      </c>
      <c r="B3" s="1563">
        <v>44927</v>
      </c>
      <c r="C3" s="1557"/>
      <c r="D3" s="1564"/>
      <c r="E3" s="1565"/>
      <c r="F3" s="1566">
        <f>YEAR(B3)</f>
        <v>2023</v>
      </c>
      <c r="G3" s="1566">
        <f t="shared" ref="G3:M3" si="0">F3+1</f>
        <v>2024</v>
      </c>
      <c r="H3" s="1566">
        <f t="shared" si="0"/>
        <v>2025</v>
      </c>
      <c r="I3" s="1566">
        <f t="shared" si="0"/>
        <v>2026</v>
      </c>
      <c r="J3" s="1566">
        <f t="shared" si="0"/>
        <v>2027</v>
      </c>
      <c r="K3" s="1566">
        <f t="shared" si="0"/>
        <v>2028</v>
      </c>
      <c r="L3" s="1566">
        <f t="shared" si="0"/>
        <v>2029</v>
      </c>
      <c r="M3" s="1567">
        <f t="shared" si="0"/>
        <v>2030</v>
      </c>
    </row>
    <row r="4" spans="1:38" ht="13.5" thickBot="1">
      <c r="A4" s="1568"/>
      <c r="B4" s="1569"/>
      <c r="C4" s="1569"/>
      <c r="D4" s="1570"/>
      <c r="E4" s="1571"/>
      <c r="F4" s="1572"/>
      <c r="G4" s="1572"/>
      <c r="H4" s="1572"/>
      <c r="I4" s="1572"/>
      <c r="J4" s="1572"/>
      <c r="K4" s="1572"/>
      <c r="L4" s="1572"/>
      <c r="M4" s="1556"/>
      <c r="O4" s="1573" t="s">
        <v>434</v>
      </c>
      <c r="P4" s="1574"/>
      <c r="Q4" s="1574"/>
      <c r="R4" s="1574"/>
      <c r="S4" s="1574"/>
      <c r="T4" s="1574"/>
      <c r="U4" s="1574"/>
      <c r="V4" s="1574"/>
      <c r="W4" s="1574"/>
      <c r="X4" s="1574"/>
      <c r="Y4" s="1575"/>
    </row>
    <row r="5" spans="1:38" ht="13.5" thickBot="1">
      <c r="A5" s="1576" t="s">
        <v>418</v>
      </c>
      <c r="B5" s="429">
        <f>Bond!B8</f>
        <v>4900000</v>
      </c>
      <c r="D5" s="1577" t="s">
        <v>381</v>
      </c>
      <c r="E5" s="1578"/>
      <c r="F5" s="1579">
        <f ca="1">Bond!F68</f>
        <v>89176.960610641778</v>
      </c>
      <c r="G5" s="1579">
        <f ca="1">Bond!G68</f>
        <v>144747.41729405065</v>
      </c>
      <c r="H5" s="1579">
        <f ca="1">Bond!H68</f>
        <v>149040.80289584838</v>
      </c>
      <c r="I5" s="1579">
        <f ca="1">Bond!I68</f>
        <v>150536.93339342831</v>
      </c>
      <c r="J5" s="1579">
        <f ca="1">Bond!J68</f>
        <v>151668.3559266529</v>
      </c>
      <c r="K5" s="1579">
        <f ca="1">Bond!K68</f>
        <v>0</v>
      </c>
      <c r="L5" s="1579">
        <f ca="1">Bond!L68</f>
        <v>0</v>
      </c>
      <c r="M5" s="1580">
        <f>Bond!M68</f>
        <v>0</v>
      </c>
      <c r="O5" s="1581"/>
      <c r="P5" s="1582"/>
      <c r="Q5" s="1582"/>
      <c r="R5" s="1582"/>
      <c r="S5" s="1582"/>
      <c r="T5" s="1582"/>
      <c r="U5" s="1582"/>
      <c r="V5" s="1582"/>
      <c r="W5" s="1582"/>
      <c r="X5" s="1582"/>
      <c r="Y5" s="1583"/>
    </row>
    <row r="6" spans="1:38" ht="13.5" thickBot="1">
      <c r="D6" s="1577" t="s">
        <v>417</v>
      </c>
      <c r="E6" s="1578"/>
      <c r="F6" s="310">
        <f ca="1">-Bond!F66</f>
        <v>-4458.720953172603</v>
      </c>
      <c r="G6" s="310">
        <f ca="1">-Bond!G66</f>
        <v>-7237.1645993234906</v>
      </c>
      <c r="H6" s="310">
        <f ca="1">-Bond!H66</f>
        <v>-7451.8277613297178</v>
      </c>
      <c r="I6" s="310">
        <f ca="1">-Bond!I66</f>
        <v>-7526.6321542195574</v>
      </c>
      <c r="J6" s="310">
        <f ca="1">-Bond!J66</f>
        <v>-7583.2016686012594</v>
      </c>
      <c r="K6" s="310">
        <f ca="1">-Bond!K66</f>
        <v>0</v>
      </c>
      <c r="L6" s="310">
        <f ca="1">-Bond!L66</f>
        <v>0</v>
      </c>
      <c r="M6" s="311">
        <f>-Bond!M66</f>
        <v>0</v>
      </c>
      <c r="O6" s="1581" t="s">
        <v>433</v>
      </c>
      <c r="P6" s="1582"/>
      <c r="Q6" s="1584">
        <f>Q15</f>
        <v>2023</v>
      </c>
      <c r="R6" s="1584">
        <f t="shared" ref="R6:X6" si="1">Q6+1</f>
        <v>2024</v>
      </c>
      <c r="S6" s="1584">
        <f t="shared" si="1"/>
        <v>2025</v>
      </c>
      <c r="T6" s="1584">
        <f t="shared" si="1"/>
        <v>2026</v>
      </c>
      <c r="U6" s="1584">
        <f t="shared" si="1"/>
        <v>2027</v>
      </c>
      <c r="V6" s="1584">
        <f t="shared" si="1"/>
        <v>2028</v>
      </c>
      <c r="W6" s="1584">
        <f t="shared" si="1"/>
        <v>2029</v>
      </c>
      <c r="X6" s="1584">
        <f t="shared" si="1"/>
        <v>2030</v>
      </c>
      <c r="Y6" s="1583"/>
    </row>
    <row r="7" spans="1:38" ht="13.5" thickBot="1">
      <c r="A7" s="1576" t="s">
        <v>8</v>
      </c>
      <c r="B7" s="1585">
        <f>B5</f>
        <v>4900000</v>
      </c>
      <c r="D7" s="1577" t="s">
        <v>380</v>
      </c>
      <c r="E7" s="1578"/>
      <c r="F7" s="1579">
        <f t="shared" ref="F7:L7" ca="1" si="2">Q94</f>
        <v>0</v>
      </c>
      <c r="G7" s="1579">
        <f t="shared" ca="1" si="2"/>
        <v>538.52878407817548</v>
      </c>
      <c r="H7" s="1579">
        <f ca="1">S94</f>
        <v>55252.518614431196</v>
      </c>
      <c r="I7" s="1579">
        <f ca="1">T94</f>
        <v>0</v>
      </c>
      <c r="J7" s="1579">
        <f t="shared" ca="1" si="2"/>
        <v>170325.64963733812</v>
      </c>
      <c r="K7" s="1579">
        <f t="shared" ca="1" si="2"/>
        <v>0</v>
      </c>
      <c r="L7" s="1579">
        <f t="shared" ca="1" si="2"/>
        <v>0</v>
      </c>
      <c r="M7" s="1580">
        <f ca="1">X94</f>
        <v>0</v>
      </c>
      <c r="O7" s="1586">
        <f>O16</f>
        <v>2023</v>
      </c>
      <c r="P7" s="1587">
        <f ca="1">Bond!F59+Bond!F60</f>
        <v>1077.057568156351</v>
      </c>
      <c r="Q7" s="1587">
        <f t="shared" ref="Q7:X7" ca="1" si="3">P7-(Q44+Q53)</f>
        <v>1077.057568156351</v>
      </c>
      <c r="R7" s="1587">
        <f t="shared" ca="1" si="3"/>
        <v>538.52878407817548</v>
      </c>
      <c r="S7" s="1587">
        <f t="shared" ca="1" si="3"/>
        <v>0</v>
      </c>
      <c r="T7" s="1587">
        <f t="shared" ca="1" si="3"/>
        <v>0</v>
      </c>
      <c r="U7" s="1587">
        <f t="shared" ca="1" si="3"/>
        <v>0</v>
      </c>
      <c r="V7" s="1587">
        <f t="shared" ca="1" si="3"/>
        <v>0</v>
      </c>
      <c r="W7" s="1587">
        <f t="shared" ca="1" si="3"/>
        <v>0</v>
      </c>
      <c r="X7" s="1587">
        <f t="shared" ca="1" si="3"/>
        <v>0</v>
      </c>
      <c r="Y7" s="1583"/>
    </row>
    <row r="8" spans="1:38" ht="13.5" thickBot="1">
      <c r="D8" s="1588" t="s">
        <v>29</v>
      </c>
      <c r="E8" s="1578"/>
      <c r="F8" s="307">
        <f ca="1">SUM(F5:F7)</f>
        <v>84718.239657469181</v>
      </c>
      <c r="G8" s="307">
        <f ca="1">SUM(G5:G7)</f>
        <v>138048.78147880532</v>
      </c>
      <c r="H8" s="307">
        <f t="shared" ref="H8:M8" ca="1" si="4">SUM(H5:H7)</f>
        <v>196841.49374894987</v>
      </c>
      <c r="I8" s="307">
        <f t="shared" ca="1" si="4"/>
        <v>143010.30123920875</v>
      </c>
      <c r="J8" s="307">
        <f t="shared" ca="1" si="4"/>
        <v>314410.80389538978</v>
      </c>
      <c r="K8" s="307">
        <f t="shared" ca="1" si="4"/>
        <v>0</v>
      </c>
      <c r="L8" s="307">
        <f t="shared" ca="1" si="4"/>
        <v>0</v>
      </c>
      <c r="M8" s="308">
        <f t="shared" ca="1" si="4"/>
        <v>0</v>
      </c>
      <c r="O8" s="1586">
        <f>O17</f>
        <v>2024</v>
      </c>
      <c r="P8" s="1587">
        <f ca="1">Bond!G59+Bond!G60</f>
        <v>54713.989830353021</v>
      </c>
      <c r="Q8" s="1587"/>
      <c r="R8" s="1587">
        <f ca="1">P8-(R45+R54)</f>
        <v>54713.989830353021</v>
      </c>
      <c r="S8" s="1587">
        <f t="shared" ref="S8:X8" ca="1" si="5">R8-(S45+S54)</f>
        <v>0</v>
      </c>
      <c r="T8" s="1587">
        <f t="shared" ca="1" si="5"/>
        <v>0</v>
      </c>
      <c r="U8" s="1587">
        <f t="shared" ca="1" si="5"/>
        <v>0</v>
      </c>
      <c r="V8" s="1587">
        <f t="shared" ca="1" si="5"/>
        <v>0</v>
      </c>
      <c r="W8" s="1587">
        <f t="shared" ca="1" si="5"/>
        <v>0</v>
      </c>
      <c r="X8" s="1587">
        <f t="shared" ca="1" si="5"/>
        <v>0</v>
      </c>
      <c r="Y8" s="1583"/>
    </row>
    <row r="9" spans="1:38">
      <c r="A9" s="1589" t="s">
        <v>90</v>
      </c>
      <c r="B9" s="1590">
        <v>100</v>
      </c>
      <c r="D9" s="1343"/>
      <c r="M9" s="1591"/>
      <c r="O9" s="1586">
        <f>O18</f>
        <v>2025</v>
      </c>
      <c r="P9" s="1587">
        <f ca="1">Bond!H59+Bond!H60</f>
        <v>56906.217879767493</v>
      </c>
      <c r="Q9" s="1587"/>
      <c r="R9" s="1587"/>
      <c r="S9" s="1587">
        <f ca="1">P9-(S46+S55)</f>
        <v>56906.217879767493</v>
      </c>
      <c r="T9" s="1587">
        <f ca="1">S9-(T46+T55)</f>
        <v>56906.217879767493</v>
      </c>
      <c r="U9" s="1587">
        <f ca="1">T9-(U46+U55)</f>
        <v>0</v>
      </c>
      <c r="V9" s="1587">
        <f ca="1">U9-(V46+V55)</f>
        <v>0</v>
      </c>
      <c r="W9" s="1587">
        <f ca="1">V9-(W46+W55)</f>
        <v>0</v>
      </c>
      <c r="X9" s="1587">
        <f ca="1">W9-(X46+X55)</f>
        <v>0</v>
      </c>
      <c r="Y9" s="1583"/>
    </row>
    <row r="10" spans="1:38" ht="13.5" thickBot="1">
      <c r="A10" s="1299" t="s">
        <v>420</v>
      </c>
      <c r="B10" s="1592"/>
      <c r="D10" s="1343" t="s">
        <v>383</v>
      </c>
      <c r="F10" s="310">
        <f>-B14</f>
        <v>-12000</v>
      </c>
      <c r="M10" s="1591"/>
      <c r="O10" s="1586">
        <f>O19</f>
        <v>2026</v>
      </c>
      <c r="P10" s="1587">
        <f ca="1">Bond!I59+Bond!I60</f>
        <v>56878.678272073354</v>
      </c>
      <c r="Q10" s="1587"/>
      <c r="R10" s="1587"/>
      <c r="S10" s="1587"/>
      <c r="T10" s="1587">
        <f ca="1">P10-(T47+T56)</f>
        <v>56878.678272073354</v>
      </c>
      <c r="U10" s="1587">
        <f ca="1">T10-(U47+U56)</f>
        <v>0</v>
      </c>
      <c r="V10" s="1587">
        <f ca="1">U10-(V47+V56)</f>
        <v>0</v>
      </c>
      <c r="W10" s="1587">
        <f ca="1">V10-(W47+W56)</f>
        <v>0</v>
      </c>
      <c r="X10" s="1587">
        <f ca="1">W10-(X47+X56)</f>
        <v>0</v>
      </c>
      <c r="Y10" s="1583"/>
    </row>
    <row r="11" spans="1:38" ht="14.25" thickTop="1" thickBot="1">
      <c r="A11" s="1519" t="s">
        <v>3</v>
      </c>
      <c r="B11" s="1593">
        <f>B9+B10</f>
        <v>100</v>
      </c>
      <c r="D11" s="1577" t="s">
        <v>21</v>
      </c>
      <c r="E11" s="1578"/>
      <c r="F11" s="310">
        <f>-B30</f>
        <v>-58500</v>
      </c>
      <c r="G11" s="310">
        <f>-IF($B$2&gt;=G2,$B$30,0)*(1+Opex!E28)</f>
        <v>-60547.499999999993</v>
      </c>
      <c r="H11" s="310">
        <f>-IF($B$2&gt;=H2,-G11,0)*(1+Opex!F28)</f>
        <v>-61758.45</v>
      </c>
      <c r="I11" s="310">
        <f>-IF($B$2&gt;=I2,-H11,0)*(1+Opex!G28)</f>
        <v>-62993.618999999999</v>
      </c>
      <c r="J11" s="310">
        <f>-IF($B$2&gt;=J2,-I11,0)*(1+Opex!H28)</f>
        <v>-64253.491379999999</v>
      </c>
      <c r="K11" s="310"/>
      <c r="L11" s="310">
        <f>-IF($B$2&gt;=L2,-K11,0)*(1+Opex!J28)</f>
        <v>0</v>
      </c>
      <c r="M11" s="311"/>
      <c r="O11" s="1586">
        <f>O20</f>
        <v>2027</v>
      </c>
      <c r="P11" s="1587">
        <f ca="1">Bond!J59+Bond!J60</f>
        <v>56540.753485497262</v>
      </c>
      <c r="Q11" s="1587"/>
      <c r="R11" s="1587"/>
      <c r="S11" s="1587"/>
      <c r="T11" s="1587"/>
      <c r="U11" s="1587">
        <f ca="1">P11-(U48+U57)</f>
        <v>0</v>
      </c>
      <c r="V11" s="1587">
        <f ca="1">U11-(V48+V57)</f>
        <v>0</v>
      </c>
      <c r="W11" s="1587">
        <f ca="1">V11-(W48+W57)</f>
        <v>0</v>
      </c>
      <c r="X11" s="1587">
        <f ca="1">W11-(X48+X57)</f>
        <v>0</v>
      </c>
      <c r="Y11" s="1583"/>
    </row>
    <row r="12" spans="1:38" ht="13.5" thickBot="1">
      <c r="D12" s="1343" t="s">
        <v>416</v>
      </c>
      <c r="F12" s="310">
        <f t="shared" ref="F12:L12" ca="1" si="6">-Q50</f>
        <v>0</v>
      </c>
      <c r="G12" s="310">
        <f t="shared" ca="1" si="6"/>
        <v>-424.54438407817548</v>
      </c>
      <c r="H12" s="310">
        <f ca="1">-S50</f>
        <v>-43253.672414431196</v>
      </c>
      <c r="I12" s="310">
        <f t="shared" ca="1" si="6"/>
        <v>0</v>
      </c>
      <c r="J12" s="310">
        <f t="shared" ca="1" si="6"/>
        <v>-134671.06423733811</v>
      </c>
      <c r="K12" s="310">
        <f ca="1">-V50</f>
        <v>0</v>
      </c>
      <c r="L12" s="310">
        <f t="shared" ca="1" si="6"/>
        <v>0</v>
      </c>
      <c r="M12" s="311">
        <f ca="1">-X50</f>
        <v>0</v>
      </c>
      <c r="O12" s="1586">
        <f>V6</f>
        <v>2028</v>
      </c>
      <c r="P12" s="1587">
        <f ca="1">Bond!K59+Bond!K60</f>
        <v>0</v>
      </c>
      <c r="Q12" s="1594"/>
      <c r="R12" s="1594"/>
      <c r="S12" s="1594"/>
      <c r="T12" s="1594"/>
      <c r="U12" s="1594"/>
      <c r="V12" s="1594">
        <f ca="1">P12-(V49+V58)</f>
        <v>0</v>
      </c>
      <c r="W12" s="1594">
        <f ca="1">V12-(W49+W58)</f>
        <v>0</v>
      </c>
      <c r="X12" s="1594">
        <f ca="1">W12-(X49+X58)</f>
        <v>0</v>
      </c>
      <c r="Y12" s="1583"/>
    </row>
    <row r="13" spans="1:38">
      <c r="A13" s="1340" t="s">
        <v>383</v>
      </c>
      <c r="B13" s="1595"/>
      <c r="D13" s="1299" t="s">
        <v>283</v>
      </c>
      <c r="F13" s="1579">
        <f t="shared" ref="F13:L13" si="7">-Q59</f>
        <v>0</v>
      </c>
      <c r="G13" s="1579">
        <f t="shared" si="7"/>
        <v>-113.98439999999999</v>
      </c>
      <c r="H13" s="1579">
        <f t="shared" si="7"/>
        <v>-11998.846199999998</v>
      </c>
      <c r="I13" s="1579">
        <f t="shared" si="7"/>
        <v>0</v>
      </c>
      <c r="J13" s="1579">
        <f t="shared" si="7"/>
        <v>-35654.585399999996</v>
      </c>
      <c r="K13" s="1579">
        <f t="shared" si="7"/>
        <v>0</v>
      </c>
      <c r="L13" s="1579">
        <f t="shared" si="7"/>
        <v>0</v>
      </c>
      <c r="M13" s="1580">
        <f>-X59</f>
        <v>0</v>
      </c>
      <c r="O13" s="1581"/>
      <c r="P13" s="1582"/>
      <c r="Q13" s="1596">
        <f ca="1">SUM(Q7:Q12)</f>
        <v>1077.057568156351</v>
      </c>
      <c r="R13" s="1596">
        <f t="shared" ref="R13:X13" ca="1" si="8">SUM(R7:R12)</f>
        <v>55252.518614431196</v>
      </c>
      <c r="S13" s="1596">
        <f t="shared" ca="1" si="8"/>
        <v>56906.217879767493</v>
      </c>
      <c r="T13" s="1596">
        <f t="shared" ca="1" si="8"/>
        <v>113784.89615184085</v>
      </c>
      <c r="U13" s="1596">
        <f ca="1">SUM(U7:U12)</f>
        <v>0</v>
      </c>
      <c r="V13" s="1596">
        <f ca="1">SUM(V7:V12)</f>
        <v>0</v>
      </c>
      <c r="W13" s="1596">
        <f t="shared" ca="1" si="8"/>
        <v>0</v>
      </c>
      <c r="X13" s="1596">
        <f t="shared" ca="1" si="8"/>
        <v>0</v>
      </c>
      <c r="Y13" s="1583"/>
    </row>
    <row r="14" spans="1:38" ht="13.5" thickBot="1">
      <c r="A14" s="1597" t="s">
        <v>1024</v>
      </c>
      <c r="B14" s="1598">
        <f>4*1000*3</f>
        <v>12000</v>
      </c>
      <c r="D14" s="1299" t="s">
        <v>440</v>
      </c>
      <c r="F14" s="1579">
        <f ca="1">-F7</f>
        <v>0</v>
      </c>
      <c r="G14" s="1579">
        <f ca="1">-G7</f>
        <v>-538.52878407817548</v>
      </c>
      <c r="H14" s="1579">
        <f t="shared" ref="H14:M14" ca="1" si="9">-H7</f>
        <v>-55252.518614431196</v>
      </c>
      <c r="I14" s="1579">
        <f t="shared" ca="1" si="9"/>
        <v>0</v>
      </c>
      <c r="J14" s="1579">
        <f t="shared" ca="1" si="9"/>
        <v>-170325.64963733812</v>
      </c>
      <c r="K14" s="1579">
        <f t="shared" ca="1" si="9"/>
        <v>0</v>
      </c>
      <c r="L14" s="1579">
        <f t="shared" ca="1" si="9"/>
        <v>0</v>
      </c>
      <c r="M14" s="1580">
        <f t="shared" ca="1" si="9"/>
        <v>0</v>
      </c>
      <c r="O14" s="1586"/>
      <c r="P14" s="1582"/>
      <c r="Q14" s="1582"/>
      <c r="R14" s="1582"/>
      <c r="S14" s="1582"/>
      <c r="T14" s="1582"/>
      <c r="U14" s="1582"/>
      <c r="V14" s="1582"/>
      <c r="W14" s="1582"/>
      <c r="X14" s="1582"/>
      <c r="Y14" s="1583"/>
    </row>
    <row r="15" spans="1:38">
      <c r="D15" s="1299" t="s">
        <v>439</v>
      </c>
      <c r="F15" s="654">
        <f t="shared" ref="F15:L15" ca="1" si="10">-Q96</f>
        <v>-226.18208931283368</v>
      </c>
      <c r="G15" s="654">
        <f t="shared" ca="1" si="10"/>
        <v>-11603.02890903055</v>
      </c>
      <c r="H15" s="654">
        <f t="shared" ca="1" si="10"/>
        <v>-11950.305754751173</v>
      </c>
      <c r="I15" s="654">
        <f t="shared" ca="1" si="10"/>
        <v>-23894.828191886576</v>
      </c>
      <c r="J15" s="654">
        <f t="shared" ca="1" si="10"/>
        <v>0</v>
      </c>
      <c r="K15" s="654">
        <f ca="1">-V96</f>
        <v>0</v>
      </c>
      <c r="L15" s="654">
        <f t="shared" ca="1" si="10"/>
        <v>0</v>
      </c>
      <c r="M15" s="655">
        <f ca="1">-X96</f>
        <v>0</v>
      </c>
      <c r="O15" s="1581" t="s">
        <v>306</v>
      </c>
      <c r="P15" s="1599" t="s">
        <v>307</v>
      </c>
      <c r="Q15" s="1584">
        <f>O16</f>
        <v>2023</v>
      </c>
      <c r="R15" s="1584">
        <f t="shared" ref="R15:X15" si="11">Q15+1</f>
        <v>2024</v>
      </c>
      <c r="S15" s="1584">
        <f t="shared" si="11"/>
        <v>2025</v>
      </c>
      <c r="T15" s="1584">
        <f t="shared" si="11"/>
        <v>2026</v>
      </c>
      <c r="U15" s="1584">
        <f t="shared" si="11"/>
        <v>2027</v>
      </c>
      <c r="V15" s="1584">
        <f t="shared" si="11"/>
        <v>2028</v>
      </c>
      <c r="W15" s="1584">
        <f t="shared" si="11"/>
        <v>2029</v>
      </c>
      <c r="X15" s="1584">
        <f t="shared" si="11"/>
        <v>2030</v>
      </c>
      <c r="Y15" s="1583"/>
    </row>
    <row r="16" spans="1:38" ht="13.5" thickBot="1">
      <c r="A16" s="1600" t="s">
        <v>60</v>
      </c>
      <c r="B16" s="1600"/>
      <c r="D16" s="1601" t="s">
        <v>60</v>
      </c>
      <c r="F16" s="1602">
        <f ca="1">SUM(F10:F15)</f>
        <v>-70726.182089312832</v>
      </c>
      <c r="G16" s="1602">
        <f t="shared" ref="G16:M16" ca="1" si="12">SUM(G10:G15)</f>
        <v>-73227.586477186895</v>
      </c>
      <c r="H16" s="1602">
        <f t="shared" ca="1" si="12"/>
        <v>-184213.79298361356</v>
      </c>
      <c r="I16" s="1602">
        <f t="shared" ca="1" si="12"/>
        <v>-86888.447191886575</v>
      </c>
      <c r="J16" s="1602">
        <f t="shared" ca="1" si="12"/>
        <v>-404904.79065467621</v>
      </c>
      <c r="K16" s="1602">
        <f t="shared" ca="1" si="12"/>
        <v>0</v>
      </c>
      <c r="L16" s="1602">
        <f t="shared" ca="1" si="12"/>
        <v>0</v>
      </c>
      <c r="M16" s="1603">
        <f t="shared" ca="1" si="12"/>
        <v>0</v>
      </c>
      <c r="N16" s="1604"/>
      <c r="O16" s="1586">
        <f>F3</f>
        <v>2023</v>
      </c>
      <c r="P16" s="1587">
        <f>Bond!F53</f>
        <v>344</v>
      </c>
      <c r="Q16" s="1605">
        <f>1-Investors!Q5</f>
        <v>0</v>
      </c>
      <c r="R16" s="1605">
        <f>1-Investors!R5-SUM($Q$16:Q16)</f>
        <v>0.5</v>
      </c>
      <c r="S16" s="1605">
        <v>0.5</v>
      </c>
      <c r="T16" s="1605">
        <f>1-Investors!T5-SUM($Q$16:S16)</f>
        <v>0</v>
      </c>
      <c r="U16" s="1605">
        <f>1-Investors!U5-SUM($Q$16:T16)</f>
        <v>0</v>
      </c>
      <c r="V16" s="1605">
        <f>1-Investors!V5-SUM($Q$16:U16)</f>
        <v>0</v>
      </c>
      <c r="W16" s="1606"/>
      <c r="X16" s="1606"/>
      <c r="Y16" s="1607">
        <f t="shared" ref="Y16:Y21" si="13">SUM(Q16:X16)</f>
        <v>1</v>
      </c>
      <c r="AL16" s="1579"/>
    </row>
    <row r="17" spans="1:36" ht="13.5" thickTop="1">
      <c r="A17" s="1573" t="s">
        <v>286</v>
      </c>
      <c r="B17" s="1608"/>
      <c r="D17" s="1343"/>
      <c r="F17" s="1609"/>
      <c r="G17" s="1609"/>
      <c r="H17" s="1609"/>
      <c r="I17" s="1609"/>
      <c r="J17" s="1609"/>
      <c r="K17" s="1609"/>
      <c r="L17" s="1609"/>
      <c r="M17" s="1610"/>
      <c r="N17" s="1604"/>
      <c r="O17" s="1586">
        <f>O16+1</f>
        <v>2024</v>
      </c>
      <c r="P17" s="1587">
        <f>Bond!G53</f>
        <v>17934</v>
      </c>
      <c r="Q17" s="1582"/>
      <c r="R17" s="1611">
        <f>1-Investors!R6-SUM($Q$17:Q17)</f>
        <v>0</v>
      </c>
      <c r="S17" s="1611">
        <v>1</v>
      </c>
      <c r="T17" s="1611">
        <v>0</v>
      </c>
      <c r="U17" s="1611">
        <v>0</v>
      </c>
      <c r="V17" s="1611">
        <v>0</v>
      </c>
      <c r="W17" s="1611">
        <f>1-Investors!W6-SUM($Q$17:V17)</f>
        <v>0</v>
      </c>
      <c r="X17" s="1582"/>
      <c r="Y17" s="1607">
        <f t="shared" si="13"/>
        <v>1</v>
      </c>
    </row>
    <row r="18" spans="1:36" ht="13.5" thickBot="1">
      <c r="A18" s="1612" t="s">
        <v>287</v>
      </c>
      <c r="B18" s="1613">
        <v>12000</v>
      </c>
      <c r="D18" s="1614" t="s">
        <v>10</v>
      </c>
      <c r="F18" s="1615">
        <f t="shared" ref="F18:M18" ca="1" si="14">F8+F16</f>
        <v>13992.05756815635</v>
      </c>
      <c r="G18" s="1615">
        <f t="shared" ca="1" si="14"/>
        <v>64821.195001618427</v>
      </c>
      <c r="H18" s="1615">
        <f t="shared" ca="1" si="14"/>
        <v>12627.700765336311</v>
      </c>
      <c r="I18" s="1615">
        <f t="shared" ca="1" si="14"/>
        <v>56121.85404732218</v>
      </c>
      <c r="J18" s="1615">
        <f t="shared" ca="1" si="14"/>
        <v>-90493.986759286432</v>
      </c>
      <c r="K18" s="1615">
        <f t="shared" ca="1" si="14"/>
        <v>0</v>
      </c>
      <c r="L18" s="1615">
        <f t="shared" ca="1" si="14"/>
        <v>0</v>
      </c>
      <c r="M18" s="1616">
        <f t="shared" ca="1" si="14"/>
        <v>0</v>
      </c>
      <c r="N18" s="1604"/>
      <c r="O18" s="1586">
        <f>O17+1</f>
        <v>2025</v>
      </c>
      <c r="P18" s="1587">
        <f>Bond!H53</f>
        <v>17934</v>
      </c>
      <c r="Q18" s="1582"/>
      <c r="R18" s="1582"/>
      <c r="S18" s="1611">
        <f>1-Investors!S7-SUM($Q$18:R18)</f>
        <v>0</v>
      </c>
      <c r="T18" s="1611">
        <v>0</v>
      </c>
      <c r="U18" s="1611">
        <v>1</v>
      </c>
      <c r="V18" s="1611">
        <v>0</v>
      </c>
      <c r="W18" s="1611">
        <v>0</v>
      </c>
      <c r="X18" s="1611">
        <v>0</v>
      </c>
      <c r="Y18" s="1607">
        <f t="shared" si="13"/>
        <v>1</v>
      </c>
    </row>
    <row r="19" spans="1:36" ht="13.5" thickTop="1">
      <c r="A19" s="1612" t="s">
        <v>288</v>
      </c>
      <c r="B19" s="1613">
        <v>12000</v>
      </c>
      <c r="D19" s="1614"/>
      <c r="F19" s="1609"/>
      <c r="G19" s="1609"/>
      <c r="H19" s="1609"/>
      <c r="I19" s="1609"/>
      <c r="J19" s="1609"/>
      <c r="K19" s="1609"/>
      <c r="L19" s="1609"/>
      <c r="M19" s="1610"/>
      <c r="N19" s="1604"/>
      <c r="O19" s="1586">
        <f>O18+1</f>
        <v>2026</v>
      </c>
      <c r="P19" s="1587">
        <f>Bond!I53</f>
        <v>17934</v>
      </c>
      <c r="Q19" s="1582"/>
      <c r="R19" s="1582"/>
      <c r="S19" s="1582"/>
      <c r="T19" s="1611">
        <v>0</v>
      </c>
      <c r="U19" s="1611">
        <v>1</v>
      </c>
      <c r="V19" s="1611">
        <v>0</v>
      </c>
      <c r="W19" s="1611">
        <v>0</v>
      </c>
      <c r="X19" s="1611">
        <v>0</v>
      </c>
      <c r="Y19" s="1607">
        <f t="shared" si="13"/>
        <v>1</v>
      </c>
    </row>
    <row r="20" spans="1:36">
      <c r="A20" s="1612" t="str">
        <f>A26</f>
        <v>Director's liability insurance</v>
      </c>
      <c r="B20" s="1613">
        <v>4500</v>
      </c>
      <c r="C20" s="1569"/>
      <c r="D20" s="1293" t="s">
        <v>97</v>
      </c>
      <c r="E20" s="313"/>
      <c r="F20" s="1545">
        <f t="shared" ref="F20:M20" ca="1" si="15">F86</f>
        <v>-2098.8086352234523</v>
      </c>
      <c r="G20" s="1545">
        <f t="shared" ca="1" si="15"/>
        <v>-9723.1792502427634</v>
      </c>
      <c r="H20" s="1545">
        <f t="shared" ca="1" si="15"/>
        <v>-1894.1551148004464</v>
      </c>
      <c r="I20" s="1545">
        <f t="shared" ca="1" si="15"/>
        <v>0</v>
      </c>
      <c r="J20" s="1545">
        <f t="shared" ca="1" si="15"/>
        <v>0</v>
      </c>
      <c r="K20" s="1545">
        <f t="shared" ca="1" si="15"/>
        <v>0</v>
      </c>
      <c r="L20" s="1545">
        <f t="shared" si="15"/>
        <v>0</v>
      </c>
      <c r="M20" s="1546">
        <f t="shared" si="15"/>
        <v>0</v>
      </c>
      <c r="N20" s="1604"/>
      <c r="O20" s="1586">
        <f>O19+1</f>
        <v>2027</v>
      </c>
      <c r="P20" s="1587">
        <f>Bond!J53</f>
        <v>17934</v>
      </c>
      <c r="Q20" s="1582"/>
      <c r="R20" s="1582"/>
      <c r="S20" s="1582"/>
      <c r="T20" s="1582"/>
      <c r="U20" s="1611">
        <v>1</v>
      </c>
      <c r="V20" s="1611">
        <v>0</v>
      </c>
      <c r="W20" s="1611">
        <v>0</v>
      </c>
      <c r="X20" s="1611">
        <v>0</v>
      </c>
      <c r="Y20" s="1607">
        <f t="shared" si="13"/>
        <v>1</v>
      </c>
    </row>
    <row r="21" spans="1:36" ht="13.5" thickBot="1">
      <c r="A21" s="1612" t="s">
        <v>141</v>
      </c>
      <c r="B21" s="430">
        <v>2500</v>
      </c>
      <c r="C21" s="309"/>
      <c r="D21" s="1617"/>
      <c r="E21" s="313"/>
      <c r="F21" s="1579"/>
      <c r="G21" s="1579"/>
      <c r="H21" s="1579"/>
      <c r="I21" s="1579"/>
      <c r="J21" s="1579"/>
      <c r="K21" s="1579"/>
      <c r="L21" s="1579"/>
      <c r="M21" s="1580"/>
      <c r="N21" s="1604"/>
      <c r="O21" s="1586">
        <f>O20+1</f>
        <v>2028</v>
      </c>
      <c r="P21" s="1587">
        <f>Bond!K53</f>
        <v>0</v>
      </c>
      <c r="Q21" s="1618"/>
      <c r="R21" s="1618"/>
      <c r="S21" s="1618"/>
      <c r="T21" s="1618"/>
      <c r="U21" s="1618"/>
      <c r="V21" s="1619">
        <v>0</v>
      </c>
      <c r="W21" s="1619">
        <v>0</v>
      </c>
      <c r="X21" s="1619">
        <v>0</v>
      </c>
      <c r="Y21" s="1607">
        <f t="shared" si="13"/>
        <v>0</v>
      </c>
    </row>
    <row r="22" spans="1:36" ht="14.25" thickTop="1" thickBot="1">
      <c r="A22" s="1612"/>
      <c r="B22" s="1620">
        <f>SUM(B18:B21)</f>
        <v>31000</v>
      </c>
      <c r="C22" s="309"/>
      <c r="D22" s="1614" t="s">
        <v>31</v>
      </c>
      <c r="E22" s="1621"/>
      <c r="F22" s="1615">
        <f t="shared" ref="F22:M22" ca="1" si="16">F18+F20+F21</f>
        <v>11893.248932932896</v>
      </c>
      <c r="G22" s="1615">
        <f t="shared" ca="1" si="16"/>
        <v>55098.015751375664</v>
      </c>
      <c r="H22" s="1615">
        <f t="shared" ca="1" si="16"/>
        <v>10733.545650535863</v>
      </c>
      <c r="I22" s="1615">
        <f t="shared" ca="1" si="16"/>
        <v>56121.85404732218</v>
      </c>
      <c r="J22" s="1615">
        <f t="shared" ca="1" si="16"/>
        <v>-90493.986759286432</v>
      </c>
      <c r="K22" s="1615">
        <f t="shared" ca="1" si="16"/>
        <v>0</v>
      </c>
      <c r="L22" s="1615">
        <f t="shared" ca="1" si="16"/>
        <v>0</v>
      </c>
      <c r="M22" s="1616">
        <f t="shared" ca="1" si="16"/>
        <v>0</v>
      </c>
      <c r="N22" s="1604"/>
      <c r="O22" s="1612"/>
      <c r="P22" s="1582"/>
      <c r="Q22" s="1582"/>
      <c r="R22" s="1582"/>
      <c r="S22" s="1582"/>
      <c r="T22" s="1582"/>
      <c r="U22" s="1582"/>
      <c r="V22" s="1582"/>
      <c r="W22" s="1582"/>
      <c r="X22" s="1582"/>
      <c r="Y22" s="1583"/>
    </row>
    <row r="23" spans="1:36" ht="13.5" thickTop="1">
      <c r="A23" s="1581" t="s">
        <v>289</v>
      </c>
      <c r="B23" s="1622"/>
      <c r="D23" s="1614"/>
      <c r="E23" s="1621"/>
      <c r="F23" s="1609"/>
      <c r="G23" s="1609"/>
      <c r="H23" s="1609"/>
      <c r="I23" s="1609"/>
      <c r="J23" s="1609"/>
      <c r="K23" s="1609"/>
      <c r="L23" s="1609"/>
      <c r="M23" s="1610"/>
      <c r="N23" s="1604"/>
      <c r="O23" s="1581" t="s">
        <v>435</v>
      </c>
      <c r="P23" s="1599"/>
      <c r="Q23" s="1584">
        <f>Q15</f>
        <v>2023</v>
      </c>
      <c r="R23" s="1584">
        <f t="shared" ref="R23:X23" si="17">Q23+1</f>
        <v>2024</v>
      </c>
      <c r="S23" s="1584">
        <f t="shared" si="17"/>
        <v>2025</v>
      </c>
      <c r="T23" s="1584">
        <f t="shared" si="17"/>
        <v>2026</v>
      </c>
      <c r="U23" s="1584">
        <f t="shared" si="17"/>
        <v>2027</v>
      </c>
      <c r="V23" s="1584">
        <f t="shared" si="17"/>
        <v>2028</v>
      </c>
      <c r="W23" s="1584">
        <f t="shared" si="17"/>
        <v>2029</v>
      </c>
      <c r="X23" s="1584">
        <f t="shared" si="17"/>
        <v>2030</v>
      </c>
      <c r="Y23" s="1583"/>
    </row>
    <row r="24" spans="1:36">
      <c r="A24" s="1612" t="s">
        <v>287</v>
      </c>
      <c r="B24" s="1613">
        <v>12000</v>
      </c>
      <c r="D24" s="1623" t="str">
        <f>D14</f>
        <v>Voucher costs (redeemed)</v>
      </c>
      <c r="E24" s="1579"/>
      <c r="F24" s="1579">
        <f t="shared" ref="F24:M24" ca="1" si="18">-F14</f>
        <v>0</v>
      </c>
      <c r="G24" s="1579">
        <f t="shared" ca="1" si="18"/>
        <v>538.52878407817548</v>
      </c>
      <c r="H24" s="1579">
        <f t="shared" ca="1" si="18"/>
        <v>55252.518614431196</v>
      </c>
      <c r="I24" s="1579">
        <f t="shared" ca="1" si="18"/>
        <v>0</v>
      </c>
      <c r="J24" s="1579">
        <f t="shared" ca="1" si="18"/>
        <v>170325.64963733812</v>
      </c>
      <c r="K24" s="1579">
        <f t="shared" ca="1" si="18"/>
        <v>0</v>
      </c>
      <c r="L24" s="1579">
        <f t="shared" ca="1" si="18"/>
        <v>0</v>
      </c>
      <c r="M24" s="1580">
        <f t="shared" ca="1" si="18"/>
        <v>0</v>
      </c>
      <c r="O24" s="1586">
        <f t="shared" ref="O24:O29" si="19">O16</f>
        <v>2023</v>
      </c>
      <c r="P24" s="1587"/>
      <c r="Q24" s="1624">
        <f>IF(ROUND(Q16*$P16,0)+SUM(P24:$P24)&gt;$P16,$P16-SUM(P24:$P24),ROUND(Q16*$P16,0))</f>
        <v>0</v>
      </c>
      <c r="R24" s="1624">
        <f>IF(ROUND(R16*$P16,0)+SUM($P24:Q24)&gt;$P16,$P16-SUM($P24:Q24),ROUND(R16*$P16,0))</f>
        <v>172</v>
      </c>
      <c r="S24" s="1624">
        <f>IF(ROUND(S16*$P16,0)+SUM($P24:R24)&gt;$P16,$P16-SUM($P24:R24),ROUND(S16*$P16,0))</f>
        <v>172</v>
      </c>
      <c r="T24" s="1624">
        <f>IF(ROUND(T16*$P16,0)+SUM($P24:S24)&gt;$P16,$P16-SUM($P24:S24),ROUND(T16*$P16,0))</f>
        <v>0</v>
      </c>
      <c r="U24" s="1624">
        <f>IF(ROUND(U16*$P16,0)+SUM($P24:T24)&gt;$P16,$P16-SUM($P24:T24),ROUND(U16*$P16,0))</f>
        <v>0</v>
      </c>
      <c r="V24" s="1624">
        <f>IF(SUM($Q$16:V16)=100%,P16-SUM($P$24:U24),IF(ROUND(V16*$P16,0)+SUM($P24:U24)&gt;$P16,$P16-SUM($P24:U24),ROUND(V16*$P16,0)))</f>
        <v>0</v>
      </c>
      <c r="W24" s="1625">
        <f>IF(IF(ROUND(W16*$P16,0)+SUM($P24:V24)&gt;$P16,$P16-SUM($P24:V24),ROUND(W16*$P16,0))&lt;P16,P16-SUM($P24:V24),IF(ROUND(W16*$P16,0)+SUM($P24:V24)&gt;$P16,$P16-SUM($P24:V24),ROUND(W16*$P16,0)))</f>
        <v>0</v>
      </c>
      <c r="X24" s="1626"/>
      <c r="Y24" s="1627">
        <f t="shared" ref="Y24:Y29" si="20">SUM(Q24:X24)</f>
        <v>344</v>
      </c>
    </row>
    <row r="25" spans="1:36">
      <c r="A25" s="1612" t="s">
        <v>141</v>
      </c>
      <c r="B25" s="1613">
        <v>7500</v>
      </c>
      <c r="D25" s="1623" t="str">
        <f>D7</f>
        <v>Sale wines</v>
      </c>
      <c r="E25" s="1621"/>
      <c r="F25" s="1579">
        <f t="shared" ref="F25:M25" ca="1" si="21">-F7</f>
        <v>0</v>
      </c>
      <c r="G25" s="1579">
        <f t="shared" ca="1" si="21"/>
        <v>-538.52878407817548</v>
      </c>
      <c r="H25" s="1579">
        <f t="shared" ca="1" si="21"/>
        <v>-55252.518614431196</v>
      </c>
      <c r="I25" s="1579">
        <f t="shared" ca="1" si="21"/>
        <v>0</v>
      </c>
      <c r="J25" s="1579">
        <f t="shared" ca="1" si="21"/>
        <v>-170325.64963733812</v>
      </c>
      <c r="K25" s="1579">
        <f t="shared" ca="1" si="21"/>
        <v>0</v>
      </c>
      <c r="L25" s="1579">
        <f t="shared" ca="1" si="21"/>
        <v>0</v>
      </c>
      <c r="M25" s="1580">
        <f t="shared" ca="1" si="21"/>
        <v>0</v>
      </c>
      <c r="O25" s="1586">
        <f t="shared" si="19"/>
        <v>2024</v>
      </c>
      <c r="P25" s="1587"/>
      <c r="Q25" s="1587"/>
      <c r="R25" s="1625">
        <f>IF(ROUND(R17*$P17,0)+SUM($P25:Q25)&gt;$P17,$P17-SUM($P25:Q25),ROUND(R17*$P17,0))</f>
        <v>0</v>
      </c>
      <c r="S25" s="1625">
        <f>IF(ROUND(S17*$P17,0)+SUM($P25:R25)&gt;$P17,$P17-SUM($P25:R25),ROUND(S17*$P17,0))</f>
        <v>17934</v>
      </c>
      <c r="T25" s="1625">
        <f>IF(ROUND(T17*$P17,0)+SUM($P25:S25)&gt;$P17,$P17-SUM($P25:S25),ROUND(T17*$P17,0))</f>
        <v>0</v>
      </c>
      <c r="U25" s="1625">
        <f>IF(ROUND(U17*$P17,0)+SUM($P25:T25)&gt;$P17,$P17-SUM($P25:T25),ROUND(U17*$P17,0))</f>
        <v>0</v>
      </c>
      <c r="V25" s="1625">
        <f>IF(IF(ROUND(V17*$P17,0)+SUM($P25:U25)&gt;$P17,$P17-SUM($P25:U25),ROUND(V17*$P17,0))&lt;P17,P17-SUM($P25:U25),IF(ROUND(V17*$P17,0)+SUM($P25:U25)&gt;$P17,$P17-SUM($P25:U25),ROUND(V17*$P17,0)))</f>
        <v>0</v>
      </c>
      <c r="W25" s="1625">
        <f>IF(IF(ROUND(W17*$P17,0)+SUM($P25:V25)&gt;$P17,$P17-SUM($P25:V25),ROUND(W17*$P17,0))&lt;P17,P17-SUM($P25:V25),IF(ROUND(W17*$P17,0)+SUM($P25:V25)&gt;$P17,$P17-SUM($P25:V25),ROUND(W17*$P17,0)))</f>
        <v>0</v>
      </c>
      <c r="X25" s="1587"/>
      <c r="Y25" s="1627">
        <f t="shared" si="20"/>
        <v>17934</v>
      </c>
      <c r="AJ25" s="1579"/>
    </row>
    <row r="26" spans="1:36">
      <c r="A26" s="1612" t="s">
        <v>1038</v>
      </c>
      <c r="B26" s="1613">
        <v>4500</v>
      </c>
      <c r="D26" s="1343" t="s">
        <v>436</v>
      </c>
      <c r="F26" s="1579">
        <f>-(Bond!F17+Bond!F19+Bond!F21+Bond!F18+Bond!F25+Bond!F26+Bond!F28)*$B$32</f>
        <v>-12915</v>
      </c>
      <c r="G26" s="1579">
        <f>-(G10+Bond!G19+Bond!G21+Bond!G18+Bond!G25+Bond!G26+Bond!G28)*$B$32</f>
        <v>-10758.824999999999</v>
      </c>
      <c r="H26" s="1579">
        <f>-(H10+Bond!H19+Bond!H21+Bond!H18+Bond!H25+Bond!H26+Bond!H28)*$B$32</f>
        <v>-10974.001499999998</v>
      </c>
      <c r="I26" s="1579">
        <f>-(I10+Bond!I19+Bond!I21+Bond!I18+Bond!I25+Bond!I26+Bond!I28)*$B$32</f>
        <v>-11193.481529999997</v>
      </c>
      <c r="J26" s="1579">
        <f>-(J10+Bond!J19+Bond!J21+Bond!J18+Bond!J25+Bond!J26+Bond!J28)*$B$32</f>
        <v>-11417.351160599999</v>
      </c>
      <c r="K26" s="1579">
        <f>-(K10+Bond!K19+Bond!K21+Bond!K18+Bond!K25+Bond!K26+Bond!K28)*$B$32</f>
        <v>0</v>
      </c>
      <c r="L26" s="1579">
        <f>-(L10+Bond!L19+Bond!L21+Bond!L18+Bond!L25+Bond!L26+Bond!L28)*$B$32</f>
        <v>0</v>
      </c>
      <c r="M26" s="1580">
        <f>-(M10+Bond!M19+Bond!M21+Bond!M18+Bond!M25+Bond!M26+Bond!M28)*$B$32</f>
        <v>0</v>
      </c>
      <c r="O26" s="1586">
        <f t="shared" si="19"/>
        <v>2025</v>
      </c>
      <c r="P26" s="1587"/>
      <c r="Q26" s="1587"/>
      <c r="R26" s="1587"/>
      <c r="S26" s="1625">
        <f>IF(ROUND(S18*$P18,0)+SUM($P26:R26)&gt;$P18,$P18-SUM($P26:R26),ROUND(S18*$P18,0))</f>
        <v>0</v>
      </c>
      <c r="T26" s="1625">
        <f>IF(ROUND(T18*$P18,0)+SUM($P26:S26)&gt;$P18,$P18-SUM($P26:S26),ROUND(T18*$P18,0))</f>
        <v>0</v>
      </c>
      <c r="U26" s="1625">
        <f>IF(ROUND(U18*$P18,0)+SUM($P26:T26)&gt;$P18,$P18-SUM($P26:T26),ROUND(U18*$P18,0))</f>
        <v>17934</v>
      </c>
      <c r="V26" s="1625">
        <f>IF(ROUND(V18*$P18,0)+SUM($P26:U26)&gt;$P18,$P18-SUM($P26:U26),ROUND(V18*$P18,0))</f>
        <v>0</v>
      </c>
      <c r="W26" s="1625">
        <f>IF(IF(ROUND(W18*$P18,0)+SUM($P26:V26)&gt;$P18,$P18-SUM($P26:V26),ROUND(W18*$P18,0))&lt;P18,P18-SUM($P26:V26),IF(ROUND(W18*$P18,0)+SUM($P26:V26)&gt;$P18,$P18-SUM($P26:V26),ROUND(W18*$P18,0)))</f>
        <v>0</v>
      </c>
      <c r="X26" s="1625">
        <f>IF(IF(ROUND(X18*$P18,0)+SUM($P26:W26)&gt;$P18,$P18-SUM($P26:W26),ROUND(X18*$P18,0))&lt;Q18,Q18-SUM($P26:W26),IF(ROUND(X18*$P18,0)+SUM($P26:W26)&gt;$P18,$P18-SUM($P26:W26),ROUND(X18*$P18,0)))</f>
        <v>0</v>
      </c>
      <c r="Y26" s="1627">
        <f t="shared" si="20"/>
        <v>17934</v>
      </c>
      <c r="AJ26" s="1579"/>
    </row>
    <row r="27" spans="1:36" ht="13.5" thickBot="1">
      <c r="A27" s="1612" t="s">
        <v>140</v>
      </c>
      <c r="B27" s="430">
        <v>3500</v>
      </c>
      <c r="D27" s="1299" t="s">
        <v>265</v>
      </c>
      <c r="E27" s="1354"/>
      <c r="F27" s="1579">
        <f>-F26</f>
        <v>12915</v>
      </c>
      <c r="G27" s="1579">
        <f t="shared" ref="G27:M27" si="22">-G26</f>
        <v>10758.824999999999</v>
      </c>
      <c r="H27" s="1579">
        <f>-H26</f>
        <v>10974.001499999998</v>
      </c>
      <c r="I27" s="1579">
        <f t="shared" si="22"/>
        <v>11193.481529999997</v>
      </c>
      <c r="J27" s="1579">
        <f t="shared" si="22"/>
        <v>11417.351160599999</v>
      </c>
      <c r="K27" s="1579">
        <f t="shared" si="22"/>
        <v>0</v>
      </c>
      <c r="L27" s="1579">
        <f t="shared" si="22"/>
        <v>0</v>
      </c>
      <c r="M27" s="1580">
        <f t="shared" si="22"/>
        <v>0</v>
      </c>
      <c r="O27" s="1586">
        <f t="shared" si="19"/>
        <v>2026</v>
      </c>
      <c r="P27" s="1587"/>
      <c r="Q27" s="1587"/>
      <c r="R27" s="1587"/>
      <c r="S27" s="1587"/>
      <c r="T27" s="1625">
        <f>IF(ROUND(T19*$P19,0)+SUM($P27:S27)&gt;$P19,$P19-SUM($P27:S27),ROUND(T19*$P19,0))</f>
        <v>0</v>
      </c>
      <c r="U27" s="1625">
        <f>IF(ROUND(U19*$P19,0)+SUM($P27:T27)&gt;$P19,$P19-SUM($P27:T27),ROUND(U19*$P19,0))</f>
        <v>17934</v>
      </c>
      <c r="V27" s="1625">
        <f>IF(ROUND(V19*$P19,0)+SUM($P27:U27)&gt;$P19,$P19-SUM($P27:U27),ROUND(V19*$P19,0))</f>
        <v>0</v>
      </c>
      <c r="W27" s="1625">
        <f>IF(IF(ROUND(W19*$P19,0)+SUM($P27:V27)&gt;$P19,$P19-SUM($P27:V27),ROUND(W19*$P19,0))&lt;P19,P19-SUM($P27:V27),IF(ROUND(W19*$P19,0)+SUM($P27:V27)&gt;$P19,$P19-SUM($P27:V27),ROUND(W19*$P19,0)))</f>
        <v>0</v>
      </c>
      <c r="X27" s="1625">
        <f>IF(IF(ROUND(X19*$P19,0)+SUM($P27:W27)&gt;$P19,$P19-SUM($P27:W27),ROUND(X19*$P19,0))&lt;P19,P19-SUM($P27:W27),IF(ROUND(X19*$P19,0)+SUM($P27:W27)&gt;$P19,$P19-SUM($P27:W27),ROUND(X19*$P19,0)))</f>
        <v>0</v>
      </c>
      <c r="Y27" s="1627">
        <f t="shared" si="20"/>
        <v>17934</v>
      </c>
      <c r="AJ27" s="1579"/>
    </row>
    <row r="28" spans="1:36" ht="14.25" thickTop="1" thickBot="1">
      <c r="A28" s="1612"/>
      <c r="B28" s="1628">
        <f>SUM(B24:B27)</f>
        <v>27500</v>
      </c>
      <c r="D28" s="1293" t="s">
        <v>40</v>
      </c>
      <c r="E28" s="1354"/>
      <c r="F28" s="1615">
        <f ca="1">SUM(F24:F27)</f>
        <v>0</v>
      </c>
      <c r="G28" s="1615">
        <f ca="1">SUM(G24:G27)</f>
        <v>0</v>
      </c>
      <c r="H28" s="1615">
        <f t="shared" ref="H28:M28" ca="1" si="23">SUM(H24:H27)</f>
        <v>0</v>
      </c>
      <c r="I28" s="1615">
        <f t="shared" ca="1" si="23"/>
        <v>0</v>
      </c>
      <c r="J28" s="1615">
        <f t="shared" ca="1" si="23"/>
        <v>0</v>
      </c>
      <c r="K28" s="1615">
        <f t="shared" ca="1" si="23"/>
        <v>0</v>
      </c>
      <c r="L28" s="1615">
        <f t="shared" ca="1" si="23"/>
        <v>0</v>
      </c>
      <c r="M28" s="1616">
        <f t="shared" ca="1" si="23"/>
        <v>0</v>
      </c>
      <c r="O28" s="1586">
        <f t="shared" si="19"/>
        <v>2027</v>
      </c>
      <c r="P28" s="1587"/>
      <c r="Q28" s="1587"/>
      <c r="R28" s="1587"/>
      <c r="S28" s="1587"/>
      <c r="T28" s="1587"/>
      <c r="U28" s="1625">
        <f>IF(ROUND(U20*$P20,0)+SUM($P28:T28)&gt;$P20,$P20-SUM($P28:T28),ROUND(U20*$P20,0))</f>
        <v>17934</v>
      </c>
      <c r="V28" s="1625">
        <f>IF(ROUND(V20*$P20,0)+SUM($P28:U28)&gt;$P20,$P20-SUM($P28:U28),ROUND(V20*$P20,0))</f>
        <v>0</v>
      </c>
      <c r="W28" s="1625">
        <f>IF(IF(ROUND(W20*$P20,0)+SUM($P28:V28)&gt;$P20,$P20-SUM($P28:V28),ROUND(W20*$P20,0))&lt;P20,P20-SUM($P28:V28),IF(ROUND(W20*$P20,0)+SUM($P28:V28)&gt;$P20,$P20-SUM($P28:V28),ROUND(W20*$P20,0)))</f>
        <v>0</v>
      </c>
      <c r="X28" s="1625">
        <f>IF(ROUND(X20*$P20,0)+SUM($P28:W28)&gt;$P20,$P20-SUM($P28:W28),ROUND(X20*$P20,0))</f>
        <v>0</v>
      </c>
      <c r="Y28" s="1627">
        <f t="shared" si="20"/>
        <v>17934</v>
      </c>
      <c r="AJ28" s="1579"/>
    </row>
    <row r="29" spans="1:36" ht="13.5" thickTop="1">
      <c r="A29" s="1612"/>
      <c r="B29" s="1622"/>
      <c r="D29" s="1343"/>
      <c r="M29" s="1591"/>
      <c r="O29" s="1586">
        <f t="shared" si="19"/>
        <v>2028</v>
      </c>
      <c r="P29" s="1587"/>
      <c r="Q29" s="1594"/>
      <c r="R29" s="1594"/>
      <c r="S29" s="1594"/>
      <c r="T29" s="1594"/>
      <c r="U29" s="1594"/>
      <c r="V29" s="1629">
        <f>IF(ROUND(V21*$P21,0)+SUM($P29:U29)&gt;$P21,$P21-SUM($P29:U29),ROUND(V21*$P21,0))</f>
        <v>0</v>
      </c>
      <c r="W29" s="1629">
        <f>IF(IF(ROUND(W21*$P21,0)+SUM($P29:V29)&gt;$P21,$P21-SUM($P29:V29),ROUND(W21*$P21,0))&lt;P21,P21-SUM($P29:V29),IF(ROUND(W21*$P21,0)+SUM($P29:V29)&gt;$P21,$P21-SUM($P29:V29),ROUND(W21*$P21,0)))</f>
        <v>0</v>
      </c>
      <c r="X29" s="1629">
        <f>IF(ROUND(X21*$P21,0)+SUM($P29:W29)&gt;$P21,$P21-SUM($P29:W29),ROUND(X21*$P21,0))</f>
        <v>0</v>
      </c>
      <c r="Y29" s="1630">
        <f t="shared" si="20"/>
        <v>0</v>
      </c>
      <c r="AJ29" s="1579"/>
    </row>
    <row r="30" spans="1:36" ht="13.5" thickBot="1">
      <c r="A30" s="1631" t="s">
        <v>87</v>
      </c>
      <c r="B30" s="1632">
        <f>B22+B28</f>
        <v>58500</v>
      </c>
      <c r="D30" s="1601" t="s">
        <v>418</v>
      </c>
      <c r="F30" s="1579"/>
      <c r="G30" s="1579"/>
      <c r="H30" s="1579"/>
      <c r="I30" s="1579"/>
      <c r="J30" s="1579"/>
      <c r="K30" s="1579"/>
      <c r="L30" s="1579"/>
      <c r="M30" s="1580"/>
      <c r="O30" s="1612"/>
      <c r="P30" s="1582"/>
      <c r="Q30" s="1596">
        <f>SUM(Q24:Q29)</f>
        <v>0</v>
      </c>
      <c r="R30" s="1596">
        <f t="shared" ref="R30:X30" si="24">SUM(R24:R29)</f>
        <v>172</v>
      </c>
      <c r="S30" s="1596">
        <f t="shared" si="24"/>
        <v>18106</v>
      </c>
      <c r="T30" s="1596">
        <f t="shared" si="24"/>
        <v>0</v>
      </c>
      <c r="U30" s="1596">
        <f t="shared" si="24"/>
        <v>53802</v>
      </c>
      <c r="V30" s="1596">
        <f t="shared" si="24"/>
        <v>0</v>
      </c>
      <c r="W30" s="1596">
        <f t="shared" si="24"/>
        <v>0</v>
      </c>
      <c r="X30" s="1596">
        <f t="shared" si="24"/>
        <v>0</v>
      </c>
      <c r="Y30" s="1627">
        <f>SUM(Y24:Y29)</f>
        <v>72080</v>
      </c>
      <c r="AJ30" s="1579"/>
    </row>
    <row r="31" spans="1:36" ht="13.5" thickBot="1">
      <c r="D31" s="1343" t="s">
        <v>33</v>
      </c>
      <c r="F31" s="1579"/>
      <c r="G31" s="1579"/>
      <c r="H31" s="1579"/>
      <c r="I31" s="1579"/>
      <c r="J31" s="1579"/>
      <c r="K31" s="1579"/>
      <c r="L31" s="1579"/>
      <c r="M31" s="1580"/>
      <c r="O31" s="1612"/>
      <c r="P31" s="1582"/>
      <c r="Q31" s="1596"/>
      <c r="R31" s="1596"/>
      <c r="S31" s="1596"/>
      <c r="T31" s="1596"/>
      <c r="U31" s="1596"/>
      <c r="V31" s="1596"/>
      <c r="W31" s="1596"/>
      <c r="X31" s="1596"/>
      <c r="Y31" s="1627"/>
      <c r="AJ31" s="1579"/>
    </row>
    <row r="32" spans="1:36" ht="13.5" thickBot="1">
      <c r="A32" s="1576" t="s">
        <v>421</v>
      </c>
      <c r="B32" s="1633">
        <v>0.21</v>
      </c>
      <c r="D32" s="1343" t="s">
        <v>384</v>
      </c>
      <c r="F32" s="1579">
        <f>-Bond!F38</f>
        <v>0</v>
      </c>
      <c r="G32" s="1579">
        <f>-Bond!G38</f>
        <v>0</v>
      </c>
      <c r="H32" s="1579">
        <f>-Bond!H38</f>
        <v>0</v>
      </c>
      <c r="I32" s="1579">
        <f>-Bond!I38</f>
        <v>0</v>
      </c>
      <c r="J32" s="1579">
        <f>-Bond!J38</f>
        <v>0</v>
      </c>
      <c r="K32" s="1579">
        <f>-Bond!K38</f>
        <v>0</v>
      </c>
      <c r="L32" s="1579">
        <f>-Bond!L38</f>
        <v>0</v>
      </c>
      <c r="M32" s="1580">
        <f>-Bond!M38</f>
        <v>0</v>
      </c>
      <c r="O32" s="1581" t="s">
        <v>976</v>
      </c>
      <c r="P32" s="1582"/>
      <c r="Q32" s="1634">
        <f>Q23</f>
        <v>2023</v>
      </c>
      <c r="R32" s="1634">
        <f t="shared" ref="R32:X32" si="25">Q32+1</f>
        <v>2024</v>
      </c>
      <c r="S32" s="1634">
        <f t="shared" si="25"/>
        <v>2025</v>
      </c>
      <c r="T32" s="1634">
        <f t="shared" si="25"/>
        <v>2026</v>
      </c>
      <c r="U32" s="1634">
        <f t="shared" si="25"/>
        <v>2027</v>
      </c>
      <c r="V32" s="1634">
        <f t="shared" si="25"/>
        <v>2028</v>
      </c>
      <c r="W32" s="1634">
        <f t="shared" si="25"/>
        <v>2029</v>
      </c>
      <c r="X32" s="1634">
        <f t="shared" si="25"/>
        <v>2030</v>
      </c>
      <c r="Y32" s="1583"/>
      <c r="AJ32" s="1579"/>
    </row>
    <row r="33" spans="1:26" ht="13.5" thickBot="1">
      <c r="D33" s="1299" t="s">
        <v>16</v>
      </c>
      <c r="E33" s="1354"/>
      <c r="F33" s="1579">
        <f>Bond!F6+Bond!F8</f>
        <v>0</v>
      </c>
      <c r="G33" s="1579">
        <f>Bond!G6+Bond!G8</f>
        <v>0</v>
      </c>
      <c r="H33" s="1579">
        <f>Bond!H6+Bond!H8</f>
        <v>0</v>
      </c>
      <c r="I33" s="1579">
        <f>Bond!I6+Bond!I8</f>
        <v>0</v>
      </c>
      <c r="J33" s="1579">
        <f>Bond!J6+Bond!J8</f>
        <v>-4900000</v>
      </c>
      <c r="K33" s="1579">
        <f>Bond!K6+Bond!K8</f>
        <v>0</v>
      </c>
      <c r="L33" s="1579">
        <f>Bond!L6+Bond!L8</f>
        <v>0</v>
      </c>
      <c r="M33" s="1580">
        <f>Bond!M6+Bond!M8</f>
        <v>0</v>
      </c>
      <c r="O33" s="1577">
        <f>Sale!Q122</f>
        <v>2018</v>
      </c>
      <c r="Q33" s="2">
        <f>Sale!S122</f>
        <v>344</v>
      </c>
      <c r="R33" s="2">
        <f>Sale!T122</f>
        <v>13858.666666666657</v>
      </c>
      <c r="S33" s="2">
        <f>Sale!U122</f>
        <v>0</v>
      </c>
      <c r="T33" s="2">
        <f>Sale!V122</f>
        <v>0</v>
      </c>
      <c r="U33" s="2">
        <f>Sale!W122</f>
        <v>0</v>
      </c>
      <c r="V33" s="2">
        <f>Sale!X122</f>
        <v>0</v>
      </c>
      <c r="W33" s="2">
        <f>Sale!Y122</f>
        <v>0</v>
      </c>
      <c r="X33" s="2"/>
      <c r="Y33" s="1635">
        <f>SUM(Q33:X33)</f>
        <v>14202.666666666657</v>
      </c>
    </row>
    <row r="34" spans="1:26">
      <c r="A34" s="1340" t="s">
        <v>105</v>
      </c>
      <c r="B34" s="1636" t="s">
        <v>424</v>
      </c>
      <c r="D34" s="1343" t="s">
        <v>419</v>
      </c>
      <c r="F34" s="1545">
        <f>B5</f>
        <v>4900000</v>
      </c>
      <c r="G34" s="1545"/>
      <c r="H34" s="1545"/>
      <c r="I34" s="1545"/>
      <c r="J34" s="1545"/>
      <c r="K34" s="1545"/>
      <c r="L34" s="1545"/>
      <c r="M34" s="1546"/>
      <c r="O34" s="1577">
        <f>Sale!Q123</f>
        <v>2019</v>
      </c>
      <c r="Q34" s="2">
        <f>Sale!S123</f>
        <v>0</v>
      </c>
      <c r="R34" s="2">
        <f>Sale!T123</f>
        <v>0</v>
      </c>
      <c r="S34" s="2">
        <f>Sale!U123</f>
        <v>0</v>
      </c>
      <c r="T34" s="2">
        <f>Sale!V123</f>
        <v>0</v>
      </c>
      <c r="U34" s="2">
        <f>Sale!W123</f>
        <v>0</v>
      </c>
      <c r="V34" s="2">
        <f>Sale!X123</f>
        <v>0</v>
      </c>
      <c r="W34" s="2">
        <f>Sale!Y123</f>
        <v>0</v>
      </c>
      <c r="X34" s="2"/>
      <c r="Y34" s="1635">
        <f>SUM(Q34:X34)</f>
        <v>0</v>
      </c>
    </row>
    <row r="35" spans="1:26" ht="13.5" thickBot="1">
      <c r="A35" s="1343" t="s">
        <v>422</v>
      </c>
      <c r="B35" s="1637" t="s">
        <v>621</v>
      </c>
      <c r="D35" s="1343"/>
      <c r="F35" s="1602">
        <f t="shared" ref="F35:M35" si="26">IF($B$2&gt;=F2,F31+F33+F34+F32,0)</f>
        <v>4900000</v>
      </c>
      <c r="G35" s="1602">
        <f t="shared" si="26"/>
        <v>0</v>
      </c>
      <c r="H35" s="1602">
        <f t="shared" si="26"/>
        <v>0</v>
      </c>
      <c r="I35" s="1602">
        <f t="shared" si="26"/>
        <v>0</v>
      </c>
      <c r="J35" s="1602">
        <f t="shared" si="26"/>
        <v>-4900000</v>
      </c>
      <c r="K35" s="1602">
        <f t="shared" si="26"/>
        <v>0</v>
      </c>
      <c r="L35" s="1602">
        <f t="shared" si="26"/>
        <v>0</v>
      </c>
      <c r="M35" s="1603">
        <f t="shared" si="26"/>
        <v>0</v>
      </c>
      <c r="O35" s="1577">
        <f>Sale!Q124</f>
        <v>2020</v>
      </c>
      <c r="Q35" s="107">
        <f>Sale!S124</f>
        <v>0</v>
      </c>
      <c r="R35" s="107">
        <f>Sale!T124</f>
        <v>0</v>
      </c>
      <c r="S35" s="107">
        <f>Sale!U124</f>
        <v>0</v>
      </c>
      <c r="T35" s="107">
        <f>Sale!V124</f>
        <v>0</v>
      </c>
      <c r="U35" s="107">
        <f>Sale!W124</f>
        <v>0</v>
      </c>
      <c r="V35" s="107">
        <f>Sale!X124</f>
        <v>0</v>
      </c>
      <c r="W35" s="107">
        <f>Sale!Y124</f>
        <v>0</v>
      </c>
      <c r="X35" s="107"/>
      <c r="Y35" s="2843">
        <f>SUM(Q35:X35)</f>
        <v>0</v>
      </c>
    </row>
    <row r="36" spans="1:26" ht="13.5" thickTop="1">
      <c r="A36" s="1343" t="s">
        <v>425</v>
      </c>
      <c r="B36" s="1637" t="s">
        <v>423</v>
      </c>
      <c r="D36" s="1343"/>
      <c r="F36" s="1579"/>
      <c r="G36" s="1579"/>
      <c r="H36" s="1579"/>
      <c r="I36" s="1579"/>
      <c r="J36" s="1579"/>
      <c r="K36" s="1579"/>
      <c r="L36" s="1579"/>
      <c r="M36" s="1580"/>
      <c r="O36" s="1577"/>
      <c r="Q36" s="1609">
        <f t="shared" ref="Q36:Y36" si="27">SUM(Q33:Q35)</f>
        <v>344</v>
      </c>
      <c r="R36" s="1609">
        <f t="shared" si="27"/>
        <v>13858.666666666657</v>
      </c>
      <c r="S36" s="1609">
        <f t="shared" si="27"/>
        <v>0</v>
      </c>
      <c r="T36" s="1609">
        <f t="shared" si="27"/>
        <v>0</v>
      </c>
      <c r="U36" s="1609">
        <f t="shared" si="27"/>
        <v>0</v>
      </c>
      <c r="V36" s="1609">
        <f t="shared" si="27"/>
        <v>0</v>
      </c>
      <c r="W36" s="1609">
        <f t="shared" si="27"/>
        <v>0</v>
      </c>
      <c r="X36" s="1609">
        <f t="shared" si="27"/>
        <v>0</v>
      </c>
      <c r="Y36" s="1635">
        <f t="shared" si="27"/>
        <v>14202.666666666657</v>
      </c>
    </row>
    <row r="37" spans="1:26" ht="13.5" thickBot="1">
      <c r="A37" s="1597" t="s">
        <v>426</v>
      </c>
      <c r="B37" s="1638" t="s">
        <v>427</v>
      </c>
      <c r="D37" s="1601" t="s">
        <v>385</v>
      </c>
      <c r="F37" s="1579"/>
      <c r="G37" s="1579"/>
      <c r="H37" s="1579"/>
      <c r="I37" s="1579"/>
      <c r="J37" s="1579"/>
      <c r="K37" s="1579"/>
      <c r="L37" s="1579"/>
      <c r="M37" s="1580"/>
      <c r="O37" s="1577"/>
      <c r="Y37" s="1583"/>
      <c r="Z37" s="1639"/>
    </row>
    <row r="38" spans="1:26">
      <c r="D38" s="1343" t="s">
        <v>33</v>
      </c>
      <c r="F38" s="1579"/>
      <c r="G38" s="1579"/>
      <c r="H38" s="1579"/>
      <c r="I38" s="1579"/>
      <c r="J38" s="1579"/>
      <c r="K38" s="1579"/>
      <c r="L38" s="1579"/>
      <c r="M38" s="1580"/>
      <c r="O38" s="1641" t="s">
        <v>977</v>
      </c>
      <c r="Q38" s="1634">
        <f t="shared" ref="Q38:X38" si="28">Q23</f>
        <v>2023</v>
      </c>
      <c r="R38" s="1634">
        <f t="shared" si="28"/>
        <v>2024</v>
      </c>
      <c r="S38" s="1634">
        <f t="shared" si="28"/>
        <v>2025</v>
      </c>
      <c r="T38" s="1634">
        <f t="shared" si="28"/>
        <v>2026</v>
      </c>
      <c r="U38" s="1634">
        <f t="shared" si="28"/>
        <v>2027</v>
      </c>
      <c r="V38" s="1634">
        <f t="shared" si="28"/>
        <v>2028</v>
      </c>
      <c r="W38" s="1634">
        <f t="shared" si="28"/>
        <v>2029</v>
      </c>
      <c r="X38" s="1634">
        <f t="shared" si="28"/>
        <v>2030</v>
      </c>
      <c r="Y38" s="1583"/>
    </row>
    <row r="39" spans="1:26">
      <c r="D39" s="1343" t="str">
        <f>D32</f>
        <v>Conversion into shares</v>
      </c>
      <c r="F39" s="1579">
        <f>-F32</f>
        <v>0</v>
      </c>
      <c r="G39" s="1579">
        <f t="shared" ref="G39:M39" si="29">-G32</f>
        <v>0</v>
      </c>
      <c r="H39" s="1579">
        <f t="shared" si="29"/>
        <v>0</v>
      </c>
      <c r="I39" s="1579">
        <f t="shared" si="29"/>
        <v>0</v>
      </c>
      <c r="J39" s="1579">
        <f t="shared" si="29"/>
        <v>0</v>
      </c>
      <c r="K39" s="1579">
        <f t="shared" si="29"/>
        <v>0</v>
      </c>
      <c r="L39" s="1579">
        <f t="shared" si="29"/>
        <v>0</v>
      </c>
      <c r="M39" s="1580">
        <f t="shared" si="29"/>
        <v>0</v>
      </c>
      <c r="O39" s="1577">
        <v>2018</v>
      </c>
      <c r="Q39" s="2">
        <f>Sale!S137</f>
        <v>0</v>
      </c>
      <c r="R39" s="2">
        <f>Sale!T137</f>
        <v>172</v>
      </c>
      <c r="S39" s="2">
        <f>Sale!U137</f>
        <v>14030.666666666657</v>
      </c>
      <c r="T39" s="2">
        <f>Sale!V137</f>
        <v>0</v>
      </c>
      <c r="U39" s="2">
        <f>Sale!W137</f>
        <v>0</v>
      </c>
      <c r="V39" s="2">
        <f>Sale!X137</f>
        <v>0</v>
      </c>
      <c r="W39" s="2">
        <f>Sale!Y137</f>
        <v>0</v>
      </c>
      <c r="X39" s="2"/>
      <c r="Y39" s="690"/>
    </row>
    <row r="40" spans="1:26">
      <c r="D40" s="1299" t="s">
        <v>16</v>
      </c>
      <c r="F40" s="1579">
        <f>-F33</f>
        <v>0</v>
      </c>
      <c r="G40" s="1579">
        <f t="shared" ref="G40:M40" si="30">-G33</f>
        <v>0</v>
      </c>
      <c r="H40" s="1579">
        <f t="shared" si="30"/>
        <v>0</v>
      </c>
      <c r="I40" s="1579">
        <f t="shared" si="30"/>
        <v>0</v>
      </c>
      <c r="J40" s="1579">
        <f t="shared" si="30"/>
        <v>4900000</v>
      </c>
      <c r="K40" s="1579">
        <f t="shared" si="30"/>
        <v>0</v>
      </c>
      <c r="L40" s="1579">
        <f t="shared" si="30"/>
        <v>0</v>
      </c>
      <c r="M40" s="1580">
        <f t="shared" si="30"/>
        <v>0</v>
      </c>
      <c r="O40" s="1577">
        <v>2019</v>
      </c>
      <c r="Q40" s="2">
        <f>Sale!S138</f>
        <v>0</v>
      </c>
      <c r="R40" s="2">
        <f>Sale!T138</f>
        <v>0</v>
      </c>
      <c r="S40" s="2">
        <f>Sale!U138</f>
        <v>0</v>
      </c>
      <c r="T40" s="2">
        <f>Sale!V138</f>
        <v>0</v>
      </c>
      <c r="U40" s="2">
        <f>Sale!W138</f>
        <v>0</v>
      </c>
      <c r="V40" s="2">
        <f>Sale!X138</f>
        <v>0</v>
      </c>
      <c r="W40" s="2">
        <f>Sale!Y138</f>
        <v>0</v>
      </c>
      <c r="X40" s="2"/>
      <c r="Y40" s="690"/>
    </row>
    <row r="41" spans="1:26">
      <c r="B41" s="1640"/>
      <c r="D41" s="1343" t="s">
        <v>17</v>
      </c>
      <c r="F41" s="1579">
        <f>-B7</f>
        <v>-4900000</v>
      </c>
      <c r="G41" s="1579"/>
      <c r="H41" s="1579"/>
      <c r="I41" s="1579"/>
      <c r="J41" s="1579"/>
      <c r="K41" s="1579"/>
      <c r="L41" s="1579"/>
      <c r="M41" s="1580"/>
      <c r="O41" s="1577">
        <v>2020</v>
      </c>
      <c r="Q41" s="2">
        <f>Sale!S139</f>
        <v>0</v>
      </c>
      <c r="R41" s="2">
        <f>Sale!T139</f>
        <v>0</v>
      </c>
      <c r="S41" s="2">
        <f>Sale!U139</f>
        <v>0</v>
      </c>
      <c r="T41" s="2">
        <f>Sale!V139</f>
        <v>0</v>
      </c>
      <c r="U41" s="2">
        <f>Sale!W139</f>
        <v>0</v>
      </c>
      <c r="V41" s="2">
        <f>Sale!X139</f>
        <v>0</v>
      </c>
      <c r="W41" s="2">
        <f>Sale!Y139</f>
        <v>0</v>
      </c>
      <c r="X41" s="2"/>
      <c r="Y41" s="690"/>
    </row>
    <row r="42" spans="1:26" ht="13.5" thickBot="1">
      <c r="D42" s="1343"/>
      <c r="F42" s="1615">
        <f t="shared" ref="F42:M42" si="31">IF($B$2&gt;=F11,F38+F40+F41+F39,0)</f>
        <v>-4900000</v>
      </c>
      <c r="G42" s="1615">
        <f t="shared" si="31"/>
        <v>0</v>
      </c>
      <c r="H42" s="1615">
        <f t="shared" si="31"/>
        <v>0</v>
      </c>
      <c r="I42" s="1615">
        <f t="shared" si="31"/>
        <v>0</v>
      </c>
      <c r="J42" s="1615">
        <f t="shared" si="31"/>
        <v>4900000</v>
      </c>
      <c r="K42" s="1615">
        <f t="shared" si="31"/>
        <v>0</v>
      </c>
      <c r="L42" s="1615">
        <f t="shared" si="31"/>
        <v>0</v>
      </c>
      <c r="M42" s="1616">
        <f t="shared" si="31"/>
        <v>0</v>
      </c>
      <c r="O42" s="1577"/>
      <c r="Q42" s="2"/>
      <c r="R42" s="2"/>
      <c r="S42" s="2"/>
      <c r="T42" s="2"/>
      <c r="U42" s="2"/>
      <c r="V42" s="2"/>
      <c r="W42" s="2"/>
      <c r="X42" s="2"/>
      <c r="Y42" s="690"/>
    </row>
    <row r="43" spans="1:26" ht="13.5" thickTop="1">
      <c r="B43" s="1639"/>
      <c r="D43" s="1343"/>
      <c r="F43" s="1579"/>
      <c r="G43" s="1579"/>
      <c r="H43" s="1579"/>
      <c r="I43" s="1579"/>
      <c r="J43" s="1579"/>
      <c r="K43" s="1579"/>
      <c r="L43" s="1579"/>
      <c r="M43" s="1580"/>
      <c r="O43" s="1581" t="s">
        <v>85</v>
      </c>
      <c r="P43" s="1582"/>
      <c r="Q43" s="1584">
        <f>Q23</f>
        <v>2023</v>
      </c>
      <c r="R43" s="1584">
        <f t="shared" ref="R43:X43" si="32">Q43+1</f>
        <v>2024</v>
      </c>
      <c r="S43" s="1584">
        <f t="shared" si="32"/>
        <v>2025</v>
      </c>
      <c r="T43" s="1584">
        <f t="shared" si="32"/>
        <v>2026</v>
      </c>
      <c r="U43" s="1584">
        <f t="shared" si="32"/>
        <v>2027</v>
      </c>
      <c r="V43" s="1584">
        <f t="shared" si="32"/>
        <v>2028</v>
      </c>
      <c r="W43" s="1584">
        <f t="shared" si="32"/>
        <v>2029</v>
      </c>
      <c r="X43" s="1584">
        <f t="shared" si="32"/>
        <v>2030</v>
      </c>
      <c r="Y43" s="1583"/>
    </row>
    <row r="44" spans="1:26" ht="13.5" thickBot="1">
      <c r="D44" s="1346" t="s">
        <v>39</v>
      </c>
      <c r="E44" s="1354"/>
      <c r="F44" s="1615">
        <f t="shared" ref="F44:M44" ca="1" si="33">F22+F28+F35+F42</f>
        <v>11893.248932932504</v>
      </c>
      <c r="G44" s="1615">
        <f t="shared" ca="1" si="33"/>
        <v>55098.015751375664</v>
      </c>
      <c r="H44" s="1615">
        <f t="shared" ca="1" si="33"/>
        <v>10733.545650535863</v>
      </c>
      <c r="I44" s="1615">
        <f t="shared" ca="1" si="33"/>
        <v>56121.85404732218</v>
      </c>
      <c r="J44" s="1615">
        <f t="shared" ca="1" si="33"/>
        <v>-90493.986759286374</v>
      </c>
      <c r="K44" s="1615">
        <f t="shared" ca="1" si="33"/>
        <v>0</v>
      </c>
      <c r="L44" s="1615">
        <f t="shared" ca="1" si="33"/>
        <v>0</v>
      </c>
      <c r="M44" s="1616">
        <f t="shared" ca="1" si="33"/>
        <v>0</v>
      </c>
      <c r="O44" s="1586">
        <f t="shared" ref="O44:O49" si="34">O24</f>
        <v>2023</v>
      </c>
      <c r="P44" s="1582"/>
      <c r="Q44" s="1625">
        <f ca="1">Bond!$F$55*(1-Bond!$F$58)*Q24</f>
        <v>0</v>
      </c>
      <c r="R44" s="1625">
        <f ca="1">Bond!$F$55*(1-Bond!$F$58)*R24</f>
        <v>424.54438407817548</v>
      </c>
      <c r="S44" s="1625">
        <f ca="1">Bond!$F$55*(1-Bond!$F$58)*S24</f>
        <v>424.54438407817548</v>
      </c>
      <c r="T44" s="1625">
        <f ca="1">Bond!$F$55*(1-Bond!$F$58)*T24</f>
        <v>0</v>
      </c>
      <c r="U44" s="1625">
        <f ca="1">Bond!$F$55*(1-Bond!$F$58)*U24</f>
        <v>0</v>
      </c>
      <c r="V44" s="1625">
        <f ca="1">Bond!$F$55*(1-Bond!$F$58)*V24</f>
        <v>0</v>
      </c>
      <c r="W44" s="1625">
        <f ca="1">Bond!$F$55*(1-Bond!$F$58)*W24</f>
        <v>0</v>
      </c>
      <c r="X44" s="1625">
        <f ca="1">Bond!$F$55*(1-Bond!$F$58)*X24</f>
        <v>0</v>
      </c>
      <c r="Y44" s="690">
        <f t="shared" ref="Y44:Y49" ca="1" si="35">SUM(Q44:X44)</f>
        <v>849.08876815635097</v>
      </c>
    </row>
    <row r="45" spans="1:26" ht="13.5" thickTop="1">
      <c r="D45" s="1346"/>
      <c r="E45" s="1354"/>
      <c r="F45" s="1609"/>
      <c r="G45" s="1609"/>
      <c r="H45" s="1609"/>
      <c r="I45" s="1609"/>
      <c r="J45" s="1609"/>
      <c r="K45" s="1642"/>
      <c r="L45" s="1642"/>
      <c r="M45" s="1643"/>
      <c r="O45" s="1586">
        <f t="shared" si="34"/>
        <v>2024</v>
      </c>
      <c r="P45" s="1582"/>
      <c r="Q45" s="1625"/>
      <c r="R45" s="1625">
        <f ca="1">Bond!$G$55*(1-Bond!$G$58)*R25</f>
        <v>0</v>
      </c>
      <c r="S45" s="1625">
        <f ca="1">Bond!$G$55*(1-Bond!$G$58)*S25</f>
        <v>42829.128030353022</v>
      </c>
      <c r="T45" s="1625">
        <f ca="1">Bond!$G$55*(1-Bond!$G$58)*T25</f>
        <v>0</v>
      </c>
      <c r="U45" s="1625">
        <f ca="1">Bond!$G$55*(1-Bond!$G$58)*U25</f>
        <v>0</v>
      </c>
      <c r="V45" s="1625">
        <f ca="1">Bond!$G$55*(1-Bond!$G$58)*V25</f>
        <v>0</v>
      </c>
      <c r="W45" s="1625">
        <f ca="1">Bond!$G$55*(1-Bond!$G$58)*W25</f>
        <v>0</v>
      </c>
      <c r="X45" s="1625">
        <f ca="1">Bond!$G$55*(1-Bond!$G$58)*X25</f>
        <v>0</v>
      </c>
      <c r="Y45" s="690">
        <f t="shared" ca="1" si="35"/>
        <v>42829.128030353022</v>
      </c>
    </row>
    <row r="46" spans="1:26">
      <c r="D46" s="1299" t="s">
        <v>20</v>
      </c>
      <c r="E46" s="1354"/>
      <c r="F46" s="1579">
        <f>B11</f>
        <v>100</v>
      </c>
      <c r="G46" s="1579"/>
      <c r="H46" s="1579"/>
      <c r="I46" s="1579"/>
      <c r="J46" s="1579"/>
      <c r="K46" s="1579"/>
      <c r="L46" s="1579"/>
      <c r="M46" s="1580"/>
      <c r="O46" s="1586">
        <f t="shared" si="34"/>
        <v>2025</v>
      </c>
      <c r="P46" s="1582"/>
      <c r="Q46" s="1625"/>
      <c r="R46" s="1625"/>
      <c r="S46" s="1625">
        <f ca="1">Bond!$H$55*(1-Bond!$H$58)*S26</f>
        <v>0</v>
      </c>
      <c r="T46" s="1625">
        <f ca="1">Bond!$H$55*(1-Bond!$H$58)*T26</f>
        <v>0</v>
      </c>
      <c r="U46" s="1625">
        <f ca="1">Bond!$H$55*(1-Bond!$H$58)*U26</f>
        <v>45021.356079767495</v>
      </c>
      <c r="V46" s="1625">
        <f ca="1">Bond!$H$55*(1-Bond!$H$58)*V26</f>
        <v>0</v>
      </c>
      <c r="W46" s="1625">
        <f ca="1">Bond!$H$55*(1-Bond!$H$58)*W26</f>
        <v>0</v>
      </c>
      <c r="X46" s="1648">
        <f ca="1">Bond!$H$55*(1-Bond!$H$58)*X26</f>
        <v>0</v>
      </c>
      <c r="Y46" s="690">
        <f t="shared" ca="1" si="35"/>
        <v>45021.356079767495</v>
      </c>
    </row>
    <row r="47" spans="1:26" ht="13.5" thickBot="1">
      <c r="D47" s="1299"/>
      <c r="E47" s="1354"/>
      <c r="F47" s="1579"/>
      <c r="G47" s="1579"/>
      <c r="H47" s="1579"/>
      <c r="I47" s="1579"/>
      <c r="J47" s="1579"/>
      <c r="K47" s="1579"/>
      <c r="L47" s="1579"/>
      <c r="M47" s="1580"/>
      <c r="O47" s="1586">
        <f t="shared" si="34"/>
        <v>2026</v>
      </c>
      <c r="P47" s="1582"/>
      <c r="Q47" s="1625"/>
      <c r="R47" s="1625"/>
      <c r="S47" s="1625"/>
      <c r="T47" s="1625">
        <f ca="1">Bond!$I$55*(1-Bond!$I$58)*T27</f>
        <v>0</v>
      </c>
      <c r="U47" s="1625">
        <f ca="1">Bond!$I$55*(1-Bond!$I$58)*U27</f>
        <v>44993.816472073355</v>
      </c>
      <c r="V47" s="1625">
        <f ca="1">Bond!$I$55*(1-Bond!$I$58)*V27</f>
        <v>0</v>
      </c>
      <c r="W47" s="1625">
        <f ca="1">Bond!$I$55*(1-Bond!$I$58)*W27</f>
        <v>0</v>
      </c>
      <c r="X47" s="1625">
        <f ca="1">Bond!$I$55*(1-Bond!$I$58)*X27</f>
        <v>0</v>
      </c>
      <c r="Y47" s="690">
        <f t="shared" ca="1" si="35"/>
        <v>44993.816472073355</v>
      </c>
    </row>
    <row r="48" spans="1:26" ht="13.5" thickTop="1">
      <c r="D48" s="1644" t="s">
        <v>38</v>
      </c>
      <c r="E48" s="1645"/>
      <c r="F48" s="1642">
        <f t="shared" ref="F48:M48" ca="1" si="36">IF($B$2&gt;=F2,F44+F47+F46,0)</f>
        <v>11993.248932932504</v>
      </c>
      <c r="G48" s="1642">
        <f t="shared" ca="1" si="36"/>
        <v>55098.015751375664</v>
      </c>
      <c r="H48" s="1642">
        <f t="shared" ca="1" si="36"/>
        <v>10733.545650535863</v>
      </c>
      <c r="I48" s="1642">
        <f t="shared" ca="1" si="36"/>
        <v>56121.85404732218</v>
      </c>
      <c r="J48" s="1642">
        <f t="shared" ca="1" si="36"/>
        <v>-90493.986759286374</v>
      </c>
      <c r="K48" s="1642">
        <f t="shared" ca="1" si="36"/>
        <v>0</v>
      </c>
      <c r="L48" s="1642">
        <f t="shared" si="36"/>
        <v>0</v>
      </c>
      <c r="M48" s="1643">
        <f t="shared" si="36"/>
        <v>0</v>
      </c>
      <c r="O48" s="1586">
        <f t="shared" si="34"/>
        <v>2027</v>
      </c>
      <c r="P48" s="1582"/>
      <c r="Q48" s="1625"/>
      <c r="R48" s="1625"/>
      <c r="S48" s="1625"/>
      <c r="T48" s="1625"/>
      <c r="U48" s="1625">
        <f ca="1">Bond!$J$55*(1-Bond!$J$58)*U28</f>
        <v>44655.891685497263</v>
      </c>
      <c r="V48" s="1625">
        <f ca="1">Bond!$J$55*(1-Bond!$J$58)*V28</f>
        <v>0</v>
      </c>
      <c r="W48" s="1625">
        <f ca="1">Bond!$J$55*(1-Bond!$J$58)*W28</f>
        <v>0</v>
      </c>
      <c r="X48" s="1625">
        <f ca="1">Bond!$J$55*(1-Bond!$J$58)*X28</f>
        <v>0</v>
      </c>
      <c r="Y48" s="690">
        <f t="shared" ca="1" si="35"/>
        <v>44655.891685497263</v>
      </c>
    </row>
    <row r="49" spans="1:27">
      <c r="D49" s="1346"/>
      <c r="E49" s="1354"/>
      <c r="F49" s="1579"/>
      <c r="G49" s="1579"/>
      <c r="H49" s="1579"/>
      <c r="I49" s="1579"/>
      <c r="J49" s="1579"/>
      <c r="K49" s="1579"/>
      <c r="L49" s="1579"/>
      <c r="M49" s="1580"/>
      <c r="N49" s="1579"/>
      <c r="O49" s="1586">
        <f t="shared" si="34"/>
        <v>2028</v>
      </c>
      <c r="P49" s="1582"/>
      <c r="Q49" s="1629"/>
      <c r="R49" s="1629"/>
      <c r="S49" s="1629"/>
      <c r="T49" s="1629"/>
      <c r="U49" s="1629"/>
      <c r="V49" s="1629">
        <f ca="1">Bond!$K$55*(1-Bond!$K$58)*V29</f>
        <v>0</v>
      </c>
      <c r="W49" s="1629">
        <f ca="1">Bond!$K$55*(1-Bond!$K$58)*W29</f>
        <v>0</v>
      </c>
      <c r="X49" s="1629">
        <f ca="1">Bond!$K$55*(1-Bond!$K$58)*X29</f>
        <v>0</v>
      </c>
      <c r="Y49" s="691">
        <f t="shared" ca="1" si="35"/>
        <v>0</v>
      </c>
    </row>
    <row r="50" spans="1:27">
      <c r="D50" s="1646" t="s">
        <v>67</v>
      </c>
      <c r="E50" s="1354"/>
      <c r="F50" s="1609"/>
      <c r="G50" s="1609"/>
      <c r="H50" s="1609"/>
      <c r="I50" s="1609"/>
      <c r="J50" s="1609"/>
      <c r="K50" s="1609"/>
      <c r="L50" s="1609"/>
      <c r="M50" s="1610"/>
      <c r="N50" s="1579"/>
      <c r="O50" s="1612"/>
      <c r="P50" s="1582"/>
      <c r="Q50" s="1652">
        <f ca="1">SUM(Q44:Q49)</f>
        <v>0</v>
      </c>
      <c r="R50" s="689">
        <f ca="1">SUM(R44:R49)</f>
        <v>424.54438407817548</v>
      </c>
      <c r="S50" s="689">
        <f ca="1">SUM(S44:S49)</f>
        <v>43253.672414431196</v>
      </c>
      <c r="T50" s="689">
        <f t="shared" ref="T50:Y50" ca="1" si="37">SUM(T44:T49)</f>
        <v>0</v>
      </c>
      <c r="U50" s="689">
        <f t="shared" ca="1" si="37"/>
        <v>134671.06423733811</v>
      </c>
      <c r="V50" s="689">
        <f ca="1">SUM(V44:V49)</f>
        <v>0</v>
      </c>
      <c r="W50" s="689">
        <f t="shared" ca="1" si="37"/>
        <v>0</v>
      </c>
      <c r="X50" s="689">
        <f t="shared" ca="1" si="37"/>
        <v>0</v>
      </c>
      <c r="Y50" s="690">
        <f t="shared" ca="1" si="37"/>
        <v>178349.2810358475</v>
      </c>
    </row>
    <row r="51" spans="1:27">
      <c r="D51" s="1647" t="s">
        <v>53</v>
      </c>
      <c r="E51" s="1354"/>
      <c r="F51" s="2">
        <f ca="1">-'RCF-FS'!E12</f>
        <v>0</v>
      </c>
      <c r="G51" s="2">
        <f ca="1">-'RCF-FS'!F12+'RCF-FS'!E12</f>
        <v>0</v>
      </c>
      <c r="H51" s="2">
        <f ca="1">-'RCF-FS'!G12+'RCF-FS'!F12</f>
        <v>0</v>
      </c>
      <c r="I51" s="2">
        <f ca="1">-'RCF-FS'!H12+'RCF-FS'!G12</f>
        <v>0</v>
      </c>
      <c r="J51" s="2">
        <f ca="1">-'RCF-FS'!I12+'RCF-FS'!H12</f>
        <v>0</v>
      </c>
      <c r="K51" s="2">
        <f ca="1">-'RCF-FS'!J12+'RCF-FS'!I12</f>
        <v>0</v>
      </c>
      <c r="L51" s="2">
        <f ca="1">-'RCF-FS'!K12+'RCF-FS'!J12</f>
        <v>0</v>
      </c>
      <c r="M51" s="3">
        <f ca="1">-'RCF-FS'!L12+'RCF-FS'!K12</f>
        <v>0</v>
      </c>
      <c r="N51" s="1579"/>
      <c r="O51" s="1612"/>
      <c r="P51" s="1582"/>
      <c r="Q51" s="1657"/>
      <c r="R51" s="689"/>
      <c r="S51" s="689"/>
      <c r="T51" s="689"/>
      <c r="U51" s="689"/>
      <c r="V51" s="689"/>
      <c r="W51" s="689"/>
      <c r="X51" s="689"/>
      <c r="Y51" s="690"/>
    </row>
    <row r="52" spans="1:27">
      <c r="D52" s="1647" t="s">
        <v>50</v>
      </c>
      <c r="E52" s="1354"/>
      <c r="F52" s="2">
        <f ca="1">'RCF-FS'!P15</f>
        <v>3536.3091044656417</v>
      </c>
      <c r="G52" s="2">
        <f ca="1">'RCF-FS'!Q15-'RCF-FS'!P15</f>
        <v>125.07021939370316</v>
      </c>
      <c r="H52" s="2">
        <f ca="1">'RCF-FS'!R15-'RCF-FS'!Q15</f>
        <v>5549.3103253213339</v>
      </c>
      <c r="I52" s="2">
        <f ca="1">'RCF-FS'!S15-'RCF-FS'!R15</f>
        <v>-4866.2672895863498</v>
      </c>
      <c r="J52" s="2">
        <f ca="1">'RCF-FS'!T15-'RCF-FS'!S15</f>
        <v>15900.817173139483</v>
      </c>
      <c r="K52" s="2">
        <f ca="1">'RCF-FS'!U15-'RCF-FS'!T15</f>
        <v>-20245.239532733813</v>
      </c>
      <c r="L52" s="2">
        <f>IF(L2&gt;B2,0,'RCF-FS'!V15-'RCF-FS'!U15)</f>
        <v>0</v>
      </c>
      <c r="M52" s="3">
        <f ca="1">'RCF-FS'!W15-'RCF-FS'!V15</f>
        <v>0</v>
      </c>
      <c r="N52" s="1579"/>
      <c r="O52" s="1581" t="s">
        <v>283</v>
      </c>
      <c r="Q52" s="1584">
        <f>Q43</f>
        <v>2023</v>
      </c>
      <c r="R52" s="1584">
        <f t="shared" ref="R52:X52" si="38">Q52+1</f>
        <v>2024</v>
      </c>
      <c r="S52" s="1584">
        <f t="shared" si="38"/>
        <v>2025</v>
      </c>
      <c r="T52" s="1584">
        <f t="shared" si="38"/>
        <v>2026</v>
      </c>
      <c r="U52" s="1584">
        <f t="shared" si="38"/>
        <v>2027</v>
      </c>
      <c r="V52" s="1584">
        <f t="shared" si="38"/>
        <v>2028</v>
      </c>
      <c r="W52" s="1584">
        <f t="shared" si="38"/>
        <v>2029</v>
      </c>
      <c r="X52" s="1584">
        <f t="shared" si="38"/>
        <v>2030</v>
      </c>
      <c r="Y52" s="1591"/>
    </row>
    <row r="53" spans="1:27">
      <c r="B53" s="312"/>
      <c r="D53" s="1647" t="s">
        <v>386</v>
      </c>
      <c r="E53" s="1354"/>
      <c r="F53" s="2">
        <f ca="1">'RCF-FS'!P17</f>
        <v>2098.8086352234523</v>
      </c>
      <c r="G53" s="2">
        <f ca="1">'RCF-FS'!Q17-'RCF-FS'!P17</f>
        <v>7624.3706150193111</v>
      </c>
      <c r="H53" s="2">
        <f ca="1">'RCF-FS'!R17-'RCF-FS'!Q17</f>
        <v>-7829.0241354423169</v>
      </c>
      <c r="I53" s="2">
        <f ca="1">'RCF-FS'!S17-'RCF-FS'!R17</f>
        <v>-1894.1551148004464</v>
      </c>
      <c r="J53" s="2">
        <f ca="1">'RCF-FS'!T17-'RCF-FS'!S17</f>
        <v>0</v>
      </c>
      <c r="K53" s="2">
        <f ca="1">'RCF-FS'!U17-'RCF-FS'!T17</f>
        <v>0</v>
      </c>
      <c r="L53" s="2">
        <f ca="1">'RCF-FS'!V17-'RCF-FS'!U17</f>
        <v>0</v>
      </c>
      <c r="M53" s="3">
        <f>'RCF-FS'!W17-'RCF-FS'!V17</f>
        <v>0</v>
      </c>
      <c r="O53" s="1586">
        <f t="shared" ref="O53:O58" si="39">O44</f>
        <v>2023</v>
      </c>
      <c r="P53" s="1582"/>
      <c r="Q53" s="1625">
        <f>Bond!$E$60*'RCF-F'!Q24</f>
        <v>0</v>
      </c>
      <c r="R53" s="1625">
        <f>Bond!$E$60*'RCF-F'!R24</f>
        <v>113.98439999999999</v>
      </c>
      <c r="S53" s="1625">
        <f>Bond!$E$60*'RCF-F'!S24</f>
        <v>113.98439999999999</v>
      </c>
      <c r="T53" s="1625">
        <f>Bond!$E$60*'RCF-F'!T24</f>
        <v>0</v>
      </c>
      <c r="U53" s="1625">
        <f>Bond!$E$60*'RCF-F'!U24</f>
        <v>0</v>
      </c>
      <c r="V53" s="1625">
        <f>Bond!$E$60*'RCF-F'!V24</f>
        <v>0</v>
      </c>
      <c r="W53" s="1625">
        <f>Bond!$E$60*'RCF-F'!W24</f>
        <v>0</v>
      </c>
      <c r="X53" s="1625">
        <f>Bond!$E$60*'RCF-F'!X24</f>
        <v>0</v>
      </c>
      <c r="Y53" s="690">
        <f t="shared" ref="Y53:Y58" si="40">SUM(Q53:X53)</f>
        <v>227.96879999999999</v>
      </c>
    </row>
    <row r="54" spans="1:27" ht="13.5" customHeight="1">
      <c r="B54" s="312"/>
      <c r="D54" s="1647" t="s">
        <v>68</v>
      </c>
      <c r="E54" s="1354"/>
      <c r="F54" s="107">
        <f>-'RCF-FS'!E40-'RCF-FS'!D42-F65</f>
        <v>0</v>
      </c>
      <c r="G54" s="107">
        <f>-'RCF-FS'!F40-'RCF-FS'!E42-G65</f>
        <v>0</v>
      </c>
      <c r="H54" s="107">
        <f>-'RCF-FS'!G40-'RCF-FS'!F42-H65</f>
        <v>0</v>
      </c>
      <c r="I54" s="107">
        <f>-'RCF-FS'!H40-'RCF-FS'!G42-I65</f>
        <v>0</v>
      </c>
      <c r="J54" s="107">
        <f>-'RCF-FS'!I40-'RCF-FS'!H42-J65</f>
        <v>0</v>
      </c>
      <c r="K54" s="107">
        <f>-'RCF-FS'!J40-'RCF-FS'!I42-K65</f>
        <v>0</v>
      </c>
      <c r="L54" s="107">
        <f>-'RCF-FS'!M40-'RCF-FS'!J42-L65</f>
        <v>0</v>
      </c>
      <c r="M54" s="108">
        <f>-'RCF-FS'!N40-'RCF-FS'!M42-M65</f>
        <v>0</v>
      </c>
      <c r="N54" s="1579"/>
      <c r="O54" s="1586">
        <f t="shared" si="39"/>
        <v>2024</v>
      </c>
      <c r="P54" s="1582"/>
      <c r="Q54" s="1625"/>
      <c r="R54" s="1625">
        <f>Bond!$E$60*'RCF-F'!R25</f>
        <v>0</v>
      </c>
      <c r="S54" s="1625">
        <f>Bond!$E$60*'RCF-F'!S25</f>
        <v>11884.861799999999</v>
      </c>
      <c r="T54" s="1625">
        <f>Bond!$E$60*'RCF-F'!T25</f>
        <v>0</v>
      </c>
      <c r="U54" s="1625">
        <f>Bond!$E$60*'RCF-F'!U25</f>
        <v>0</v>
      </c>
      <c r="V54" s="1625">
        <f>Bond!$E$60*'RCF-F'!V25</f>
        <v>0</v>
      </c>
      <c r="W54" s="1625">
        <f>Bond!$E$60*'RCF-F'!W25</f>
        <v>0</v>
      </c>
      <c r="X54" s="1625">
        <f>Bond!$E$60*'RCF-F'!X25</f>
        <v>0</v>
      </c>
      <c r="Y54" s="690">
        <f t="shared" si="40"/>
        <v>11884.861799999999</v>
      </c>
    </row>
    <row r="55" spans="1:27" ht="13.5" customHeight="1">
      <c r="B55" s="312"/>
      <c r="D55" s="1646" t="s">
        <v>69</v>
      </c>
      <c r="E55" s="1354"/>
      <c r="F55" s="1609">
        <f t="shared" ref="F55:M55" ca="1" si="41">SUM(F50:F54)+F48</f>
        <v>17628.366672621596</v>
      </c>
      <c r="G55" s="1609">
        <f t="shared" ca="1" si="41"/>
        <v>62847.456585788677</v>
      </c>
      <c r="H55" s="1609">
        <f t="shared" ca="1" si="41"/>
        <v>8453.8318404148813</v>
      </c>
      <c r="I55" s="1609">
        <f t="shared" ca="1" si="41"/>
        <v>49361.431642935386</v>
      </c>
      <c r="J55" s="1609">
        <f t="shared" ca="1" si="41"/>
        <v>-74593.169586146891</v>
      </c>
      <c r="K55" s="1609">
        <f t="shared" ca="1" si="41"/>
        <v>-20245.239532733813</v>
      </c>
      <c r="L55" s="1609">
        <f t="shared" ca="1" si="41"/>
        <v>0</v>
      </c>
      <c r="M55" s="1610">
        <f t="shared" ca="1" si="41"/>
        <v>0</v>
      </c>
      <c r="O55" s="1586">
        <f t="shared" si="39"/>
        <v>2025</v>
      </c>
      <c r="P55" s="1582"/>
      <c r="Q55" s="1625"/>
      <c r="R55" s="1625"/>
      <c r="S55" s="1625">
        <f>Bond!$E$60*'RCF-F'!S26</f>
        <v>0</v>
      </c>
      <c r="T55" s="1625">
        <f>Bond!$E$60*'RCF-F'!T26</f>
        <v>0</v>
      </c>
      <c r="U55" s="1625">
        <f>Bond!$E$60*'RCF-F'!U26</f>
        <v>11884.861799999999</v>
      </c>
      <c r="V55" s="1625">
        <f>Bond!$E$60*'RCF-F'!V26</f>
        <v>0</v>
      </c>
      <c r="W55" s="1625">
        <f>Bond!$E$60*'RCF-F'!W26</f>
        <v>0</v>
      </c>
      <c r="X55" s="1648">
        <f>Bond!$E$60*'RCF-F'!X26</f>
        <v>0</v>
      </c>
      <c r="Y55" s="690">
        <f t="shared" si="40"/>
        <v>11884.861799999999</v>
      </c>
    </row>
    <row r="56" spans="1:27" ht="13.5" customHeight="1">
      <c r="B56" s="312"/>
      <c r="D56" s="1346"/>
      <c r="E56" s="1354"/>
      <c r="F56" s="1609"/>
      <c r="G56" s="1609"/>
      <c r="H56" s="1609"/>
      <c r="I56" s="1609"/>
      <c r="J56" s="1609"/>
      <c r="K56" s="1609"/>
      <c r="L56" s="1609"/>
      <c r="M56" s="1610"/>
      <c r="N56" s="1579"/>
      <c r="O56" s="1586">
        <f t="shared" si="39"/>
        <v>2026</v>
      </c>
      <c r="P56" s="1582"/>
      <c r="Q56" s="1625"/>
      <c r="R56" s="1625"/>
      <c r="S56" s="1625"/>
      <c r="T56" s="1625">
        <f>Bond!$E$60*'RCF-F'!T27</f>
        <v>0</v>
      </c>
      <c r="U56" s="1625">
        <f>Bond!$E$60*'RCF-F'!U27</f>
        <v>11884.861799999999</v>
      </c>
      <c r="V56" s="1625">
        <f>Bond!$E$60*'RCF-F'!V27</f>
        <v>0</v>
      </c>
      <c r="W56" s="1625">
        <f>Bond!$E$60*'RCF-F'!W27</f>
        <v>0</v>
      </c>
      <c r="X56" s="1625">
        <f>Bond!$E$60*'RCF-F'!X27</f>
        <v>0</v>
      </c>
      <c r="Y56" s="690">
        <f t="shared" si="40"/>
        <v>11884.861799999999</v>
      </c>
    </row>
    <row r="57" spans="1:27" ht="13.5" customHeight="1">
      <c r="B57" s="312"/>
      <c r="D57" s="1346" t="s">
        <v>37</v>
      </c>
      <c r="E57" s="1354"/>
      <c r="F57" s="1579">
        <f>E70</f>
        <v>0</v>
      </c>
      <c r="G57" s="1579">
        <f ca="1">F70</f>
        <v>17628.366672621596</v>
      </c>
      <c r="H57" s="1579">
        <f t="shared" ref="H57:M57" ca="1" si="42">G70</f>
        <v>80475.823258410266</v>
      </c>
      <c r="I57" s="1579">
        <f t="shared" ca="1" si="42"/>
        <v>88929.65509882514</v>
      </c>
      <c r="J57" s="1579">
        <f t="shared" ca="1" si="42"/>
        <v>138291.08674176052</v>
      </c>
      <c r="K57" s="1579">
        <f t="shared" ca="1" si="42"/>
        <v>63697.917155613628</v>
      </c>
      <c r="L57" s="1579">
        <f t="shared" ca="1" si="42"/>
        <v>0</v>
      </c>
      <c r="M57" s="1580">
        <f t="shared" ca="1" si="42"/>
        <v>0</v>
      </c>
      <c r="N57" s="1579"/>
      <c r="O57" s="1586">
        <f t="shared" si="39"/>
        <v>2027</v>
      </c>
      <c r="P57" s="1582"/>
      <c r="Q57" s="1625"/>
      <c r="R57" s="1625"/>
      <c r="S57" s="1625"/>
      <c r="T57" s="1625"/>
      <c r="U57" s="1625">
        <f>Bond!$E$60*'RCF-F'!U28</f>
        <v>11884.861799999999</v>
      </c>
      <c r="V57" s="1625">
        <f>Bond!$E$60*'RCF-F'!V28</f>
        <v>0</v>
      </c>
      <c r="W57" s="1625">
        <f>Bond!$E$60*'RCF-F'!W28</f>
        <v>0</v>
      </c>
      <c r="X57" s="1625">
        <f>Bond!$E$60*'RCF-F'!X28</f>
        <v>0</v>
      </c>
      <c r="Y57" s="690">
        <f t="shared" si="40"/>
        <v>11884.861799999999</v>
      </c>
    </row>
    <row r="58" spans="1:27" ht="13.5" customHeight="1" thickBot="1">
      <c r="B58" s="312"/>
      <c r="D58" s="1649"/>
      <c r="E58" s="1357"/>
      <c r="F58" s="1650"/>
      <c r="G58" s="1650"/>
      <c r="H58" s="1650"/>
      <c r="I58" s="1650"/>
      <c r="J58" s="1650"/>
      <c r="K58" s="1650"/>
      <c r="L58" s="1650"/>
      <c r="M58" s="1651"/>
      <c r="N58" s="1579"/>
      <c r="O58" s="1586">
        <f t="shared" si="39"/>
        <v>2028</v>
      </c>
      <c r="P58" s="1582"/>
      <c r="Q58" s="1629"/>
      <c r="R58" s="1629"/>
      <c r="S58" s="1629"/>
      <c r="T58" s="1629"/>
      <c r="U58" s="1629"/>
      <c r="V58" s="1629">
        <f>Bond!$E$60*'RCF-F'!V29</f>
        <v>0</v>
      </c>
      <c r="W58" s="1629">
        <f>Bond!$E$60*'RCF-F'!W29</f>
        <v>0</v>
      </c>
      <c r="X58" s="1629">
        <f>Bond!$E$60*'RCF-F'!X29</f>
        <v>0</v>
      </c>
      <c r="Y58" s="691">
        <f t="shared" si="40"/>
        <v>0</v>
      </c>
    </row>
    <row r="59" spans="1:27" ht="13.5" thickBot="1">
      <c r="B59" s="312"/>
      <c r="D59" s="1653" t="s">
        <v>34</v>
      </c>
      <c r="E59" s="1654"/>
      <c r="F59" s="1655">
        <f t="shared" ref="F59:K59" ca="1" si="43">F55+F57</f>
        <v>17628.366672621596</v>
      </c>
      <c r="G59" s="1655">
        <f ca="1">G55+G57</f>
        <v>80475.823258410266</v>
      </c>
      <c r="H59" s="1655">
        <f t="shared" ca="1" si="43"/>
        <v>88929.65509882514</v>
      </c>
      <c r="I59" s="1655">
        <f t="shared" ca="1" si="43"/>
        <v>138291.08674176052</v>
      </c>
      <c r="J59" s="1655">
        <f t="shared" ca="1" si="43"/>
        <v>63697.917155613628</v>
      </c>
      <c r="K59" s="1655">
        <f t="shared" ca="1" si="43"/>
        <v>43452.677622879812</v>
      </c>
      <c r="L59" s="1655">
        <f ca="1">L55+L57</f>
        <v>0</v>
      </c>
      <c r="M59" s="1656">
        <f ca="1">M55+M57</f>
        <v>0</v>
      </c>
      <c r="N59" s="1579"/>
      <c r="O59" s="1662"/>
      <c r="P59" s="1663"/>
      <c r="Q59" s="693">
        <f>SUM(Q53:Q58)</f>
        <v>0</v>
      </c>
      <c r="R59" s="693">
        <f t="shared" ref="R59:Y59" si="44">SUM(R53:R58)</f>
        <v>113.98439999999999</v>
      </c>
      <c r="S59" s="693">
        <f t="shared" si="44"/>
        <v>11998.846199999998</v>
      </c>
      <c r="T59" s="693">
        <f t="shared" si="44"/>
        <v>0</v>
      </c>
      <c r="U59" s="693">
        <f t="shared" si="44"/>
        <v>35654.585399999996</v>
      </c>
      <c r="V59" s="693">
        <f>SUM(V53:V58)</f>
        <v>0</v>
      </c>
      <c r="W59" s="693">
        <f t="shared" si="44"/>
        <v>0</v>
      </c>
      <c r="X59" s="693">
        <f t="shared" si="44"/>
        <v>0</v>
      </c>
      <c r="Y59" s="842">
        <f t="shared" si="44"/>
        <v>47767.415999999997</v>
      </c>
    </row>
    <row r="60" spans="1:27" ht="13.5" thickBot="1">
      <c r="B60" s="315"/>
      <c r="D60" s="1658"/>
      <c r="E60" s="1659"/>
      <c r="F60" s="1660"/>
      <c r="G60" s="1660"/>
      <c r="H60" s="1660"/>
      <c r="I60" s="1660"/>
      <c r="J60" s="1660"/>
      <c r="K60" s="1660"/>
      <c r="L60" s="1660"/>
      <c r="M60" s="1661"/>
    </row>
    <row r="61" spans="1:27">
      <c r="A61" s="306"/>
      <c r="B61" s="306"/>
      <c r="D61" s="1346" t="s">
        <v>70</v>
      </c>
      <c r="F61" s="1579"/>
      <c r="G61" s="1579"/>
      <c r="H61" s="1579"/>
      <c r="I61" s="1579"/>
      <c r="J61" s="1579"/>
      <c r="K61" s="1579"/>
      <c r="L61" s="1579"/>
      <c r="M61" s="1580"/>
      <c r="O61" s="1573" t="s">
        <v>428</v>
      </c>
      <c r="P61" s="1554"/>
      <c r="Q61" s="1554"/>
      <c r="R61" s="1554"/>
      <c r="S61" s="1554"/>
      <c r="T61" s="1554"/>
      <c r="U61" s="1554"/>
      <c r="V61" s="1554"/>
      <c r="W61" s="1554"/>
      <c r="X61" s="1554"/>
      <c r="Y61" s="1595"/>
    </row>
    <row r="62" spans="1:27">
      <c r="A62" s="306"/>
      <c r="B62" s="306"/>
      <c r="D62" s="1343" t="str">
        <f>D51</f>
        <v>Trade receivables</v>
      </c>
      <c r="F62" s="1579">
        <f>IF($B$2=F2,'RCF-FS'!E13,0)</f>
        <v>0</v>
      </c>
      <c r="G62" s="1579">
        <f>IF($B$2=G2,'RCF-FS'!F13,0)</f>
        <v>0</v>
      </c>
      <c r="H62" s="1579">
        <f>IF($B$2=H2,'RCF-FS'!G13,0)</f>
        <v>0</v>
      </c>
      <c r="I62" s="1579">
        <f>IF($B$2=I2,'RCF-FS'!H13,0)</f>
        <v>0</v>
      </c>
      <c r="J62" s="1579">
        <f>IF($B$2=J2,'RCF-FS'!I13,0)</f>
        <v>0</v>
      </c>
      <c r="K62" s="1579">
        <f ca="1">IF($B$2=K2,'RCF-FS'!J13,0)</f>
        <v>0</v>
      </c>
      <c r="L62" s="1579">
        <f>IF($B$2=L2,'RCF-FS'!K13,0)</f>
        <v>0</v>
      </c>
      <c r="M62" s="1580">
        <f>IF($B$2=M2,'RCF-FS'!L13,0)</f>
        <v>0</v>
      </c>
      <c r="O62" s="432"/>
      <c r="P62" s="1667"/>
      <c r="Q62" s="1667" t="s">
        <v>430</v>
      </c>
      <c r="R62" s="1667"/>
      <c r="S62" s="1667"/>
      <c r="T62" s="1667"/>
      <c r="U62" s="1667"/>
      <c r="V62" s="1667"/>
      <c r="W62" s="1667"/>
      <c r="X62" s="1667"/>
      <c r="Y62" s="1591"/>
    </row>
    <row r="63" spans="1:27">
      <c r="A63" s="306"/>
      <c r="B63" s="306"/>
      <c r="D63" s="1647" t="s">
        <v>73</v>
      </c>
      <c r="F63" s="1579">
        <f>-IF($B$2=F1,'RCF-FS'!P14,0)</f>
        <v>0</v>
      </c>
      <c r="G63" s="1579">
        <f>-IF($B$2=G1,'RCF-FS'!Q14,0)</f>
        <v>0</v>
      </c>
      <c r="H63" s="1579">
        <f>-IF($B$2=H1,'RCF-FS'!R14,0)</f>
        <v>0</v>
      </c>
      <c r="I63" s="1579">
        <f>-IF($B$2=I1,'RCF-FS'!S14,0)</f>
        <v>0</v>
      </c>
      <c r="J63" s="1579">
        <f>-IF($B$2=J1,'RCF-FS'!T14,0)</f>
        <v>0</v>
      </c>
      <c r="K63" s="1579">
        <f>-IF($B$2=K1,'RCF-FS'!U14,0)</f>
        <v>0</v>
      </c>
      <c r="L63" s="1579">
        <f>-IF($B$2=L1,'RCF-FS'!V14,0)</f>
        <v>0</v>
      </c>
      <c r="M63" s="1580">
        <f>-IF($B$2=M1,'RCF-FS'!W14,0)</f>
        <v>0</v>
      </c>
      <c r="O63" s="1581" t="s">
        <v>422</v>
      </c>
      <c r="P63" s="1668" t="s">
        <v>307</v>
      </c>
      <c r="Q63" s="1584">
        <f>Q15</f>
        <v>2023</v>
      </c>
      <c r="R63" s="1584">
        <f t="shared" ref="R63:X63" si="45">Q63+1</f>
        <v>2024</v>
      </c>
      <c r="S63" s="1584">
        <f t="shared" si="45"/>
        <v>2025</v>
      </c>
      <c r="T63" s="1584">
        <f t="shared" si="45"/>
        <v>2026</v>
      </c>
      <c r="U63" s="1584">
        <f t="shared" si="45"/>
        <v>2027</v>
      </c>
      <c r="V63" s="1584">
        <f t="shared" si="45"/>
        <v>2028</v>
      </c>
      <c r="W63" s="1584">
        <f t="shared" si="45"/>
        <v>2029</v>
      </c>
      <c r="X63" s="1584">
        <f t="shared" si="45"/>
        <v>2030</v>
      </c>
      <c r="Y63" s="1583"/>
    </row>
    <row r="64" spans="1:27" s="306" customFormat="1">
      <c r="C64" s="1347"/>
      <c r="D64" s="1647" t="s">
        <v>50</v>
      </c>
      <c r="E64" s="1347"/>
      <c r="F64" s="1579">
        <f>-IF($B$2=F2,'RCF-FS'!P15,0)</f>
        <v>0</v>
      </c>
      <c r="G64" s="1579">
        <f>-IF($B$2=G2,'RCF-FS'!Q15,0)</f>
        <v>0</v>
      </c>
      <c r="H64" s="1579">
        <f>-IF($B$2=H2,'RCF-FS'!R15,0)</f>
        <v>0</v>
      </c>
      <c r="I64" s="1579">
        <f>-IF($B$2=I2,'RCF-FS'!S15,0)</f>
        <v>0</v>
      </c>
      <c r="J64" s="1579">
        <f>-IF($B$2=J2,'RCF-FS'!T15,0)</f>
        <v>0</v>
      </c>
      <c r="K64" s="1579">
        <f ca="1">-IF($B$2=K2,'RCF-FS'!U15,0)</f>
        <v>0</v>
      </c>
      <c r="L64" s="1579">
        <f>-IF($B$2=L2,'RCF-FS'!V15,0)</f>
        <v>0</v>
      </c>
      <c r="M64" s="1580">
        <f>-IF($B$2=M2,'RCF-FS'!W15,0)</f>
        <v>0</v>
      </c>
      <c r="N64" s="1347"/>
      <c r="O64" s="1586">
        <f>O44</f>
        <v>2023</v>
      </c>
      <c r="P64" s="310">
        <f>Bond!F53</f>
        <v>344</v>
      </c>
      <c r="Q64" s="1673">
        <f t="shared" ref="Q64:X64" si="46">-Q24</f>
        <v>0</v>
      </c>
      <c r="R64" s="1673">
        <f t="shared" si="46"/>
        <v>-172</v>
      </c>
      <c r="S64" s="1673">
        <f t="shared" si="46"/>
        <v>-172</v>
      </c>
      <c r="T64" s="1673">
        <f t="shared" si="46"/>
        <v>0</v>
      </c>
      <c r="U64" s="1673">
        <f t="shared" si="46"/>
        <v>0</v>
      </c>
      <c r="V64" s="1673">
        <f t="shared" si="46"/>
        <v>0</v>
      </c>
      <c r="W64" s="1673">
        <f t="shared" si="46"/>
        <v>0</v>
      </c>
      <c r="X64" s="1673">
        <f t="shared" si="46"/>
        <v>0</v>
      </c>
      <c r="Y64" s="311"/>
      <c r="Z64" s="1347"/>
      <c r="AA64" s="1347"/>
    </row>
    <row r="65" spans="1:27" s="306" customFormat="1">
      <c r="C65" s="1347"/>
      <c r="D65" s="1647" t="s">
        <v>51</v>
      </c>
      <c r="E65" s="1347"/>
      <c r="F65" s="1579">
        <f>IF($B$2=F2,-'RCF-FS'!E42,0)</f>
        <v>0</v>
      </c>
      <c r="G65" s="1579">
        <f>IF($B$2=G2,-'RCF-FS'!F42,0)</f>
        <v>0</v>
      </c>
      <c r="H65" s="1579">
        <f>IF($B$2=H2,-'RCF-FS'!G42,0)</f>
        <v>0</v>
      </c>
      <c r="I65" s="1579">
        <f>IF($B$2=I2,-'RCF-FS'!H42,0)</f>
        <v>0</v>
      </c>
      <c r="J65" s="1579">
        <f>IF($B$2=J2,-'RCF-FS'!I42,0)</f>
        <v>0</v>
      </c>
      <c r="K65" s="1579">
        <f>IF($B$2=K2,-'RCF-FS'!J42,0)</f>
        <v>0</v>
      </c>
      <c r="L65" s="1579">
        <f>IF($B$2=L2,-'RCF-FS'!K42,0)</f>
        <v>0</v>
      </c>
      <c r="M65" s="1580">
        <f>IF($B$2=M2,-'RCF-FS'!L42,0)</f>
        <v>0</v>
      </c>
      <c r="N65" s="1347"/>
      <c r="O65" s="1586">
        <f>O45</f>
        <v>2024</v>
      </c>
      <c r="P65" s="310">
        <f>Bond!G53</f>
        <v>17934</v>
      </c>
      <c r="Q65" s="1676"/>
      <c r="R65" s="1625">
        <f>-R25</f>
        <v>0</v>
      </c>
      <c r="S65" s="1625">
        <f>-S25</f>
        <v>-17934</v>
      </c>
      <c r="T65" s="1625">
        <f>-T25</f>
        <v>0</v>
      </c>
      <c r="U65" s="1625">
        <f>-U25</f>
        <v>0</v>
      </c>
      <c r="V65" s="1625">
        <f>-V25</f>
        <v>0</v>
      </c>
      <c r="W65" s="1676"/>
      <c r="X65" s="1676"/>
      <c r="Y65" s="1607"/>
      <c r="Z65" s="1347"/>
      <c r="AA65" s="1347"/>
    </row>
    <row r="66" spans="1:27" s="306" customFormat="1">
      <c r="A66" s="1347"/>
      <c r="B66" s="1347"/>
      <c r="C66" s="1347"/>
      <c r="D66" s="1647" t="s">
        <v>52</v>
      </c>
      <c r="E66" s="1347"/>
      <c r="F66" s="1579">
        <f>IF($B$2=F2,-'RCF-FS'!P17,0)</f>
        <v>0</v>
      </c>
      <c r="G66" s="1579">
        <f>IF($B$2=G2,-'RCF-FS'!Q17,0)</f>
        <v>0</v>
      </c>
      <c r="H66" s="1579">
        <f>IF($B$2=H2,-'RCF-FS'!R17,0)</f>
        <v>0</v>
      </c>
      <c r="I66" s="1579">
        <f>IF($B$2=I2,-'RCF-FS'!S17,0)</f>
        <v>0</v>
      </c>
      <c r="J66" s="1579">
        <f>IF($B$2=J2,-'RCF-FS'!T17,0)</f>
        <v>0</v>
      </c>
      <c r="K66" s="1579">
        <f ca="1">IF($B$2=K2,-'RCF-FS'!U17,0)</f>
        <v>0</v>
      </c>
      <c r="L66" s="1579">
        <f>IF($B$2=L2,-'RCF-FS'!V17,0)</f>
        <v>0</v>
      </c>
      <c r="M66" s="1580">
        <f>IF($B$2=M2,-'RCF-FS'!W17,0)</f>
        <v>0</v>
      </c>
      <c r="N66" s="1347"/>
      <c r="O66" s="1586">
        <f>O46</f>
        <v>2025</v>
      </c>
      <c r="P66" s="310">
        <f>Bond!H53</f>
        <v>17934</v>
      </c>
      <c r="Q66" s="1676"/>
      <c r="R66" s="1676"/>
      <c r="S66" s="1625">
        <f>-S26</f>
        <v>0</v>
      </c>
      <c r="T66" s="1625">
        <f>-T26</f>
        <v>0</v>
      </c>
      <c r="U66" s="1625">
        <f>-U26</f>
        <v>-17934</v>
      </c>
      <c r="V66" s="1625">
        <f>-V26</f>
        <v>0</v>
      </c>
      <c r="W66" s="1625">
        <f>-W26</f>
        <v>0</v>
      </c>
      <c r="X66" s="1676"/>
      <c r="Y66" s="1607"/>
    </row>
    <row r="67" spans="1:27" s="306" customFormat="1">
      <c r="A67" s="1347"/>
      <c r="B67" s="1347"/>
      <c r="C67" s="1347"/>
      <c r="D67" s="1647" t="s">
        <v>94</v>
      </c>
      <c r="E67" s="1347"/>
      <c r="F67" s="1579">
        <f t="shared" ref="F67:M67" si="47">IF($B$2=F2,-$B$10,0)</f>
        <v>0</v>
      </c>
      <c r="G67" s="1579">
        <f t="shared" si="47"/>
        <v>0</v>
      </c>
      <c r="H67" s="1579">
        <f t="shared" si="47"/>
        <v>0</v>
      </c>
      <c r="I67" s="1579">
        <f t="shared" si="47"/>
        <v>0</v>
      </c>
      <c r="J67" s="1579">
        <f t="shared" si="47"/>
        <v>0</v>
      </c>
      <c r="K67" s="1579">
        <f t="shared" si="47"/>
        <v>0</v>
      </c>
      <c r="L67" s="1579">
        <f t="shared" si="47"/>
        <v>0</v>
      </c>
      <c r="M67" s="1580">
        <f t="shared" si="47"/>
        <v>0</v>
      </c>
      <c r="N67" s="1347"/>
      <c r="O67" s="1586">
        <f>O47</f>
        <v>2026</v>
      </c>
      <c r="P67" s="310">
        <f>Bond!I53</f>
        <v>17934</v>
      </c>
      <c r="Q67" s="1676"/>
      <c r="R67" s="1676"/>
      <c r="S67" s="1676"/>
      <c r="T67" s="1625">
        <f>-T27</f>
        <v>0</v>
      </c>
      <c r="U67" s="1625">
        <f>-U27</f>
        <v>-17934</v>
      </c>
      <c r="V67" s="1625">
        <f>-V27</f>
        <v>0</v>
      </c>
      <c r="W67" s="1625">
        <f>-W27</f>
        <v>0</v>
      </c>
      <c r="X67" s="1625">
        <f>-X27</f>
        <v>0</v>
      </c>
      <c r="Y67" s="1607"/>
    </row>
    <row r="68" spans="1:27" s="306" customFormat="1">
      <c r="A68" s="1347"/>
      <c r="B68" s="1347"/>
      <c r="C68" s="1347"/>
      <c r="D68" s="1647" t="s">
        <v>387</v>
      </c>
      <c r="E68" s="1347"/>
      <c r="F68" s="1579">
        <f>IF($B$2=F2,-'RCF-F'!$B$9,0)</f>
        <v>0</v>
      </c>
      <c r="G68" s="1579">
        <f>IF($B$2=G2,-'RCF-F'!$B$9,0)</f>
        <v>0</v>
      </c>
      <c r="H68" s="1579">
        <f>IF($B$2=H2,-'RCF-F'!$B$9,0)</f>
        <v>0</v>
      </c>
      <c r="I68" s="1579">
        <f>IF($B$2=I2,-'RCF-F'!$B$9,0)</f>
        <v>0</v>
      </c>
      <c r="J68" s="1579">
        <f>IF($B$2=J2,-'RCF-F'!$B$9,0)</f>
        <v>0</v>
      </c>
      <c r="K68" s="1579">
        <f>IF($B$2=K2,-'RCF-F'!$B$9,0)</f>
        <v>-100</v>
      </c>
      <c r="L68" s="1579">
        <f>IF($B$2=L2,-'RCF-F'!$B$9,0)</f>
        <v>0</v>
      </c>
      <c r="M68" s="1580">
        <f>IF($B$2=M2,-'RCF-F'!$B$9,0)</f>
        <v>0</v>
      </c>
      <c r="N68" s="1347"/>
      <c r="O68" s="1586">
        <f>O48</f>
        <v>2027</v>
      </c>
      <c r="P68" s="310">
        <f>Bond!J53</f>
        <v>17934</v>
      </c>
      <c r="Q68" s="1594"/>
      <c r="R68" s="1594"/>
      <c r="S68" s="1594"/>
      <c r="T68" s="1594"/>
      <c r="U68" s="1629">
        <f>-U28</f>
        <v>-17934</v>
      </c>
      <c r="V68" s="1629">
        <f>-V28</f>
        <v>0</v>
      </c>
      <c r="W68" s="1629">
        <f>-W28</f>
        <v>0</v>
      </c>
      <c r="X68" s="1629">
        <f>-X28</f>
        <v>0</v>
      </c>
      <c r="Y68" s="1607"/>
    </row>
    <row r="69" spans="1:27" s="306" customFormat="1">
      <c r="A69" s="1347"/>
      <c r="B69" s="1347"/>
      <c r="C69" s="1347"/>
      <c r="D69" s="1343" t="s">
        <v>388</v>
      </c>
      <c r="E69" s="1347"/>
      <c r="F69" s="1545">
        <f t="shared" ref="F69:M69" si="48">IF($B$2=F2,IF(F59+F62+F63+F64+F65+F66+F67+F68&gt;0,-(F59+F62+F63+F64+F65+F66+F67+F68),0),0)</f>
        <v>0</v>
      </c>
      <c r="G69" s="1545">
        <f t="shared" si="48"/>
        <v>0</v>
      </c>
      <c r="H69" s="1545">
        <f t="shared" si="48"/>
        <v>0</v>
      </c>
      <c r="I69" s="1545">
        <f t="shared" si="48"/>
        <v>0</v>
      </c>
      <c r="J69" s="1545">
        <f t="shared" si="48"/>
        <v>0</v>
      </c>
      <c r="K69" s="1545">
        <f ca="1">IF($B$2=K2,IF(K59+K62+K63+K64+K65+K66+K67+K68&gt;0,-(K59+K62+K63+K64+K65+K66+K67+K68),0),0)</f>
        <v>-43352.677622879812</v>
      </c>
      <c r="L69" s="1545">
        <f t="shared" si="48"/>
        <v>0</v>
      </c>
      <c r="M69" s="1546">
        <f t="shared" si="48"/>
        <v>0</v>
      </c>
      <c r="N69" s="1347"/>
      <c r="O69" s="1612"/>
      <c r="P69" s="310"/>
      <c r="Q69" s="1686">
        <f t="shared" ref="Q69:X69" si="49">SUM(Q64:Q68)</f>
        <v>0</v>
      </c>
      <c r="R69" s="1686">
        <f t="shared" si="49"/>
        <v>-172</v>
      </c>
      <c r="S69" s="1686">
        <f t="shared" si="49"/>
        <v>-18106</v>
      </c>
      <c r="T69" s="1686">
        <f t="shared" si="49"/>
        <v>0</v>
      </c>
      <c r="U69" s="1686">
        <f t="shared" si="49"/>
        <v>-53802</v>
      </c>
      <c r="V69" s="1686">
        <f t="shared" si="49"/>
        <v>0</v>
      </c>
      <c r="W69" s="1686">
        <f t="shared" si="49"/>
        <v>0</v>
      </c>
      <c r="X69" s="1686">
        <f t="shared" si="49"/>
        <v>0</v>
      </c>
      <c r="Y69" s="1591"/>
    </row>
    <row r="70" spans="1:27" s="306" customFormat="1" ht="13.5" thickBot="1">
      <c r="A70" s="1347"/>
      <c r="B70" s="1347"/>
      <c r="C70" s="1347"/>
      <c r="D70" s="1649" t="s">
        <v>71</v>
      </c>
      <c r="E70" s="1664"/>
      <c r="F70" s="1665">
        <f t="shared" ref="F70:M70" ca="1" si="50">F59+SUM(F62:F69)</f>
        <v>17628.366672621596</v>
      </c>
      <c r="G70" s="1665">
        <f t="shared" ca="1" si="50"/>
        <v>80475.823258410266</v>
      </c>
      <c r="H70" s="1665">
        <f t="shared" ca="1" si="50"/>
        <v>88929.65509882514</v>
      </c>
      <c r="I70" s="1665">
        <f t="shared" ca="1" si="50"/>
        <v>138291.08674176052</v>
      </c>
      <c r="J70" s="1665">
        <f t="shared" ca="1" si="50"/>
        <v>63697.917155613628</v>
      </c>
      <c r="K70" s="1665">
        <f t="shared" ca="1" si="50"/>
        <v>0</v>
      </c>
      <c r="L70" s="1665">
        <f t="shared" ca="1" si="50"/>
        <v>0</v>
      </c>
      <c r="M70" s="1666">
        <f t="shared" ca="1" si="50"/>
        <v>0</v>
      </c>
      <c r="N70" s="1347"/>
      <c r="O70" s="432"/>
      <c r="P70" s="1667"/>
      <c r="Q70" s="1667"/>
      <c r="R70" s="1667"/>
      <c r="S70" s="1667"/>
      <c r="T70" s="1667"/>
      <c r="U70" s="1667"/>
      <c r="V70" s="1667"/>
      <c r="W70" s="1667"/>
      <c r="X70" s="1667"/>
      <c r="Y70" s="1591"/>
    </row>
    <row r="71" spans="1:27" s="306" customFormat="1" ht="13.5" thickBot="1">
      <c r="A71" s="1347"/>
      <c r="B71" s="1347"/>
      <c r="C71" s="1347"/>
      <c r="N71" s="1347"/>
      <c r="O71" s="432"/>
      <c r="P71" s="1690"/>
      <c r="Q71" s="433" t="s">
        <v>429</v>
      </c>
      <c r="R71" s="1667"/>
      <c r="S71" s="1667"/>
      <c r="T71" s="1667"/>
      <c r="U71" s="1667"/>
      <c r="V71" s="1667"/>
      <c r="W71" s="1667"/>
      <c r="X71" s="1667"/>
      <c r="Y71" s="1591"/>
    </row>
    <row r="72" spans="1:27" s="306" customFormat="1">
      <c r="A72" s="1347"/>
      <c r="B72" s="1347"/>
      <c r="C72" s="1347"/>
      <c r="D72" s="1669" t="s">
        <v>441</v>
      </c>
      <c r="E72" s="1670" t="s">
        <v>442</v>
      </c>
      <c r="F72" s="1671">
        <v>395000</v>
      </c>
      <c r="G72" s="1671">
        <v>200000</v>
      </c>
      <c r="H72" s="1671">
        <v>200000</v>
      </c>
      <c r="I72" s="1671">
        <v>200000</v>
      </c>
      <c r="J72" s="1671">
        <v>200000</v>
      </c>
      <c r="K72" s="1671">
        <v>200000</v>
      </c>
      <c r="L72" s="1671">
        <v>200000</v>
      </c>
      <c r="M72" s="1672">
        <v>200001</v>
      </c>
      <c r="N72" s="1347"/>
      <c r="O72" s="1581" t="s">
        <v>422</v>
      </c>
      <c r="P72" s="1690"/>
      <c r="Q72" s="1584">
        <f>Q63</f>
        <v>2023</v>
      </c>
      <c r="R72" s="1584">
        <f t="shared" ref="R72:X72" si="51">Q72+1</f>
        <v>2024</v>
      </c>
      <c r="S72" s="1584">
        <f t="shared" si="51"/>
        <v>2025</v>
      </c>
      <c r="T72" s="1584">
        <f t="shared" si="51"/>
        <v>2026</v>
      </c>
      <c r="U72" s="1584">
        <f t="shared" si="51"/>
        <v>2027</v>
      </c>
      <c r="V72" s="1584">
        <f t="shared" si="51"/>
        <v>2028</v>
      </c>
      <c r="W72" s="1584">
        <f t="shared" si="51"/>
        <v>2029</v>
      </c>
      <c r="X72" s="1584">
        <f t="shared" si="51"/>
        <v>2030</v>
      </c>
      <c r="Y72" s="1591"/>
    </row>
    <row r="73" spans="1:27" s="306" customFormat="1">
      <c r="A73" s="1347"/>
      <c r="B73" s="1347"/>
      <c r="C73" s="1347"/>
      <c r="D73" s="1674"/>
      <c r="E73" s="1675" t="s">
        <v>443</v>
      </c>
      <c r="F73" s="2">
        <v>395000</v>
      </c>
      <c r="G73" s="2">
        <f t="shared" ref="G73:M73" si="52">G72</f>
        <v>200000</v>
      </c>
      <c r="H73" s="2">
        <f t="shared" si="52"/>
        <v>200000</v>
      </c>
      <c r="I73" s="2">
        <f t="shared" si="52"/>
        <v>200000</v>
      </c>
      <c r="J73" s="2">
        <f t="shared" si="52"/>
        <v>200000</v>
      </c>
      <c r="K73" s="2">
        <f t="shared" si="52"/>
        <v>200000</v>
      </c>
      <c r="L73" s="2">
        <f t="shared" si="52"/>
        <v>200000</v>
      </c>
      <c r="M73" s="3">
        <f t="shared" si="52"/>
        <v>200001</v>
      </c>
      <c r="N73" s="1347"/>
      <c r="O73" s="1586">
        <f>O64</f>
        <v>2023</v>
      </c>
      <c r="P73" s="436">
        <f ca="1">IF(P64=0,0,P81/P64)</f>
        <v>3.1309813027800901</v>
      </c>
      <c r="Q73" s="1692">
        <f>P64+Q64</f>
        <v>344</v>
      </c>
      <c r="R73" s="1692">
        <f>Q73+R64</f>
        <v>172</v>
      </c>
      <c r="S73" s="1692">
        <f>R73+S64</f>
        <v>0</v>
      </c>
      <c r="T73" s="1692">
        <f>S73+T64</f>
        <v>0</v>
      </c>
      <c r="U73" s="1692">
        <f>T73+U64</f>
        <v>0</v>
      </c>
      <c r="V73" s="1692"/>
      <c r="W73" s="1692"/>
      <c r="X73" s="1692"/>
      <c r="Y73" s="1591"/>
    </row>
    <row r="74" spans="1:27" s="306" customFormat="1">
      <c r="A74" s="1347"/>
      <c r="B74" s="1347"/>
      <c r="C74" s="1347"/>
      <c r="D74" s="1674"/>
      <c r="E74" s="1677"/>
      <c r="F74" s="1678"/>
      <c r="G74" s="1678"/>
      <c r="H74" s="1678"/>
      <c r="I74" s="1678"/>
      <c r="J74" s="1678"/>
      <c r="K74" s="1679"/>
      <c r="L74" s="1678"/>
      <c r="M74" s="1680"/>
      <c r="N74" s="1347"/>
      <c r="O74" s="1586">
        <f>O65</f>
        <v>2024</v>
      </c>
      <c r="P74" s="436">
        <f ca="1">IF(P65=0,0,P82/P65)</f>
        <v>3.0508525610768942</v>
      </c>
      <c r="Q74" s="1692"/>
      <c r="R74" s="1692">
        <f>P65+R65</f>
        <v>17934</v>
      </c>
      <c r="S74" s="1692">
        <f>R74+S65</f>
        <v>0</v>
      </c>
      <c r="T74" s="1692">
        <f>S74+T65</f>
        <v>0</v>
      </c>
      <c r="U74" s="1692">
        <f>T74+U65</f>
        <v>0</v>
      </c>
      <c r="V74" s="1692"/>
      <c r="W74" s="1692"/>
      <c r="X74" s="1692"/>
      <c r="Y74" s="1591"/>
    </row>
    <row r="75" spans="1:27">
      <c r="D75" s="1681"/>
      <c r="E75" s="1682"/>
      <c r="F75" s="1683">
        <v>0.15</v>
      </c>
      <c r="G75" s="1683">
        <f>F75</f>
        <v>0.15</v>
      </c>
      <c r="H75" s="1683">
        <f t="shared" ref="H75:M76" si="53">G75</f>
        <v>0.15</v>
      </c>
      <c r="I75" s="1683">
        <f t="shared" si="53"/>
        <v>0.15</v>
      </c>
      <c r="J75" s="1683">
        <f t="shared" si="53"/>
        <v>0.15</v>
      </c>
      <c r="K75" s="1683">
        <f t="shared" si="53"/>
        <v>0.15</v>
      </c>
      <c r="L75" s="1683">
        <f t="shared" si="53"/>
        <v>0.15</v>
      </c>
      <c r="M75" s="105">
        <f t="shared" si="53"/>
        <v>0.15</v>
      </c>
      <c r="O75" s="1586">
        <f>O66</f>
        <v>2025</v>
      </c>
      <c r="P75" s="436">
        <f ca="1">IF(P66=0,0,P83/P66)</f>
        <v>3.1730912166704299</v>
      </c>
      <c r="Q75" s="1692"/>
      <c r="R75" s="1692"/>
      <c r="S75" s="1692">
        <f>S66+P66</f>
        <v>17934</v>
      </c>
      <c r="T75" s="1692">
        <f>T66+S75</f>
        <v>17934</v>
      </c>
      <c r="U75" s="1692">
        <f>U66+T75</f>
        <v>0</v>
      </c>
      <c r="V75" s="1692">
        <f>V66+U75</f>
        <v>0</v>
      </c>
      <c r="W75" s="1692"/>
      <c r="X75" s="1692"/>
      <c r="Y75" s="1591"/>
      <c r="Z75" s="306"/>
      <c r="AA75" s="306"/>
    </row>
    <row r="76" spans="1:27" ht="13.5" thickBot="1">
      <c r="D76" s="1681"/>
      <c r="E76" s="1682"/>
      <c r="F76" s="1684">
        <v>0.25800000000000001</v>
      </c>
      <c r="G76" s="1684">
        <f>F76</f>
        <v>0.25800000000000001</v>
      </c>
      <c r="H76" s="1684">
        <f t="shared" si="53"/>
        <v>0.25800000000000001</v>
      </c>
      <c r="I76" s="1684">
        <f t="shared" si="53"/>
        <v>0.25800000000000001</v>
      </c>
      <c r="J76" s="1684">
        <f t="shared" si="53"/>
        <v>0.25800000000000001</v>
      </c>
      <c r="K76" s="1684">
        <f t="shared" si="53"/>
        <v>0.25800000000000001</v>
      </c>
      <c r="L76" s="1684">
        <f t="shared" si="53"/>
        <v>0.25800000000000001</v>
      </c>
      <c r="M76" s="1685">
        <f t="shared" si="53"/>
        <v>0.25800000000000001</v>
      </c>
      <c r="O76" s="1586">
        <f>O67</f>
        <v>2026</v>
      </c>
      <c r="P76" s="436">
        <f ca="1">IF(P67=0,0,P84/P67)</f>
        <v>3.1715556078997076</v>
      </c>
      <c r="Q76" s="1692"/>
      <c r="R76" s="1692"/>
      <c r="S76" s="1692"/>
      <c r="T76" s="1692">
        <f>T67+P67</f>
        <v>17934</v>
      </c>
      <c r="U76" s="1692">
        <f>U67+T76</f>
        <v>0</v>
      </c>
      <c r="V76" s="1692">
        <f>V67+U76</f>
        <v>0</v>
      </c>
      <c r="W76" s="1692">
        <f>W67+V76</f>
        <v>0</v>
      </c>
      <c r="X76" s="1692"/>
      <c r="Y76" s="1591"/>
      <c r="Z76" s="306"/>
      <c r="AA76" s="306"/>
    </row>
    <row r="77" spans="1:27" ht="13.5" thickTop="1">
      <c r="D77" s="1674"/>
      <c r="E77" s="1677"/>
      <c r="F77" s="1683"/>
      <c r="G77" s="1683"/>
      <c r="H77" s="1683"/>
      <c r="I77" s="1683"/>
      <c r="J77" s="1683"/>
      <c r="K77" s="1683"/>
      <c r="L77" s="1683"/>
      <c r="M77" s="105"/>
      <c r="O77" s="1586">
        <f>O68</f>
        <v>2027</v>
      </c>
      <c r="P77" s="436">
        <f ca="1">IF(P68=0,0,P85/P68)</f>
        <v>3.1527129187853942</v>
      </c>
      <c r="Q77" s="1545"/>
      <c r="R77" s="1545"/>
      <c r="S77" s="1545"/>
      <c r="T77" s="1545"/>
      <c r="U77" s="1545">
        <f>U68+P68</f>
        <v>0</v>
      </c>
      <c r="V77" s="1545">
        <f>V68+U77</f>
        <v>0</v>
      </c>
      <c r="W77" s="1545">
        <f>W68+V77</f>
        <v>0</v>
      </c>
      <c r="X77" s="1545">
        <f>X68+W77</f>
        <v>0</v>
      </c>
      <c r="Y77" s="1591"/>
      <c r="Z77" s="306"/>
    </row>
    <row r="78" spans="1:27">
      <c r="D78" s="1299" t="s">
        <v>444</v>
      </c>
      <c r="E78" s="1687"/>
      <c r="F78" s="1688">
        <f t="shared" ref="F78:L78" ca="1" si="54">F18</f>
        <v>13992.05756815635</v>
      </c>
      <c r="G78" s="1688">
        <f t="shared" ca="1" si="54"/>
        <v>64821.195001618427</v>
      </c>
      <c r="H78" s="1688">
        <f t="shared" ca="1" si="54"/>
        <v>12627.700765336311</v>
      </c>
      <c r="I78" s="1688">
        <f t="shared" ca="1" si="54"/>
        <v>56121.85404732218</v>
      </c>
      <c r="J78" s="1688">
        <f t="shared" ca="1" si="54"/>
        <v>-90493.986759286432</v>
      </c>
      <c r="K78" s="1688">
        <f t="shared" ca="1" si="54"/>
        <v>0</v>
      </c>
      <c r="L78" s="1688">
        <f t="shared" ca="1" si="54"/>
        <v>0</v>
      </c>
      <c r="M78" s="1689">
        <f ca="1">M18</f>
        <v>0</v>
      </c>
      <c r="O78" s="434"/>
      <c r="P78" s="436"/>
      <c r="Q78" s="1686">
        <f t="shared" ref="Q78:X78" si="55">SUM(Q73:Q77)</f>
        <v>344</v>
      </c>
      <c r="R78" s="1686">
        <f t="shared" si="55"/>
        <v>18106</v>
      </c>
      <c r="S78" s="1686">
        <f t="shared" si="55"/>
        <v>17934</v>
      </c>
      <c r="T78" s="1686">
        <f t="shared" si="55"/>
        <v>35868</v>
      </c>
      <c r="U78" s="1686">
        <f t="shared" si="55"/>
        <v>0</v>
      </c>
      <c r="V78" s="1686">
        <f t="shared" si="55"/>
        <v>0</v>
      </c>
      <c r="W78" s="1686">
        <f t="shared" si="55"/>
        <v>0</v>
      </c>
      <c r="X78" s="1686">
        <f t="shared" si="55"/>
        <v>0</v>
      </c>
      <c r="Y78" s="1591"/>
      <c r="Z78" s="306"/>
    </row>
    <row r="79" spans="1:27">
      <c r="D79" s="1299"/>
      <c r="E79" s="1682"/>
      <c r="F79" s="1688"/>
      <c r="G79" s="1688"/>
      <c r="H79" s="1688"/>
      <c r="I79" s="1688"/>
      <c r="J79" s="1688"/>
      <c r="K79" s="1688"/>
      <c r="L79" s="1688"/>
      <c r="M79" s="1689"/>
      <c r="O79" s="432"/>
      <c r="P79" s="1667"/>
      <c r="Q79" s="1667"/>
      <c r="R79" s="1667"/>
      <c r="S79" s="1667"/>
      <c r="T79" s="1667"/>
      <c r="U79" s="1667"/>
      <c r="V79" s="1667"/>
      <c r="W79" s="1667"/>
      <c r="X79" s="1667"/>
      <c r="Y79" s="1591"/>
    </row>
    <row r="80" spans="1:27">
      <c r="D80" s="1299" t="s">
        <v>32</v>
      </c>
      <c r="E80" s="1682"/>
      <c r="F80" s="1688">
        <f t="shared" ref="F80:M80" ca="1" si="56">IF($B$2&gt;=F2,IF(F78&gt;0,-IF(F78&lt;F72,F78*F75,(F78-F72)*F76+(F72*F75)),IF(F78&lt;0,IF(-F78&lt;F72,-F78*F75,(-F78-F72)*F76+(F75*F72)),0)),0)</f>
        <v>-2098.8086352234523</v>
      </c>
      <c r="G80" s="1688">
        <f t="shared" ca="1" si="56"/>
        <v>-9723.1792502427634</v>
      </c>
      <c r="H80" s="1688">
        <f t="shared" ca="1" si="56"/>
        <v>-1894.1551148004464</v>
      </c>
      <c r="I80" s="1688">
        <f t="shared" ca="1" si="56"/>
        <v>-8418.2781070983274</v>
      </c>
      <c r="J80" s="1688">
        <f t="shared" ca="1" si="56"/>
        <v>13574.098013892964</v>
      </c>
      <c r="K80" s="1688">
        <f t="shared" ca="1" si="56"/>
        <v>0</v>
      </c>
      <c r="L80" s="1688">
        <f t="shared" si="56"/>
        <v>0</v>
      </c>
      <c r="M80" s="1689">
        <f t="shared" si="56"/>
        <v>0</v>
      </c>
      <c r="O80" s="1581" t="s">
        <v>431</v>
      </c>
      <c r="P80" s="433"/>
      <c r="Q80" s="1584">
        <f>Q72</f>
        <v>2023</v>
      </c>
      <c r="R80" s="1584">
        <f t="shared" ref="R80:X80" si="57">Q80+1</f>
        <v>2024</v>
      </c>
      <c r="S80" s="1584">
        <f t="shared" si="57"/>
        <v>2025</v>
      </c>
      <c r="T80" s="1584">
        <f t="shared" si="57"/>
        <v>2026</v>
      </c>
      <c r="U80" s="1584">
        <f t="shared" si="57"/>
        <v>2027</v>
      </c>
      <c r="V80" s="1584">
        <f t="shared" si="57"/>
        <v>2028</v>
      </c>
      <c r="W80" s="1584">
        <f t="shared" si="57"/>
        <v>2029</v>
      </c>
      <c r="X80" s="1584">
        <f t="shared" si="57"/>
        <v>2030</v>
      </c>
      <c r="Y80" s="1591"/>
    </row>
    <row r="81" spans="4:25">
      <c r="D81" s="1681"/>
      <c r="E81" s="1682"/>
      <c r="F81" s="1688"/>
      <c r="G81" s="1688"/>
      <c r="H81" s="1688"/>
      <c r="I81" s="1688"/>
      <c r="J81" s="1688"/>
      <c r="K81" s="1688"/>
      <c r="L81" s="1679"/>
      <c r="M81" s="1691"/>
      <c r="O81" s="1586">
        <f>O73</f>
        <v>2023</v>
      </c>
      <c r="P81" s="2">
        <f ca="1">Bond!F59+Bond!F60</f>
        <v>1077.057568156351</v>
      </c>
      <c r="Q81" s="2">
        <f ca="1">Q73*$P73</f>
        <v>1077.057568156351</v>
      </c>
      <c r="R81" s="2">
        <f ca="1">R73*$P73</f>
        <v>538.52878407817548</v>
      </c>
      <c r="S81" s="2">
        <f ca="1">S73*$P73</f>
        <v>0</v>
      </c>
      <c r="T81" s="2">
        <f ca="1">T73*$P73</f>
        <v>0</v>
      </c>
      <c r="U81" s="2">
        <f ca="1">U73*$P73</f>
        <v>0</v>
      </c>
      <c r="V81" s="2"/>
      <c r="W81" s="2"/>
      <c r="X81" s="2"/>
      <c r="Y81" s="1591"/>
    </row>
    <row r="82" spans="4:25">
      <c r="D82" s="1681" t="s">
        <v>445</v>
      </c>
      <c r="E82" s="1682"/>
      <c r="F82" s="2">
        <f t="shared" ref="F82:L82" ca="1" si="58">IF(F80+F83=0,0,-IF(AND(F80+F83&lt;0,G80&gt;0),IF(-F80-F83&gt;G80,-F80-F83,F80+F83),0))</f>
        <v>0</v>
      </c>
      <c r="G82" s="2">
        <f t="shared" ca="1" si="58"/>
        <v>0</v>
      </c>
      <c r="H82" s="2">
        <f t="shared" ca="1" si="58"/>
        <v>0</v>
      </c>
      <c r="I82" s="2">
        <f t="shared" ca="1" si="58"/>
        <v>8418.2781070983274</v>
      </c>
      <c r="J82" s="2">
        <f t="shared" ca="1" si="58"/>
        <v>0</v>
      </c>
      <c r="K82" s="2">
        <f t="shared" ca="1" si="58"/>
        <v>0</v>
      </c>
      <c r="L82" s="2">
        <f t="shared" si="58"/>
        <v>0</v>
      </c>
      <c r="M82" s="3">
        <f>IF(M80+M83=0,0,-IF(AND(M80+M83&lt;0,N90&gt;0),IF(-M80-M83&gt;N90,-M80-M83,M80+M83),0))</f>
        <v>0</v>
      </c>
      <c r="O82" s="1586">
        <f>O74</f>
        <v>2024</v>
      </c>
      <c r="P82" s="2">
        <f ca="1">Bond!G59+Bond!G60</f>
        <v>54713.989830353021</v>
      </c>
      <c r="Q82" s="2"/>
      <c r="R82" s="2">
        <f ca="1">R74*$P74</f>
        <v>54713.989830353021</v>
      </c>
      <c r="S82" s="2">
        <f ca="1">S74*$P74</f>
        <v>0</v>
      </c>
      <c r="T82" s="2">
        <f ca="1">T74*$P74</f>
        <v>0</v>
      </c>
      <c r="U82" s="2">
        <f ca="1">U74*$P74</f>
        <v>0</v>
      </c>
      <c r="V82" s="2">
        <f ca="1">V74*$P74</f>
        <v>0</v>
      </c>
      <c r="W82" s="2"/>
      <c r="X82" s="2"/>
      <c r="Y82" s="437"/>
    </row>
    <row r="83" spans="4:25">
      <c r="D83" s="1681" t="s">
        <v>446</v>
      </c>
      <c r="E83" s="1682"/>
      <c r="F83" s="2"/>
      <c r="G83" s="2">
        <f ca="1">-IF(G80&lt;0,IF(AND(+F80+G80&gt;0,G80&lt;0),G80,IF(+F80&lt;0,0,-F80)))</f>
        <v>0</v>
      </c>
      <c r="H83" s="2">
        <f ca="1">-IF(H80&lt;0,IF(AND(+F80+G80+H80&gt;0,H80&lt;0),H80,IF(+F80+G80&lt;0,0,-F80-G80)))</f>
        <v>0</v>
      </c>
      <c r="I83" s="2">
        <f ca="1">-IF(I80&lt;0,IF(AND(F80+G80+H80+I80&gt;0,I80&lt;0),I80,IF(F80+G80+H80&lt;0,0,-F80-G80-H80)))</f>
        <v>0</v>
      </c>
      <c r="J83" s="2">
        <f ca="1">IF(J80&lt;0,IF(AND(F80+G80+H80+I80+J80&gt;0,J80&lt;0),J80,IF(+F80+G80+H80+I80&lt;0,0,-F80-G80-H80-I80)),0)</f>
        <v>0</v>
      </c>
      <c r="K83" s="2">
        <f ca="1">-IF(K80&lt;0,IF(AND(+G80+F80+H80+I80+J80+K80&gt;0,K80&lt;0),K80,IF(G80+F80+H80+I80+J80&lt;0,0,-G80-F80-H80-I80-J80)))</f>
        <v>0</v>
      </c>
      <c r="L83" s="2">
        <f>-IF(L80&lt;0,IF(AND(+F80+H80+G80+I80+J80+K80+L80&gt;0,L80&lt;0),L80,IF(F80+H80+G80+I80+J80+K80&lt;0,0,-F80-H80-G80-I80-J80-K80)))</f>
        <v>0</v>
      </c>
      <c r="M83" s="3">
        <f>-IF(M80&lt;0,IF(AND(+G80+I80+H80+J80+K80+L80+M80&gt;0,M80&lt;0),M80,IF(G80+I80+H80+J80+K80+L80&lt;0,0,-G80-I80-H80-J80-K80-L80)))</f>
        <v>0</v>
      </c>
      <c r="O83" s="1586">
        <f>O75</f>
        <v>2025</v>
      </c>
      <c r="P83" s="2">
        <f ca="1">Bond!H59+Bond!H60</f>
        <v>56906.217879767493</v>
      </c>
      <c r="Q83" s="2"/>
      <c r="R83" s="2"/>
      <c r="S83" s="2">
        <f ca="1">S75*$P75</f>
        <v>56906.217879767493</v>
      </c>
      <c r="T83" s="2">
        <f ca="1">T75*$P75</f>
        <v>56906.217879767493</v>
      </c>
      <c r="U83" s="2">
        <f ca="1">U75*$P75</f>
        <v>0</v>
      </c>
      <c r="V83" s="2">
        <f ca="1">V75*$P75</f>
        <v>0</v>
      </c>
      <c r="W83" s="2">
        <f ca="1">W75*$P75</f>
        <v>0</v>
      </c>
      <c r="X83" s="2"/>
      <c r="Y83" s="437"/>
    </row>
    <row r="84" spans="4:25">
      <c r="D84" s="1681"/>
      <c r="E84" s="1682"/>
      <c r="F84" s="1688"/>
      <c r="G84" s="1688"/>
      <c r="H84" s="1688"/>
      <c r="I84" s="1688"/>
      <c r="J84" s="1688"/>
      <c r="K84" s="1688"/>
      <c r="L84" s="1688"/>
      <c r="M84" s="1689"/>
      <c r="O84" s="1586">
        <f>O76</f>
        <v>2026</v>
      </c>
      <c r="P84" s="2">
        <f ca="1">Bond!I59+Bond!I60</f>
        <v>56878.678272073354</v>
      </c>
      <c r="Q84" s="2"/>
      <c r="R84" s="2"/>
      <c r="S84" s="2"/>
      <c r="T84" s="2">
        <f ca="1">T76*$P76</f>
        <v>56878.678272073354</v>
      </c>
      <c r="U84" s="2">
        <f ca="1">U76*$P76</f>
        <v>0</v>
      </c>
      <c r="V84" s="2">
        <f ca="1">V76*$P76</f>
        <v>0</v>
      </c>
      <c r="W84" s="2">
        <f ca="1">W76*$P76</f>
        <v>0</v>
      </c>
      <c r="X84" s="2"/>
      <c r="Y84" s="437"/>
    </row>
    <row r="85" spans="4:25">
      <c r="D85" s="1299" t="s">
        <v>36</v>
      </c>
      <c r="E85" s="1682"/>
      <c r="F85" s="1688">
        <f t="shared" ref="F85:L85" ca="1" si="59">IF(F80+F83&lt;0,F80+F83,0)</f>
        <v>-2098.8086352234523</v>
      </c>
      <c r="G85" s="1688">
        <f t="shared" ca="1" si="59"/>
        <v>-9723.1792502427634</v>
      </c>
      <c r="H85" s="1688">
        <f t="shared" ca="1" si="59"/>
        <v>-1894.1551148004464</v>
      </c>
      <c r="I85" s="1688">
        <f t="shared" ca="1" si="59"/>
        <v>-8418.2781070983274</v>
      </c>
      <c r="J85" s="1688">
        <f t="shared" ca="1" si="59"/>
        <v>0</v>
      </c>
      <c r="K85" s="1688">
        <f t="shared" ca="1" si="59"/>
        <v>0</v>
      </c>
      <c r="L85" s="1688">
        <f t="shared" si="59"/>
        <v>0</v>
      </c>
      <c r="M85" s="1689">
        <f>IF(M80+M83&lt;0,M80+M83,0)</f>
        <v>0</v>
      </c>
      <c r="O85" s="1586">
        <f>O77</f>
        <v>2027</v>
      </c>
      <c r="P85" s="2">
        <f ca="1">Bond!J59+Bond!J60</f>
        <v>56540.753485497262</v>
      </c>
      <c r="Q85" s="107"/>
      <c r="R85" s="107"/>
      <c r="S85" s="107"/>
      <c r="T85" s="107"/>
      <c r="U85" s="107">
        <f ca="1">U77*$P77</f>
        <v>0</v>
      </c>
      <c r="V85" s="107">
        <f ca="1">V77*$P77</f>
        <v>0</v>
      </c>
      <c r="W85" s="107">
        <f ca="1">W77*$P77</f>
        <v>0</v>
      </c>
      <c r="X85" s="107">
        <f ca="1">X77*$P77</f>
        <v>0</v>
      </c>
      <c r="Y85" s="437"/>
    </row>
    <row r="86" spans="4:25">
      <c r="D86" s="1299" t="s">
        <v>447</v>
      </c>
      <c r="E86" s="1682"/>
      <c r="F86" s="1688">
        <f ca="1">IF(F80+F82+F83&gt;0,0,F80+F82+F83)</f>
        <v>-2098.8086352234523</v>
      </c>
      <c r="G86" s="1688">
        <f t="shared" ref="G86:L86" ca="1" si="60">IF(G80+G82+G83&gt;0,0,G80+G82+G83)</f>
        <v>-9723.1792502427634</v>
      </c>
      <c r="H86" s="1688">
        <f t="shared" ca="1" si="60"/>
        <v>-1894.1551148004464</v>
      </c>
      <c r="I86" s="1688">
        <f t="shared" ca="1" si="60"/>
        <v>0</v>
      </c>
      <c r="J86" s="1688">
        <f t="shared" ca="1" si="60"/>
        <v>0</v>
      </c>
      <c r="K86" s="1688">
        <f t="shared" ca="1" si="60"/>
        <v>0</v>
      </c>
      <c r="L86" s="1688">
        <f t="shared" si="60"/>
        <v>0</v>
      </c>
      <c r="M86" s="1689">
        <f>IF(M80+M82+M83&gt;0,0,M80+M82+M83)</f>
        <v>0</v>
      </c>
      <c r="O86" s="432"/>
      <c r="P86" s="1690"/>
      <c r="Q86" s="67">
        <f t="shared" ref="Q86:X86" ca="1" si="61">SUM(Q81:Q85)</f>
        <v>1077.057568156351</v>
      </c>
      <c r="R86" s="67">
        <f t="shared" ca="1" si="61"/>
        <v>55252.518614431196</v>
      </c>
      <c r="S86" s="67">
        <f t="shared" ca="1" si="61"/>
        <v>56906.217879767493</v>
      </c>
      <c r="T86" s="67">
        <f t="shared" ca="1" si="61"/>
        <v>113784.89615184085</v>
      </c>
      <c r="U86" s="67">
        <f t="shared" ca="1" si="61"/>
        <v>0</v>
      </c>
      <c r="V86" s="67">
        <f t="shared" ca="1" si="61"/>
        <v>0</v>
      </c>
      <c r="W86" s="67">
        <f t="shared" ca="1" si="61"/>
        <v>0</v>
      </c>
      <c r="X86" s="67">
        <f t="shared" ca="1" si="61"/>
        <v>0</v>
      </c>
      <c r="Y86" s="437"/>
    </row>
    <row r="87" spans="4:25" ht="13.5" thickBot="1">
      <c r="D87" s="1693"/>
      <c r="E87" s="1694"/>
      <c r="F87" s="1695"/>
      <c r="G87" s="1694"/>
      <c r="H87" s="1694"/>
      <c r="I87" s="1694"/>
      <c r="J87" s="1694"/>
      <c r="K87" s="1694"/>
      <c r="L87" s="1694"/>
      <c r="M87" s="1696"/>
      <c r="O87" s="432"/>
      <c r="P87" s="1667"/>
      <c r="Q87" s="1667"/>
      <c r="R87" s="1667"/>
      <c r="S87" s="433"/>
      <c r="T87" s="433"/>
      <c r="U87" s="433"/>
      <c r="V87" s="433"/>
      <c r="W87" s="433"/>
      <c r="X87" s="433"/>
      <c r="Y87" s="437"/>
    </row>
    <row r="88" spans="4:25">
      <c r="O88" s="1581" t="s">
        <v>438</v>
      </c>
      <c r="P88" s="433"/>
      <c r="Q88" s="1584">
        <f>Q80</f>
        <v>2023</v>
      </c>
      <c r="R88" s="1584">
        <f t="shared" ref="R88:X88" si="62">Q88+1</f>
        <v>2024</v>
      </c>
      <c r="S88" s="1584">
        <f t="shared" si="62"/>
        <v>2025</v>
      </c>
      <c r="T88" s="1584">
        <f t="shared" si="62"/>
        <v>2026</v>
      </c>
      <c r="U88" s="1584">
        <f t="shared" si="62"/>
        <v>2027</v>
      </c>
      <c r="V88" s="1584">
        <f t="shared" si="62"/>
        <v>2028</v>
      </c>
      <c r="W88" s="1584">
        <f t="shared" si="62"/>
        <v>2029</v>
      </c>
      <c r="X88" s="1584">
        <f t="shared" si="62"/>
        <v>2030</v>
      </c>
      <c r="Y88" s="1591"/>
    </row>
    <row r="89" spans="4:25">
      <c r="O89" s="1586">
        <f t="shared" ref="O89:P93" si="63">O81</f>
        <v>2023</v>
      </c>
      <c r="P89" s="2">
        <f t="shared" ca="1" si="63"/>
        <v>1077.057568156351</v>
      </c>
      <c r="Q89" s="2">
        <f ca="1">-Q64*$P73</f>
        <v>0</v>
      </c>
      <c r="R89" s="2">
        <f ca="1">-R64*$P73</f>
        <v>538.52878407817548</v>
      </c>
      <c r="S89" s="2">
        <f ca="1">-S64*$P73</f>
        <v>538.52878407817548</v>
      </c>
      <c r="T89" s="2">
        <f ca="1">-T64*$P73</f>
        <v>0</v>
      </c>
      <c r="U89" s="2">
        <f ca="1">-U64*$P73</f>
        <v>0</v>
      </c>
      <c r="V89" s="2"/>
      <c r="W89" s="2"/>
      <c r="X89" s="2"/>
      <c r="Y89" s="1591"/>
    </row>
    <row r="90" spans="4:25">
      <c r="O90" s="1586">
        <f t="shared" si="63"/>
        <v>2024</v>
      </c>
      <c r="P90" s="2">
        <f t="shared" ca="1" si="63"/>
        <v>54713.989830353021</v>
      </c>
      <c r="Q90" s="2"/>
      <c r="R90" s="2">
        <f ca="1">-R65*$P74</f>
        <v>0</v>
      </c>
      <c r="S90" s="2">
        <f ca="1">-S65*$P74</f>
        <v>54713.989830353021</v>
      </c>
      <c r="T90" s="2">
        <f ca="1">-T65*$P74</f>
        <v>0</v>
      </c>
      <c r="U90" s="2">
        <f ca="1">-U65*$P74</f>
        <v>0</v>
      </c>
      <c r="V90" s="2">
        <f ca="1">-V65*$P74</f>
        <v>0</v>
      </c>
      <c r="W90" s="2"/>
      <c r="X90" s="2"/>
      <c r="Y90" s="437"/>
    </row>
    <row r="91" spans="4:25">
      <c r="O91" s="1586">
        <f t="shared" si="63"/>
        <v>2025</v>
      </c>
      <c r="P91" s="2">
        <f t="shared" ca="1" si="63"/>
        <v>56906.217879767493</v>
      </c>
      <c r="Q91" s="2"/>
      <c r="R91" s="2"/>
      <c r="S91" s="2">
        <f ca="1">-S66*$P75</f>
        <v>0</v>
      </c>
      <c r="T91" s="2">
        <f ca="1">-T66*$P75</f>
        <v>0</v>
      </c>
      <c r="U91" s="2">
        <f ca="1">-U66*$P75</f>
        <v>56906.217879767493</v>
      </c>
      <c r="V91" s="2">
        <f ca="1">-V66*$P75</f>
        <v>0</v>
      </c>
      <c r="W91" s="2">
        <f ca="1">-W66*$P75</f>
        <v>0</v>
      </c>
      <c r="X91" s="2"/>
      <c r="Y91" s="437"/>
    </row>
    <row r="92" spans="4:25">
      <c r="O92" s="1586">
        <f t="shared" si="63"/>
        <v>2026</v>
      </c>
      <c r="P92" s="2">
        <f t="shared" ca="1" si="63"/>
        <v>56878.678272073354</v>
      </c>
      <c r="Q92" s="2"/>
      <c r="R92" s="2"/>
      <c r="S92" s="2"/>
      <c r="T92" s="2">
        <f ca="1">-T67*$P76</f>
        <v>0</v>
      </c>
      <c r="U92" s="2">
        <f ca="1">-U67*$P76</f>
        <v>56878.678272073354</v>
      </c>
      <c r="V92" s="2">
        <f ca="1">-V67*$P76</f>
        <v>0</v>
      </c>
      <c r="W92" s="2">
        <f ca="1">-W67*$P76</f>
        <v>0</v>
      </c>
      <c r="X92" s="2">
        <f ca="1">-X67*$P76</f>
        <v>0</v>
      </c>
      <c r="Y92" s="437"/>
    </row>
    <row r="93" spans="4:25">
      <c r="O93" s="1586">
        <f t="shared" si="63"/>
        <v>2027</v>
      </c>
      <c r="P93" s="2">
        <f t="shared" ca="1" si="63"/>
        <v>56540.753485497262</v>
      </c>
      <c r="Q93" s="107"/>
      <c r="R93" s="107"/>
      <c r="S93" s="107"/>
      <c r="T93" s="107"/>
      <c r="U93" s="107">
        <f ca="1">-U68*$P77</f>
        <v>56540.753485497262</v>
      </c>
      <c r="V93" s="107">
        <f ca="1">-V68*$P77</f>
        <v>0</v>
      </c>
      <c r="W93" s="107">
        <f ca="1">-W68*$P77</f>
        <v>0</v>
      </c>
      <c r="X93" s="107">
        <f ca="1">-X68*$P77</f>
        <v>0</v>
      </c>
      <c r="Y93" s="437"/>
    </row>
    <row r="94" spans="4:25">
      <c r="O94" s="432"/>
      <c r="P94" s="1690"/>
      <c r="Q94" s="67">
        <f t="shared" ref="Q94:X94" ca="1" si="64">SUM(Q89:Q93)</f>
        <v>0</v>
      </c>
      <c r="R94" s="67">
        <f t="shared" ca="1" si="64"/>
        <v>538.52878407817548</v>
      </c>
      <c r="S94" s="67">
        <f t="shared" ca="1" si="64"/>
        <v>55252.518614431196</v>
      </c>
      <c r="T94" s="67">
        <f t="shared" ca="1" si="64"/>
        <v>0</v>
      </c>
      <c r="U94" s="67">
        <f t="shared" ca="1" si="64"/>
        <v>170325.64963733812</v>
      </c>
      <c r="V94" s="67">
        <f t="shared" ca="1" si="64"/>
        <v>0</v>
      </c>
      <c r="W94" s="67">
        <f t="shared" ca="1" si="64"/>
        <v>0</v>
      </c>
      <c r="X94" s="67">
        <f t="shared" ca="1" si="64"/>
        <v>0</v>
      </c>
      <c r="Y94" s="437"/>
    </row>
    <row r="95" spans="4:25">
      <c r="O95" s="432"/>
      <c r="P95" s="1667"/>
      <c r="Q95" s="1667"/>
      <c r="R95" s="1667"/>
      <c r="S95" s="433"/>
      <c r="T95" s="433"/>
      <c r="U95" s="1667"/>
      <c r="V95" s="1667"/>
      <c r="W95" s="1667"/>
      <c r="X95" s="1667"/>
      <c r="Y95" s="1591"/>
    </row>
    <row r="96" spans="4:25" ht="13.5" thickBot="1">
      <c r="O96" s="435" t="s">
        <v>432</v>
      </c>
      <c r="P96" s="1664"/>
      <c r="Q96" s="1356">
        <f t="shared" ref="Q96:X96" ca="1" si="65">Q86*$B$32</f>
        <v>226.18208931283368</v>
      </c>
      <c r="R96" s="1356">
        <f t="shared" ca="1" si="65"/>
        <v>11603.02890903055</v>
      </c>
      <c r="S96" s="1356">
        <f t="shared" ca="1" si="65"/>
        <v>11950.305754751173</v>
      </c>
      <c r="T96" s="1356">
        <f t="shared" ca="1" si="65"/>
        <v>23894.828191886576</v>
      </c>
      <c r="U96" s="1356">
        <f t="shared" ca="1" si="65"/>
        <v>0</v>
      </c>
      <c r="V96" s="1356">
        <f t="shared" ca="1" si="65"/>
        <v>0</v>
      </c>
      <c r="W96" s="1356">
        <f t="shared" ca="1" si="65"/>
        <v>0</v>
      </c>
      <c r="X96" s="1356">
        <f t="shared" ca="1" si="65"/>
        <v>0</v>
      </c>
      <c r="Y96" s="1697"/>
    </row>
    <row r="98" spans="18:18">
      <c r="R98" s="1579"/>
    </row>
    <row r="99" spans="18:18">
      <c r="R99" s="1639"/>
    </row>
  </sheetData>
  <sheetProtection password="CD53" sheet="1" objects="1" scenarios="1" selectLockedCells="1"/>
  <conditionalFormatting sqref="F21:M21">
    <cfRule type="cellIs" dxfId="85" priority="37" stopIfTrue="1" operator="equal">
      <formula>0</formula>
    </cfRule>
  </conditionalFormatting>
  <conditionalFormatting sqref="F48:M48">
    <cfRule type="cellIs" dxfId="84" priority="36" stopIfTrue="1" operator="lessThan">
      <formula>0</formula>
    </cfRule>
  </conditionalFormatting>
  <conditionalFormatting sqref="F28:M28">
    <cfRule type="cellIs" dxfId="83" priority="34" stopIfTrue="1" operator="lessThan">
      <formula>0</formula>
    </cfRule>
  </conditionalFormatting>
  <conditionalFormatting sqref="F44:M44">
    <cfRule type="cellIs" dxfId="82" priority="33" stopIfTrue="1" operator="lessThan">
      <formula>0</formula>
    </cfRule>
  </conditionalFormatting>
  <conditionalFormatting sqref="F18:M18">
    <cfRule type="cellIs" dxfId="81" priority="31" stopIfTrue="1" operator="lessThan">
      <formula>0</formula>
    </cfRule>
  </conditionalFormatting>
  <conditionalFormatting sqref="F20:M20">
    <cfRule type="cellIs" dxfId="80" priority="30" stopIfTrue="1" operator="lessThan">
      <formula>0</formula>
    </cfRule>
  </conditionalFormatting>
  <conditionalFormatting sqref="F47:M47">
    <cfRule type="cellIs" dxfId="79" priority="29" stopIfTrue="1" operator="lessThan">
      <formula>0</formula>
    </cfRule>
  </conditionalFormatting>
  <conditionalFormatting sqref="Y64 F27:M27 F31:M34 F38:M41 F11:M15 P64:P69">
    <cfRule type="cellIs" dxfId="78" priority="28" operator="lessThan">
      <formula>0</formula>
    </cfRule>
  </conditionalFormatting>
  <conditionalFormatting sqref="F27:M27 F31:M34 F38:M41 F13:M14">
    <cfRule type="cellIs" dxfId="77" priority="27" operator="lessThan">
      <formula>-12308935</formula>
    </cfRule>
  </conditionalFormatting>
  <conditionalFormatting sqref="F10">
    <cfRule type="cellIs" dxfId="76" priority="26" operator="lessThan">
      <formula>0</formula>
    </cfRule>
  </conditionalFormatting>
  <conditionalFormatting sqref="F35:M35">
    <cfRule type="cellIs" dxfId="75" priority="23" stopIfTrue="1" operator="lessThan">
      <formula>0</formula>
    </cfRule>
  </conditionalFormatting>
  <conditionalFormatting sqref="F42:M42">
    <cfRule type="cellIs" dxfId="74" priority="22" stopIfTrue="1" operator="lessThan">
      <formula>0</formula>
    </cfRule>
  </conditionalFormatting>
  <conditionalFormatting sqref="Y16:Y21">
    <cfRule type="cellIs" dxfId="73" priority="18" stopIfTrue="1" operator="greaterThan">
      <formula>1</formula>
    </cfRule>
  </conditionalFormatting>
  <conditionalFormatting sqref="F26:M26">
    <cfRule type="cellIs" dxfId="72" priority="17" operator="lessThan">
      <formula>0</formula>
    </cfRule>
  </conditionalFormatting>
  <conditionalFormatting sqref="F26:M26">
    <cfRule type="cellIs" dxfId="71" priority="16" operator="lessThan">
      <formula>-12308935</formula>
    </cfRule>
  </conditionalFormatting>
  <conditionalFormatting sqref="Y65:Y68">
    <cfRule type="cellIs" dxfId="70" priority="15" stopIfTrue="1" operator="greaterThan">
      <formula>1</formula>
    </cfRule>
  </conditionalFormatting>
  <conditionalFormatting sqref="E24:M24">
    <cfRule type="cellIs" dxfId="69" priority="12" operator="lessThan">
      <formula>0</formula>
    </cfRule>
  </conditionalFormatting>
  <conditionalFormatting sqref="E24:M24">
    <cfRule type="cellIs" dxfId="68" priority="11" operator="lessThan">
      <formula>-12308935</formula>
    </cfRule>
  </conditionalFormatting>
  <conditionalFormatting sqref="F81:K81 F78:M80">
    <cfRule type="cellIs" dxfId="67" priority="10" stopIfTrue="1" operator="lessThan">
      <formula>0</formula>
    </cfRule>
  </conditionalFormatting>
  <conditionalFormatting sqref="F74:F76 G75:M76">
    <cfRule type="cellIs" dxfId="66" priority="9" stopIfTrue="1" operator="lessThan">
      <formula>0</formula>
    </cfRule>
  </conditionalFormatting>
  <conditionalFormatting sqref="F84:M85">
    <cfRule type="cellIs" dxfId="65" priority="8" stopIfTrue="1" operator="lessThan">
      <formula>0</formula>
    </cfRule>
  </conditionalFormatting>
  <conditionalFormatting sqref="F86:M86">
    <cfRule type="cellIs" dxfId="64" priority="7" stopIfTrue="1" operator="lessThan">
      <formula>0</formula>
    </cfRule>
  </conditionalFormatting>
  <conditionalFormatting sqref="F79">
    <cfRule type="expression" dxfId="63" priority="6">
      <formula>#REF!=0</formula>
    </cfRule>
  </conditionalFormatting>
  <conditionalFormatting sqref="G79:M79">
    <cfRule type="expression" dxfId="62" priority="5">
      <formula>#REF!=0</formula>
    </cfRule>
  </conditionalFormatting>
  <conditionalFormatting sqref="F16:M16">
    <cfRule type="cellIs" dxfId="61" priority="4" stopIfTrue="1" operator="lessThan">
      <formula>0</formula>
    </cfRule>
  </conditionalFormatting>
  <conditionalFormatting sqref="F25:M25">
    <cfRule type="cellIs" dxfId="60" priority="3" operator="lessThan">
      <formula>0</formula>
    </cfRule>
  </conditionalFormatting>
  <conditionalFormatting sqref="F25:M25">
    <cfRule type="cellIs" dxfId="59" priority="2" operator="lessThan">
      <formula>-12308935</formula>
    </cfRule>
  </conditionalFormatting>
  <conditionalFormatting sqref="F6:M6">
    <cfRule type="cellIs" dxfId="58" priority="1" operator="lessThan">
      <formula>0</formula>
    </cfRule>
  </conditionalFormatting>
  <pageMargins left="0.25" right="0.25" top="0.75" bottom="0.75" header="0.3" footer="0.3"/>
  <pageSetup paperSize="9" scale="48" orientation="portrait" copies="2" r:id="rId1"/>
  <headerFooter alignWithMargins="0"/>
  <ignoredErrors>
    <ignoredError sqref="W28:W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4" tint="0.59999389629810485"/>
    <pageSetUpPr fitToPage="1"/>
  </sheetPr>
  <dimension ref="A1:AI102"/>
  <sheetViews>
    <sheetView zoomScale="60" zoomScaleNormal="60" workbookViewId="0">
      <selection activeCell="C38" sqref="C38"/>
    </sheetView>
  </sheetViews>
  <sheetFormatPr defaultRowHeight="12.75"/>
  <cols>
    <col min="1" max="1" width="0.85546875" style="16" customWidth="1"/>
    <col min="2" max="2" width="22.42578125" style="16" customWidth="1"/>
    <col min="3" max="3" width="12.28515625" style="16" customWidth="1"/>
    <col min="4" max="4" width="2.5703125" style="16" customWidth="1"/>
    <col min="5" max="6" width="12.28515625" style="16" bestFit="1" customWidth="1"/>
    <col min="7" max="7" width="13" style="16" bestFit="1" customWidth="1"/>
    <col min="8" max="8" width="14.85546875" style="16" customWidth="1"/>
    <col min="9" max="9" width="13.28515625" style="16" bestFit="1" customWidth="1"/>
    <col min="10" max="10" width="13.42578125" style="16" bestFit="1" customWidth="1"/>
    <col min="11" max="11" width="12.7109375" style="16" bestFit="1" customWidth="1"/>
    <col min="12" max="12" width="13.28515625" style="16" bestFit="1" customWidth="1"/>
    <col min="13" max="13" width="1" style="16" customWidth="1"/>
    <col min="14" max="14" width="13.140625" style="16" customWidth="1"/>
    <col min="15" max="15" width="23.140625" style="16" customWidth="1"/>
    <col min="16" max="20" width="11.5703125" style="16" bestFit="1" customWidth="1"/>
    <col min="21" max="21" width="11.5703125" style="16" customWidth="1"/>
    <col min="22" max="23" width="11.5703125" style="16" bestFit="1" customWidth="1"/>
    <col min="24" max="24" width="9.140625" style="16"/>
    <col min="25" max="25" width="9.140625" style="16" customWidth="1"/>
    <col min="26" max="29" width="9.140625" style="16"/>
    <col min="30" max="32" width="14.7109375" style="16" bestFit="1" customWidth="1"/>
    <col min="33" max="40" width="2.7109375" style="16" bestFit="1" customWidth="1"/>
    <col min="41" max="253" width="9.140625" style="16"/>
    <col min="254" max="254" width="2.28515625" style="16" customWidth="1"/>
    <col min="255" max="255" width="10.42578125" style="16" customWidth="1"/>
    <col min="256" max="256" width="28.42578125" style="16" customWidth="1"/>
    <col min="257" max="257" width="12" style="16" customWidth="1"/>
    <col min="258" max="258" width="12.7109375" style="16" customWidth="1"/>
    <col min="259" max="259" width="11.5703125" style="16" customWidth="1"/>
    <col min="260" max="260" width="11.140625" style="16" customWidth="1"/>
    <col min="261" max="261" width="9.7109375" style="16" bestFit="1" customWidth="1"/>
    <col min="262" max="262" width="1" style="16" customWidth="1"/>
    <col min="263" max="263" width="9.140625" style="16"/>
    <col min="264" max="264" width="30.5703125" style="16" customWidth="1"/>
    <col min="265" max="265" width="11" style="16" customWidth="1"/>
    <col min="266" max="266" width="10.5703125" style="16" customWidth="1"/>
    <col min="267" max="267" width="10.85546875" style="16" customWidth="1"/>
    <col min="268" max="268" width="9" style="16" bestFit="1" customWidth="1"/>
    <col min="269" max="269" width="8.140625" style="16" bestFit="1" customWidth="1"/>
    <col min="270" max="509" width="9.140625" style="16"/>
    <col min="510" max="510" width="2.28515625" style="16" customWidth="1"/>
    <col min="511" max="511" width="10.42578125" style="16" customWidth="1"/>
    <col min="512" max="512" width="28.42578125" style="16" customWidth="1"/>
    <col min="513" max="513" width="12" style="16" customWidth="1"/>
    <col min="514" max="514" width="12.7109375" style="16" customWidth="1"/>
    <col min="515" max="515" width="11.5703125" style="16" customWidth="1"/>
    <col min="516" max="516" width="11.140625" style="16" customWidth="1"/>
    <col min="517" max="517" width="9.7109375" style="16" bestFit="1" customWidth="1"/>
    <col min="518" max="518" width="1" style="16" customWidth="1"/>
    <col min="519" max="519" width="9.140625" style="16"/>
    <col min="520" max="520" width="30.5703125" style="16" customWidth="1"/>
    <col min="521" max="521" width="11" style="16" customWidth="1"/>
    <col min="522" max="522" width="10.5703125" style="16" customWidth="1"/>
    <col min="523" max="523" width="10.85546875" style="16" customWidth="1"/>
    <col min="524" max="524" width="9" style="16" bestFit="1" customWidth="1"/>
    <col min="525" max="525" width="8.140625" style="16" bestFit="1" customWidth="1"/>
    <col min="526" max="765" width="9.140625" style="16"/>
    <col min="766" max="766" width="2.28515625" style="16" customWidth="1"/>
    <col min="767" max="767" width="10.42578125" style="16" customWidth="1"/>
    <col min="768" max="768" width="28.42578125" style="16" customWidth="1"/>
    <col min="769" max="769" width="12" style="16" customWidth="1"/>
    <col min="770" max="770" width="12.7109375" style="16" customWidth="1"/>
    <col min="771" max="771" width="11.5703125" style="16" customWidth="1"/>
    <col min="772" max="772" width="11.140625" style="16" customWidth="1"/>
    <col min="773" max="773" width="9.7109375" style="16" bestFit="1" customWidth="1"/>
    <col min="774" max="774" width="1" style="16" customWidth="1"/>
    <col min="775" max="775" width="9.140625" style="16"/>
    <col min="776" max="776" width="30.5703125" style="16" customWidth="1"/>
    <col min="777" max="777" width="11" style="16" customWidth="1"/>
    <col min="778" max="778" width="10.5703125" style="16" customWidth="1"/>
    <col min="779" max="779" width="10.85546875" style="16" customWidth="1"/>
    <col min="780" max="780" width="9" style="16" bestFit="1" customWidth="1"/>
    <col min="781" max="781" width="8.140625" style="16" bestFit="1" customWidth="1"/>
    <col min="782" max="1021" width="9.140625" style="16"/>
    <col min="1022" max="1022" width="2.28515625" style="16" customWidth="1"/>
    <col min="1023" max="1023" width="10.42578125" style="16" customWidth="1"/>
    <col min="1024" max="1024" width="28.42578125" style="16" customWidth="1"/>
    <col min="1025" max="1025" width="12" style="16" customWidth="1"/>
    <col min="1026" max="1026" width="12.7109375" style="16" customWidth="1"/>
    <col min="1027" max="1027" width="11.5703125" style="16" customWidth="1"/>
    <col min="1028" max="1028" width="11.140625" style="16" customWidth="1"/>
    <col min="1029" max="1029" width="9.7109375" style="16" bestFit="1" customWidth="1"/>
    <col min="1030" max="1030" width="1" style="16" customWidth="1"/>
    <col min="1031" max="1031" width="9.140625" style="16"/>
    <col min="1032" max="1032" width="30.5703125" style="16" customWidth="1"/>
    <col min="1033" max="1033" width="11" style="16" customWidth="1"/>
    <col min="1034" max="1034" width="10.5703125" style="16" customWidth="1"/>
    <col min="1035" max="1035" width="10.85546875" style="16" customWidth="1"/>
    <col min="1036" max="1036" width="9" style="16" bestFit="1" customWidth="1"/>
    <col min="1037" max="1037" width="8.140625" style="16" bestFit="1" customWidth="1"/>
    <col min="1038" max="1277" width="9.140625" style="16"/>
    <col min="1278" max="1278" width="2.28515625" style="16" customWidth="1"/>
    <col min="1279" max="1279" width="10.42578125" style="16" customWidth="1"/>
    <col min="1280" max="1280" width="28.42578125" style="16" customWidth="1"/>
    <col min="1281" max="1281" width="12" style="16" customWidth="1"/>
    <col min="1282" max="1282" width="12.7109375" style="16" customWidth="1"/>
    <col min="1283" max="1283" width="11.5703125" style="16" customWidth="1"/>
    <col min="1284" max="1284" width="11.140625" style="16" customWidth="1"/>
    <col min="1285" max="1285" width="9.7109375" style="16" bestFit="1" customWidth="1"/>
    <col min="1286" max="1286" width="1" style="16" customWidth="1"/>
    <col min="1287" max="1287" width="9.140625" style="16"/>
    <col min="1288" max="1288" width="30.5703125" style="16" customWidth="1"/>
    <col min="1289" max="1289" width="11" style="16" customWidth="1"/>
    <col min="1290" max="1290" width="10.5703125" style="16" customWidth="1"/>
    <col min="1291" max="1291" width="10.85546875" style="16" customWidth="1"/>
    <col min="1292" max="1292" width="9" style="16" bestFit="1" customWidth="1"/>
    <col min="1293" max="1293" width="8.140625" style="16" bestFit="1" customWidth="1"/>
    <col min="1294" max="1533" width="9.140625" style="16"/>
    <col min="1534" max="1534" width="2.28515625" style="16" customWidth="1"/>
    <col min="1535" max="1535" width="10.42578125" style="16" customWidth="1"/>
    <col min="1536" max="1536" width="28.42578125" style="16" customWidth="1"/>
    <col min="1537" max="1537" width="12" style="16" customWidth="1"/>
    <col min="1538" max="1538" width="12.7109375" style="16" customWidth="1"/>
    <col min="1539" max="1539" width="11.5703125" style="16" customWidth="1"/>
    <col min="1540" max="1540" width="11.140625" style="16" customWidth="1"/>
    <col min="1541" max="1541" width="9.7109375" style="16" bestFit="1" customWidth="1"/>
    <col min="1542" max="1542" width="1" style="16" customWidth="1"/>
    <col min="1543" max="1543" width="9.140625" style="16"/>
    <col min="1544" max="1544" width="30.5703125" style="16" customWidth="1"/>
    <col min="1545" max="1545" width="11" style="16" customWidth="1"/>
    <col min="1546" max="1546" width="10.5703125" style="16" customWidth="1"/>
    <col min="1547" max="1547" width="10.85546875" style="16" customWidth="1"/>
    <col min="1548" max="1548" width="9" style="16" bestFit="1" customWidth="1"/>
    <col min="1549" max="1549" width="8.140625" style="16" bestFit="1" customWidth="1"/>
    <col min="1550" max="1789" width="9.140625" style="16"/>
    <col min="1790" max="1790" width="2.28515625" style="16" customWidth="1"/>
    <col min="1791" max="1791" width="10.42578125" style="16" customWidth="1"/>
    <col min="1792" max="1792" width="28.42578125" style="16" customWidth="1"/>
    <col min="1793" max="1793" width="12" style="16" customWidth="1"/>
    <col min="1794" max="1794" width="12.7109375" style="16" customWidth="1"/>
    <col min="1795" max="1795" width="11.5703125" style="16" customWidth="1"/>
    <col min="1796" max="1796" width="11.140625" style="16" customWidth="1"/>
    <col min="1797" max="1797" width="9.7109375" style="16" bestFit="1" customWidth="1"/>
    <col min="1798" max="1798" width="1" style="16" customWidth="1"/>
    <col min="1799" max="1799" width="9.140625" style="16"/>
    <col min="1800" max="1800" width="30.5703125" style="16" customWidth="1"/>
    <col min="1801" max="1801" width="11" style="16" customWidth="1"/>
    <col min="1802" max="1802" width="10.5703125" style="16" customWidth="1"/>
    <col min="1803" max="1803" width="10.85546875" style="16" customWidth="1"/>
    <col min="1804" max="1804" width="9" style="16" bestFit="1" customWidth="1"/>
    <col min="1805" max="1805" width="8.140625" style="16" bestFit="1" customWidth="1"/>
    <col min="1806" max="2045" width="9.140625" style="16"/>
    <col min="2046" max="2046" width="2.28515625" style="16" customWidth="1"/>
    <col min="2047" max="2047" width="10.42578125" style="16" customWidth="1"/>
    <col min="2048" max="2048" width="28.42578125" style="16" customWidth="1"/>
    <col min="2049" max="2049" width="12" style="16" customWidth="1"/>
    <col min="2050" max="2050" width="12.7109375" style="16" customWidth="1"/>
    <col min="2051" max="2051" width="11.5703125" style="16" customWidth="1"/>
    <col min="2052" max="2052" width="11.140625" style="16" customWidth="1"/>
    <col min="2053" max="2053" width="9.7109375" style="16" bestFit="1" customWidth="1"/>
    <col min="2054" max="2054" width="1" style="16" customWidth="1"/>
    <col min="2055" max="2055" width="9.140625" style="16"/>
    <col min="2056" max="2056" width="30.5703125" style="16" customWidth="1"/>
    <col min="2057" max="2057" width="11" style="16" customWidth="1"/>
    <col min="2058" max="2058" width="10.5703125" style="16" customWidth="1"/>
    <col min="2059" max="2059" width="10.85546875" style="16" customWidth="1"/>
    <col min="2060" max="2060" width="9" style="16" bestFit="1" customWidth="1"/>
    <col min="2061" max="2061" width="8.140625" style="16" bestFit="1" customWidth="1"/>
    <col min="2062" max="2301" width="9.140625" style="16"/>
    <col min="2302" max="2302" width="2.28515625" style="16" customWidth="1"/>
    <col min="2303" max="2303" width="10.42578125" style="16" customWidth="1"/>
    <col min="2304" max="2304" width="28.42578125" style="16" customWidth="1"/>
    <col min="2305" max="2305" width="12" style="16" customWidth="1"/>
    <col min="2306" max="2306" width="12.7109375" style="16" customWidth="1"/>
    <col min="2307" max="2307" width="11.5703125" style="16" customWidth="1"/>
    <col min="2308" max="2308" width="11.140625" style="16" customWidth="1"/>
    <col min="2309" max="2309" width="9.7109375" style="16" bestFit="1" customWidth="1"/>
    <col min="2310" max="2310" width="1" style="16" customWidth="1"/>
    <col min="2311" max="2311" width="9.140625" style="16"/>
    <col min="2312" max="2312" width="30.5703125" style="16" customWidth="1"/>
    <col min="2313" max="2313" width="11" style="16" customWidth="1"/>
    <col min="2314" max="2314" width="10.5703125" style="16" customWidth="1"/>
    <col min="2315" max="2315" width="10.85546875" style="16" customWidth="1"/>
    <col min="2316" max="2316" width="9" style="16" bestFit="1" customWidth="1"/>
    <col min="2317" max="2317" width="8.140625" style="16" bestFit="1" customWidth="1"/>
    <col min="2318" max="2557" width="9.140625" style="16"/>
    <col min="2558" max="2558" width="2.28515625" style="16" customWidth="1"/>
    <col min="2559" max="2559" width="10.42578125" style="16" customWidth="1"/>
    <col min="2560" max="2560" width="28.42578125" style="16" customWidth="1"/>
    <col min="2561" max="2561" width="12" style="16" customWidth="1"/>
    <col min="2562" max="2562" width="12.7109375" style="16" customWidth="1"/>
    <col min="2563" max="2563" width="11.5703125" style="16" customWidth="1"/>
    <col min="2564" max="2564" width="11.140625" style="16" customWidth="1"/>
    <col min="2565" max="2565" width="9.7109375" style="16" bestFit="1" customWidth="1"/>
    <col min="2566" max="2566" width="1" style="16" customWidth="1"/>
    <col min="2567" max="2567" width="9.140625" style="16"/>
    <col min="2568" max="2568" width="30.5703125" style="16" customWidth="1"/>
    <col min="2569" max="2569" width="11" style="16" customWidth="1"/>
    <col min="2570" max="2570" width="10.5703125" style="16" customWidth="1"/>
    <col min="2571" max="2571" width="10.85546875" style="16" customWidth="1"/>
    <col min="2572" max="2572" width="9" style="16" bestFit="1" customWidth="1"/>
    <col min="2573" max="2573" width="8.140625" style="16" bestFit="1" customWidth="1"/>
    <col min="2574" max="2813" width="9.140625" style="16"/>
    <col min="2814" max="2814" width="2.28515625" style="16" customWidth="1"/>
    <col min="2815" max="2815" width="10.42578125" style="16" customWidth="1"/>
    <col min="2816" max="2816" width="28.42578125" style="16" customWidth="1"/>
    <col min="2817" max="2817" width="12" style="16" customWidth="1"/>
    <col min="2818" max="2818" width="12.7109375" style="16" customWidth="1"/>
    <col min="2819" max="2819" width="11.5703125" style="16" customWidth="1"/>
    <col min="2820" max="2820" width="11.140625" style="16" customWidth="1"/>
    <col min="2821" max="2821" width="9.7109375" style="16" bestFit="1" customWidth="1"/>
    <col min="2822" max="2822" width="1" style="16" customWidth="1"/>
    <col min="2823" max="2823" width="9.140625" style="16"/>
    <col min="2824" max="2824" width="30.5703125" style="16" customWidth="1"/>
    <col min="2825" max="2825" width="11" style="16" customWidth="1"/>
    <col min="2826" max="2826" width="10.5703125" style="16" customWidth="1"/>
    <col min="2827" max="2827" width="10.85546875" style="16" customWidth="1"/>
    <col min="2828" max="2828" width="9" style="16" bestFit="1" customWidth="1"/>
    <col min="2829" max="2829" width="8.140625" style="16" bestFit="1" customWidth="1"/>
    <col min="2830" max="3069" width="9.140625" style="16"/>
    <col min="3070" max="3070" width="2.28515625" style="16" customWidth="1"/>
    <col min="3071" max="3071" width="10.42578125" style="16" customWidth="1"/>
    <col min="3072" max="3072" width="28.42578125" style="16" customWidth="1"/>
    <col min="3073" max="3073" width="12" style="16" customWidth="1"/>
    <col min="3074" max="3074" width="12.7109375" style="16" customWidth="1"/>
    <col min="3075" max="3075" width="11.5703125" style="16" customWidth="1"/>
    <col min="3076" max="3076" width="11.140625" style="16" customWidth="1"/>
    <col min="3077" max="3077" width="9.7109375" style="16" bestFit="1" customWidth="1"/>
    <col min="3078" max="3078" width="1" style="16" customWidth="1"/>
    <col min="3079" max="3079" width="9.140625" style="16"/>
    <col min="3080" max="3080" width="30.5703125" style="16" customWidth="1"/>
    <col min="3081" max="3081" width="11" style="16" customWidth="1"/>
    <col min="3082" max="3082" width="10.5703125" style="16" customWidth="1"/>
    <col min="3083" max="3083" width="10.85546875" style="16" customWidth="1"/>
    <col min="3084" max="3084" width="9" style="16" bestFit="1" customWidth="1"/>
    <col min="3085" max="3085" width="8.140625" style="16" bestFit="1" customWidth="1"/>
    <col min="3086" max="3325" width="9.140625" style="16"/>
    <col min="3326" max="3326" width="2.28515625" style="16" customWidth="1"/>
    <col min="3327" max="3327" width="10.42578125" style="16" customWidth="1"/>
    <col min="3328" max="3328" width="28.42578125" style="16" customWidth="1"/>
    <col min="3329" max="3329" width="12" style="16" customWidth="1"/>
    <col min="3330" max="3330" width="12.7109375" style="16" customWidth="1"/>
    <col min="3331" max="3331" width="11.5703125" style="16" customWidth="1"/>
    <col min="3332" max="3332" width="11.140625" style="16" customWidth="1"/>
    <col min="3333" max="3333" width="9.7109375" style="16" bestFit="1" customWidth="1"/>
    <col min="3334" max="3334" width="1" style="16" customWidth="1"/>
    <col min="3335" max="3335" width="9.140625" style="16"/>
    <col min="3336" max="3336" width="30.5703125" style="16" customWidth="1"/>
    <col min="3337" max="3337" width="11" style="16" customWidth="1"/>
    <col min="3338" max="3338" width="10.5703125" style="16" customWidth="1"/>
    <col min="3339" max="3339" width="10.85546875" style="16" customWidth="1"/>
    <col min="3340" max="3340" width="9" style="16" bestFit="1" customWidth="1"/>
    <col min="3341" max="3341" width="8.140625" style="16" bestFit="1" customWidth="1"/>
    <col min="3342" max="3581" width="9.140625" style="16"/>
    <col min="3582" max="3582" width="2.28515625" style="16" customWidth="1"/>
    <col min="3583" max="3583" width="10.42578125" style="16" customWidth="1"/>
    <col min="3584" max="3584" width="28.42578125" style="16" customWidth="1"/>
    <col min="3585" max="3585" width="12" style="16" customWidth="1"/>
    <col min="3586" max="3586" width="12.7109375" style="16" customWidth="1"/>
    <col min="3587" max="3587" width="11.5703125" style="16" customWidth="1"/>
    <col min="3588" max="3588" width="11.140625" style="16" customWidth="1"/>
    <col min="3589" max="3589" width="9.7109375" style="16" bestFit="1" customWidth="1"/>
    <col min="3590" max="3590" width="1" style="16" customWidth="1"/>
    <col min="3591" max="3591" width="9.140625" style="16"/>
    <col min="3592" max="3592" width="30.5703125" style="16" customWidth="1"/>
    <col min="3593" max="3593" width="11" style="16" customWidth="1"/>
    <col min="3594" max="3594" width="10.5703125" style="16" customWidth="1"/>
    <col min="3595" max="3595" width="10.85546875" style="16" customWidth="1"/>
    <col min="3596" max="3596" width="9" style="16" bestFit="1" customWidth="1"/>
    <col min="3597" max="3597" width="8.140625" style="16" bestFit="1" customWidth="1"/>
    <col min="3598" max="3837" width="9.140625" style="16"/>
    <col min="3838" max="3838" width="2.28515625" style="16" customWidth="1"/>
    <col min="3839" max="3839" width="10.42578125" style="16" customWidth="1"/>
    <col min="3840" max="3840" width="28.42578125" style="16" customWidth="1"/>
    <col min="3841" max="3841" width="12" style="16" customWidth="1"/>
    <col min="3842" max="3842" width="12.7109375" style="16" customWidth="1"/>
    <col min="3843" max="3843" width="11.5703125" style="16" customWidth="1"/>
    <col min="3844" max="3844" width="11.140625" style="16" customWidth="1"/>
    <col min="3845" max="3845" width="9.7109375" style="16" bestFit="1" customWidth="1"/>
    <col min="3846" max="3846" width="1" style="16" customWidth="1"/>
    <col min="3847" max="3847" width="9.140625" style="16"/>
    <col min="3848" max="3848" width="30.5703125" style="16" customWidth="1"/>
    <col min="3849" max="3849" width="11" style="16" customWidth="1"/>
    <col min="3850" max="3850" width="10.5703125" style="16" customWidth="1"/>
    <col min="3851" max="3851" width="10.85546875" style="16" customWidth="1"/>
    <col min="3852" max="3852" width="9" style="16" bestFit="1" customWidth="1"/>
    <col min="3853" max="3853" width="8.140625" style="16" bestFit="1" customWidth="1"/>
    <col min="3854" max="4093" width="9.140625" style="16"/>
    <col min="4094" max="4094" width="2.28515625" style="16" customWidth="1"/>
    <col min="4095" max="4095" width="10.42578125" style="16" customWidth="1"/>
    <col min="4096" max="4096" width="28.42578125" style="16" customWidth="1"/>
    <col min="4097" max="4097" width="12" style="16" customWidth="1"/>
    <col min="4098" max="4098" width="12.7109375" style="16" customWidth="1"/>
    <col min="4099" max="4099" width="11.5703125" style="16" customWidth="1"/>
    <col min="4100" max="4100" width="11.140625" style="16" customWidth="1"/>
    <col min="4101" max="4101" width="9.7109375" style="16" bestFit="1" customWidth="1"/>
    <col min="4102" max="4102" width="1" style="16" customWidth="1"/>
    <col min="4103" max="4103" width="9.140625" style="16"/>
    <col min="4104" max="4104" width="30.5703125" style="16" customWidth="1"/>
    <col min="4105" max="4105" width="11" style="16" customWidth="1"/>
    <col min="4106" max="4106" width="10.5703125" style="16" customWidth="1"/>
    <col min="4107" max="4107" width="10.85546875" style="16" customWidth="1"/>
    <col min="4108" max="4108" width="9" style="16" bestFit="1" customWidth="1"/>
    <col min="4109" max="4109" width="8.140625" style="16" bestFit="1" customWidth="1"/>
    <col min="4110" max="4349" width="9.140625" style="16"/>
    <col min="4350" max="4350" width="2.28515625" style="16" customWidth="1"/>
    <col min="4351" max="4351" width="10.42578125" style="16" customWidth="1"/>
    <col min="4352" max="4352" width="28.42578125" style="16" customWidth="1"/>
    <col min="4353" max="4353" width="12" style="16" customWidth="1"/>
    <col min="4354" max="4354" width="12.7109375" style="16" customWidth="1"/>
    <col min="4355" max="4355" width="11.5703125" style="16" customWidth="1"/>
    <col min="4356" max="4356" width="11.140625" style="16" customWidth="1"/>
    <col min="4357" max="4357" width="9.7109375" style="16" bestFit="1" customWidth="1"/>
    <col min="4358" max="4358" width="1" style="16" customWidth="1"/>
    <col min="4359" max="4359" width="9.140625" style="16"/>
    <col min="4360" max="4360" width="30.5703125" style="16" customWidth="1"/>
    <col min="4361" max="4361" width="11" style="16" customWidth="1"/>
    <col min="4362" max="4362" width="10.5703125" style="16" customWidth="1"/>
    <col min="4363" max="4363" width="10.85546875" style="16" customWidth="1"/>
    <col min="4364" max="4364" width="9" style="16" bestFit="1" customWidth="1"/>
    <col min="4365" max="4365" width="8.140625" style="16" bestFit="1" customWidth="1"/>
    <col min="4366" max="4605" width="9.140625" style="16"/>
    <col min="4606" max="4606" width="2.28515625" style="16" customWidth="1"/>
    <col min="4607" max="4607" width="10.42578125" style="16" customWidth="1"/>
    <col min="4608" max="4608" width="28.42578125" style="16" customWidth="1"/>
    <col min="4609" max="4609" width="12" style="16" customWidth="1"/>
    <col min="4610" max="4610" width="12.7109375" style="16" customWidth="1"/>
    <col min="4611" max="4611" width="11.5703125" style="16" customWidth="1"/>
    <col min="4612" max="4612" width="11.140625" style="16" customWidth="1"/>
    <col min="4613" max="4613" width="9.7109375" style="16" bestFit="1" customWidth="1"/>
    <col min="4614" max="4614" width="1" style="16" customWidth="1"/>
    <col min="4615" max="4615" width="9.140625" style="16"/>
    <col min="4616" max="4616" width="30.5703125" style="16" customWidth="1"/>
    <col min="4617" max="4617" width="11" style="16" customWidth="1"/>
    <col min="4618" max="4618" width="10.5703125" style="16" customWidth="1"/>
    <col min="4619" max="4619" width="10.85546875" style="16" customWidth="1"/>
    <col min="4620" max="4620" width="9" style="16" bestFit="1" customWidth="1"/>
    <col min="4621" max="4621" width="8.140625" style="16" bestFit="1" customWidth="1"/>
    <col min="4622" max="4861" width="9.140625" style="16"/>
    <col min="4862" max="4862" width="2.28515625" style="16" customWidth="1"/>
    <col min="4863" max="4863" width="10.42578125" style="16" customWidth="1"/>
    <col min="4864" max="4864" width="28.42578125" style="16" customWidth="1"/>
    <col min="4865" max="4865" width="12" style="16" customWidth="1"/>
    <col min="4866" max="4866" width="12.7109375" style="16" customWidth="1"/>
    <col min="4867" max="4867" width="11.5703125" style="16" customWidth="1"/>
    <col min="4868" max="4868" width="11.140625" style="16" customWidth="1"/>
    <col min="4869" max="4869" width="9.7109375" style="16" bestFit="1" customWidth="1"/>
    <col min="4870" max="4870" width="1" style="16" customWidth="1"/>
    <col min="4871" max="4871" width="9.140625" style="16"/>
    <col min="4872" max="4872" width="30.5703125" style="16" customWidth="1"/>
    <col min="4873" max="4873" width="11" style="16" customWidth="1"/>
    <col min="4874" max="4874" width="10.5703125" style="16" customWidth="1"/>
    <col min="4875" max="4875" width="10.85546875" style="16" customWidth="1"/>
    <col min="4876" max="4876" width="9" style="16" bestFit="1" customWidth="1"/>
    <col min="4877" max="4877" width="8.140625" style="16" bestFit="1" customWidth="1"/>
    <col min="4878" max="5117" width="9.140625" style="16"/>
    <col min="5118" max="5118" width="2.28515625" style="16" customWidth="1"/>
    <col min="5119" max="5119" width="10.42578125" style="16" customWidth="1"/>
    <col min="5120" max="5120" width="28.42578125" style="16" customWidth="1"/>
    <col min="5121" max="5121" width="12" style="16" customWidth="1"/>
    <col min="5122" max="5122" width="12.7109375" style="16" customWidth="1"/>
    <col min="5123" max="5123" width="11.5703125" style="16" customWidth="1"/>
    <col min="5124" max="5124" width="11.140625" style="16" customWidth="1"/>
    <col min="5125" max="5125" width="9.7109375" style="16" bestFit="1" customWidth="1"/>
    <col min="5126" max="5126" width="1" style="16" customWidth="1"/>
    <col min="5127" max="5127" width="9.140625" style="16"/>
    <col min="5128" max="5128" width="30.5703125" style="16" customWidth="1"/>
    <col min="5129" max="5129" width="11" style="16" customWidth="1"/>
    <col min="5130" max="5130" width="10.5703125" style="16" customWidth="1"/>
    <col min="5131" max="5131" width="10.85546875" style="16" customWidth="1"/>
    <col min="5132" max="5132" width="9" style="16" bestFit="1" customWidth="1"/>
    <col min="5133" max="5133" width="8.140625" style="16" bestFit="1" customWidth="1"/>
    <col min="5134" max="5373" width="9.140625" style="16"/>
    <col min="5374" max="5374" width="2.28515625" style="16" customWidth="1"/>
    <col min="5375" max="5375" width="10.42578125" style="16" customWidth="1"/>
    <col min="5376" max="5376" width="28.42578125" style="16" customWidth="1"/>
    <col min="5377" max="5377" width="12" style="16" customWidth="1"/>
    <col min="5378" max="5378" width="12.7109375" style="16" customWidth="1"/>
    <col min="5379" max="5379" width="11.5703125" style="16" customWidth="1"/>
    <col min="5380" max="5380" width="11.140625" style="16" customWidth="1"/>
    <col min="5381" max="5381" width="9.7109375" style="16" bestFit="1" customWidth="1"/>
    <col min="5382" max="5382" width="1" style="16" customWidth="1"/>
    <col min="5383" max="5383" width="9.140625" style="16"/>
    <col min="5384" max="5384" width="30.5703125" style="16" customWidth="1"/>
    <col min="5385" max="5385" width="11" style="16" customWidth="1"/>
    <col min="5386" max="5386" width="10.5703125" style="16" customWidth="1"/>
    <col min="5387" max="5387" width="10.85546875" style="16" customWidth="1"/>
    <col min="5388" max="5388" width="9" style="16" bestFit="1" customWidth="1"/>
    <col min="5389" max="5389" width="8.140625" style="16" bestFit="1" customWidth="1"/>
    <col min="5390" max="5629" width="9.140625" style="16"/>
    <col min="5630" max="5630" width="2.28515625" style="16" customWidth="1"/>
    <col min="5631" max="5631" width="10.42578125" style="16" customWidth="1"/>
    <col min="5632" max="5632" width="28.42578125" style="16" customWidth="1"/>
    <col min="5633" max="5633" width="12" style="16" customWidth="1"/>
    <col min="5634" max="5634" width="12.7109375" style="16" customWidth="1"/>
    <col min="5635" max="5635" width="11.5703125" style="16" customWidth="1"/>
    <col min="5636" max="5636" width="11.140625" style="16" customWidth="1"/>
    <col min="5637" max="5637" width="9.7109375" style="16" bestFit="1" customWidth="1"/>
    <col min="5638" max="5638" width="1" style="16" customWidth="1"/>
    <col min="5639" max="5639" width="9.140625" style="16"/>
    <col min="5640" max="5640" width="30.5703125" style="16" customWidth="1"/>
    <col min="5641" max="5641" width="11" style="16" customWidth="1"/>
    <col min="5642" max="5642" width="10.5703125" style="16" customWidth="1"/>
    <col min="5643" max="5643" width="10.85546875" style="16" customWidth="1"/>
    <col min="5644" max="5644" width="9" style="16" bestFit="1" customWidth="1"/>
    <col min="5645" max="5645" width="8.140625" style="16" bestFit="1" customWidth="1"/>
    <col min="5646" max="5885" width="9.140625" style="16"/>
    <col min="5886" max="5886" width="2.28515625" style="16" customWidth="1"/>
    <col min="5887" max="5887" width="10.42578125" style="16" customWidth="1"/>
    <col min="5888" max="5888" width="28.42578125" style="16" customWidth="1"/>
    <col min="5889" max="5889" width="12" style="16" customWidth="1"/>
    <col min="5890" max="5890" width="12.7109375" style="16" customWidth="1"/>
    <col min="5891" max="5891" width="11.5703125" style="16" customWidth="1"/>
    <col min="5892" max="5892" width="11.140625" style="16" customWidth="1"/>
    <col min="5893" max="5893" width="9.7109375" style="16" bestFit="1" customWidth="1"/>
    <col min="5894" max="5894" width="1" style="16" customWidth="1"/>
    <col min="5895" max="5895" width="9.140625" style="16"/>
    <col min="5896" max="5896" width="30.5703125" style="16" customWidth="1"/>
    <col min="5897" max="5897" width="11" style="16" customWidth="1"/>
    <col min="5898" max="5898" width="10.5703125" style="16" customWidth="1"/>
    <col min="5899" max="5899" width="10.85546875" style="16" customWidth="1"/>
    <col min="5900" max="5900" width="9" style="16" bestFit="1" customWidth="1"/>
    <col min="5901" max="5901" width="8.140625" style="16" bestFit="1" customWidth="1"/>
    <col min="5902" max="6141" width="9.140625" style="16"/>
    <col min="6142" max="6142" width="2.28515625" style="16" customWidth="1"/>
    <col min="6143" max="6143" width="10.42578125" style="16" customWidth="1"/>
    <col min="6144" max="6144" width="28.42578125" style="16" customWidth="1"/>
    <col min="6145" max="6145" width="12" style="16" customWidth="1"/>
    <col min="6146" max="6146" width="12.7109375" style="16" customWidth="1"/>
    <col min="6147" max="6147" width="11.5703125" style="16" customWidth="1"/>
    <col min="6148" max="6148" width="11.140625" style="16" customWidth="1"/>
    <col min="6149" max="6149" width="9.7109375" style="16" bestFit="1" customWidth="1"/>
    <col min="6150" max="6150" width="1" style="16" customWidth="1"/>
    <col min="6151" max="6151" width="9.140625" style="16"/>
    <col min="6152" max="6152" width="30.5703125" style="16" customWidth="1"/>
    <col min="6153" max="6153" width="11" style="16" customWidth="1"/>
    <col min="6154" max="6154" width="10.5703125" style="16" customWidth="1"/>
    <col min="6155" max="6155" width="10.85546875" style="16" customWidth="1"/>
    <col min="6156" max="6156" width="9" style="16" bestFit="1" customWidth="1"/>
    <col min="6157" max="6157" width="8.140625" style="16" bestFit="1" customWidth="1"/>
    <col min="6158" max="6397" width="9.140625" style="16"/>
    <col min="6398" max="6398" width="2.28515625" style="16" customWidth="1"/>
    <col min="6399" max="6399" width="10.42578125" style="16" customWidth="1"/>
    <col min="6400" max="6400" width="28.42578125" style="16" customWidth="1"/>
    <col min="6401" max="6401" width="12" style="16" customWidth="1"/>
    <col min="6402" max="6402" width="12.7109375" style="16" customWidth="1"/>
    <col min="6403" max="6403" width="11.5703125" style="16" customWidth="1"/>
    <col min="6404" max="6404" width="11.140625" style="16" customWidth="1"/>
    <col min="6405" max="6405" width="9.7109375" style="16" bestFit="1" customWidth="1"/>
    <col min="6406" max="6406" width="1" style="16" customWidth="1"/>
    <col min="6407" max="6407" width="9.140625" style="16"/>
    <col min="6408" max="6408" width="30.5703125" style="16" customWidth="1"/>
    <col min="6409" max="6409" width="11" style="16" customWidth="1"/>
    <col min="6410" max="6410" width="10.5703125" style="16" customWidth="1"/>
    <col min="6411" max="6411" width="10.85546875" style="16" customWidth="1"/>
    <col min="6412" max="6412" width="9" style="16" bestFit="1" customWidth="1"/>
    <col min="6413" max="6413" width="8.140625" style="16" bestFit="1" customWidth="1"/>
    <col min="6414" max="6653" width="9.140625" style="16"/>
    <col min="6654" max="6654" width="2.28515625" style="16" customWidth="1"/>
    <col min="6655" max="6655" width="10.42578125" style="16" customWidth="1"/>
    <col min="6656" max="6656" width="28.42578125" style="16" customWidth="1"/>
    <col min="6657" max="6657" width="12" style="16" customWidth="1"/>
    <col min="6658" max="6658" width="12.7109375" style="16" customWidth="1"/>
    <col min="6659" max="6659" width="11.5703125" style="16" customWidth="1"/>
    <col min="6660" max="6660" width="11.140625" style="16" customWidth="1"/>
    <col min="6661" max="6661" width="9.7109375" style="16" bestFit="1" customWidth="1"/>
    <col min="6662" max="6662" width="1" style="16" customWidth="1"/>
    <col min="6663" max="6663" width="9.140625" style="16"/>
    <col min="6664" max="6664" width="30.5703125" style="16" customWidth="1"/>
    <col min="6665" max="6665" width="11" style="16" customWidth="1"/>
    <col min="6666" max="6666" width="10.5703125" style="16" customWidth="1"/>
    <col min="6667" max="6667" width="10.85546875" style="16" customWidth="1"/>
    <col min="6668" max="6668" width="9" style="16" bestFit="1" customWidth="1"/>
    <col min="6669" max="6669" width="8.140625" style="16" bestFit="1" customWidth="1"/>
    <col min="6670" max="6909" width="9.140625" style="16"/>
    <col min="6910" max="6910" width="2.28515625" style="16" customWidth="1"/>
    <col min="6911" max="6911" width="10.42578125" style="16" customWidth="1"/>
    <col min="6912" max="6912" width="28.42578125" style="16" customWidth="1"/>
    <col min="6913" max="6913" width="12" style="16" customWidth="1"/>
    <col min="6914" max="6914" width="12.7109375" style="16" customWidth="1"/>
    <col min="6915" max="6915" width="11.5703125" style="16" customWidth="1"/>
    <col min="6916" max="6916" width="11.140625" style="16" customWidth="1"/>
    <col min="6917" max="6917" width="9.7109375" style="16" bestFit="1" customWidth="1"/>
    <col min="6918" max="6918" width="1" style="16" customWidth="1"/>
    <col min="6919" max="6919" width="9.140625" style="16"/>
    <col min="6920" max="6920" width="30.5703125" style="16" customWidth="1"/>
    <col min="6921" max="6921" width="11" style="16" customWidth="1"/>
    <col min="6922" max="6922" width="10.5703125" style="16" customWidth="1"/>
    <col min="6923" max="6923" width="10.85546875" style="16" customWidth="1"/>
    <col min="6924" max="6924" width="9" style="16" bestFit="1" customWidth="1"/>
    <col min="6925" max="6925" width="8.140625" style="16" bestFit="1" customWidth="1"/>
    <col min="6926" max="7165" width="9.140625" style="16"/>
    <col min="7166" max="7166" width="2.28515625" style="16" customWidth="1"/>
    <col min="7167" max="7167" width="10.42578125" style="16" customWidth="1"/>
    <col min="7168" max="7168" width="28.42578125" style="16" customWidth="1"/>
    <col min="7169" max="7169" width="12" style="16" customWidth="1"/>
    <col min="7170" max="7170" width="12.7109375" style="16" customWidth="1"/>
    <col min="7171" max="7171" width="11.5703125" style="16" customWidth="1"/>
    <col min="7172" max="7172" width="11.140625" style="16" customWidth="1"/>
    <col min="7173" max="7173" width="9.7109375" style="16" bestFit="1" customWidth="1"/>
    <col min="7174" max="7174" width="1" style="16" customWidth="1"/>
    <col min="7175" max="7175" width="9.140625" style="16"/>
    <col min="7176" max="7176" width="30.5703125" style="16" customWidth="1"/>
    <col min="7177" max="7177" width="11" style="16" customWidth="1"/>
    <col min="7178" max="7178" width="10.5703125" style="16" customWidth="1"/>
    <col min="7179" max="7179" width="10.85546875" style="16" customWidth="1"/>
    <col min="7180" max="7180" width="9" style="16" bestFit="1" customWidth="1"/>
    <col min="7181" max="7181" width="8.140625" style="16" bestFit="1" customWidth="1"/>
    <col min="7182" max="7421" width="9.140625" style="16"/>
    <col min="7422" max="7422" width="2.28515625" style="16" customWidth="1"/>
    <col min="7423" max="7423" width="10.42578125" style="16" customWidth="1"/>
    <col min="7424" max="7424" width="28.42578125" style="16" customWidth="1"/>
    <col min="7425" max="7425" width="12" style="16" customWidth="1"/>
    <col min="7426" max="7426" width="12.7109375" style="16" customWidth="1"/>
    <col min="7427" max="7427" width="11.5703125" style="16" customWidth="1"/>
    <col min="7428" max="7428" width="11.140625" style="16" customWidth="1"/>
    <col min="7429" max="7429" width="9.7109375" style="16" bestFit="1" customWidth="1"/>
    <col min="7430" max="7430" width="1" style="16" customWidth="1"/>
    <col min="7431" max="7431" width="9.140625" style="16"/>
    <col min="7432" max="7432" width="30.5703125" style="16" customWidth="1"/>
    <col min="7433" max="7433" width="11" style="16" customWidth="1"/>
    <col min="7434" max="7434" width="10.5703125" style="16" customWidth="1"/>
    <col min="7435" max="7435" width="10.85546875" style="16" customWidth="1"/>
    <col min="7436" max="7436" width="9" style="16" bestFit="1" customWidth="1"/>
    <col min="7437" max="7437" width="8.140625" style="16" bestFit="1" customWidth="1"/>
    <col min="7438" max="7677" width="9.140625" style="16"/>
    <col min="7678" max="7678" width="2.28515625" style="16" customWidth="1"/>
    <col min="7679" max="7679" width="10.42578125" style="16" customWidth="1"/>
    <col min="7680" max="7680" width="28.42578125" style="16" customWidth="1"/>
    <col min="7681" max="7681" width="12" style="16" customWidth="1"/>
    <col min="7682" max="7682" width="12.7109375" style="16" customWidth="1"/>
    <col min="7683" max="7683" width="11.5703125" style="16" customWidth="1"/>
    <col min="7684" max="7684" width="11.140625" style="16" customWidth="1"/>
    <col min="7685" max="7685" width="9.7109375" style="16" bestFit="1" customWidth="1"/>
    <col min="7686" max="7686" width="1" style="16" customWidth="1"/>
    <col min="7687" max="7687" width="9.140625" style="16"/>
    <col min="7688" max="7688" width="30.5703125" style="16" customWidth="1"/>
    <col min="7689" max="7689" width="11" style="16" customWidth="1"/>
    <col min="7690" max="7690" width="10.5703125" style="16" customWidth="1"/>
    <col min="7691" max="7691" width="10.85546875" style="16" customWidth="1"/>
    <col min="7692" max="7692" width="9" style="16" bestFit="1" customWidth="1"/>
    <col min="7693" max="7693" width="8.140625" style="16" bestFit="1" customWidth="1"/>
    <col min="7694" max="7933" width="9.140625" style="16"/>
    <col min="7934" max="7934" width="2.28515625" style="16" customWidth="1"/>
    <col min="7935" max="7935" width="10.42578125" style="16" customWidth="1"/>
    <col min="7936" max="7936" width="28.42578125" style="16" customWidth="1"/>
    <col min="7937" max="7937" width="12" style="16" customWidth="1"/>
    <col min="7938" max="7938" width="12.7109375" style="16" customWidth="1"/>
    <col min="7939" max="7939" width="11.5703125" style="16" customWidth="1"/>
    <col min="7940" max="7940" width="11.140625" style="16" customWidth="1"/>
    <col min="7941" max="7941" width="9.7109375" style="16" bestFit="1" customWidth="1"/>
    <col min="7942" max="7942" width="1" style="16" customWidth="1"/>
    <col min="7943" max="7943" width="9.140625" style="16"/>
    <col min="7944" max="7944" width="30.5703125" style="16" customWidth="1"/>
    <col min="7945" max="7945" width="11" style="16" customWidth="1"/>
    <col min="7946" max="7946" width="10.5703125" style="16" customWidth="1"/>
    <col min="7947" max="7947" width="10.85546875" style="16" customWidth="1"/>
    <col min="7948" max="7948" width="9" style="16" bestFit="1" customWidth="1"/>
    <col min="7949" max="7949" width="8.140625" style="16" bestFit="1" customWidth="1"/>
    <col min="7950" max="8189" width="9.140625" style="16"/>
    <col min="8190" max="8190" width="2.28515625" style="16" customWidth="1"/>
    <col min="8191" max="8191" width="10.42578125" style="16" customWidth="1"/>
    <col min="8192" max="8192" width="28.42578125" style="16" customWidth="1"/>
    <col min="8193" max="8193" width="12" style="16" customWidth="1"/>
    <col min="8194" max="8194" width="12.7109375" style="16" customWidth="1"/>
    <col min="8195" max="8195" width="11.5703125" style="16" customWidth="1"/>
    <col min="8196" max="8196" width="11.140625" style="16" customWidth="1"/>
    <col min="8197" max="8197" width="9.7109375" style="16" bestFit="1" customWidth="1"/>
    <col min="8198" max="8198" width="1" style="16" customWidth="1"/>
    <col min="8199" max="8199" width="9.140625" style="16"/>
    <col min="8200" max="8200" width="30.5703125" style="16" customWidth="1"/>
    <col min="8201" max="8201" width="11" style="16" customWidth="1"/>
    <col min="8202" max="8202" width="10.5703125" style="16" customWidth="1"/>
    <col min="8203" max="8203" width="10.85546875" style="16" customWidth="1"/>
    <col min="8204" max="8204" width="9" style="16" bestFit="1" customWidth="1"/>
    <col min="8205" max="8205" width="8.140625" style="16" bestFit="1" customWidth="1"/>
    <col min="8206" max="8445" width="9.140625" style="16"/>
    <col min="8446" max="8446" width="2.28515625" style="16" customWidth="1"/>
    <col min="8447" max="8447" width="10.42578125" style="16" customWidth="1"/>
    <col min="8448" max="8448" width="28.42578125" style="16" customWidth="1"/>
    <col min="8449" max="8449" width="12" style="16" customWidth="1"/>
    <col min="8450" max="8450" width="12.7109375" style="16" customWidth="1"/>
    <col min="8451" max="8451" width="11.5703125" style="16" customWidth="1"/>
    <col min="8452" max="8452" width="11.140625" style="16" customWidth="1"/>
    <col min="8453" max="8453" width="9.7109375" style="16" bestFit="1" customWidth="1"/>
    <col min="8454" max="8454" width="1" style="16" customWidth="1"/>
    <col min="8455" max="8455" width="9.140625" style="16"/>
    <col min="8456" max="8456" width="30.5703125" style="16" customWidth="1"/>
    <col min="8457" max="8457" width="11" style="16" customWidth="1"/>
    <col min="8458" max="8458" width="10.5703125" style="16" customWidth="1"/>
    <col min="8459" max="8459" width="10.85546875" style="16" customWidth="1"/>
    <col min="8460" max="8460" width="9" style="16" bestFit="1" customWidth="1"/>
    <col min="8461" max="8461" width="8.140625" style="16" bestFit="1" customWidth="1"/>
    <col min="8462" max="8701" width="9.140625" style="16"/>
    <col min="8702" max="8702" width="2.28515625" style="16" customWidth="1"/>
    <col min="8703" max="8703" width="10.42578125" style="16" customWidth="1"/>
    <col min="8704" max="8704" width="28.42578125" style="16" customWidth="1"/>
    <col min="8705" max="8705" width="12" style="16" customWidth="1"/>
    <col min="8706" max="8706" width="12.7109375" style="16" customWidth="1"/>
    <col min="8707" max="8707" width="11.5703125" style="16" customWidth="1"/>
    <col min="8708" max="8708" width="11.140625" style="16" customWidth="1"/>
    <col min="8709" max="8709" width="9.7109375" style="16" bestFit="1" customWidth="1"/>
    <col min="8710" max="8710" width="1" style="16" customWidth="1"/>
    <col min="8711" max="8711" width="9.140625" style="16"/>
    <col min="8712" max="8712" width="30.5703125" style="16" customWidth="1"/>
    <col min="8713" max="8713" width="11" style="16" customWidth="1"/>
    <col min="8714" max="8714" width="10.5703125" style="16" customWidth="1"/>
    <col min="8715" max="8715" width="10.85546875" style="16" customWidth="1"/>
    <col min="8716" max="8716" width="9" style="16" bestFit="1" customWidth="1"/>
    <col min="8717" max="8717" width="8.140625" style="16" bestFit="1" customWidth="1"/>
    <col min="8718" max="8957" width="9.140625" style="16"/>
    <col min="8958" max="8958" width="2.28515625" style="16" customWidth="1"/>
    <col min="8959" max="8959" width="10.42578125" style="16" customWidth="1"/>
    <col min="8960" max="8960" width="28.42578125" style="16" customWidth="1"/>
    <col min="8961" max="8961" width="12" style="16" customWidth="1"/>
    <col min="8962" max="8962" width="12.7109375" style="16" customWidth="1"/>
    <col min="8963" max="8963" width="11.5703125" style="16" customWidth="1"/>
    <col min="8964" max="8964" width="11.140625" style="16" customWidth="1"/>
    <col min="8965" max="8965" width="9.7109375" style="16" bestFit="1" customWidth="1"/>
    <col min="8966" max="8966" width="1" style="16" customWidth="1"/>
    <col min="8967" max="8967" width="9.140625" style="16"/>
    <col min="8968" max="8968" width="30.5703125" style="16" customWidth="1"/>
    <col min="8969" max="8969" width="11" style="16" customWidth="1"/>
    <col min="8970" max="8970" width="10.5703125" style="16" customWidth="1"/>
    <col min="8971" max="8971" width="10.85546875" style="16" customWidth="1"/>
    <col min="8972" max="8972" width="9" style="16" bestFit="1" customWidth="1"/>
    <col min="8973" max="8973" width="8.140625" style="16" bestFit="1" customWidth="1"/>
    <col min="8974" max="9213" width="9.140625" style="16"/>
    <col min="9214" max="9214" width="2.28515625" style="16" customWidth="1"/>
    <col min="9215" max="9215" width="10.42578125" style="16" customWidth="1"/>
    <col min="9216" max="9216" width="28.42578125" style="16" customWidth="1"/>
    <col min="9217" max="9217" width="12" style="16" customWidth="1"/>
    <col min="9218" max="9218" width="12.7109375" style="16" customWidth="1"/>
    <col min="9219" max="9219" width="11.5703125" style="16" customWidth="1"/>
    <col min="9220" max="9220" width="11.140625" style="16" customWidth="1"/>
    <col min="9221" max="9221" width="9.7109375" style="16" bestFit="1" customWidth="1"/>
    <col min="9222" max="9222" width="1" style="16" customWidth="1"/>
    <col min="9223" max="9223" width="9.140625" style="16"/>
    <col min="9224" max="9224" width="30.5703125" style="16" customWidth="1"/>
    <col min="9225" max="9225" width="11" style="16" customWidth="1"/>
    <col min="9226" max="9226" width="10.5703125" style="16" customWidth="1"/>
    <col min="9227" max="9227" width="10.85546875" style="16" customWidth="1"/>
    <col min="9228" max="9228" width="9" style="16" bestFit="1" customWidth="1"/>
    <col min="9229" max="9229" width="8.140625" style="16" bestFit="1" customWidth="1"/>
    <col min="9230" max="9469" width="9.140625" style="16"/>
    <col min="9470" max="9470" width="2.28515625" style="16" customWidth="1"/>
    <col min="9471" max="9471" width="10.42578125" style="16" customWidth="1"/>
    <col min="9472" max="9472" width="28.42578125" style="16" customWidth="1"/>
    <col min="9473" max="9473" width="12" style="16" customWidth="1"/>
    <col min="9474" max="9474" width="12.7109375" style="16" customWidth="1"/>
    <col min="9475" max="9475" width="11.5703125" style="16" customWidth="1"/>
    <col min="9476" max="9476" width="11.140625" style="16" customWidth="1"/>
    <col min="9477" max="9477" width="9.7109375" style="16" bestFit="1" customWidth="1"/>
    <col min="9478" max="9478" width="1" style="16" customWidth="1"/>
    <col min="9479" max="9479" width="9.140625" style="16"/>
    <col min="9480" max="9480" width="30.5703125" style="16" customWidth="1"/>
    <col min="9481" max="9481" width="11" style="16" customWidth="1"/>
    <col min="9482" max="9482" width="10.5703125" style="16" customWidth="1"/>
    <col min="9483" max="9483" width="10.85546875" style="16" customWidth="1"/>
    <col min="9484" max="9484" width="9" style="16" bestFit="1" customWidth="1"/>
    <col min="9485" max="9485" width="8.140625" style="16" bestFit="1" customWidth="1"/>
    <col min="9486" max="9725" width="9.140625" style="16"/>
    <col min="9726" max="9726" width="2.28515625" style="16" customWidth="1"/>
    <col min="9727" max="9727" width="10.42578125" style="16" customWidth="1"/>
    <col min="9728" max="9728" width="28.42578125" style="16" customWidth="1"/>
    <col min="9729" max="9729" width="12" style="16" customWidth="1"/>
    <col min="9730" max="9730" width="12.7109375" style="16" customWidth="1"/>
    <col min="9731" max="9731" width="11.5703125" style="16" customWidth="1"/>
    <col min="9732" max="9732" width="11.140625" style="16" customWidth="1"/>
    <col min="9733" max="9733" width="9.7109375" style="16" bestFit="1" customWidth="1"/>
    <col min="9734" max="9734" width="1" style="16" customWidth="1"/>
    <col min="9735" max="9735" width="9.140625" style="16"/>
    <col min="9736" max="9736" width="30.5703125" style="16" customWidth="1"/>
    <col min="9737" max="9737" width="11" style="16" customWidth="1"/>
    <col min="9738" max="9738" width="10.5703125" style="16" customWidth="1"/>
    <col min="9739" max="9739" width="10.85546875" style="16" customWidth="1"/>
    <col min="9740" max="9740" width="9" style="16" bestFit="1" customWidth="1"/>
    <col min="9741" max="9741" width="8.140625" style="16" bestFit="1" customWidth="1"/>
    <col min="9742" max="9981" width="9.140625" style="16"/>
    <col min="9982" max="9982" width="2.28515625" style="16" customWidth="1"/>
    <col min="9983" max="9983" width="10.42578125" style="16" customWidth="1"/>
    <col min="9984" max="9984" width="28.42578125" style="16" customWidth="1"/>
    <col min="9985" max="9985" width="12" style="16" customWidth="1"/>
    <col min="9986" max="9986" width="12.7109375" style="16" customWidth="1"/>
    <col min="9987" max="9987" width="11.5703125" style="16" customWidth="1"/>
    <col min="9988" max="9988" width="11.140625" style="16" customWidth="1"/>
    <col min="9989" max="9989" width="9.7109375" style="16" bestFit="1" customWidth="1"/>
    <col min="9990" max="9990" width="1" style="16" customWidth="1"/>
    <col min="9991" max="9991" width="9.140625" style="16"/>
    <col min="9992" max="9992" width="30.5703125" style="16" customWidth="1"/>
    <col min="9993" max="9993" width="11" style="16" customWidth="1"/>
    <col min="9994" max="9994" width="10.5703125" style="16" customWidth="1"/>
    <col min="9995" max="9995" width="10.85546875" style="16" customWidth="1"/>
    <col min="9996" max="9996" width="9" style="16" bestFit="1" customWidth="1"/>
    <col min="9997" max="9997" width="8.140625" style="16" bestFit="1" customWidth="1"/>
    <col min="9998" max="10237" width="9.140625" style="16"/>
    <col min="10238" max="10238" width="2.28515625" style="16" customWidth="1"/>
    <col min="10239" max="10239" width="10.42578125" style="16" customWidth="1"/>
    <col min="10240" max="10240" width="28.42578125" style="16" customWidth="1"/>
    <col min="10241" max="10241" width="12" style="16" customWidth="1"/>
    <col min="10242" max="10242" width="12.7109375" style="16" customWidth="1"/>
    <col min="10243" max="10243" width="11.5703125" style="16" customWidth="1"/>
    <col min="10244" max="10244" width="11.140625" style="16" customWidth="1"/>
    <col min="10245" max="10245" width="9.7109375" style="16" bestFit="1" customWidth="1"/>
    <col min="10246" max="10246" width="1" style="16" customWidth="1"/>
    <col min="10247" max="10247" width="9.140625" style="16"/>
    <col min="10248" max="10248" width="30.5703125" style="16" customWidth="1"/>
    <col min="10249" max="10249" width="11" style="16" customWidth="1"/>
    <col min="10250" max="10250" width="10.5703125" style="16" customWidth="1"/>
    <col min="10251" max="10251" width="10.85546875" style="16" customWidth="1"/>
    <col min="10252" max="10252" width="9" style="16" bestFit="1" customWidth="1"/>
    <col min="10253" max="10253" width="8.140625" style="16" bestFit="1" customWidth="1"/>
    <col min="10254" max="10493" width="9.140625" style="16"/>
    <col min="10494" max="10494" width="2.28515625" style="16" customWidth="1"/>
    <col min="10495" max="10495" width="10.42578125" style="16" customWidth="1"/>
    <col min="10496" max="10496" width="28.42578125" style="16" customWidth="1"/>
    <col min="10497" max="10497" width="12" style="16" customWidth="1"/>
    <col min="10498" max="10498" width="12.7109375" style="16" customWidth="1"/>
    <col min="10499" max="10499" width="11.5703125" style="16" customWidth="1"/>
    <col min="10500" max="10500" width="11.140625" style="16" customWidth="1"/>
    <col min="10501" max="10501" width="9.7109375" style="16" bestFit="1" customWidth="1"/>
    <col min="10502" max="10502" width="1" style="16" customWidth="1"/>
    <col min="10503" max="10503" width="9.140625" style="16"/>
    <col min="10504" max="10504" width="30.5703125" style="16" customWidth="1"/>
    <col min="10505" max="10505" width="11" style="16" customWidth="1"/>
    <col min="10506" max="10506" width="10.5703125" style="16" customWidth="1"/>
    <col min="10507" max="10507" width="10.85546875" style="16" customWidth="1"/>
    <col min="10508" max="10508" width="9" style="16" bestFit="1" customWidth="1"/>
    <col min="10509" max="10509" width="8.140625" style="16" bestFit="1" customWidth="1"/>
    <col min="10510" max="10749" width="9.140625" style="16"/>
    <col min="10750" max="10750" width="2.28515625" style="16" customWidth="1"/>
    <col min="10751" max="10751" width="10.42578125" style="16" customWidth="1"/>
    <col min="10752" max="10752" width="28.42578125" style="16" customWidth="1"/>
    <col min="10753" max="10753" width="12" style="16" customWidth="1"/>
    <col min="10754" max="10754" width="12.7109375" style="16" customWidth="1"/>
    <col min="10755" max="10755" width="11.5703125" style="16" customWidth="1"/>
    <col min="10756" max="10756" width="11.140625" style="16" customWidth="1"/>
    <col min="10757" max="10757" width="9.7109375" style="16" bestFit="1" customWidth="1"/>
    <col min="10758" max="10758" width="1" style="16" customWidth="1"/>
    <col min="10759" max="10759" width="9.140625" style="16"/>
    <col min="10760" max="10760" width="30.5703125" style="16" customWidth="1"/>
    <col min="10761" max="10761" width="11" style="16" customWidth="1"/>
    <col min="10762" max="10762" width="10.5703125" style="16" customWidth="1"/>
    <col min="10763" max="10763" width="10.85546875" style="16" customWidth="1"/>
    <col min="10764" max="10764" width="9" style="16" bestFit="1" customWidth="1"/>
    <col min="10765" max="10765" width="8.140625" style="16" bestFit="1" customWidth="1"/>
    <col min="10766" max="11005" width="9.140625" style="16"/>
    <col min="11006" max="11006" width="2.28515625" style="16" customWidth="1"/>
    <col min="11007" max="11007" width="10.42578125" style="16" customWidth="1"/>
    <col min="11008" max="11008" width="28.42578125" style="16" customWidth="1"/>
    <col min="11009" max="11009" width="12" style="16" customWidth="1"/>
    <col min="11010" max="11010" width="12.7109375" style="16" customWidth="1"/>
    <col min="11011" max="11011" width="11.5703125" style="16" customWidth="1"/>
    <col min="11012" max="11012" width="11.140625" style="16" customWidth="1"/>
    <col min="11013" max="11013" width="9.7109375" style="16" bestFit="1" customWidth="1"/>
    <col min="11014" max="11014" width="1" style="16" customWidth="1"/>
    <col min="11015" max="11015" width="9.140625" style="16"/>
    <col min="11016" max="11016" width="30.5703125" style="16" customWidth="1"/>
    <col min="11017" max="11017" width="11" style="16" customWidth="1"/>
    <col min="11018" max="11018" width="10.5703125" style="16" customWidth="1"/>
    <col min="11019" max="11019" width="10.85546875" style="16" customWidth="1"/>
    <col min="11020" max="11020" width="9" style="16" bestFit="1" customWidth="1"/>
    <col min="11021" max="11021" width="8.140625" style="16" bestFit="1" customWidth="1"/>
    <col min="11022" max="11261" width="9.140625" style="16"/>
    <col min="11262" max="11262" width="2.28515625" style="16" customWidth="1"/>
    <col min="11263" max="11263" width="10.42578125" style="16" customWidth="1"/>
    <col min="11264" max="11264" width="28.42578125" style="16" customWidth="1"/>
    <col min="11265" max="11265" width="12" style="16" customWidth="1"/>
    <col min="11266" max="11266" width="12.7109375" style="16" customWidth="1"/>
    <col min="11267" max="11267" width="11.5703125" style="16" customWidth="1"/>
    <col min="11268" max="11268" width="11.140625" style="16" customWidth="1"/>
    <col min="11269" max="11269" width="9.7109375" style="16" bestFit="1" customWidth="1"/>
    <col min="11270" max="11270" width="1" style="16" customWidth="1"/>
    <col min="11271" max="11271" width="9.140625" style="16"/>
    <col min="11272" max="11272" width="30.5703125" style="16" customWidth="1"/>
    <col min="11273" max="11273" width="11" style="16" customWidth="1"/>
    <col min="11274" max="11274" width="10.5703125" style="16" customWidth="1"/>
    <col min="11275" max="11275" width="10.85546875" style="16" customWidth="1"/>
    <col min="11276" max="11276" width="9" style="16" bestFit="1" customWidth="1"/>
    <col min="11277" max="11277" width="8.140625" style="16" bestFit="1" customWidth="1"/>
    <col min="11278" max="11517" width="9.140625" style="16"/>
    <col min="11518" max="11518" width="2.28515625" style="16" customWidth="1"/>
    <col min="11519" max="11519" width="10.42578125" style="16" customWidth="1"/>
    <col min="11520" max="11520" width="28.42578125" style="16" customWidth="1"/>
    <col min="11521" max="11521" width="12" style="16" customWidth="1"/>
    <col min="11522" max="11522" width="12.7109375" style="16" customWidth="1"/>
    <col min="11523" max="11523" width="11.5703125" style="16" customWidth="1"/>
    <col min="11524" max="11524" width="11.140625" style="16" customWidth="1"/>
    <col min="11525" max="11525" width="9.7109375" style="16" bestFit="1" customWidth="1"/>
    <col min="11526" max="11526" width="1" style="16" customWidth="1"/>
    <col min="11527" max="11527" width="9.140625" style="16"/>
    <col min="11528" max="11528" width="30.5703125" style="16" customWidth="1"/>
    <col min="11529" max="11529" width="11" style="16" customWidth="1"/>
    <col min="11530" max="11530" width="10.5703125" style="16" customWidth="1"/>
    <col min="11531" max="11531" width="10.85546875" style="16" customWidth="1"/>
    <col min="11532" max="11532" width="9" style="16" bestFit="1" customWidth="1"/>
    <col min="11533" max="11533" width="8.140625" style="16" bestFit="1" customWidth="1"/>
    <col min="11534" max="11773" width="9.140625" style="16"/>
    <col min="11774" max="11774" width="2.28515625" style="16" customWidth="1"/>
    <col min="11775" max="11775" width="10.42578125" style="16" customWidth="1"/>
    <col min="11776" max="11776" width="28.42578125" style="16" customWidth="1"/>
    <col min="11777" max="11777" width="12" style="16" customWidth="1"/>
    <col min="11778" max="11778" width="12.7109375" style="16" customWidth="1"/>
    <col min="11779" max="11779" width="11.5703125" style="16" customWidth="1"/>
    <col min="11780" max="11780" width="11.140625" style="16" customWidth="1"/>
    <col min="11781" max="11781" width="9.7109375" style="16" bestFit="1" customWidth="1"/>
    <col min="11782" max="11782" width="1" style="16" customWidth="1"/>
    <col min="11783" max="11783" width="9.140625" style="16"/>
    <col min="11784" max="11784" width="30.5703125" style="16" customWidth="1"/>
    <col min="11785" max="11785" width="11" style="16" customWidth="1"/>
    <col min="11786" max="11786" width="10.5703125" style="16" customWidth="1"/>
    <col min="11787" max="11787" width="10.85546875" style="16" customWidth="1"/>
    <col min="11788" max="11788" width="9" style="16" bestFit="1" customWidth="1"/>
    <col min="11789" max="11789" width="8.140625" style="16" bestFit="1" customWidth="1"/>
    <col min="11790" max="12029" width="9.140625" style="16"/>
    <col min="12030" max="12030" width="2.28515625" style="16" customWidth="1"/>
    <col min="12031" max="12031" width="10.42578125" style="16" customWidth="1"/>
    <col min="12032" max="12032" width="28.42578125" style="16" customWidth="1"/>
    <col min="12033" max="12033" width="12" style="16" customWidth="1"/>
    <col min="12034" max="12034" width="12.7109375" style="16" customWidth="1"/>
    <col min="12035" max="12035" width="11.5703125" style="16" customWidth="1"/>
    <col min="12036" max="12036" width="11.140625" style="16" customWidth="1"/>
    <col min="12037" max="12037" width="9.7109375" style="16" bestFit="1" customWidth="1"/>
    <col min="12038" max="12038" width="1" style="16" customWidth="1"/>
    <col min="12039" max="12039" width="9.140625" style="16"/>
    <col min="12040" max="12040" width="30.5703125" style="16" customWidth="1"/>
    <col min="12041" max="12041" width="11" style="16" customWidth="1"/>
    <col min="12042" max="12042" width="10.5703125" style="16" customWidth="1"/>
    <col min="12043" max="12043" width="10.85546875" style="16" customWidth="1"/>
    <col min="12044" max="12044" width="9" style="16" bestFit="1" customWidth="1"/>
    <col min="12045" max="12045" width="8.140625" style="16" bestFit="1" customWidth="1"/>
    <col min="12046" max="12285" width="9.140625" style="16"/>
    <col min="12286" max="12286" width="2.28515625" style="16" customWidth="1"/>
    <col min="12287" max="12287" width="10.42578125" style="16" customWidth="1"/>
    <col min="12288" max="12288" width="28.42578125" style="16" customWidth="1"/>
    <col min="12289" max="12289" width="12" style="16" customWidth="1"/>
    <col min="12290" max="12290" width="12.7109375" style="16" customWidth="1"/>
    <col min="12291" max="12291" width="11.5703125" style="16" customWidth="1"/>
    <col min="12292" max="12292" width="11.140625" style="16" customWidth="1"/>
    <col min="12293" max="12293" width="9.7109375" style="16" bestFit="1" customWidth="1"/>
    <col min="12294" max="12294" width="1" style="16" customWidth="1"/>
    <col min="12295" max="12295" width="9.140625" style="16"/>
    <col min="12296" max="12296" width="30.5703125" style="16" customWidth="1"/>
    <col min="12297" max="12297" width="11" style="16" customWidth="1"/>
    <col min="12298" max="12298" width="10.5703125" style="16" customWidth="1"/>
    <col min="12299" max="12299" width="10.85546875" style="16" customWidth="1"/>
    <col min="12300" max="12300" width="9" style="16" bestFit="1" customWidth="1"/>
    <col min="12301" max="12301" width="8.140625" style="16" bestFit="1" customWidth="1"/>
    <col min="12302" max="12541" width="9.140625" style="16"/>
    <col min="12542" max="12542" width="2.28515625" style="16" customWidth="1"/>
    <col min="12543" max="12543" width="10.42578125" style="16" customWidth="1"/>
    <col min="12544" max="12544" width="28.42578125" style="16" customWidth="1"/>
    <col min="12545" max="12545" width="12" style="16" customWidth="1"/>
    <col min="12546" max="12546" width="12.7109375" style="16" customWidth="1"/>
    <col min="12547" max="12547" width="11.5703125" style="16" customWidth="1"/>
    <col min="12548" max="12548" width="11.140625" style="16" customWidth="1"/>
    <col min="12549" max="12549" width="9.7109375" style="16" bestFit="1" customWidth="1"/>
    <col min="12550" max="12550" width="1" style="16" customWidth="1"/>
    <col min="12551" max="12551" width="9.140625" style="16"/>
    <col min="12552" max="12552" width="30.5703125" style="16" customWidth="1"/>
    <col min="12553" max="12553" width="11" style="16" customWidth="1"/>
    <col min="12554" max="12554" width="10.5703125" style="16" customWidth="1"/>
    <col min="12555" max="12555" width="10.85546875" style="16" customWidth="1"/>
    <col min="12556" max="12556" width="9" style="16" bestFit="1" customWidth="1"/>
    <col min="12557" max="12557" width="8.140625" style="16" bestFit="1" customWidth="1"/>
    <col min="12558" max="12797" width="9.140625" style="16"/>
    <col min="12798" max="12798" width="2.28515625" style="16" customWidth="1"/>
    <col min="12799" max="12799" width="10.42578125" style="16" customWidth="1"/>
    <col min="12800" max="12800" width="28.42578125" style="16" customWidth="1"/>
    <col min="12801" max="12801" width="12" style="16" customWidth="1"/>
    <col min="12802" max="12802" width="12.7109375" style="16" customWidth="1"/>
    <col min="12803" max="12803" width="11.5703125" style="16" customWidth="1"/>
    <col min="12804" max="12804" width="11.140625" style="16" customWidth="1"/>
    <col min="12805" max="12805" width="9.7109375" style="16" bestFit="1" customWidth="1"/>
    <col min="12806" max="12806" width="1" style="16" customWidth="1"/>
    <col min="12807" max="12807" width="9.140625" style="16"/>
    <col min="12808" max="12808" width="30.5703125" style="16" customWidth="1"/>
    <col min="12809" max="12809" width="11" style="16" customWidth="1"/>
    <col min="12810" max="12810" width="10.5703125" style="16" customWidth="1"/>
    <col min="12811" max="12811" width="10.85546875" style="16" customWidth="1"/>
    <col min="12812" max="12812" width="9" style="16" bestFit="1" customWidth="1"/>
    <col min="12813" max="12813" width="8.140625" style="16" bestFit="1" customWidth="1"/>
    <col min="12814" max="13053" width="9.140625" style="16"/>
    <col min="13054" max="13054" width="2.28515625" style="16" customWidth="1"/>
    <col min="13055" max="13055" width="10.42578125" style="16" customWidth="1"/>
    <col min="13056" max="13056" width="28.42578125" style="16" customWidth="1"/>
    <col min="13057" max="13057" width="12" style="16" customWidth="1"/>
    <col min="13058" max="13058" width="12.7109375" style="16" customWidth="1"/>
    <col min="13059" max="13059" width="11.5703125" style="16" customWidth="1"/>
    <col min="13060" max="13060" width="11.140625" style="16" customWidth="1"/>
    <col min="13061" max="13061" width="9.7109375" style="16" bestFit="1" customWidth="1"/>
    <col min="13062" max="13062" width="1" style="16" customWidth="1"/>
    <col min="13063" max="13063" width="9.140625" style="16"/>
    <col min="13064" max="13064" width="30.5703125" style="16" customWidth="1"/>
    <col min="13065" max="13065" width="11" style="16" customWidth="1"/>
    <col min="13066" max="13066" width="10.5703125" style="16" customWidth="1"/>
    <col min="13067" max="13067" width="10.85546875" style="16" customWidth="1"/>
    <col min="13068" max="13068" width="9" style="16" bestFit="1" customWidth="1"/>
    <col min="13069" max="13069" width="8.140625" style="16" bestFit="1" customWidth="1"/>
    <col min="13070" max="13309" width="9.140625" style="16"/>
    <col min="13310" max="13310" width="2.28515625" style="16" customWidth="1"/>
    <col min="13311" max="13311" width="10.42578125" style="16" customWidth="1"/>
    <col min="13312" max="13312" width="28.42578125" style="16" customWidth="1"/>
    <col min="13313" max="13313" width="12" style="16" customWidth="1"/>
    <col min="13314" max="13314" width="12.7109375" style="16" customWidth="1"/>
    <col min="13315" max="13315" width="11.5703125" style="16" customWidth="1"/>
    <col min="13316" max="13316" width="11.140625" style="16" customWidth="1"/>
    <col min="13317" max="13317" width="9.7109375" style="16" bestFit="1" customWidth="1"/>
    <col min="13318" max="13318" width="1" style="16" customWidth="1"/>
    <col min="13319" max="13319" width="9.140625" style="16"/>
    <col min="13320" max="13320" width="30.5703125" style="16" customWidth="1"/>
    <col min="13321" max="13321" width="11" style="16" customWidth="1"/>
    <col min="13322" max="13322" width="10.5703125" style="16" customWidth="1"/>
    <col min="13323" max="13323" width="10.85546875" style="16" customWidth="1"/>
    <col min="13324" max="13324" width="9" style="16" bestFit="1" customWidth="1"/>
    <col min="13325" max="13325" width="8.140625" style="16" bestFit="1" customWidth="1"/>
    <col min="13326" max="13565" width="9.140625" style="16"/>
    <col min="13566" max="13566" width="2.28515625" style="16" customWidth="1"/>
    <col min="13567" max="13567" width="10.42578125" style="16" customWidth="1"/>
    <col min="13568" max="13568" width="28.42578125" style="16" customWidth="1"/>
    <col min="13569" max="13569" width="12" style="16" customWidth="1"/>
    <col min="13570" max="13570" width="12.7109375" style="16" customWidth="1"/>
    <col min="13571" max="13571" width="11.5703125" style="16" customWidth="1"/>
    <col min="13572" max="13572" width="11.140625" style="16" customWidth="1"/>
    <col min="13573" max="13573" width="9.7109375" style="16" bestFit="1" customWidth="1"/>
    <col min="13574" max="13574" width="1" style="16" customWidth="1"/>
    <col min="13575" max="13575" width="9.140625" style="16"/>
    <col min="13576" max="13576" width="30.5703125" style="16" customWidth="1"/>
    <col min="13577" max="13577" width="11" style="16" customWidth="1"/>
    <col min="13578" max="13578" width="10.5703125" style="16" customWidth="1"/>
    <col min="13579" max="13579" width="10.85546875" style="16" customWidth="1"/>
    <col min="13580" max="13580" width="9" style="16" bestFit="1" customWidth="1"/>
    <col min="13581" max="13581" width="8.140625" style="16" bestFit="1" customWidth="1"/>
    <col min="13582" max="13821" width="9.140625" style="16"/>
    <col min="13822" max="13822" width="2.28515625" style="16" customWidth="1"/>
    <col min="13823" max="13823" width="10.42578125" style="16" customWidth="1"/>
    <col min="13824" max="13824" width="28.42578125" style="16" customWidth="1"/>
    <col min="13825" max="13825" width="12" style="16" customWidth="1"/>
    <col min="13826" max="13826" width="12.7109375" style="16" customWidth="1"/>
    <col min="13827" max="13827" width="11.5703125" style="16" customWidth="1"/>
    <col min="13828" max="13828" width="11.140625" style="16" customWidth="1"/>
    <col min="13829" max="13829" width="9.7109375" style="16" bestFit="1" customWidth="1"/>
    <col min="13830" max="13830" width="1" style="16" customWidth="1"/>
    <col min="13831" max="13831" width="9.140625" style="16"/>
    <col min="13832" max="13832" width="30.5703125" style="16" customWidth="1"/>
    <col min="13833" max="13833" width="11" style="16" customWidth="1"/>
    <col min="13834" max="13834" width="10.5703125" style="16" customWidth="1"/>
    <col min="13835" max="13835" width="10.85546875" style="16" customWidth="1"/>
    <col min="13836" max="13836" width="9" style="16" bestFit="1" customWidth="1"/>
    <col min="13837" max="13837" width="8.140625" style="16" bestFit="1" customWidth="1"/>
    <col min="13838" max="14077" width="9.140625" style="16"/>
    <col min="14078" max="14078" width="2.28515625" style="16" customWidth="1"/>
    <col min="14079" max="14079" width="10.42578125" style="16" customWidth="1"/>
    <col min="14080" max="14080" width="28.42578125" style="16" customWidth="1"/>
    <col min="14081" max="14081" width="12" style="16" customWidth="1"/>
    <col min="14082" max="14082" width="12.7109375" style="16" customWidth="1"/>
    <col min="14083" max="14083" width="11.5703125" style="16" customWidth="1"/>
    <col min="14084" max="14084" width="11.140625" style="16" customWidth="1"/>
    <col min="14085" max="14085" width="9.7109375" style="16" bestFit="1" customWidth="1"/>
    <col min="14086" max="14086" width="1" style="16" customWidth="1"/>
    <col min="14087" max="14087" width="9.140625" style="16"/>
    <col min="14088" max="14088" width="30.5703125" style="16" customWidth="1"/>
    <col min="14089" max="14089" width="11" style="16" customWidth="1"/>
    <col min="14090" max="14090" width="10.5703125" style="16" customWidth="1"/>
    <col min="14091" max="14091" width="10.85546875" style="16" customWidth="1"/>
    <col min="14092" max="14092" width="9" style="16" bestFit="1" customWidth="1"/>
    <col min="14093" max="14093" width="8.140625" style="16" bestFit="1" customWidth="1"/>
    <col min="14094" max="14333" width="9.140625" style="16"/>
    <col min="14334" max="14334" width="2.28515625" style="16" customWidth="1"/>
    <col min="14335" max="14335" width="10.42578125" style="16" customWidth="1"/>
    <col min="14336" max="14336" width="28.42578125" style="16" customWidth="1"/>
    <col min="14337" max="14337" width="12" style="16" customWidth="1"/>
    <col min="14338" max="14338" width="12.7109375" style="16" customWidth="1"/>
    <col min="14339" max="14339" width="11.5703125" style="16" customWidth="1"/>
    <col min="14340" max="14340" width="11.140625" style="16" customWidth="1"/>
    <col min="14341" max="14341" width="9.7109375" style="16" bestFit="1" customWidth="1"/>
    <col min="14342" max="14342" width="1" style="16" customWidth="1"/>
    <col min="14343" max="14343" width="9.140625" style="16"/>
    <col min="14344" max="14344" width="30.5703125" style="16" customWidth="1"/>
    <col min="14345" max="14345" width="11" style="16" customWidth="1"/>
    <col min="14346" max="14346" width="10.5703125" style="16" customWidth="1"/>
    <col min="14347" max="14347" width="10.85546875" style="16" customWidth="1"/>
    <col min="14348" max="14348" width="9" style="16" bestFit="1" customWidth="1"/>
    <col min="14349" max="14349" width="8.140625" style="16" bestFit="1" customWidth="1"/>
    <col min="14350" max="14589" width="9.140625" style="16"/>
    <col min="14590" max="14590" width="2.28515625" style="16" customWidth="1"/>
    <col min="14591" max="14591" width="10.42578125" style="16" customWidth="1"/>
    <col min="14592" max="14592" width="28.42578125" style="16" customWidth="1"/>
    <col min="14593" max="14593" width="12" style="16" customWidth="1"/>
    <col min="14594" max="14594" width="12.7109375" style="16" customWidth="1"/>
    <col min="14595" max="14595" width="11.5703125" style="16" customWidth="1"/>
    <col min="14596" max="14596" width="11.140625" style="16" customWidth="1"/>
    <col min="14597" max="14597" width="9.7109375" style="16" bestFit="1" customWidth="1"/>
    <col min="14598" max="14598" width="1" style="16" customWidth="1"/>
    <col min="14599" max="14599" width="9.140625" style="16"/>
    <col min="14600" max="14600" width="30.5703125" style="16" customWidth="1"/>
    <col min="14601" max="14601" width="11" style="16" customWidth="1"/>
    <col min="14602" max="14602" width="10.5703125" style="16" customWidth="1"/>
    <col min="14603" max="14603" width="10.85546875" style="16" customWidth="1"/>
    <col min="14604" max="14604" width="9" style="16" bestFit="1" customWidth="1"/>
    <col min="14605" max="14605" width="8.140625" style="16" bestFit="1" customWidth="1"/>
    <col min="14606" max="14845" width="9.140625" style="16"/>
    <col min="14846" max="14846" width="2.28515625" style="16" customWidth="1"/>
    <col min="14847" max="14847" width="10.42578125" style="16" customWidth="1"/>
    <col min="14848" max="14848" width="28.42578125" style="16" customWidth="1"/>
    <col min="14849" max="14849" width="12" style="16" customWidth="1"/>
    <col min="14850" max="14850" width="12.7109375" style="16" customWidth="1"/>
    <col min="14851" max="14851" width="11.5703125" style="16" customWidth="1"/>
    <col min="14852" max="14852" width="11.140625" style="16" customWidth="1"/>
    <col min="14853" max="14853" width="9.7109375" style="16" bestFit="1" customWidth="1"/>
    <col min="14854" max="14854" width="1" style="16" customWidth="1"/>
    <col min="14855" max="14855" width="9.140625" style="16"/>
    <col min="14856" max="14856" width="30.5703125" style="16" customWidth="1"/>
    <col min="14857" max="14857" width="11" style="16" customWidth="1"/>
    <col min="14858" max="14858" width="10.5703125" style="16" customWidth="1"/>
    <col min="14859" max="14859" width="10.85546875" style="16" customWidth="1"/>
    <col min="14860" max="14860" width="9" style="16" bestFit="1" customWidth="1"/>
    <col min="14861" max="14861" width="8.140625" style="16" bestFit="1" customWidth="1"/>
    <col min="14862" max="15101" width="9.140625" style="16"/>
    <col min="15102" max="15102" width="2.28515625" style="16" customWidth="1"/>
    <col min="15103" max="15103" width="10.42578125" style="16" customWidth="1"/>
    <col min="15104" max="15104" width="28.42578125" style="16" customWidth="1"/>
    <col min="15105" max="15105" width="12" style="16" customWidth="1"/>
    <col min="15106" max="15106" width="12.7109375" style="16" customWidth="1"/>
    <col min="15107" max="15107" width="11.5703125" style="16" customWidth="1"/>
    <col min="15108" max="15108" width="11.140625" style="16" customWidth="1"/>
    <col min="15109" max="15109" width="9.7109375" style="16" bestFit="1" customWidth="1"/>
    <col min="15110" max="15110" width="1" style="16" customWidth="1"/>
    <col min="15111" max="15111" width="9.140625" style="16"/>
    <col min="15112" max="15112" width="30.5703125" style="16" customWidth="1"/>
    <col min="15113" max="15113" width="11" style="16" customWidth="1"/>
    <col min="15114" max="15114" width="10.5703125" style="16" customWidth="1"/>
    <col min="15115" max="15115" width="10.85546875" style="16" customWidth="1"/>
    <col min="15116" max="15116" width="9" style="16" bestFit="1" customWidth="1"/>
    <col min="15117" max="15117" width="8.140625" style="16" bestFit="1" customWidth="1"/>
    <col min="15118" max="15357" width="9.140625" style="16"/>
    <col min="15358" max="15358" width="2.28515625" style="16" customWidth="1"/>
    <col min="15359" max="15359" width="10.42578125" style="16" customWidth="1"/>
    <col min="15360" max="15360" width="28.42578125" style="16" customWidth="1"/>
    <col min="15361" max="15361" width="12" style="16" customWidth="1"/>
    <col min="15362" max="15362" width="12.7109375" style="16" customWidth="1"/>
    <col min="15363" max="15363" width="11.5703125" style="16" customWidth="1"/>
    <col min="15364" max="15364" width="11.140625" style="16" customWidth="1"/>
    <col min="15365" max="15365" width="9.7109375" style="16" bestFit="1" customWidth="1"/>
    <col min="15366" max="15366" width="1" style="16" customWidth="1"/>
    <col min="15367" max="15367" width="9.140625" style="16"/>
    <col min="15368" max="15368" width="30.5703125" style="16" customWidth="1"/>
    <col min="15369" max="15369" width="11" style="16" customWidth="1"/>
    <col min="15370" max="15370" width="10.5703125" style="16" customWidth="1"/>
    <col min="15371" max="15371" width="10.85546875" style="16" customWidth="1"/>
    <col min="15372" max="15372" width="9" style="16" bestFit="1" customWidth="1"/>
    <col min="15373" max="15373" width="8.140625" style="16" bestFit="1" customWidth="1"/>
    <col min="15374" max="15613" width="9.140625" style="16"/>
    <col min="15614" max="15614" width="2.28515625" style="16" customWidth="1"/>
    <col min="15615" max="15615" width="10.42578125" style="16" customWidth="1"/>
    <col min="15616" max="15616" width="28.42578125" style="16" customWidth="1"/>
    <col min="15617" max="15617" width="12" style="16" customWidth="1"/>
    <col min="15618" max="15618" width="12.7109375" style="16" customWidth="1"/>
    <col min="15619" max="15619" width="11.5703125" style="16" customWidth="1"/>
    <col min="15620" max="15620" width="11.140625" style="16" customWidth="1"/>
    <col min="15621" max="15621" width="9.7109375" style="16" bestFit="1" customWidth="1"/>
    <col min="15622" max="15622" width="1" style="16" customWidth="1"/>
    <col min="15623" max="15623" width="9.140625" style="16"/>
    <col min="15624" max="15624" width="30.5703125" style="16" customWidth="1"/>
    <col min="15625" max="15625" width="11" style="16" customWidth="1"/>
    <col min="15626" max="15626" width="10.5703125" style="16" customWidth="1"/>
    <col min="15627" max="15627" width="10.85546875" style="16" customWidth="1"/>
    <col min="15628" max="15628" width="9" style="16" bestFit="1" customWidth="1"/>
    <col min="15629" max="15629" width="8.140625" style="16" bestFit="1" customWidth="1"/>
    <col min="15630" max="15869" width="9.140625" style="16"/>
    <col min="15870" max="15870" width="2.28515625" style="16" customWidth="1"/>
    <col min="15871" max="15871" width="10.42578125" style="16" customWidth="1"/>
    <col min="15872" max="15872" width="28.42578125" style="16" customWidth="1"/>
    <col min="15873" max="15873" width="12" style="16" customWidth="1"/>
    <col min="15874" max="15874" width="12.7109375" style="16" customWidth="1"/>
    <col min="15875" max="15875" width="11.5703125" style="16" customWidth="1"/>
    <col min="15876" max="15876" width="11.140625" style="16" customWidth="1"/>
    <col min="15877" max="15877" width="9.7109375" style="16" bestFit="1" customWidth="1"/>
    <col min="15878" max="15878" width="1" style="16" customWidth="1"/>
    <col min="15879" max="15879" width="9.140625" style="16"/>
    <col min="15880" max="15880" width="30.5703125" style="16" customWidth="1"/>
    <col min="15881" max="15881" width="11" style="16" customWidth="1"/>
    <col min="15882" max="15882" width="10.5703125" style="16" customWidth="1"/>
    <col min="15883" max="15883" width="10.85546875" style="16" customWidth="1"/>
    <col min="15884" max="15884" width="9" style="16" bestFit="1" customWidth="1"/>
    <col min="15885" max="15885" width="8.140625" style="16" bestFit="1" customWidth="1"/>
    <col min="15886" max="16125" width="9.140625" style="16"/>
    <col min="16126" max="16126" width="2.28515625" style="16" customWidth="1"/>
    <col min="16127" max="16127" width="10.42578125" style="16" customWidth="1"/>
    <col min="16128" max="16128" width="28.42578125" style="16" customWidth="1"/>
    <col min="16129" max="16129" width="12" style="16" customWidth="1"/>
    <col min="16130" max="16130" width="12.7109375" style="16" customWidth="1"/>
    <col min="16131" max="16131" width="11.5703125" style="16" customWidth="1"/>
    <col min="16132" max="16132" width="11.140625" style="16" customWidth="1"/>
    <col min="16133" max="16133" width="9.7109375" style="16" bestFit="1" customWidth="1"/>
    <col min="16134" max="16134" width="1" style="16" customWidth="1"/>
    <col min="16135" max="16135" width="9.140625" style="16"/>
    <col min="16136" max="16136" width="30.5703125" style="16" customWidth="1"/>
    <col min="16137" max="16137" width="11" style="16" customWidth="1"/>
    <col min="16138" max="16138" width="10.5703125" style="16" customWidth="1"/>
    <col min="16139" max="16139" width="10.85546875" style="16" customWidth="1"/>
    <col min="16140" max="16140" width="9" style="16" bestFit="1" customWidth="1"/>
    <col min="16141" max="16141" width="8.140625" style="16" bestFit="1" customWidth="1"/>
    <col min="16142" max="16384" width="9.140625" style="16"/>
  </cols>
  <sheetData>
    <row r="1" spans="1:35" ht="6.75" customHeight="1" thickBot="1">
      <c r="A1" s="316"/>
      <c r="B1" s="316"/>
      <c r="C1" s="316"/>
      <c r="D1" s="316"/>
      <c r="E1" s="316"/>
      <c r="F1" s="316"/>
      <c r="G1" s="316"/>
      <c r="H1" s="316"/>
      <c r="I1" s="316"/>
      <c r="J1" s="316"/>
      <c r="K1" s="316"/>
      <c r="L1" s="316"/>
      <c r="M1" s="316"/>
      <c r="N1" s="316"/>
      <c r="O1" s="316"/>
      <c r="P1" s="316"/>
      <c r="R1" s="316"/>
      <c r="S1" s="316"/>
      <c r="T1" s="316"/>
      <c r="U1" s="316"/>
    </row>
    <row r="2" spans="1:35">
      <c r="A2" s="317"/>
      <c r="B2" s="318" t="s">
        <v>45</v>
      </c>
      <c r="C2" s="319"/>
      <c r="D2" s="320"/>
      <c r="E2" s="2934" t="s">
        <v>46</v>
      </c>
      <c r="F2" s="2934"/>
      <c r="G2" s="2934"/>
      <c r="H2" s="2934"/>
      <c r="I2" s="2934"/>
      <c r="J2" s="2934"/>
      <c r="K2" s="653"/>
      <c r="L2" s="321"/>
      <c r="M2" s="322"/>
      <c r="N2" s="323"/>
      <c r="O2" s="653"/>
      <c r="P2" s="2934" t="s">
        <v>47</v>
      </c>
      <c r="Q2" s="2934"/>
      <c r="R2" s="2934"/>
      <c r="S2" s="2934"/>
      <c r="T2" s="2934"/>
      <c r="U2" s="2934"/>
      <c r="V2" s="19"/>
      <c r="W2" s="417"/>
    </row>
    <row r="3" spans="1:35">
      <c r="A3" s="316"/>
      <c r="B3" s="324"/>
      <c r="C3" s="325"/>
      <c r="D3" s="326"/>
      <c r="E3" s="327">
        <f>'RCF-F'!F3</f>
        <v>2023</v>
      </c>
      <c r="F3" s="327">
        <f t="shared" ref="F3:L3" si="0">E3+1</f>
        <v>2024</v>
      </c>
      <c r="G3" s="327">
        <f t="shared" si="0"/>
        <v>2025</v>
      </c>
      <c r="H3" s="327">
        <f t="shared" si="0"/>
        <v>2026</v>
      </c>
      <c r="I3" s="327">
        <f t="shared" si="0"/>
        <v>2027</v>
      </c>
      <c r="J3" s="327">
        <f t="shared" si="0"/>
        <v>2028</v>
      </c>
      <c r="K3" s="327">
        <f t="shared" si="0"/>
        <v>2029</v>
      </c>
      <c r="L3" s="328">
        <f t="shared" si="0"/>
        <v>2030</v>
      </c>
      <c r="M3" s="322"/>
      <c r="N3" s="329"/>
      <c r="O3" s="330"/>
      <c r="P3" s="327">
        <f t="shared" ref="P3:U3" si="1">E3</f>
        <v>2023</v>
      </c>
      <c r="Q3" s="327">
        <f t="shared" si="1"/>
        <v>2024</v>
      </c>
      <c r="R3" s="327">
        <f t="shared" si="1"/>
        <v>2025</v>
      </c>
      <c r="S3" s="327">
        <f t="shared" si="1"/>
        <v>2026</v>
      </c>
      <c r="T3" s="327">
        <f t="shared" si="1"/>
        <v>2027</v>
      </c>
      <c r="U3" s="327">
        <f t="shared" si="1"/>
        <v>2028</v>
      </c>
      <c r="V3" s="327">
        <f>K3</f>
        <v>2029</v>
      </c>
      <c r="W3" s="328">
        <f>L3</f>
        <v>2030</v>
      </c>
      <c r="X3" s="331"/>
    </row>
    <row r="4" spans="1:35">
      <c r="A4" s="332"/>
      <c r="B4" s="333"/>
      <c r="C4" s="325"/>
      <c r="D4" s="326"/>
      <c r="E4" s="326"/>
      <c r="F4" s="334"/>
      <c r="G4" s="334"/>
      <c r="H4" s="334"/>
      <c r="I4" s="334"/>
      <c r="J4" s="327"/>
      <c r="K4" s="327"/>
      <c r="L4" s="328"/>
      <c r="M4" s="322"/>
      <c r="N4" s="335"/>
      <c r="O4" s="334"/>
      <c r="P4" s="334"/>
      <c r="Q4" s="334"/>
      <c r="R4" s="334"/>
      <c r="S4" s="334"/>
      <c r="T4" s="334"/>
      <c r="U4" s="334"/>
      <c r="V4" s="334"/>
      <c r="W4" s="336"/>
      <c r="X4" s="331"/>
    </row>
    <row r="5" spans="1:35">
      <c r="A5" s="337"/>
      <c r="B5" s="324"/>
      <c r="C5" s="338"/>
      <c r="D5" s="339"/>
      <c r="E5" s="339"/>
      <c r="F5" s="340"/>
      <c r="G5" s="340"/>
      <c r="H5" s="340"/>
      <c r="I5" s="340"/>
      <c r="J5" s="340"/>
      <c r="K5" s="340"/>
      <c r="L5" s="341"/>
      <c r="M5" s="322"/>
      <c r="N5" s="23" t="s">
        <v>90</v>
      </c>
      <c r="O5" s="338"/>
      <c r="P5" s="342">
        <f>'RCF-F'!B9</f>
        <v>100</v>
      </c>
      <c r="Q5" s="342">
        <f>P5+'RCF-F'!G68</f>
        <v>100</v>
      </c>
      <c r="R5" s="342">
        <f>Q5+'RCF-F'!H68</f>
        <v>100</v>
      </c>
      <c r="S5" s="342">
        <f>R5+'RCF-F'!I68</f>
        <v>100</v>
      </c>
      <c r="T5" s="342">
        <f>S5+'RCF-F'!J68</f>
        <v>100</v>
      </c>
      <c r="U5" s="342">
        <f>T5+'RCF-F'!K68</f>
        <v>0</v>
      </c>
      <c r="V5" s="342">
        <f>U5+'RCF-F'!L68</f>
        <v>0</v>
      </c>
      <c r="W5" s="343">
        <f>V5+'RCF-F'!M68</f>
        <v>0</v>
      </c>
      <c r="X5" s="331"/>
    </row>
    <row r="6" spans="1:35">
      <c r="A6" s="344"/>
      <c r="B6" s="329"/>
      <c r="C6" s="345"/>
      <c r="D6" s="346"/>
      <c r="E6" s="342"/>
      <c r="F6" s="342"/>
      <c r="G6" s="342"/>
      <c r="H6" s="342"/>
      <c r="I6" s="342"/>
      <c r="J6" s="342"/>
      <c r="K6" s="342"/>
      <c r="L6" s="343"/>
      <c r="M6" s="322"/>
      <c r="N6" s="347" t="s">
        <v>91</v>
      </c>
      <c r="O6" s="338"/>
      <c r="P6" s="342">
        <f>'RCF-F'!B10+'RCF-F'!F67</f>
        <v>0</v>
      </c>
      <c r="Q6" s="342">
        <f>P6+'RCF-F'!G67</f>
        <v>0</v>
      </c>
      <c r="R6" s="342">
        <f>Q6+'RCF-F'!H67</f>
        <v>0</v>
      </c>
      <c r="S6" s="342">
        <f>R6+'RCF-F'!I67</f>
        <v>0</v>
      </c>
      <c r="T6" s="342">
        <f>S6+'RCF-F'!J67</f>
        <v>0</v>
      </c>
      <c r="U6" s="342">
        <f>T6+'RCF-F'!K67</f>
        <v>0</v>
      </c>
      <c r="V6" s="342">
        <f>U6+'RCF-F'!L67</f>
        <v>0</v>
      </c>
      <c r="W6" s="343">
        <f>V6+'RCF-F'!M67</f>
        <v>0</v>
      </c>
      <c r="X6" s="331"/>
    </row>
    <row r="7" spans="1:35">
      <c r="A7" s="344"/>
      <c r="B7" s="69" t="s">
        <v>389</v>
      </c>
      <c r="E7" s="26">
        <f>Bond!F9</f>
        <v>4900000</v>
      </c>
      <c r="F7" s="26">
        <f>Bond!G9</f>
        <v>4900000</v>
      </c>
      <c r="G7" s="26">
        <f>Bond!H9</f>
        <v>4900000</v>
      </c>
      <c r="H7" s="26">
        <f>Bond!I9</f>
        <v>4900000</v>
      </c>
      <c r="I7" s="26">
        <f>Bond!J9</f>
        <v>0</v>
      </c>
      <c r="J7" s="26">
        <f>Bond!K9</f>
        <v>0</v>
      </c>
      <c r="K7" s="26">
        <f>Bond!L9</f>
        <v>0</v>
      </c>
      <c r="L7" s="359">
        <f>Bond!M9</f>
        <v>0</v>
      </c>
      <c r="M7" s="322"/>
      <c r="N7" s="23" t="s">
        <v>92</v>
      </c>
      <c r="O7" s="338"/>
      <c r="P7" s="352">
        <f ca="1">E46</f>
        <v>11893.248932932896</v>
      </c>
      <c r="Q7" s="352">
        <f t="shared" ref="Q7:W7" ca="1" si="2">F46+P7</f>
        <v>66991.264684308553</v>
      </c>
      <c r="R7" s="352">
        <f t="shared" ca="1" si="2"/>
        <v>77724.810334844413</v>
      </c>
      <c r="S7" s="352">
        <f t="shared" ca="1" si="2"/>
        <v>133846.66438216658</v>
      </c>
      <c r="T7" s="352">
        <f t="shared" ca="1" si="2"/>
        <v>43352.677622880146</v>
      </c>
      <c r="U7" s="352">
        <f ca="1">J46+T7</f>
        <v>3.3469405025243759E-10</v>
      </c>
      <c r="V7" s="352">
        <f t="shared" ca="1" si="2"/>
        <v>3.3469405025243759E-10</v>
      </c>
      <c r="W7" s="353">
        <f t="shared" ca="1" si="2"/>
        <v>3.3469405025243759E-10</v>
      </c>
      <c r="X7" s="331"/>
    </row>
    <row r="8" spans="1:35">
      <c r="A8" s="344"/>
      <c r="B8" s="329"/>
      <c r="C8" s="330"/>
      <c r="D8" s="348"/>
      <c r="E8" s="342"/>
      <c r="F8" s="342"/>
      <c r="G8" s="342"/>
      <c r="H8" s="342"/>
      <c r="I8" s="342"/>
      <c r="J8" s="342"/>
      <c r="K8" s="342"/>
      <c r="L8" s="343"/>
      <c r="M8" s="322"/>
      <c r="N8" s="324" t="s">
        <v>48</v>
      </c>
      <c r="P8" s="54">
        <f t="shared" ref="P8:W8" ca="1" si="3">P5+P6+P7</f>
        <v>11993.248932932896</v>
      </c>
      <c r="Q8" s="54">
        <f t="shared" ca="1" si="3"/>
        <v>67091.264684308553</v>
      </c>
      <c r="R8" s="54">
        <f t="shared" ca="1" si="3"/>
        <v>77824.810334844413</v>
      </c>
      <c r="S8" s="54">
        <f t="shared" ca="1" si="3"/>
        <v>133946.66438216658</v>
      </c>
      <c r="T8" s="54">
        <f t="shared" ca="1" si="3"/>
        <v>43452.677622880146</v>
      </c>
      <c r="U8" s="54">
        <f t="shared" ca="1" si="3"/>
        <v>3.3469405025243759E-10</v>
      </c>
      <c r="V8" s="54">
        <f t="shared" ca="1" si="3"/>
        <v>3.3469405025243759E-10</v>
      </c>
      <c r="W8" s="58">
        <f t="shared" ca="1" si="3"/>
        <v>3.3469405025243759E-10</v>
      </c>
      <c r="X8" s="331"/>
    </row>
    <row r="9" spans="1:35">
      <c r="A9" s="354"/>
      <c r="B9" s="351" t="s">
        <v>434</v>
      </c>
      <c r="C9" s="330"/>
      <c r="D9" s="348"/>
      <c r="E9" s="342">
        <f ca="1">'RCF-F'!Q13</f>
        <v>1077.057568156351</v>
      </c>
      <c r="F9" s="342">
        <f ca="1">'RCF-F'!R13</f>
        <v>55252.518614431196</v>
      </c>
      <c r="G9" s="342">
        <f ca="1">'RCF-F'!S13</f>
        <v>56906.217879767493</v>
      </c>
      <c r="H9" s="342">
        <f ca="1">'RCF-F'!T13</f>
        <v>113784.89615184085</v>
      </c>
      <c r="I9" s="342">
        <f ca="1">'RCF-F'!U13</f>
        <v>0</v>
      </c>
      <c r="J9" s="342">
        <f ca="1">'RCF-F'!V13</f>
        <v>0</v>
      </c>
      <c r="K9" s="342">
        <f ca="1">'RCF-F'!W13</f>
        <v>0</v>
      </c>
      <c r="L9" s="343">
        <f ca="1">'RCF-F'!X13</f>
        <v>0</v>
      </c>
      <c r="M9" s="322"/>
      <c r="N9" s="23"/>
      <c r="P9" s="54"/>
      <c r="Q9" s="54"/>
      <c r="R9" s="54"/>
      <c r="S9" s="54"/>
      <c r="T9" s="54"/>
      <c r="U9" s="54"/>
      <c r="V9" s="54"/>
      <c r="W9" s="58"/>
    </row>
    <row r="10" spans="1:35">
      <c r="A10" s="355"/>
      <c r="B10" s="69"/>
      <c r="E10" s="356"/>
      <c r="F10" s="356"/>
      <c r="G10" s="356"/>
      <c r="H10" s="356"/>
      <c r="I10" s="356"/>
      <c r="J10" s="356"/>
      <c r="K10" s="356"/>
      <c r="L10" s="357"/>
      <c r="M10" s="322"/>
      <c r="N10" s="324" t="s">
        <v>418</v>
      </c>
      <c r="O10" s="338"/>
      <c r="P10" s="342">
        <f>Bond!F9</f>
        <v>4900000</v>
      </c>
      <c r="Q10" s="342">
        <f>Bond!G9</f>
        <v>4900000</v>
      </c>
      <c r="R10" s="342">
        <f>Bond!H9</f>
        <v>4900000</v>
      </c>
      <c r="S10" s="342">
        <f>Bond!I9</f>
        <v>4900000</v>
      </c>
      <c r="T10" s="342">
        <f>Bond!J9</f>
        <v>0</v>
      </c>
      <c r="U10" s="342">
        <f>Bond!K9</f>
        <v>0</v>
      </c>
      <c r="V10" s="342">
        <f>Bond!L9</f>
        <v>0</v>
      </c>
      <c r="W10" s="343">
        <f>Bond!M9</f>
        <v>0</v>
      </c>
    </row>
    <row r="11" spans="1:35">
      <c r="A11" s="358"/>
      <c r="B11" s="23"/>
      <c r="E11" s="356"/>
      <c r="L11" s="166"/>
      <c r="M11" s="322"/>
      <c r="N11" s="324"/>
      <c r="O11" s="338"/>
      <c r="P11" s="342"/>
      <c r="Q11" s="360"/>
      <c r="R11" s="342"/>
      <c r="S11" s="342"/>
      <c r="T11" s="342"/>
      <c r="U11" s="342"/>
      <c r="V11" s="342"/>
      <c r="W11" s="343"/>
    </row>
    <row r="12" spans="1:35">
      <c r="A12" s="358"/>
      <c r="B12" s="329" t="s">
        <v>53</v>
      </c>
      <c r="C12" s="330"/>
      <c r="D12" s="340"/>
      <c r="E12" s="342">
        <f t="shared" ref="E12:L12" ca="1" si="4">E27/12*0</f>
        <v>0</v>
      </c>
      <c r="F12" s="342">
        <f t="shared" ca="1" si="4"/>
        <v>0</v>
      </c>
      <c r="G12" s="342">
        <f t="shared" ca="1" si="4"/>
        <v>0</v>
      </c>
      <c r="H12" s="342">
        <f t="shared" ca="1" si="4"/>
        <v>0</v>
      </c>
      <c r="I12" s="342">
        <f t="shared" ca="1" si="4"/>
        <v>0</v>
      </c>
      <c r="J12" s="342">
        <f t="shared" ca="1" si="4"/>
        <v>0</v>
      </c>
      <c r="K12" s="342">
        <f t="shared" ca="1" si="4"/>
        <v>0</v>
      </c>
      <c r="L12" s="343">
        <f t="shared" ca="1" si="4"/>
        <v>0</v>
      </c>
      <c r="M12" s="322"/>
      <c r="N12" s="324" t="s">
        <v>428</v>
      </c>
      <c r="O12" s="338"/>
      <c r="P12" s="362">
        <f ca="1">'RCF-F'!Q86</f>
        <v>1077.057568156351</v>
      </c>
      <c r="Q12" s="362">
        <f ca="1">'RCF-F'!R86</f>
        <v>55252.518614431196</v>
      </c>
      <c r="R12" s="362">
        <f ca="1">'RCF-F'!S86</f>
        <v>56906.217879767493</v>
      </c>
      <c r="S12" s="362">
        <f ca="1">'RCF-F'!T86</f>
        <v>113784.89615184085</v>
      </c>
      <c r="T12" s="362">
        <f ca="1">'RCF-F'!U86</f>
        <v>0</v>
      </c>
      <c r="U12" s="362">
        <f ca="1">'RCF-F'!V86</f>
        <v>0</v>
      </c>
      <c r="V12" s="362">
        <f ca="1">'RCF-F'!W86</f>
        <v>0</v>
      </c>
      <c r="W12" s="363">
        <f ca="1">'RCF-F'!X86</f>
        <v>0</v>
      </c>
    </row>
    <row r="13" spans="1:35">
      <c r="A13" s="358"/>
      <c r="B13" s="351" t="s">
        <v>55</v>
      </c>
      <c r="C13" s="345"/>
      <c r="D13" s="346"/>
      <c r="E13" s="365">
        <f t="shared" ref="E13:L13" ca="1" si="5">SUM(E12)</f>
        <v>0</v>
      </c>
      <c r="F13" s="365">
        <f t="shared" ca="1" si="5"/>
        <v>0</v>
      </c>
      <c r="G13" s="365">
        <f t="shared" ca="1" si="5"/>
        <v>0</v>
      </c>
      <c r="H13" s="365">
        <f t="shared" ca="1" si="5"/>
        <v>0</v>
      </c>
      <c r="I13" s="365">
        <f t="shared" ca="1" si="5"/>
        <v>0</v>
      </c>
      <c r="J13" s="365">
        <f t="shared" ca="1" si="5"/>
        <v>0</v>
      </c>
      <c r="K13" s="365">
        <f t="shared" ca="1" si="5"/>
        <v>0</v>
      </c>
      <c r="L13" s="366">
        <f t="shared" ca="1" si="5"/>
        <v>0</v>
      </c>
      <c r="M13" s="322"/>
      <c r="N13" s="347"/>
      <c r="O13" s="338"/>
      <c r="P13" s="362"/>
      <c r="Q13" s="362"/>
      <c r="R13" s="362"/>
      <c r="S13" s="362"/>
      <c r="T13" s="362"/>
      <c r="U13" s="362"/>
      <c r="V13" s="362"/>
      <c r="W13" s="363"/>
      <c r="AD13" s="361"/>
      <c r="AE13" s="361"/>
      <c r="AF13" s="361"/>
      <c r="AG13" s="361"/>
      <c r="AH13" s="361"/>
      <c r="AI13" s="361"/>
    </row>
    <row r="14" spans="1:35">
      <c r="A14" s="358"/>
      <c r="B14" s="23"/>
      <c r="E14" s="54"/>
      <c r="F14" s="54"/>
      <c r="G14" s="54"/>
      <c r="H14" s="54"/>
      <c r="I14" s="54"/>
      <c r="J14" s="54"/>
      <c r="K14" s="54"/>
      <c r="L14" s="58"/>
      <c r="M14" s="322"/>
      <c r="N14" s="347" t="s">
        <v>73</v>
      </c>
      <c r="O14" s="364"/>
      <c r="P14" s="342"/>
      <c r="Q14" s="342"/>
      <c r="R14" s="342"/>
      <c r="S14" s="342"/>
      <c r="T14" s="342"/>
      <c r="U14" s="342"/>
      <c r="V14" s="342"/>
      <c r="W14" s="343"/>
    </row>
    <row r="15" spans="1:35">
      <c r="A15" s="358"/>
      <c r="B15" s="23"/>
      <c r="L15" s="166"/>
      <c r="M15" s="322"/>
      <c r="N15" s="347" t="s">
        <v>50</v>
      </c>
      <c r="O15" s="364"/>
      <c r="P15" s="342">
        <f ca="1">-(E29)*5%</f>
        <v>3536.3091044656417</v>
      </c>
      <c r="Q15" s="342">
        <f t="shared" ref="Q15:W15" ca="1" si="6">-(F29)*5%</f>
        <v>3661.3793238593448</v>
      </c>
      <c r="R15" s="342">
        <f t="shared" ca="1" si="6"/>
        <v>9210.6896491806783</v>
      </c>
      <c r="S15" s="342">
        <f t="shared" ca="1" si="6"/>
        <v>4344.4223595943286</v>
      </c>
      <c r="T15" s="342">
        <f t="shared" ca="1" si="6"/>
        <v>20245.239532733813</v>
      </c>
      <c r="U15" s="342">
        <f t="shared" ca="1" si="6"/>
        <v>0</v>
      </c>
      <c r="V15" s="342">
        <f t="shared" ca="1" si="6"/>
        <v>0</v>
      </c>
      <c r="W15" s="343">
        <f t="shared" ca="1" si="6"/>
        <v>0</v>
      </c>
    </row>
    <row r="16" spans="1:35">
      <c r="A16" s="358"/>
      <c r="B16" s="23"/>
      <c r="E16" s="54"/>
      <c r="F16" s="54"/>
      <c r="G16" s="54"/>
      <c r="H16" s="54"/>
      <c r="I16" s="54"/>
      <c r="J16" s="54"/>
      <c r="K16" s="54"/>
      <c r="L16" s="58"/>
      <c r="M16" s="322"/>
      <c r="N16" s="347" t="s">
        <v>51</v>
      </c>
      <c r="O16" s="364"/>
      <c r="P16" s="342">
        <f t="shared" ref="P16:U16" si="7">E42</f>
        <v>0</v>
      </c>
      <c r="Q16" s="342">
        <f t="shared" si="7"/>
        <v>0</v>
      </c>
      <c r="R16" s="342">
        <f t="shared" si="7"/>
        <v>0</v>
      </c>
      <c r="S16" s="342">
        <f t="shared" si="7"/>
        <v>0</v>
      </c>
      <c r="T16" s="342">
        <f t="shared" si="7"/>
        <v>0</v>
      </c>
      <c r="U16" s="342">
        <f t="shared" si="7"/>
        <v>0</v>
      </c>
      <c r="V16" s="342">
        <f>K42</f>
        <v>0</v>
      </c>
      <c r="W16" s="343">
        <f>L42</f>
        <v>0</v>
      </c>
    </row>
    <row r="17" spans="1:23">
      <c r="A17" s="358"/>
      <c r="B17" s="351" t="s">
        <v>56</v>
      </c>
      <c r="C17" s="345"/>
      <c r="D17" s="346"/>
      <c r="E17" s="342">
        <f ca="1">'RCF-F'!F70-'RCF-F'!F64-'RCF-F'!F66-'RCF-F'!F65-'RCF-F'!F63-'RCF-F'!F62</f>
        <v>17628.366672621596</v>
      </c>
      <c r="F17" s="342">
        <f ca="1">'RCF-F'!G70-'RCF-F'!G64-'RCF-F'!G66-'RCF-F'!G65-'RCF-F'!G63-'RCF-F'!G62</f>
        <v>80475.823258410266</v>
      </c>
      <c r="G17" s="342">
        <f ca="1">'RCF-F'!H70-'RCF-F'!H64-'RCF-F'!H66-'RCF-F'!H65-'RCF-F'!H63-'RCF-F'!H62</f>
        <v>88929.65509882514</v>
      </c>
      <c r="H17" s="342">
        <f ca="1">'RCF-F'!I70-'RCF-F'!I64-'RCF-F'!I66-'RCF-F'!I65-'RCF-F'!I63-'RCF-F'!I62</f>
        <v>138291.08674176052</v>
      </c>
      <c r="I17" s="342">
        <f ca="1">'RCF-F'!J70-'RCF-F'!J64-'RCF-F'!J66-'RCF-F'!J65-'RCF-F'!J63-'RCF-F'!J62</f>
        <v>63697.917155613628</v>
      </c>
      <c r="J17" s="342">
        <f ca="1">'RCF-F'!K70-'RCF-F'!K64-'RCF-F'!K66-'RCF-F'!K65-'RCF-F'!K63-'RCF-F'!K62</f>
        <v>0</v>
      </c>
      <c r="K17" s="342">
        <f ca="1">'RCF-F'!L70-'RCF-F'!L64-'RCF-F'!L66-'RCF-F'!L65-'RCF-F'!L63-'RCF-F'!L62</f>
        <v>0</v>
      </c>
      <c r="L17" s="343">
        <f ca="1">'RCF-F'!M70-'RCF-F'!M64-'RCF-F'!M66-'RCF-F'!M65-'RCF-F'!M63-'RCF-F'!M62</f>
        <v>0</v>
      </c>
      <c r="M17" s="322"/>
      <c r="N17" s="347" t="s">
        <v>52</v>
      </c>
      <c r="O17" s="364"/>
      <c r="P17" s="349">
        <f t="shared" ref="P17:U17" ca="1" si="8">-E37</f>
        <v>2098.8086352234523</v>
      </c>
      <c r="Q17" s="349">
        <f t="shared" ca="1" si="8"/>
        <v>9723.1792502427634</v>
      </c>
      <c r="R17" s="349">
        <f t="shared" ca="1" si="8"/>
        <v>1894.1551148004464</v>
      </c>
      <c r="S17" s="349">
        <f t="shared" ca="1" si="8"/>
        <v>0</v>
      </c>
      <c r="T17" s="349">
        <f t="shared" ca="1" si="8"/>
        <v>0</v>
      </c>
      <c r="U17" s="349">
        <f t="shared" ca="1" si="8"/>
        <v>0</v>
      </c>
      <c r="V17" s="349">
        <f>-K37</f>
        <v>0</v>
      </c>
      <c r="W17" s="350">
        <f>-L37</f>
        <v>0</v>
      </c>
    </row>
    <row r="18" spans="1:23">
      <c r="A18" s="358"/>
      <c r="B18" s="23"/>
      <c r="L18" s="166"/>
      <c r="M18" s="342">
        <v>0</v>
      </c>
      <c r="N18" s="324" t="s">
        <v>54</v>
      </c>
      <c r="O18" s="338"/>
      <c r="P18" s="342">
        <f t="shared" ref="P18:W18" ca="1" si="9">SUM(P13:P17)</f>
        <v>5635.1177396890944</v>
      </c>
      <c r="Q18" s="367">
        <f t="shared" ca="1" si="9"/>
        <v>13384.558574102108</v>
      </c>
      <c r="R18" s="367">
        <f t="shared" ca="1" si="9"/>
        <v>11104.844763981124</v>
      </c>
      <c r="S18" s="367">
        <f t="shared" ca="1" si="9"/>
        <v>4344.4223595943286</v>
      </c>
      <c r="T18" s="367">
        <f t="shared" ca="1" si="9"/>
        <v>20245.239532733813</v>
      </c>
      <c r="U18" s="367">
        <f t="shared" ca="1" si="9"/>
        <v>0</v>
      </c>
      <c r="V18" s="367">
        <f t="shared" ca="1" si="9"/>
        <v>0</v>
      </c>
      <c r="W18" s="368">
        <f t="shared" ca="1" si="9"/>
        <v>0</v>
      </c>
    </row>
    <row r="19" spans="1:23">
      <c r="A19" s="358"/>
      <c r="B19" s="329"/>
      <c r="C19" s="330"/>
      <c r="D19" s="346"/>
      <c r="E19" s="342"/>
      <c r="F19" s="342"/>
      <c r="G19" s="342"/>
      <c r="H19" s="342"/>
      <c r="I19" s="342"/>
      <c r="J19" s="342"/>
      <c r="K19" s="342"/>
      <c r="L19" s="343"/>
      <c r="M19" s="322"/>
      <c r="N19" s="324"/>
      <c r="O19" s="369"/>
      <c r="P19" s="360"/>
      <c r="Q19" s="367"/>
      <c r="R19" s="367"/>
      <c r="S19" s="367"/>
      <c r="T19" s="367"/>
      <c r="U19" s="367"/>
      <c r="V19" s="367"/>
      <c r="W19" s="368"/>
    </row>
    <row r="20" spans="1:23" ht="13.5" thickBot="1">
      <c r="A20" s="358"/>
      <c r="B20" s="351" t="s">
        <v>123</v>
      </c>
      <c r="C20" s="345"/>
      <c r="D20" s="346"/>
      <c r="E20" s="370">
        <f ca="1">E8+E13+E17+E10+E7+E9</f>
        <v>4918705.4242407782</v>
      </c>
      <c r="F20" s="370">
        <f t="shared" ref="F20:L20" ca="1" si="10">F8+F13+F17+F10+F7+F9</f>
        <v>5035728.3418728411</v>
      </c>
      <c r="G20" s="370">
        <f t="shared" ca="1" si="10"/>
        <v>5045835.8729785923</v>
      </c>
      <c r="H20" s="370">
        <f t="shared" ca="1" si="10"/>
        <v>5152075.9828936011</v>
      </c>
      <c r="I20" s="370">
        <f t="shared" ca="1" si="10"/>
        <v>63697.917155613628</v>
      </c>
      <c r="J20" s="370">
        <f t="shared" ca="1" si="10"/>
        <v>0</v>
      </c>
      <c r="K20" s="370">
        <f t="shared" ca="1" si="10"/>
        <v>0</v>
      </c>
      <c r="L20" s="679">
        <f t="shared" ca="1" si="10"/>
        <v>0</v>
      </c>
      <c r="N20" s="324" t="s">
        <v>58</v>
      </c>
      <c r="O20" s="338"/>
      <c r="P20" s="370">
        <f ca="1">P8+P10+P18+P12</f>
        <v>4918705.4242407782</v>
      </c>
      <c r="Q20" s="370">
        <f t="shared" ref="Q20:W20" ca="1" si="11">Q8+Q10+Q18+Q12</f>
        <v>5035728.3418728411</v>
      </c>
      <c r="R20" s="370">
        <f t="shared" ca="1" si="11"/>
        <v>5045835.8729785932</v>
      </c>
      <c r="S20" s="370">
        <f t="shared" ca="1" si="11"/>
        <v>5152075.9828936011</v>
      </c>
      <c r="T20" s="370">
        <f t="shared" ca="1" si="11"/>
        <v>63697.917155613963</v>
      </c>
      <c r="U20" s="370">
        <f t="shared" ca="1" si="11"/>
        <v>3.3469405025243759E-10</v>
      </c>
      <c r="V20" s="370">
        <f t="shared" ca="1" si="11"/>
        <v>3.3469405025243759E-10</v>
      </c>
      <c r="W20" s="679">
        <f t="shared" ca="1" si="11"/>
        <v>3.3469405025243759E-10</v>
      </c>
    </row>
    <row r="21" spans="1:23" ht="14.25" thickTop="1" thickBot="1">
      <c r="A21" s="358"/>
      <c r="B21" s="371"/>
      <c r="C21" s="372"/>
      <c r="D21" s="373"/>
      <c r="E21" s="374">
        <f t="shared" ref="E21:J21" ca="1" si="12">E20-P20</f>
        <v>0</v>
      </c>
      <c r="F21" s="375">
        <f t="shared" ca="1" si="12"/>
        <v>0</v>
      </c>
      <c r="G21" s="376">
        <f t="shared" ca="1" si="12"/>
        <v>0</v>
      </c>
      <c r="H21" s="376">
        <f t="shared" ca="1" si="12"/>
        <v>0</v>
      </c>
      <c r="I21" s="376">
        <f t="shared" ca="1" si="12"/>
        <v>-3.3469405025243759E-10</v>
      </c>
      <c r="J21" s="374">
        <f t="shared" ca="1" si="12"/>
        <v>-3.3469405025243759E-10</v>
      </c>
      <c r="K21" s="374">
        <f ca="1">K20-V20</f>
        <v>-3.3469405025243759E-10</v>
      </c>
      <c r="L21" s="695">
        <f ca="1">L20-W20</f>
        <v>-3.3469405025243759E-10</v>
      </c>
      <c r="N21" s="377"/>
      <c r="O21" s="378"/>
      <c r="P21" s="378"/>
      <c r="Q21" s="379"/>
      <c r="R21" s="379"/>
      <c r="S21" s="379"/>
      <c r="T21" s="379"/>
      <c r="U21" s="379"/>
      <c r="V21" s="379"/>
      <c r="W21" s="380"/>
    </row>
    <row r="22" spans="1:23" ht="7.5" customHeight="1" thickBot="1">
      <c r="A22" s="358"/>
    </row>
    <row r="23" spans="1:23">
      <c r="B23" s="381" t="s">
        <v>72</v>
      </c>
      <c r="C23" s="382"/>
      <c r="D23" s="382"/>
      <c r="E23" s="383">
        <f>F23-1</f>
        <v>2023</v>
      </c>
      <c r="F23" s="383">
        <f t="shared" ref="F23:L23" si="13">F3</f>
        <v>2024</v>
      </c>
      <c r="G23" s="383">
        <f t="shared" si="13"/>
        <v>2025</v>
      </c>
      <c r="H23" s="383">
        <f t="shared" si="13"/>
        <v>2026</v>
      </c>
      <c r="I23" s="383">
        <f t="shared" si="13"/>
        <v>2027</v>
      </c>
      <c r="J23" s="383">
        <f t="shared" si="13"/>
        <v>2028</v>
      </c>
      <c r="K23" s="383">
        <f t="shared" si="13"/>
        <v>2029</v>
      </c>
      <c r="L23" s="384">
        <f t="shared" si="13"/>
        <v>2030</v>
      </c>
    </row>
    <row r="24" spans="1:23">
      <c r="A24" s="358"/>
      <c r="B24" s="386"/>
      <c r="C24" s="387"/>
      <c r="D24" s="387"/>
      <c r="E24" s="387"/>
      <c r="G24" s="355"/>
      <c r="H24" s="355"/>
      <c r="I24" s="355"/>
      <c r="J24" s="355"/>
      <c r="K24" s="355"/>
      <c r="L24" s="388"/>
    </row>
    <row r="25" spans="1:23">
      <c r="A25" s="358"/>
      <c r="B25" s="389" t="s">
        <v>59</v>
      </c>
      <c r="C25" s="390"/>
      <c r="D25" s="390"/>
      <c r="E25" s="391">
        <f ca="1">'RCF-F'!F8</f>
        <v>84718.239657469181</v>
      </c>
      <c r="F25" s="391">
        <f ca="1">'RCF-F'!G8</f>
        <v>138048.78147880532</v>
      </c>
      <c r="G25" s="391">
        <f ca="1">'RCF-F'!H8</f>
        <v>196841.49374894987</v>
      </c>
      <c r="H25" s="391">
        <f ca="1">'RCF-F'!I8</f>
        <v>143010.30123920875</v>
      </c>
      <c r="I25" s="391">
        <f ca="1">'RCF-F'!J8</f>
        <v>314410.80389538978</v>
      </c>
      <c r="J25" s="391">
        <f ca="1">'RCF-F'!K8</f>
        <v>0</v>
      </c>
      <c r="K25" s="391">
        <f ca="1">'RCF-F'!L8</f>
        <v>0</v>
      </c>
      <c r="L25" s="392">
        <f ca="1">'RCF-F'!M8</f>
        <v>0</v>
      </c>
    </row>
    <row r="26" spans="1:23">
      <c r="A26" s="358"/>
      <c r="B26" s="386"/>
      <c r="C26" s="355"/>
      <c r="D26" s="355"/>
      <c r="E26" s="393"/>
      <c r="F26" s="393"/>
      <c r="G26" s="393"/>
      <c r="H26" s="393"/>
      <c r="I26" s="393"/>
      <c r="J26" s="393"/>
      <c r="K26" s="393"/>
      <c r="L26" s="394"/>
      <c r="M26" s="316"/>
    </row>
    <row r="27" spans="1:23">
      <c r="A27" s="358"/>
      <c r="B27" s="386" t="s">
        <v>372</v>
      </c>
      <c r="C27" s="355"/>
      <c r="D27" s="344">
        <f t="shared" ref="D27:J27" si="14">D25-D26</f>
        <v>0</v>
      </c>
      <c r="E27" s="395">
        <f t="shared" ca="1" si="14"/>
        <v>84718.239657469181</v>
      </c>
      <c r="F27" s="395">
        <f t="shared" ca="1" si="14"/>
        <v>138048.78147880532</v>
      </c>
      <c r="G27" s="395">
        <f ca="1">G25-G26</f>
        <v>196841.49374894987</v>
      </c>
      <c r="H27" s="395">
        <f t="shared" ca="1" si="14"/>
        <v>143010.30123920875</v>
      </c>
      <c r="I27" s="395">
        <f t="shared" ca="1" si="14"/>
        <v>314410.80389538978</v>
      </c>
      <c r="J27" s="395">
        <f t="shared" ca="1" si="14"/>
        <v>0</v>
      </c>
      <c r="K27" s="395">
        <f ca="1">K25-K26</f>
        <v>0</v>
      </c>
      <c r="L27" s="396">
        <f ca="1">L25-L26</f>
        <v>0</v>
      </c>
      <c r="M27" s="316"/>
    </row>
    <row r="28" spans="1:23">
      <c r="A28" s="358"/>
      <c r="B28" s="386"/>
      <c r="C28" s="355"/>
      <c r="D28" s="344"/>
      <c r="E28" s="395"/>
      <c r="F28" s="395"/>
      <c r="G28" s="395"/>
      <c r="H28" s="395"/>
      <c r="I28" s="395"/>
      <c r="J28" s="395"/>
      <c r="K28" s="395"/>
      <c r="L28" s="396"/>
      <c r="M28" s="316"/>
      <c r="Q28" s="54"/>
    </row>
    <row r="29" spans="1:23">
      <c r="A29" s="358"/>
      <c r="B29" s="46" t="s">
        <v>60</v>
      </c>
      <c r="E29" s="399">
        <f ca="1">'RCF-F'!F16</f>
        <v>-70726.182089312832</v>
      </c>
      <c r="F29" s="399">
        <f ca="1">'RCF-F'!G16</f>
        <v>-73227.586477186895</v>
      </c>
      <c r="G29" s="399">
        <f ca="1">'RCF-F'!H16</f>
        <v>-184213.79298361356</v>
      </c>
      <c r="H29" s="399">
        <f ca="1">'RCF-F'!I16</f>
        <v>-86888.447191886575</v>
      </c>
      <c r="I29" s="399">
        <f ca="1">'RCF-F'!J16</f>
        <v>-404904.79065467621</v>
      </c>
      <c r="J29" s="399">
        <f ca="1">'RCF-F'!K16</f>
        <v>0</v>
      </c>
      <c r="K29" s="399">
        <f ca="1">'RCF-F'!L16</f>
        <v>0</v>
      </c>
      <c r="L29" s="400">
        <f ca="1">'RCF-F'!M16</f>
        <v>0</v>
      </c>
      <c r="M29" s="316"/>
    </row>
    <row r="30" spans="1:23">
      <c r="A30" s="358"/>
      <c r="B30" s="46"/>
      <c r="E30" s="397"/>
      <c r="F30" s="397"/>
      <c r="G30" s="397"/>
      <c r="H30" s="397"/>
      <c r="I30" s="397"/>
      <c r="J30" s="397"/>
      <c r="K30" s="397"/>
      <c r="L30" s="398"/>
      <c r="M30" s="316"/>
    </row>
    <row r="31" spans="1:23">
      <c r="A31" s="358"/>
      <c r="B31" s="401" t="s">
        <v>375</v>
      </c>
      <c r="C31" s="402"/>
      <c r="D31" s="403">
        <f>SUM(D29:D29)</f>
        <v>0</v>
      </c>
      <c r="E31" s="404">
        <f t="shared" ref="E31:L31" ca="1" si="15">SUM(E29:E30)</f>
        <v>-70726.182089312832</v>
      </c>
      <c r="F31" s="404">
        <f t="shared" ca="1" si="15"/>
        <v>-73227.586477186895</v>
      </c>
      <c r="G31" s="404">
        <f t="shared" ca="1" si="15"/>
        <v>-184213.79298361356</v>
      </c>
      <c r="H31" s="404">
        <f t="shared" ca="1" si="15"/>
        <v>-86888.447191886575</v>
      </c>
      <c r="I31" s="404">
        <f t="shared" ca="1" si="15"/>
        <v>-404904.79065467621</v>
      </c>
      <c r="J31" s="404">
        <f t="shared" ca="1" si="15"/>
        <v>0</v>
      </c>
      <c r="K31" s="404">
        <f t="shared" ca="1" si="15"/>
        <v>0</v>
      </c>
      <c r="L31" s="405">
        <f t="shared" ca="1" si="15"/>
        <v>0</v>
      </c>
      <c r="M31" s="316"/>
    </row>
    <row r="32" spans="1:23">
      <c r="A32" s="358"/>
      <c r="B32" s="386"/>
      <c r="C32" s="355"/>
      <c r="D32" s="355"/>
      <c r="E32" s="406"/>
      <c r="F32" s="406"/>
      <c r="G32" s="406"/>
      <c r="H32" s="406"/>
      <c r="I32" s="406"/>
      <c r="J32" s="406"/>
      <c r="K32" s="406"/>
      <c r="L32" s="407"/>
      <c r="M32" s="316"/>
    </row>
    <row r="33" spans="1:13" ht="13.5" thickBot="1">
      <c r="A33" s="358"/>
      <c r="B33" s="401" t="s">
        <v>61</v>
      </c>
      <c r="C33" s="402"/>
      <c r="D33" s="402"/>
      <c r="E33" s="408">
        <f t="shared" ref="E33:J33" ca="1" si="16">E27+E31</f>
        <v>13992.05756815635</v>
      </c>
      <c r="F33" s="408">
        <f t="shared" ca="1" si="16"/>
        <v>64821.195001618427</v>
      </c>
      <c r="G33" s="408">
        <f t="shared" ca="1" si="16"/>
        <v>12627.700765336311</v>
      </c>
      <c r="H33" s="408">
        <f t="shared" ca="1" si="16"/>
        <v>56121.85404732218</v>
      </c>
      <c r="I33" s="408">
        <f t="shared" ca="1" si="16"/>
        <v>-90493.986759286432</v>
      </c>
      <c r="J33" s="408">
        <f t="shared" ca="1" si="16"/>
        <v>0</v>
      </c>
      <c r="K33" s="408">
        <f ca="1">K27+K31</f>
        <v>0</v>
      </c>
      <c r="L33" s="409">
        <f ca="1">L27+L31</f>
        <v>0</v>
      </c>
      <c r="M33" s="316"/>
    </row>
    <row r="34" spans="1:13">
      <c r="A34" s="358"/>
      <c r="B34" s="386"/>
      <c r="C34" s="355"/>
      <c r="D34" s="355"/>
      <c r="E34" s="397"/>
      <c r="F34" s="397"/>
      <c r="G34" s="397"/>
      <c r="H34" s="397"/>
      <c r="I34" s="397"/>
      <c r="J34" s="397"/>
      <c r="K34" s="397"/>
      <c r="L34" s="398"/>
      <c r="M34" s="316"/>
    </row>
    <row r="35" spans="1:13">
      <c r="A35" s="358"/>
      <c r="B35" s="386"/>
      <c r="C35" s="355"/>
      <c r="D35" s="355"/>
      <c r="E35" s="397"/>
      <c r="F35" s="397"/>
      <c r="G35" s="397"/>
      <c r="H35" s="397"/>
      <c r="I35" s="397"/>
      <c r="J35" s="397"/>
      <c r="K35" s="397"/>
      <c r="L35" s="398"/>
      <c r="M35" s="316"/>
    </row>
    <row r="36" spans="1:13" ht="13.5" thickBot="1">
      <c r="A36" s="358"/>
      <c r="B36" s="414" t="s">
        <v>63</v>
      </c>
      <c r="C36" s="415"/>
      <c r="D36" s="415"/>
      <c r="E36" s="408">
        <f t="shared" ref="E36:L36" ca="1" si="17">E33-E35</f>
        <v>13992.05756815635</v>
      </c>
      <c r="F36" s="408">
        <f t="shared" ca="1" si="17"/>
        <v>64821.195001618427</v>
      </c>
      <c r="G36" s="408">
        <f t="shared" ca="1" si="17"/>
        <v>12627.700765336311</v>
      </c>
      <c r="H36" s="408">
        <f t="shared" ca="1" si="17"/>
        <v>56121.85404732218</v>
      </c>
      <c r="I36" s="408">
        <f t="shared" ca="1" si="17"/>
        <v>-90493.986759286432</v>
      </c>
      <c r="J36" s="408">
        <f t="shared" ca="1" si="17"/>
        <v>0</v>
      </c>
      <c r="K36" s="408">
        <f t="shared" ca="1" si="17"/>
        <v>0</v>
      </c>
      <c r="L36" s="409">
        <f t="shared" ca="1" si="17"/>
        <v>0</v>
      </c>
      <c r="M36" s="316"/>
    </row>
    <row r="37" spans="1:13">
      <c r="A37" s="358"/>
      <c r="B37" s="386" t="s">
        <v>64</v>
      </c>
      <c r="C37" s="355"/>
      <c r="D37" s="355"/>
      <c r="E37" s="397">
        <f ca="1">'RCF-F'!F20</f>
        <v>-2098.8086352234523</v>
      </c>
      <c r="F37" s="397">
        <f ca="1">'RCF-F'!G20</f>
        <v>-9723.1792502427634</v>
      </c>
      <c r="G37" s="397">
        <f ca="1">'RCF-F'!H20</f>
        <v>-1894.1551148004464</v>
      </c>
      <c r="H37" s="397">
        <f ca="1">'RCF-F'!I20</f>
        <v>0</v>
      </c>
      <c r="I37" s="397">
        <f ca="1">'RCF-F'!J20</f>
        <v>0</v>
      </c>
      <c r="J37" s="397">
        <f ca="1">'RCF-F'!K20</f>
        <v>0</v>
      </c>
      <c r="K37" s="397">
        <f>'RCF-F'!L20</f>
        <v>0</v>
      </c>
      <c r="L37" s="398">
        <f>'RCF-F'!M20</f>
        <v>0</v>
      </c>
      <c r="M37" s="316"/>
    </row>
    <row r="38" spans="1:13" ht="13.5" thickBot="1">
      <c r="A38" s="358"/>
      <c r="B38" s="418" t="s">
        <v>65</v>
      </c>
      <c r="C38" s="419"/>
      <c r="D38" s="419"/>
      <c r="E38" s="408">
        <f t="shared" ref="E38:L38" ca="1" si="18">E36+E37</f>
        <v>11893.248932932896</v>
      </c>
      <c r="F38" s="408">
        <f t="shared" ca="1" si="18"/>
        <v>55098.015751375664</v>
      </c>
      <c r="G38" s="408">
        <f t="shared" ca="1" si="18"/>
        <v>10733.545650535863</v>
      </c>
      <c r="H38" s="408">
        <f t="shared" ca="1" si="18"/>
        <v>56121.85404732218</v>
      </c>
      <c r="I38" s="408">
        <f t="shared" ca="1" si="18"/>
        <v>-90493.986759286432</v>
      </c>
      <c r="J38" s="408">
        <f t="shared" ca="1" si="18"/>
        <v>0</v>
      </c>
      <c r="K38" s="408">
        <f t="shared" ca="1" si="18"/>
        <v>0</v>
      </c>
      <c r="L38" s="409">
        <f t="shared" ca="1" si="18"/>
        <v>0</v>
      </c>
      <c r="M38" s="316"/>
    </row>
    <row r="39" spans="1:13">
      <c r="A39" s="358"/>
      <c r="B39" s="420"/>
      <c r="C39" s="385"/>
      <c r="D39" s="385"/>
      <c r="E39" s="416"/>
      <c r="F39" s="416"/>
      <c r="G39" s="416"/>
      <c r="H39" s="416"/>
      <c r="I39" s="416"/>
      <c r="J39" s="416"/>
      <c r="K39" s="416"/>
      <c r="L39" s="421"/>
      <c r="M39" s="316"/>
    </row>
    <row r="40" spans="1:13">
      <c r="A40" s="358"/>
      <c r="B40" s="386" t="s">
        <v>66</v>
      </c>
      <c r="C40" s="1551">
        <v>0.6</v>
      </c>
      <c r="D40" s="52"/>
      <c r="E40" s="406">
        <f t="shared" ref="E40:J40" si="19">E65</f>
        <v>0</v>
      </c>
      <c r="F40" s="406">
        <f t="shared" si="19"/>
        <v>0</v>
      </c>
      <c r="G40" s="406">
        <f t="shared" si="19"/>
        <v>0</v>
      </c>
      <c r="H40" s="406">
        <f t="shared" si="19"/>
        <v>0</v>
      </c>
      <c r="I40" s="406">
        <f t="shared" si="19"/>
        <v>0</v>
      </c>
      <c r="J40" s="406">
        <f t="shared" si="19"/>
        <v>0</v>
      </c>
      <c r="K40" s="406">
        <f>K65</f>
        <v>0</v>
      </c>
      <c r="L40" s="407">
        <f>L65</f>
        <v>0</v>
      </c>
      <c r="M40" s="316"/>
    </row>
    <row r="41" spans="1:13">
      <c r="A41" s="358"/>
      <c r="B41" s="386"/>
      <c r="C41" s="53"/>
      <c r="D41" s="53"/>
      <c r="E41" s="65"/>
      <c r="F41" s="54"/>
      <c r="G41" s="54"/>
      <c r="H41" s="54"/>
      <c r="I41" s="54"/>
      <c r="J41" s="54"/>
      <c r="K41" s="54"/>
      <c r="L41" s="58"/>
      <c r="M41" s="316"/>
    </row>
    <row r="42" spans="1:13">
      <c r="A42" s="358"/>
      <c r="B42" s="386" t="s">
        <v>35</v>
      </c>
      <c r="C42" s="52">
        <f>1-C40</f>
        <v>0.4</v>
      </c>
      <c r="D42" s="52"/>
      <c r="E42" s="406">
        <f t="shared" ref="E42:J42" si="20">E40/$C$40*$C$42</f>
        <v>0</v>
      </c>
      <c r="F42" s="406">
        <f t="shared" si="20"/>
        <v>0</v>
      </c>
      <c r="G42" s="406">
        <f t="shared" si="20"/>
        <v>0</v>
      </c>
      <c r="H42" s="406">
        <f t="shared" si="20"/>
        <v>0</v>
      </c>
      <c r="I42" s="406">
        <f t="shared" si="20"/>
        <v>0</v>
      </c>
      <c r="J42" s="406">
        <f t="shared" si="20"/>
        <v>0</v>
      </c>
      <c r="K42" s="406">
        <f>K40/$C$40*$C$42</f>
        <v>0</v>
      </c>
      <c r="L42" s="407">
        <f>L40/$C$40*$C$42</f>
        <v>0</v>
      </c>
      <c r="M42" s="316"/>
    </row>
    <row r="43" spans="1:13">
      <c r="A43" s="358"/>
      <c r="B43" s="23"/>
      <c r="E43" s="406"/>
      <c r="F43" s="54"/>
      <c r="G43" s="54"/>
      <c r="H43" s="54"/>
      <c r="I43" s="54"/>
      <c r="J43" s="54"/>
      <c r="K43" s="54"/>
      <c r="L43" s="58"/>
      <c r="M43" s="316"/>
    </row>
    <row r="44" spans="1:13">
      <c r="A44" s="358"/>
      <c r="B44" s="23" t="s">
        <v>390</v>
      </c>
      <c r="D44" s="361"/>
      <c r="E44" s="356">
        <f>'RCF-F'!F69</f>
        <v>0</v>
      </c>
      <c r="F44" s="356">
        <f>'RCF-F'!G69</f>
        <v>0</v>
      </c>
      <c r="G44" s="356">
        <f>'RCF-F'!H69</f>
        <v>0</v>
      </c>
      <c r="H44" s="356">
        <f>'RCF-F'!I69</f>
        <v>0</v>
      </c>
      <c r="I44" s="356">
        <f>'RCF-F'!J69</f>
        <v>0</v>
      </c>
      <c r="J44" s="356">
        <f ca="1">'RCF-F'!K69</f>
        <v>-43352.677622879812</v>
      </c>
      <c r="K44" s="356">
        <f>'RCF-F'!L69</f>
        <v>0</v>
      </c>
      <c r="L44" s="357">
        <f>'RCF-F'!M69</f>
        <v>0</v>
      </c>
      <c r="M44" s="316"/>
    </row>
    <row r="45" spans="1:13">
      <c r="A45" s="358"/>
      <c r="B45" s="23"/>
      <c r="E45" s="54"/>
      <c r="F45" s="54"/>
      <c r="G45" s="54"/>
      <c r="H45" s="54"/>
      <c r="I45" s="54"/>
      <c r="J45" s="54"/>
      <c r="K45" s="54"/>
      <c r="L45" s="58"/>
      <c r="M45" s="316"/>
    </row>
    <row r="46" spans="1:13" ht="13.5" thickBot="1">
      <c r="A46" s="358"/>
      <c r="B46" s="72" t="s">
        <v>95</v>
      </c>
      <c r="C46" s="412"/>
      <c r="D46" s="412"/>
      <c r="E46" s="408">
        <f t="shared" ref="E46:L46" ca="1" si="21">E38-E40-E42+E44</f>
        <v>11893.248932932896</v>
      </c>
      <c r="F46" s="408">
        <f t="shared" ca="1" si="21"/>
        <v>55098.015751375664</v>
      </c>
      <c r="G46" s="408">
        <f t="shared" ca="1" si="21"/>
        <v>10733.545650535863</v>
      </c>
      <c r="H46" s="408">
        <f t="shared" ca="1" si="21"/>
        <v>56121.85404732218</v>
      </c>
      <c r="I46" s="408">
        <f t="shared" ca="1" si="21"/>
        <v>-90493.986759286432</v>
      </c>
      <c r="J46" s="408">
        <f t="shared" ca="1" si="21"/>
        <v>-43352.677622879812</v>
      </c>
      <c r="K46" s="408">
        <f t="shared" ca="1" si="21"/>
        <v>0</v>
      </c>
      <c r="L46" s="409">
        <f t="shared" ca="1" si="21"/>
        <v>0</v>
      </c>
      <c r="M46" s="316"/>
    </row>
    <row r="47" spans="1:13">
      <c r="A47" s="358"/>
      <c r="H47" s="26"/>
      <c r="M47" s="26"/>
    </row>
    <row r="48" spans="1:13">
      <c r="A48" s="358"/>
      <c r="F48" s="54"/>
      <c r="G48" s="54"/>
      <c r="H48" s="54"/>
      <c r="I48" s="54"/>
      <c r="J48" s="54"/>
      <c r="K48" s="54"/>
      <c r="L48" s="54"/>
      <c r="M48" s="316"/>
    </row>
    <row r="49" spans="1:23">
      <c r="A49" s="358"/>
      <c r="F49" s="54"/>
      <c r="H49" s="26"/>
      <c r="M49" s="316"/>
    </row>
    <row r="50" spans="1:23">
      <c r="A50" s="358"/>
      <c r="H50" s="26"/>
      <c r="M50" s="316"/>
    </row>
    <row r="51" spans="1:23">
      <c r="A51" s="358"/>
      <c r="H51" s="26"/>
    </row>
    <row r="52" spans="1:23">
      <c r="A52" s="358"/>
      <c r="H52" s="26"/>
      <c r="M52" s="316"/>
    </row>
    <row r="53" spans="1:23">
      <c r="A53" s="358"/>
      <c r="H53" s="26"/>
      <c r="M53" s="316"/>
    </row>
    <row r="54" spans="1:23">
      <c r="A54" s="358"/>
      <c r="H54" s="26"/>
      <c r="M54" s="316"/>
    </row>
    <row r="55" spans="1:23">
      <c r="A55" s="358"/>
      <c r="H55" s="26"/>
      <c r="M55" s="316"/>
      <c r="W55" s="54"/>
    </row>
    <row r="56" spans="1:23">
      <c r="A56" s="358"/>
      <c r="H56" s="26"/>
      <c r="J56" s="26"/>
      <c r="K56" s="26"/>
      <c r="L56" s="26"/>
      <c r="M56" s="316"/>
    </row>
    <row r="57" spans="1:23">
      <c r="A57" s="358"/>
      <c r="H57" s="26"/>
      <c r="J57" s="26"/>
      <c r="K57" s="26"/>
      <c r="L57" s="26"/>
      <c r="M57" s="316"/>
    </row>
    <row r="58" spans="1:23">
      <c r="A58" s="358"/>
      <c r="H58" s="26"/>
      <c r="J58" s="26"/>
      <c r="K58" s="26"/>
      <c r="L58" s="26"/>
    </row>
    <row r="59" spans="1:23">
      <c r="A59" s="358"/>
      <c r="H59" s="26"/>
      <c r="J59" s="26"/>
      <c r="K59" s="26"/>
      <c r="L59" s="26"/>
      <c r="N59" s="26"/>
      <c r="P59" s="26"/>
      <c r="R59" s="26"/>
      <c r="T59" s="26"/>
      <c r="V59" s="26"/>
    </row>
    <row r="60" spans="1:23">
      <c r="A60" s="358"/>
      <c r="H60" s="26"/>
      <c r="J60" s="26"/>
      <c r="K60" s="26"/>
      <c r="L60" s="26"/>
      <c r="N60" s="26"/>
      <c r="P60" s="26"/>
      <c r="R60" s="26"/>
      <c r="T60" s="26"/>
      <c r="V60" s="26"/>
    </row>
    <row r="61" spans="1:23">
      <c r="A61" s="358"/>
      <c r="H61" s="26"/>
      <c r="J61" s="26"/>
      <c r="K61" s="26"/>
      <c r="L61" s="26"/>
      <c r="N61" s="26"/>
      <c r="P61" s="26"/>
      <c r="R61" s="26"/>
      <c r="T61" s="26"/>
      <c r="V61" s="26"/>
    </row>
    <row r="62" spans="1:23">
      <c r="A62" s="358"/>
      <c r="H62" s="26"/>
      <c r="J62" s="26"/>
      <c r="K62" s="26"/>
      <c r="L62" s="26"/>
      <c r="N62" s="26"/>
      <c r="P62" s="26"/>
      <c r="R62" s="26"/>
      <c r="T62" s="26"/>
      <c r="V62" s="26"/>
    </row>
    <row r="63" spans="1:23">
      <c r="A63" s="358"/>
      <c r="H63" s="26"/>
      <c r="J63" s="26"/>
      <c r="K63" s="26"/>
      <c r="L63" s="26"/>
      <c r="N63" s="26"/>
      <c r="P63" s="26"/>
      <c r="R63" s="26"/>
      <c r="T63" s="26"/>
      <c r="V63" s="26"/>
    </row>
    <row r="64" spans="1:23">
      <c r="A64" s="358"/>
      <c r="H64" s="26"/>
      <c r="J64" s="26"/>
      <c r="K64" s="26"/>
      <c r="L64" s="26"/>
      <c r="N64" s="26"/>
      <c r="P64" s="26"/>
      <c r="R64" s="26"/>
      <c r="T64" s="26"/>
      <c r="V64" s="26"/>
    </row>
    <row r="65" spans="1:22">
      <c r="A65" s="358"/>
      <c r="H65" s="26"/>
      <c r="J65" s="26"/>
      <c r="K65" s="26"/>
      <c r="L65" s="26"/>
      <c r="N65" s="26"/>
      <c r="P65" s="26"/>
      <c r="R65" s="26"/>
      <c r="T65" s="26"/>
      <c r="V65" s="26"/>
    </row>
    <row r="66" spans="1:22">
      <c r="A66" s="358"/>
      <c r="H66" s="26"/>
      <c r="J66" s="26"/>
      <c r="K66" s="26"/>
      <c r="L66" s="26"/>
      <c r="N66" s="26"/>
      <c r="P66" s="26"/>
      <c r="R66" s="26"/>
      <c r="T66" s="26"/>
      <c r="V66" s="26"/>
    </row>
    <row r="67" spans="1:22">
      <c r="A67" s="358"/>
      <c r="H67" s="26"/>
      <c r="J67" s="26"/>
      <c r="K67" s="26"/>
      <c r="L67" s="26"/>
      <c r="N67" s="26"/>
      <c r="P67" s="26"/>
      <c r="R67" s="26"/>
      <c r="T67" s="26"/>
      <c r="V67" s="26"/>
    </row>
    <row r="68" spans="1:22">
      <c r="A68" s="358"/>
      <c r="H68" s="26"/>
      <c r="J68" s="26"/>
      <c r="K68" s="26"/>
      <c r="L68" s="26"/>
      <c r="N68" s="26"/>
      <c r="P68" s="26"/>
      <c r="R68" s="26"/>
      <c r="T68" s="26"/>
      <c r="V68" s="26"/>
    </row>
    <row r="69" spans="1:22">
      <c r="A69" s="358"/>
      <c r="H69" s="26"/>
      <c r="J69" s="26"/>
      <c r="K69" s="26"/>
      <c r="L69" s="26"/>
      <c r="N69" s="26"/>
      <c r="P69" s="26"/>
      <c r="R69" s="26"/>
      <c r="T69" s="26"/>
      <c r="V69" s="26"/>
    </row>
    <row r="70" spans="1:22">
      <c r="A70" s="358"/>
      <c r="H70" s="26"/>
      <c r="J70" s="26"/>
      <c r="K70" s="26"/>
      <c r="L70" s="26"/>
      <c r="N70" s="26"/>
      <c r="P70" s="26"/>
      <c r="R70" s="26"/>
      <c r="T70" s="26"/>
      <c r="V70" s="26"/>
    </row>
    <row r="71" spans="1:22">
      <c r="A71" s="358"/>
      <c r="H71" s="26"/>
      <c r="J71" s="26"/>
      <c r="K71" s="26"/>
      <c r="L71" s="26"/>
      <c r="N71" s="26"/>
      <c r="P71" s="26"/>
      <c r="R71" s="26"/>
      <c r="T71" s="26"/>
      <c r="V71" s="26"/>
    </row>
    <row r="72" spans="1:22">
      <c r="A72" s="358"/>
      <c r="H72" s="26"/>
      <c r="J72" s="26"/>
      <c r="K72" s="26"/>
      <c r="L72" s="26"/>
      <c r="N72" s="26"/>
      <c r="P72" s="26"/>
      <c r="R72" s="26"/>
      <c r="T72" s="26"/>
      <c r="V72" s="26"/>
    </row>
    <row r="73" spans="1:22">
      <c r="A73" s="358"/>
      <c r="H73" s="26"/>
      <c r="J73" s="26"/>
      <c r="K73" s="26"/>
      <c r="L73" s="26"/>
      <c r="N73" s="26"/>
      <c r="P73" s="26"/>
      <c r="R73" s="26"/>
      <c r="T73" s="26"/>
      <c r="V73" s="26"/>
    </row>
    <row r="74" spans="1:22">
      <c r="H74" s="26"/>
      <c r="J74" s="26"/>
      <c r="K74" s="26"/>
      <c r="L74" s="26"/>
      <c r="N74" s="26"/>
      <c r="P74" s="26"/>
      <c r="R74" s="26"/>
      <c r="T74" s="26"/>
      <c r="V74" s="26"/>
    </row>
    <row r="75" spans="1:22">
      <c r="H75" s="26"/>
      <c r="J75" s="26"/>
      <c r="K75" s="26"/>
      <c r="L75" s="26"/>
      <c r="N75" s="26"/>
      <c r="P75" s="26"/>
      <c r="R75" s="26"/>
      <c r="T75" s="26"/>
      <c r="V75" s="26"/>
    </row>
    <row r="76" spans="1:22">
      <c r="H76" s="26"/>
      <c r="J76" s="26"/>
      <c r="K76" s="26"/>
      <c r="L76" s="26"/>
      <c r="N76" s="26"/>
      <c r="P76" s="26"/>
      <c r="R76" s="26"/>
      <c r="T76" s="26"/>
      <c r="V76" s="26"/>
    </row>
    <row r="77" spans="1:22">
      <c r="H77" s="26"/>
      <c r="J77" s="26"/>
      <c r="K77" s="26"/>
      <c r="L77" s="26"/>
      <c r="N77" s="26"/>
      <c r="P77" s="26"/>
      <c r="R77" s="26"/>
      <c r="T77" s="26"/>
      <c r="V77" s="26"/>
    </row>
    <row r="78" spans="1:22">
      <c r="H78" s="26"/>
      <c r="J78" s="26"/>
      <c r="K78" s="26"/>
      <c r="L78" s="26"/>
      <c r="N78" s="26"/>
      <c r="P78" s="26"/>
      <c r="R78" s="26"/>
      <c r="T78" s="26"/>
      <c r="V78" s="26"/>
    </row>
    <row r="79" spans="1:22">
      <c r="H79" s="26"/>
      <c r="J79" s="26"/>
      <c r="K79" s="26"/>
      <c r="L79" s="26"/>
      <c r="N79" s="26"/>
      <c r="P79" s="26"/>
      <c r="R79" s="26"/>
      <c r="T79" s="26"/>
      <c r="V79" s="26"/>
    </row>
    <row r="80" spans="1:22">
      <c r="H80" s="26"/>
      <c r="J80" s="26"/>
      <c r="K80" s="26"/>
      <c r="L80" s="26"/>
      <c r="N80" s="26"/>
      <c r="P80" s="26"/>
      <c r="R80" s="26"/>
      <c r="T80" s="26"/>
      <c r="V80" s="26"/>
    </row>
    <row r="81" spans="5:22">
      <c r="H81" s="26"/>
      <c r="J81" s="26"/>
      <c r="K81" s="26"/>
      <c r="L81" s="26"/>
      <c r="N81" s="26"/>
      <c r="P81" s="26"/>
      <c r="R81" s="26"/>
      <c r="T81" s="26"/>
      <c r="V81" s="26"/>
    </row>
    <row r="82" spans="5:22">
      <c r="H82" s="26"/>
      <c r="J82" s="26"/>
      <c r="K82" s="26"/>
      <c r="L82" s="26"/>
      <c r="N82" s="26"/>
      <c r="P82" s="26"/>
      <c r="R82" s="26"/>
      <c r="T82" s="26"/>
      <c r="V82" s="26"/>
    </row>
    <row r="83" spans="5:22">
      <c r="H83" s="26"/>
      <c r="N83" s="26"/>
      <c r="P83" s="26"/>
      <c r="R83" s="26"/>
      <c r="T83" s="26"/>
      <c r="V83" s="26"/>
    </row>
    <row r="84" spans="5:22">
      <c r="H84" s="26"/>
      <c r="N84" s="26"/>
      <c r="P84" s="26"/>
      <c r="R84" s="26"/>
      <c r="T84" s="26"/>
      <c r="V84" s="26"/>
    </row>
    <row r="85" spans="5:22">
      <c r="E85" s="54"/>
      <c r="F85" s="54"/>
      <c r="G85" s="54"/>
      <c r="H85" s="54"/>
      <c r="I85" s="54"/>
      <c r="J85" s="54"/>
      <c r="K85" s="54"/>
      <c r="L85" s="54"/>
      <c r="N85" s="26"/>
      <c r="P85" s="26"/>
      <c r="R85" s="26"/>
      <c r="T85" s="26"/>
      <c r="V85" s="26"/>
    </row>
    <row r="86" spans="5:22">
      <c r="E86" s="54"/>
      <c r="F86" s="54"/>
      <c r="G86" s="54"/>
      <c r="H86" s="54"/>
      <c r="I86" s="54"/>
      <c r="J86" s="54"/>
      <c r="K86" s="54"/>
      <c r="L86" s="54"/>
    </row>
    <row r="87" spans="5:22">
      <c r="E87" s="54"/>
      <c r="F87" s="54"/>
      <c r="G87" s="54"/>
      <c r="H87" s="54"/>
      <c r="I87" s="54"/>
      <c r="J87" s="54"/>
      <c r="K87" s="54"/>
      <c r="L87" s="54"/>
    </row>
    <row r="88" spans="5:22">
      <c r="H88" s="54"/>
      <c r="I88" s="54"/>
    </row>
    <row r="89" spans="5:22">
      <c r="E89" s="54"/>
      <c r="F89" s="54"/>
      <c r="G89" s="54"/>
      <c r="H89" s="54"/>
      <c r="I89" s="54"/>
      <c r="J89" s="54"/>
      <c r="K89" s="54"/>
      <c r="L89" s="54"/>
      <c r="M89" s="54"/>
      <c r="R89" s="54"/>
      <c r="S89" s="54"/>
    </row>
    <row r="90" spans="5:22">
      <c r="H90" s="54"/>
      <c r="M90" s="54"/>
      <c r="S90" s="54"/>
    </row>
    <row r="91" spans="5:22">
      <c r="H91" s="54"/>
      <c r="M91" s="54"/>
      <c r="S91" s="54"/>
    </row>
    <row r="92" spans="5:22">
      <c r="H92" s="424"/>
    </row>
    <row r="93" spans="5:22">
      <c r="H93" s="54"/>
      <c r="S93" s="54"/>
    </row>
    <row r="94" spans="5:22">
      <c r="H94" s="54"/>
    </row>
    <row r="95" spans="5:22">
      <c r="J95" s="54"/>
      <c r="K95" s="54"/>
      <c r="L95" s="54"/>
    </row>
    <row r="96" spans="5:22">
      <c r="J96" s="54"/>
      <c r="K96" s="54"/>
      <c r="L96" s="54"/>
    </row>
    <row r="97" spans="8:21">
      <c r="J97" s="54"/>
      <c r="K97" s="54"/>
      <c r="L97" s="54"/>
      <c r="N97" s="23" t="s">
        <v>394</v>
      </c>
      <c r="P97" s="54">
        <v>0</v>
      </c>
      <c r="Q97" s="54">
        <v>0</v>
      </c>
      <c r="R97" s="54">
        <v>0</v>
      </c>
      <c r="S97" s="54">
        <v>0</v>
      </c>
      <c r="T97" s="54">
        <v>0</v>
      </c>
      <c r="U97" s="58">
        <v>0</v>
      </c>
    </row>
    <row r="98" spans="8:21">
      <c r="H98" s="54"/>
      <c r="N98" s="23" t="s">
        <v>368</v>
      </c>
      <c r="P98" s="410">
        <v>0</v>
      </c>
      <c r="Q98" s="410">
        <v>0</v>
      </c>
      <c r="R98" s="410">
        <v>0</v>
      </c>
      <c r="S98" s="410">
        <v>0</v>
      </c>
      <c r="T98" s="410">
        <v>0</v>
      </c>
      <c r="U98" s="423">
        <v>0</v>
      </c>
    </row>
    <row r="99" spans="8:21">
      <c r="H99" s="54"/>
      <c r="N99" s="23" t="s">
        <v>391</v>
      </c>
      <c r="P99" s="54">
        <f t="shared" ref="P99:U99" si="22">P97+P98</f>
        <v>0</v>
      </c>
      <c r="Q99" s="54">
        <f t="shared" si="22"/>
        <v>0</v>
      </c>
      <c r="R99" s="54">
        <f t="shared" si="22"/>
        <v>0</v>
      </c>
      <c r="S99" s="54">
        <f t="shared" si="22"/>
        <v>0</v>
      </c>
      <c r="T99" s="54">
        <f t="shared" si="22"/>
        <v>0</v>
      </c>
      <c r="U99" s="58">
        <f t="shared" si="22"/>
        <v>0</v>
      </c>
    </row>
    <row r="100" spans="8:21">
      <c r="H100" s="54"/>
    </row>
    <row r="101" spans="8:21">
      <c r="H101" s="54"/>
      <c r="N101" s="23" t="s">
        <v>395</v>
      </c>
      <c r="P101" s="54"/>
      <c r="Q101" s="54"/>
      <c r="R101" s="54"/>
      <c r="S101" s="54" t="e">
        <f>S99*(S66/S65)</f>
        <v>#DIV/0!</v>
      </c>
      <c r="T101" s="54"/>
      <c r="U101" s="58"/>
    </row>
    <row r="102" spans="8:21">
      <c r="H102" s="54"/>
    </row>
  </sheetData>
  <sheetProtection password="CD53" sheet="1" objects="1" scenarios="1" selectLockedCells="1"/>
  <mergeCells count="2">
    <mergeCell ref="E2:J2"/>
    <mergeCell ref="P2:U2"/>
  </mergeCells>
  <conditionalFormatting sqref="E34:L35 E37:L37 E29:L31">
    <cfRule type="cellIs" dxfId="57" priority="3" operator="lessThan">
      <formula>0</formula>
    </cfRule>
  </conditionalFormatting>
  <pageMargins left="0.7" right="0.7" top="0.75" bottom="0.75" header="0.3" footer="0.3"/>
  <pageSetup paperSize="9"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5" tint="0.59999389629810485"/>
    <pageSetUpPr fitToPage="1"/>
  </sheetPr>
  <dimension ref="A1:AD136"/>
  <sheetViews>
    <sheetView zoomScale="60" zoomScaleNormal="60" workbookViewId="0">
      <selection activeCell="D34" sqref="D34"/>
    </sheetView>
  </sheetViews>
  <sheetFormatPr defaultRowHeight="12.75"/>
  <cols>
    <col min="1" max="1" width="1.28515625" style="1361" customWidth="1"/>
    <col min="2" max="2" width="29.140625" style="1361" customWidth="1"/>
    <col min="3" max="3" width="14.5703125" style="1361" customWidth="1"/>
    <col min="4" max="4" width="14.140625" style="1361" bestFit="1" customWidth="1"/>
    <col min="5" max="5" width="15.85546875" style="1361" customWidth="1"/>
    <col min="6" max="6" width="14" style="1361" customWidth="1"/>
    <col min="7" max="7" width="15.5703125" style="1361" customWidth="1"/>
    <col min="8" max="8" width="14.7109375" style="1361" bestFit="1" customWidth="1"/>
    <col min="9" max="9" width="15.85546875" style="1361" customWidth="1"/>
    <col min="10" max="10" width="16.7109375" style="1361" customWidth="1"/>
    <col min="11" max="11" width="1" style="1361" customWidth="1"/>
    <col min="12" max="12" width="25.5703125" style="1361" customWidth="1"/>
    <col min="13" max="13" width="12.7109375" style="1361" customWidth="1"/>
    <col min="14" max="14" width="17.28515625" style="1361" customWidth="1"/>
    <col min="15" max="15" width="12.7109375" style="1361" customWidth="1"/>
    <col min="16" max="16" width="14" style="1361" bestFit="1" customWidth="1"/>
    <col min="17" max="17" width="14.140625" style="1361" customWidth="1"/>
    <col min="18" max="18" width="14.28515625" style="1361" customWidth="1"/>
    <col min="19" max="19" width="14.42578125" style="1361" bestFit="1" customWidth="1"/>
    <col min="20" max="21" width="14.7109375" style="1361" bestFit="1" customWidth="1"/>
    <col min="22" max="22" width="2.42578125" style="1361" customWidth="1"/>
    <col min="23" max="24" width="9.140625" style="1361"/>
    <col min="25" max="25" width="12.28515625" style="1361" bestFit="1" customWidth="1"/>
    <col min="26" max="26" width="12.5703125" style="1361" bestFit="1" customWidth="1"/>
    <col min="27" max="27" width="12.7109375" style="1361" bestFit="1" customWidth="1"/>
    <col min="28" max="28" width="13" style="1361" bestFit="1" customWidth="1"/>
    <col min="29" max="29" width="11.85546875" style="1361" bestFit="1" customWidth="1"/>
    <col min="30" max="30" width="12.5703125" style="1361" bestFit="1" customWidth="1"/>
    <col min="31" max="246" width="9.140625" style="1361"/>
    <col min="247" max="247" width="2.28515625" style="1361" customWidth="1"/>
    <col min="248" max="248" width="10.42578125" style="1361" customWidth="1"/>
    <col min="249" max="249" width="28.42578125" style="1361" customWidth="1"/>
    <col min="250" max="250" width="12" style="1361" customWidth="1"/>
    <col min="251" max="251" width="12.7109375" style="1361" customWidth="1"/>
    <col min="252" max="252" width="11.5703125" style="1361" customWidth="1"/>
    <col min="253" max="253" width="11.140625" style="1361" customWidth="1"/>
    <col min="254" max="254" width="9.7109375" style="1361" bestFit="1" customWidth="1"/>
    <col min="255" max="255" width="1" style="1361" customWidth="1"/>
    <col min="256" max="256" width="9.140625" style="1361"/>
    <col min="257" max="257" width="30.5703125" style="1361" customWidth="1"/>
    <col min="258" max="258" width="11" style="1361" customWidth="1"/>
    <col min="259" max="259" width="10.5703125" style="1361" customWidth="1"/>
    <col min="260" max="260" width="10.85546875" style="1361" customWidth="1"/>
    <col min="261" max="261" width="9" style="1361" bestFit="1" customWidth="1"/>
    <col min="262" max="262" width="8.140625" style="1361" bestFit="1" customWidth="1"/>
    <col min="263" max="502" width="9.140625" style="1361"/>
    <col min="503" max="503" width="2.28515625" style="1361" customWidth="1"/>
    <col min="504" max="504" width="10.42578125" style="1361" customWidth="1"/>
    <col min="505" max="505" width="28.42578125" style="1361" customWidth="1"/>
    <col min="506" max="506" width="12" style="1361" customWidth="1"/>
    <col min="507" max="507" width="12.7109375" style="1361" customWidth="1"/>
    <col min="508" max="508" width="11.5703125" style="1361" customWidth="1"/>
    <col min="509" max="509" width="11.140625" style="1361" customWidth="1"/>
    <col min="510" max="510" width="9.7109375" style="1361" bestFit="1" customWidth="1"/>
    <col min="511" max="511" width="1" style="1361" customWidth="1"/>
    <col min="512" max="512" width="9.140625" style="1361"/>
    <col min="513" max="513" width="30.5703125" style="1361" customWidth="1"/>
    <col min="514" max="514" width="11" style="1361" customWidth="1"/>
    <col min="515" max="515" width="10.5703125" style="1361" customWidth="1"/>
    <col min="516" max="516" width="10.85546875" style="1361" customWidth="1"/>
    <col min="517" max="517" width="9" style="1361" bestFit="1" customWidth="1"/>
    <col min="518" max="518" width="8.140625" style="1361" bestFit="1" customWidth="1"/>
    <col min="519" max="758" width="9.140625" style="1361"/>
    <col min="759" max="759" width="2.28515625" style="1361" customWidth="1"/>
    <col min="760" max="760" width="10.42578125" style="1361" customWidth="1"/>
    <col min="761" max="761" width="28.42578125" style="1361" customWidth="1"/>
    <col min="762" max="762" width="12" style="1361" customWidth="1"/>
    <col min="763" max="763" width="12.7109375" style="1361" customWidth="1"/>
    <col min="764" max="764" width="11.5703125" style="1361" customWidth="1"/>
    <col min="765" max="765" width="11.140625" style="1361" customWidth="1"/>
    <col min="766" max="766" width="9.7109375" style="1361" bestFit="1" customWidth="1"/>
    <col min="767" max="767" width="1" style="1361" customWidth="1"/>
    <col min="768" max="768" width="9.140625" style="1361"/>
    <col min="769" max="769" width="30.5703125" style="1361" customWidth="1"/>
    <col min="770" max="770" width="11" style="1361" customWidth="1"/>
    <col min="771" max="771" width="10.5703125" style="1361" customWidth="1"/>
    <col min="772" max="772" width="10.85546875" style="1361" customWidth="1"/>
    <col min="773" max="773" width="9" style="1361" bestFit="1" customWidth="1"/>
    <col min="774" max="774" width="8.140625" style="1361" bestFit="1" customWidth="1"/>
    <col min="775" max="1014" width="9.140625" style="1361"/>
    <col min="1015" max="1015" width="2.28515625" style="1361" customWidth="1"/>
    <col min="1016" max="1016" width="10.42578125" style="1361" customWidth="1"/>
    <col min="1017" max="1017" width="28.42578125" style="1361" customWidth="1"/>
    <col min="1018" max="1018" width="12" style="1361" customWidth="1"/>
    <col min="1019" max="1019" width="12.7109375" style="1361" customWidth="1"/>
    <col min="1020" max="1020" width="11.5703125" style="1361" customWidth="1"/>
    <col min="1021" max="1021" width="11.140625" style="1361" customWidth="1"/>
    <col min="1022" max="1022" width="9.7109375" style="1361" bestFit="1" customWidth="1"/>
    <col min="1023" max="1023" width="1" style="1361" customWidth="1"/>
    <col min="1024" max="1024" width="9.140625" style="1361"/>
    <col min="1025" max="1025" width="30.5703125" style="1361" customWidth="1"/>
    <col min="1026" max="1026" width="11" style="1361" customWidth="1"/>
    <col min="1027" max="1027" width="10.5703125" style="1361" customWidth="1"/>
    <col min="1028" max="1028" width="10.85546875" style="1361" customWidth="1"/>
    <col min="1029" max="1029" width="9" style="1361" bestFit="1" customWidth="1"/>
    <col min="1030" max="1030" width="8.140625" style="1361" bestFit="1" customWidth="1"/>
    <col min="1031" max="1270" width="9.140625" style="1361"/>
    <col min="1271" max="1271" width="2.28515625" style="1361" customWidth="1"/>
    <col min="1272" max="1272" width="10.42578125" style="1361" customWidth="1"/>
    <col min="1273" max="1273" width="28.42578125" style="1361" customWidth="1"/>
    <col min="1274" max="1274" width="12" style="1361" customWidth="1"/>
    <col min="1275" max="1275" width="12.7109375" style="1361" customWidth="1"/>
    <col min="1276" max="1276" width="11.5703125" style="1361" customWidth="1"/>
    <col min="1277" max="1277" width="11.140625" style="1361" customWidth="1"/>
    <col min="1278" max="1278" width="9.7109375" style="1361" bestFit="1" customWidth="1"/>
    <col min="1279" max="1279" width="1" style="1361" customWidth="1"/>
    <col min="1280" max="1280" width="9.140625" style="1361"/>
    <col min="1281" max="1281" width="30.5703125" style="1361" customWidth="1"/>
    <col min="1282" max="1282" width="11" style="1361" customWidth="1"/>
    <col min="1283" max="1283" width="10.5703125" style="1361" customWidth="1"/>
    <col min="1284" max="1284" width="10.85546875" style="1361" customWidth="1"/>
    <col min="1285" max="1285" width="9" style="1361" bestFit="1" customWidth="1"/>
    <col min="1286" max="1286" width="8.140625" style="1361" bestFit="1" customWidth="1"/>
    <col min="1287" max="1526" width="9.140625" style="1361"/>
    <col min="1527" max="1527" width="2.28515625" style="1361" customWidth="1"/>
    <col min="1528" max="1528" width="10.42578125" style="1361" customWidth="1"/>
    <col min="1529" max="1529" width="28.42578125" style="1361" customWidth="1"/>
    <col min="1530" max="1530" width="12" style="1361" customWidth="1"/>
    <col min="1531" max="1531" width="12.7109375" style="1361" customWidth="1"/>
    <col min="1532" max="1532" width="11.5703125" style="1361" customWidth="1"/>
    <col min="1533" max="1533" width="11.140625" style="1361" customWidth="1"/>
    <col min="1534" max="1534" width="9.7109375" style="1361" bestFit="1" customWidth="1"/>
    <col min="1535" max="1535" width="1" style="1361" customWidth="1"/>
    <col min="1536" max="1536" width="9.140625" style="1361"/>
    <col min="1537" max="1537" width="30.5703125" style="1361" customWidth="1"/>
    <col min="1538" max="1538" width="11" style="1361" customWidth="1"/>
    <col min="1539" max="1539" width="10.5703125" style="1361" customWidth="1"/>
    <col min="1540" max="1540" width="10.85546875" style="1361" customWidth="1"/>
    <col min="1541" max="1541" width="9" style="1361" bestFit="1" customWidth="1"/>
    <col min="1542" max="1542" width="8.140625" style="1361" bestFit="1" customWidth="1"/>
    <col min="1543" max="1782" width="9.140625" style="1361"/>
    <col min="1783" max="1783" width="2.28515625" style="1361" customWidth="1"/>
    <col min="1784" max="1784" width="10.42578125" style="1361" customWidth="1"/>
    <col min="1785" max="1785" width="28.42578125" style="1361" customWidth="1"/>
    <col min="1786" max="1786" width="12" style="1361" customWidth="1"/>
    <col min="1787" max="1787" width="12.7109375" style="1361" customWidth="1"/>
    <col min="1788" max="1788" width="11.5703125" style="1361" customWidth="1"/>
    <col min="1789" max="1789" width="11.140625" style="1361" customWidth="1"/>
    <col min="1790" max="1790" width="9.7109375" style="1361" bestFit="1" customWidth="1"/>
    <col min="1791" max="1791" width="1" style="1361" customWidth="1"/>
    <col min="1792" max="1792" width="9.140625" style="1361"/>
    <col min="1793" max="1793" width="30.5703125" style="1361" customWidth="1"/>
    <col min="1794" max="1794" width="11" style="1361" customWidth="1"/>
    <col min="1795" max="1795" width="10.5703125" style="1361" customWidth="1"/>
    <col min="1796" max="1796" width="10.85546875" style="1361" customWidth="1"/>
    <col min="1797" max="1797" width="9" style="1361" bestFit="1" customWidth="1"/>
    <col min="1798" max="1798" width="8.140625" style="1361" bestFit="1" customWidth="1"/>
    <col min="1799" max="2038" width="9.140625" style="1361"/>
    <col min="2039" max="2039" width="2.28515625" style="1361" customWidth="1"/>
    <col min="2040" max="2040" width="10.42578125" style="1361" customWidth="1"/>
    <col min="2041" max="2041" width="28.42578125" style="1361" customWidth="1"/>
    <col min="2042" max="2042" width="12" style="1361" customWidth="1"/>
    <col min="2043" max="2043" width="12.7109375" style="1361" customWidth="1"/>
    <col min="2044" max="2044" width="11.5703125" style="1361" customWidth="1"/>
    <col min="2045" max="2045" width="11.140625" style="1361" customWidth="1"/>
    <col min="2046" max="2046" width="9.7109375" style="1361" bestFit="1" customWidth="1"/>
    <col min="2047" max="2047" width="1" style="1361" customWidth="1"/>
    <col min="2048" max="2048" width="9.140625" style="1361"/>
    <col min="2049" max="2049" width="30.5703125" style="1361" customWidth="1"/>
    <col min="2050" max="2050" width="11" style="1361" customWidth="1"/>
    <col min="2051" max="2051" width="10.5703125" style="1361" customWidth="1"/>
    <col min="2052" max="2052" width="10.85546875" style="1361" customWidth="1"/>
    <col min="2053" max="2053" width="9" style="1361" bestFit="1" customWidth="1"/>
    <col min="2054" max="2054" width="8.140625" style="1361" bestFit="1" customWidth="1"/>
    <col min="2055" max="2294" width="9.140625" style="1361"/>
    <col min="2295" max="2295" width="2.28515625" style="1361" customWidth="1"/>
    <col min="2296" max="2296" width="10.42578125" style="1361" customWidth="1"/>
    <col min="2297" max="2297" width="28.42578125" style="1361" customWidth="1"/>
    <col min="2298" max="2298" width="12" style="1361" customWidth="1"/>
    <col min="2299" max="2299" width="12.7109375" style="1361" customWidth="1"/>
    <col min="2300" max="2300" width="11.5703125" style="1361" customWidth="1"/>
    <col min="2301" max="2301" width="11.140625" style="1361" customWidth="1"/>
    <col min="2302" max="2302" width="9.7109375" style="1361" bestFit="1" customWidth="1"/>
    <col min="2303" max="2303" width="1" style="1361" customWidth="1"/>
    <col min="2304" max="2304" width="9.140625" style="1361"/>
    <col min="2305" max="2305" width="30.5703125" style="1361" customWidth="1"/>
    <col min="2306" max="2306" width="11" style="1361" customWidth="1"/>
    <col min="2307" max="2307" width="10.5703125" style="1361" customWidth="1"/>
    <col min="2308" max="2308" width="10.85546875" style="1361" customWidth="1"/>
    <col min="2309" max="2309" width="9" style="1361" bestFit="1" customWidth="1"/>
    <col min="2310" max="2310" width="8.140625" style="1361" bestFit="1" customWidth="1"/>
    <col min="2311" max="2550" width="9.140625" style="1361"/>
    <col min="2551" max="2551" width="2.28515625" style="1361" customWidth="1"/>
    <col min="2552" max="2552" width="10.42578125" style="1361" customWidth="1"/>
    <col min="2553" max="2553" width="28.42578125" style="1361" customWidth="1"/>
    <col min="2554" max="2554" width="12" style="1361" customWidth="1"/>
    <col min="2555" max="2555" width="12.7109375" style="1361" customWidth="1"/>
    <col min="2556" max="2556" width="11.5703125" style="1361" customWidth="1"/>
    <col min="2557" max="2557" width="11.140625" style="1361" customWidth="1"/>
    <col min="2558" max="2558" width="9.7109375" style="1361" bestFit="1" customWidth="1"/>
    <col min="2559" max="2559" width="1" style="1361" customWidth="1"/>
    <col min="2560" max="2560" width="9.140625" style="1361"/>
    <col min="2561" max="2561" width="30.5703125" style="1361" customWidth="1"/>
    <col min="2562" max="2562" width="11" style="1361" customWidth="1"/>
    <col min="2563" max="2563" width="10.5703125" style="1361" customWidth="1"/>
    <col min="2564" max="2564" width="10.85546875" style="1361" customWidth="1"/>
    <col min="2565" max="2565" width="9" style="1361" bestFit="1" customWidth="1"/>
    <col min="2566" max="2566" width="8.140625" style="1361" bestFit="1" customWidth="1"/>
    <col min="2567" max="2806" width="9.140625" style="1361"/>
    <col min="2807" max="2807" width="2.28515625" style="1361" customWidth="1"/>
    <col min="2808" max="2808" width="10.42578125" style="1361" customWidth="1"/>
    <col min="2809" max="2809" width="28.42578125" style="1361" customWidth="1"/>
    <col min="2810" max="2810" width="12" style="1361" customWidth="1"/>
    <col min="2811" max="2811" width="12.7109375" style="1361" customWidth="1"/>
    <col min="2812" max="2812" width="11.5703125" style="1361" customWidth="1"/>
    <col min="2813" max="2813" width="11.140625" style="1361" customWidth="1"/>
    <col min="2814" max="2814" width="9.7109375" style="1361" bestFit="1" customWidth="1"/>
    <col min="2815" max="2815" width="1" style="1361" customWidth="1"/>
    <col min="2816" max="2816" width="9.140625" style="1361"/>
    <col min="2817" max="2817" width="30.5703125" style="1361" customWidth="1"/>
    <col min="2818" max="2818" width="11" style="1361" customWidth="1"/>
    <col min="2819" max="2819" width="10.5703125" style="1361" customWidth="1"/>
    <col min="2820" max="2820" width="10.85546875" style="1361" customWidth="1"/>
    <col min="2821" max="2821" width="9" style="1361" bestFit="1" customWidth="1"/>
    <col min="2822" max="2822" width="8.140625" style="1361" bestFit="1" customWidth="1"/>
    <col min="2823" max="3062" width="9.140625" style="1361"/>
    <col min="3063" max="3063" width="2.28515625" style="1361" customWidth="1"/>
    <col min="3064" max="3064" width="10.42578125" style="1361" customWidth="1"/>
    <col min="3065" max="3065" width="28.42578125" style="1361" customWidth="1"/>
    <col min="3066" max="3066" width="12" style="1361" customWidth="1"/>
    <col min="3067" max="3067" width="12.7109375" style="1361" customWidth="1"/>
    <col min="3068" max="3068" width="11.5703125" style="1361" customWidth="1"/>
    <col min="3069" max="3069" width="11.140625" style="1361" customWidth="1"/>
    <col min="3070" max="3070" width="9.7109375" style="1361" bestFit="1" customWidth="1"/>
    <col min="3071" max="3071" width="1" style="1361" customWidth="1"/>
    <col min="3072" max="3072" width="9.140625" style="1361"/>
    <col min="3073" max="3073" width="30.5703125" style="1361" customWidth="1"/>
    <col min="3074" max="3074" width="11" style="1361" customWidth="1"/>
    <col min="3075" max="3075" width="10.5703125" style="1361" customWidth="1"/>
    <col min="3076" max="3076" width="10.85546875" style="1361" customWidth="1"/>
    <col min="3077" max="3077" width="9" style="1361" bestFit="1" customWidth="1"/>
    <col min="3078" max="3078" width="8.140625" style="1361" bestFit="1" customWidth="1"/>
    <col min="3079" max="3318" width="9.140625" style="1361"/>
    <col min="3319" max="3319" width="2.28515625" style="1361" customWidth="1"/>
    <col min="3320" max="3320" width="10.42578125" style="1361" customWidth="1"/>
    <col min="3321" max="3321" width="28.42578125" style="1361" customWidth="1"/>
    <col min="3322" max="3322" width="12" style="1361" customWidth="1"/>
    <col min="3323" max="3323" width="12.7109375" style="1361" customWidth="1"/>
    <col min="3324" max="3324" width="11.5703125" style="1361" customWidth="1"/>
    <col min="3325" max="3325" width="11.140625" style="1361" customWidth="1"/>
    <col min="3326" max="3326" width="9.7109375" style="1361" bestFit="1" customWidth="1"/>
    <col min="3327" max="3327" width="1" style="1361" customWidth="1"/>
    <col min="3328" max="3328" width="9.140625" style="1361"/>
    <col min="3329" max="3329" width="30.5703125" style="1361" customWidth="1"/>
    <col min="3330" max="3330" width="11" style="1361" customWidth="1"/>
    <col min="3331" max="3331" width="10.5703125" style="1361" customWidth="1"/>
    <col min="3332" max="3332" width="10.85546875" style="1361" customWidth="1"/>
    <col min="3333" max="3333" width="9" style="1361" bestFit="1" customWidth="1"/>
    <col min="3334" max="3334" width="8.140625" style="1361" bestFit="1" customWidth="1"/>
    <col min="3335" max="3574" width="9.140625" style="1361"/>
    <col min="3575" max="3575" width="2.28515625" style="1361" customWidth="1"/>
    <col min="3576" max="3576" width="10.42578125" style="1361" customWidth="1"/>
    <col min="3577" max="3577" width="28.42578125" style="1361" customWidth="1"/>
    <col min="3578" max="3578" width="12" style="1361" customWidth="1"/>
    <col min="3579" max="3579" width="12.7109375" style="1361" customWidth="1"/>
    <col min="3580" max="3580" width="11.5703125" style="1361" customWidth="1"/>
    <col min="3581" max="3581" width="11.140625" style="1361" customWidth="1"/>
    <col min="3582" max="3582" width="9.7109375" style="1361" bestFit="1" customWidth="1"/>
    <col min="3583" max="3583" width="1" style="1361" customWidth="1"/>
    <col min="3584" max="3584" width="9.140625" style="1361"/>
    <col min="3585" max="3585" width="30.5703125" style="1361" customWidth="1"/>
    <col min="3586" max="3586" width="11" style="1361" customWidth="1"/>
    <col min="3587" max="3587" width="10.5703125" style="1361" customWidth="1"/>
    <col min="3588" max="3588" width="10.85546875" style="1361" customWidth="1"/>
    <col min="3589" max="3589" width="9" style="1361" bestFit="1" customWidth="1"/>
    <col min="3590" max="3590" width="8.140625" style="1361" bestFit="1" customWidth="1"/>
    <col min="3591" max="3830" width="9.140625" style="1361"/>
    <col min="3831" max="3831" width="2.28515625" style="1361" customWidth="1"/>
    <col min="3832" max="3832" width="10.42578125" style="1361" customWidth="1"/>
    <col min="3833" max="3833" width="28.42578125" style="1361" customWidth="1"/>
    <col min="3834" max="3834" width="12" style="1361" customWidth="1"/>
    <col min="3835" max="3835" width="12.7109375" style="1361" customWidth="1"/>
    <col min="3836" max="3836" width="11.5703125" style="1361" customWidth="1"/>
    <col min="3837" max="3837" width="11.140625" style="1361" customWidth="1"/>
    <col min="3838" max="3838" width="9.7109375" style="1361" bestFit="1" customWidth="1"/>
    <col min="3839" max="3839" width="1" style="1361" customWidth="1"/>
    <col min="3840" max="3840" width="9.140625" style="1361"/>
    <col min="3841" max="3841" width="30.5703125" style="1361" customWidth="1"/>
    <col min="3842" max="3842" width="11" style="1361" customWidth="1"/>
    <col min="3843" max="3843" width="10.5703125" style="1361" customWidth="1"/>
    <col min="3844" max="3844" width="10.85546875" style="1361" customWidth="1"/>
    <col min="3845" max="3845" width="9" style="1361" bestFit="1" customWidth="1"/>
    <col min="3846" max="3846" width="8.140625" style="1361" bestFit="1" customWidth="1"/>
    <col min="3847" max="4086" width="9.140625" style="1361"/>
    <col min="4087" max="4087" width="2.28515625" style="1361" customWidth="1"/>
    <col min="4088" max="4088" width="10.42578125" style="1361" customWidth="1"/>
    <col min="4089" max="4089" width="28.42578125" style="1361" customWidth="1"/>
    <col min="4090" max="4090" width="12" style="1361" customWidth="1"/>
    <col min="4091" max="4091" width="12.7109375" style="1361" customWidth="1"/>
    <col min="4092" max="4092" width="11.5703125" style="1361" customWidth="1"/>
    <col min="4093" max="4093" width="11.140625" style="1361" customWidth="1"/>
    <col min="4094" max="4094" width="9.7109375" style="1361" bestFit="1" customWidth="1"/>
    <col min="4095" max="4095" width="1" style="1361" customWidth="1"/>
    <col min="4096" max="4096" width="9.140625" style="1361"/>
    <col min="4097" max="4097" width="30.5703125" style="1361" customWidth="1"/>
    <col min="4098" max="4098" width="11" style="1361" customWidth="1"/>
    <col min="4099" max="4099" width="10.5703125" style="1361" customWidth="1"/>
    <col min="4100" max="4100" width="10.85546875" style="1361" customWidth="1"/>
    <col min="4101" max="4101" width="9" style="1361" bestFit="1" customWidth="1"/>
    <col min="4102" max="4102" width="8.140625" style="1361" bestFit="1" customWidth="1"/>
    <col min="4103" max="4342" width="9.140625" style="1361"/>
    <col min="4343" max="4343" width="2.28515625" style="1361" customWidth="1"/>
    <col min="4344" max="4344" width="10.42578125" style="1361" customWidth="1"/>
    <col min="4345" max="4345" width="28.42578125" style="1361" customWidth="1"/>
    <col min="4346" max="4346" width="12" style="1361" customWidth="1"/>
    <col min="4347" max="4347" width="12.7109375" style="1361" customWidth="1"/>
    <col min="4348" max="4348" width="11.5703125" style="1361" customWidth="1"/>
    <col min="4349" max="4349" width="11.140625" style="1361" customWidth="1"/>
    <col min="4350" max="4350" width="9.7109375" style="1361" bestFit="1" customWidth="1"/>
    <col min="4351" max="4351" width="1" style="1361" customWidth="1"/>
    <col min="4352" max="4352" width="9.140625" style="1361"/>
    <col min="4353" max="4353" width="30.5703125" style="1361" customWidth="1"/>
    <col min="4354" max="4354" width="11" style="1361" customWidth="1"/>
    <col min="4355" max="4355" width="10.5703125" style="1361" customWidth="1"/>
    <col min="4356" max="4356" width="10.85546875" style="1361" customWidth="1"/>
    <col min="4357" max="4357" width="9" style="1361" bestFit="1" customWidth="1"/>
    <col min="4358" max="4358" width="8.140625" style="1361" bestFit="1" customWidth="1"/>
    <col min="4359" max="4598" width="9.140625" style="1361"/>
    <col min="4599" max="4599" width="2.28515625" style="1361" customWidth="1"/>
    <col min="4600" max="4600" width="10.42578125" style="1361" customWidth="1"/>
    <col min="4601" max="4601" width="28.42578125" style="1361" customWidth="1"/>
    <col min="4602" max="4602" width="12" style="1361" customWidth="1"/>
    <col min="4603" max="4603" width="12.7109375" style="1361" customWidth="1"/>
    <col min="4604" max="4604" width="11.5703125" style="1361" customWidth="1"/>
    <col min="4605" max="4605" width="11.140625" style="1361" customWidth="1"/>
    <col min="4606" max="4606" width="9.7109375" style="1361" bestFit="1" customWidth="1"/>
    <col min="4607" max="4607" width="1" style="1361" customWidth="1"/>
    <col min="4608" max="4608" width="9.140625" style="1361"/>
    <col min="4609" max="4609" width="30.5703125" style="1361" customWidth="1"/>
    <col min="4610" max="4610" width="11" style="1361" customWidth="1"/>
    <col min="4611" max="4611" width="10.5703125" style="1361" customWidth="1"/>
    <col min="4612" max="4612" width="10.85546875" style="1361" customWidth="1"/>
    <col min="4613" max="4613" width="9" style="1361" bestFit="1" customWidth="1"/>
    <col min="4614" max="4614" width="8.140625" style="1361" bestFit="1" customWidth="1"/>
    <col min="4615" max="4854" width="9.140625" style="1361"/>
    <col min="4855" max="4855" width="2.28515625" style="1361" customWidth="1"/>
    <col min="4856" max="4856" width="10.42578125" style="1361" customWidth="1"/>
    <col min="4857" max="4857" width="28.42578125" style="1361" customWidth="1"/>
    <col min="4858" max="4858" width="12" style="1361" customWidth="1"/>
    <col min="4859" max="4859" width="12.7109375" style="1361" customWidth="1"/>
    <col min="4860" max="4860" width="11.5703125" style="1361" customWidth="1"/>
    <col min="4861" max="4861" width="11.140625" style="1361" customWidth="1"/>
    <col min="4862" max="4862" width="9.7109375" style="1361" bestFit="1" customWidth="1"/>
    <col min="4863" max="4863" width="1" style="1361" customWidth="1"/>
    <col min="4864" max="4864" width="9.140625" style="1361"/>
    <col min="4865" max="4865" width="30.5703125" style="1361" customWidth="1"/>
    <col min="4866" max="4866" width="11" style="1361" customWidth="1"/>
    <col min="4867" max="4867" width="10.5703125" style="1361" customWidth="1"/>
    <col min="4868" max="4868" width="10.85546875" style="1361" customWidth="1"/>
    <col min="4869" max="4869" width="9" style="1361" bestFit="1" customWidth="1"/>
    <col min="4870" max="4870" width="8.140625" style="1361" bestFit="1" customWidth="1"/>
    <col min="4871" max="5110" width="9.140625" style="1361"/>
    <col min="5111" max="5111" width="2.28515625" style="1361" customWidth="1"/>
    <col min="5112" max="5112" width="10.42578125" style="1361" customWidth="1"/>
    <col min="5113" max="5113" width="28.42578125" style="1361" customWidth="1"/>
    <col min="5114" max="5114" width="12" style="1361" customWidth="1"/>
    <col min="5115" max="5115" width="12.7109375" style="1361" customWidth="1"/>
    <col min="5116" max="5116" width="11.5703125" style="1361" customWidth="1"/>
    <col min="5117" max="5117" width="11.140625" style="1361" customWidth="1"/>
    <col min="5118" max="5118" width="9.7109375" style="1361" bestFit="1" customWidth="1"/>
    <col min="5119" max="5119" width="1" style="1361" customWidth="1"/>
    <col min="5120" max="5120" width="9.140625" style="1361"/>
    <col min="5121" max="5121" width="30.5703125" style="1361" customWidth="1"/>
    <col min="5122" max="5122" width="11" style="1361" customWidth="1"/>
    <col min="5123" max="5123" width="10.5703125" style="1361" customWidth="1"/>
    <col min="5124" max="5124" width="10.85546875" style="1361" customWidth="1"/>
    <col min="5125" max="5125" width="9" style="1361" bestFit="1" customWidth="1"/>
    <col min="5126" max="5126" width="8.140625" style="1361" bestFit="1" customWidth="1"/>
    <col min="5127" max="5366" width="9.140625" style="1361"/>
    <col min="5367" max="5367" width="2.28515625" style="1361" customWidth="1"/>
    <col min="5368" max="5368" width="10.42578125" style="1361" customWidth="1"/>
    <col min="5369" max="5369" width="28.42578125" style="1361" customWidth="1"/>
    <col min="5370" max="5370" width="12" style="1361" customWidth="1"/>
    <col min="5371" max="5371" width="12.7109375" style="1361" customWidth="1"/>
    <col min="5372" max="5372" width="11.5703125" style="1361" customWidth="1"/>
    <col min="5373" max="5373" width="11.140625" style="1361" customWidth="1"/>
    <col min="5374" max="5374" width="9.7109375" style="1361" bestFit="1" customWidth="1"/>
    <col min="5375" max="5375" width="1" style="1361" customWidth="1"/>
    <col min="5376" max="5376" width="9.140625" style="1361"/>
    <col min="5377" max="5377" width="30.5703125" style="1361" customWidth="1"/>
    <col min="5378" max="5378" width="11" style="1361" customWidth="1"/>
    <col min="5379" max="5379" width="10.5703125" style="1361" customWidth="1"/>
    <col min="5380" max="5380" width="10.85546875" style="1361" customWidth="1"/>
    <col min="5381" max="5381" width="9" style="1361" bestFit="1" customWidth="1"/>
    <col min="5382" max="5382" width="8.140625" style="1361" bestFit="1" customWidth="1"/>
    <col min="5383" max="5622" width="9.140625" style="1361"/>
    <col min="5623" max="5623" width="2.28515625" style="1361" customWidth="1"/>
    <col min="5624" max="5624" width="10.42578125" style="1361" customWidth="1"/>
    <col min="5625" max="5625" width="28.42578125" style="1361" customWidth="1"/>
    <col min="5626" max="5626" width="12" style="1361" customWidth="1"/>
    <col min="5627" max="5627" width="12.7109375" style="1361" customWidth="1"/>
    <col min="5628" max="5628" width="11.5703125" style="1361" customWidth="1"/>
    <col min="5629" max="5629" width="11.140625" style="1361" customWidth="1"/>
    <col min="5630" max="5630" width="9.7109375" style="1361" bestFit="1" customWidth="1"/>
    <col min="5631" max="5631" width="1" style="1361" customWidth="1"/>
    <col min="5632" max="5632" width="9.140625" style="1361"/>
    <col min="5633" max="5633" width="30.5703125" style="1361" customWidth="1"/>
    <col min="5634" max="5634" width="11" style="1361" customWidth="1"/>
    <col min="5635" max="5635" width="10.5703125" style="1361" customWidth="1"/>
    <col min="5636" max="5636" width="10.85546875" style="1361" customWidth="1"/>
    <col min="5637" max="5637" width="9" style="1361" bestFit="1" customWidth="1"/>
    <col min="5638" max="5638" width="8.140625" style="1361" bestFit="1" customWidth="1"/>
    <col min="5639" max="5878" width="9.140625" style="1361"/>
    <col min="5879" max="5879" width="2.28515625" style="1361" customWidth="1"/>
    <col min="5880" max="5880" width="10.42578125" style="1361" customWidth="1"/>
    <col min="5881" max="5881" width="28.42578125" style="1361" customWidth="1"/>
    <col min="5882" max="5882" width="12" style="1361" customWidth="1"/>
    <col min="5883" max="5883" width="12.7109375" style="1361" customWidth="1"/>
    <col min="5884" max="5884" width="11.5703125" style="1361" customWidth="1"/>
    <col min="5885" max="5885" width="11.140625" style="1361" customWidth="1"/>
    <col min="5886" max="5886" width="9.7109375" style="1361" bestFit="1" customWidth="1"/>
    <col min="5887" max="5887" width="1" style="1361" customWidth="1"/>
    <col min="5888" max="5888" width="9.140625" style="1361"/>
    <col min="5889" max="5889" width="30.5703125" style="1361" customWidth="1"/>
    <col min="5890" max="5890" width="11" style="1361" customWidth="1"/>
    <col min="5891" max="5891" width="10.5703125" style="1361" customWidth="1"/>
    <col min="5892" max="5892" width="10.85546875" style="1361" customWidth="1"/>
    <col min="5893" max="5893" width="9" style="1361" bestFit="1" customWidth="1"/>
    <col min="5894" max="5894" width="8.140625" style="1361" bestFit="1" customWidth="1"/>
    <col min="5895" max="6134" width="9.140625" style="1361"/>
    <col min="6135" max="6135" width="2.28515625" style="1361" customWidth="1"/>
    <col min="6136" max="6136" width="10.42578125" style="1361" customWidth="1"/>
    <col min="6137" max="6137" width="28.42578125" style="1361" customWidth="1"/>
    <col min="6138" max="6138" width="12" style="1361" customWidth="1"/>
    <col min="6139" max="6139" width="12.7109375" style="1361" customWidth="1"/>
    <col min="6140" max="6140" width="11.5703125" style="1361" customWidth="1"/>
    <col min="6141" max="6141" width="11.140625" style="1361" customWidth="1"/>
    <col min="6142" max="6142" width="9.7109375" style="1361" bestFit="1" customWidth="1"/>
    <col min="6143" max="6143" width="1" style="1361" customWidth="1"/>
    <col min="6144" max="6144" width="9.140625" style="1361"/>
    <col min="6145" max="6145" width="30.5703125" style="1361" customWidth="1"/>
    <col min="6146" max="6146" width="11" style="1361" customWidth="1"/>
    <col min="6147" max="6147" width="10.5703125" style="1361" customWidth="1"/>
    <col min="6148" max="6148" width="10.85546875" style="1361" customWidth="1"/>
    <col min="6149" max="6149" width="9" style="1361" bestFit="1" customWidth="1"/>
    <col min="6150" max="6150" width="8.140625" style="1361" bestFit="1" customWidth="1"/>
    <col min="6151" max="6390" width="9.140625" style="1361"/>
    <col min="6391" max="6391" width="2.28515625" style="1361" customWidth="1"/>
    <col min="6392" max="6392" width="10.42578125" style="1361" customWidth="1"/>
    <col min="6393" max="6393" width="28.42578125" style="1361" customWidth="1"/>
    <col min="6394" max="6394" width="12" style="1361" customWidth="1"/>
    <col min="6395" max="6395" width="12.7109375" style="1361" customWidth="1"/>
    <col min="6396" max="6396" width="11.5703125" style="1361" customWidth="1"/>
    <col min="6397" max="6397" width="11.140625" style="1361" customWidth="1"/>
    <col min="6398" max="6398" width="9.7109375" style="1361" bestFit="1" customWidth="1"/>
    <col min="6399" max="6399" width="1" style="1361" customWidth="1"/>
    <col min="6400" max="6400" width="9.140625" style="1361"/>
    <col min="6401" max="6401" width="30.5703125" style="1361" customWidth="1"/>
    <col min="6402" max="6402" width="11" style="1361" customWidth="1"/>
    <col min="6403" max="6403" width="10.5703125" style="1361" customWidth="1"/>
    <col min="6404" max="6404" width="10.85546875" style="1361" customWidth="1"/>
    <col min="6405" max="6405" width="9" style="1361" bestFit="1" customWidth="1"/>
    <col min="6406" max="6406" width="8.140625" style="1361" bestFit="1" customWidth="1"/>
    <col min="6407" max="6646" width="9.140625" style="1361"/>
    <col min="6647" max="6647" width="2.28515625" style="1361" customWidth="1"/>
    <col min="6648" max="6648" width="10.42578125" style="1361" customWidth="1"/>
    <col min="6649" max="6649" width="28.42578125" style="1361" customWidth="1"/>
    <col min="6650" max="6650" width="12" style="1361" customWidth="1"/>
    <col min="6651" max="6651" width="12.7109375" style="1361" customWidth="1"/>
    <col min="6652" max="6652" width="11.5703125" style="1361" customWidth="1"/>
    <col min="6653" max="6653" width="11.140625" style="1361" customWidth="1"/>
    <col min="6654" max="6654" width="9.7109375" style="1361" bestFit="1" customWidth="1"/>
    <col min="6655" max="6655" width="1" style="1361" customWidth="1"/>
    <col min="6656" max="6656" width="9.140625" style="1361"/>
    <col min="6657" max="6657" width="30.5703125" style="1361" customWidth="1"/>
    <col min="6658" max="6658" width="11" style="1361" customWidth="1"/>
    <col min="6659" max="6659" width="10.5703125" style="1361" customWidth="1"/>
    <col min="6660" max="6660" width="10.85546875" style="1361" customWidth="1"/>
    <col min="6661" max="6661" width="9" style="1361" bestFit="1" customWidth="1"/>
    <col min="6662" max="6662" width="8.140625" style="1361" bestFit="1" customWidth="1"/>
    <col min="6663" max="6902" width="9.140625" style="1361"/>
    <col min="6903" max="6903" width="2.28515625" style="1361" customWidth="1"/>
    <col min="6904" max="6904" width="10.42578125" style="1361" customWidth="1"/>
    <col min="6905" max="6905" width="28.42578125" style="1361" customWidth="1"/>
    <col min="6906" max="6906" width="12" style="1361" customWidth="1"/>
    <col min="6907" max="6907" width="12.7109375" style="1361" customWidth="1"/>
    <col min="6908" max="6908" width="11.5703125" style="1361" customWidth="1"/>
    <col min="6909" max="6909" width="11.140625" style="1361" customWidth="1"/>
    <col min="6910" max="6910" width="9.7109375" style="1361" bestFit="1" customWidth="1"/>
    <col min="6911" max="6911" width="1" style="1361" customWidth="1"/>
    <col min="6912" max="6912" width="9.140625" style="1361"/>
    <col min="6913" max="6913" width="30.5703125" style="1361" customWidth="1"/>
    <col min="6914" max="6914" width="11" style="1361" customWidth="1"/>
    <col min="6915" max="6915" width="10.5703125" style="1361" customWidth="1"/>
    <col min="6916" max="6916" width="10.85546875" style="1361" customWidth="1"/>
    <col min="6917" max="6917" width="9" style="1361" bestFit="1" customWidth="1"/>
    <col min="6918" max="6918" width="8.140625" style="1361" bestFit="1" customWidth="1"/>
    <col min="6919" max="7158" width="9.140625" style="1361"/>
    <col min="7159" max="7159" width="2.28515625" style="1361" customWidth="1"/>
    <col min="7160" max="7160" width="10.42578125" style="1361" customWidth="1"/>
    <col min="7161" max="7161" width="28.42578125" style="1361" customWidth="1"/>
    <col min="7162" max="7162" width="12" style="1361" customWidth="1"/>
    <col min="7163" max="7163" width="12.7109375" style="1361" customWidth="1"/>
    <col min="7164" max="7164" width="11.5703125" style="1361" customWidth="1"/>
    <col min="7165" max="7165" width="11.140625" style="1361" customWidth="1"/>
    <col min="7166" max="7166" width="9.7109375" style="1361" bestFit="1" customWidth="1"/>
    <col min="7167" max="7167" width="1" style="1361" customWidth="1"/>
    <col min="7168" max="7168" width="9.140625" style="1361"/>
    <col min="7169" max="7169" width="30.5703125" style="1361" customWidth="1"/>
    <col min="7170" max="7170" width="11" style="1361" customWidth="1"/>
    <col min="7171" max="7171" width="10.5703125" style="1361" customWidth="1"/>
    <col min="7172" max="7172" width="10.85546875" style="1361" customWidth="1"/>
    <col min="7173" max="7173" width="9" style="1361" bestFit="1" customWidth="1"/>
    <col min="7174" max="7174" width="8.140625" style="1361" bestFit="1" customWidth="1"/>
    <col min="7175" max="7414" width="9.140625" style="1361"/>
    <col min="7415" max="7415" width="2.28515625" style="1361" customWidth="1"/>
    <col min="7416" max="7416" width="10.42578125" style="1361" customWidth="1"/>
    <col min="7417" max="7417" width="28.42578125" style="1361" customWidth="1"/>
    <col min="7418" max="7418" width="12" style="1361" customWidth="1"/>
    <col min="7419" max="7419" width="12.7109375" style="1361" customWidth="1"/>
    <col min="7420" max="7420" width="11.5703125" style="1361" customWidth="1"/>
    <col min="7421" max="7421" width="11.140625" style="1361" customWidth="1"/>
    <col min="7422" max="7422" width="9.7109375" style="1361" bestFit="1" customWidth="1"/>
    <col min="7423" max="7423" width="1" style="1361" customWidth="1"/>
    <col min="7424" max="7424" width="9.140625" style="1361"/>
    <col min="7425" max="7425" width="30.5703125" style="1361" customWidth="1"/>
    <col min="7426" max="7426" width="11" style="1361" customWidth="1"/>
    <col min="7427" max="7427" width="10.5703125" style="1361" customWidth="1"/>
    <col min="7428" max="7428" width="10.85546875" style="1361" customWidth="1"/>
    <col min="7429" max="7429" width="9" style="1361" bestFit="1" customWidth="1"/>
    <col min="7430" max="7430" width="8.140625" style="1361" bestFit="1" customWidth="1"/>
    <col min="7431" max="7670" width="9.140625" style="1361"/>
    <col min="7671" max="7671" width="2.28515625" style="1361" customWidth="1"/>
    <col min="7672" max="7672" width="10.42578125" style="1361" customWidth="1"/>
    <col min="7673" max="7673" width="28.42578125" style="1361" customWidth="1"/>
    <col min="7674" max="7674" width="12" style="1361" customWidth="1"/>
    <col min="7675" max="7675" width="12.7109375" style="1361" customWidth="1"/>
    <col min="7676" max="7676" width="11.5703125" style="1361" customWidth="1"/>
    <col min="7677" max="7677" width="11.140625" style="1361" customWidth="1"/>
    <col min="7678" max="7678" width="9.7109375" style="1361" bestFit="1" customWidth="1"/>
    <col min="7679" max="7679" width="1" style="1361" customWidth="1"/>
    <col min="7680" max="7680" width="9.140625" style="1361"/>
    <col min="7681" max="7681" width="30.5703125" style="1361" customWidth="1"/>
    <col min="7682" max="7682" width="11" style="1361" customWidth="1"/>
    <col min="7683" max="7683" width="10.5703125" style="1361" customWidth="1"/>
    <col min="7684" max="7684" width="10.85546875" style="1361" customWidth="1"/>
    <col min="7685" max="7685" width="9" style="1361" bestFit="1" customWidth="1"/>
    <col min="7686" max="7686" width="8.140625" style="1361" bestFit="1" customWidth="1"/>
    <col min="7687" max="7926" width="9.140625" style="1361"/>
    <col min="7927" max="7927" width="2.28515625" style="1361" customWidth="1"/>
    <col min="7928" max="7928" width="10.42578125" style="1361" customWidth="1"/>
    <col min="7929" max="7929" width="28.42578125" style="1361" customWidth="1"/>
    <col min="7930" max="7930" width="12" style="1361" customWidth="1"/>
    <col min="7931" max="7931" width="12.7109375" style="1361" customWidth="1"/>
    <col min="7932" max="7932" width="11.5703125" style="1361" customWidth="1"/>
    <col min="7933" max="7933" width="11.140625" style="1361" customWidth="1"/>
    <col min="7934" max="7934" width="9.7109375" style="1361" bestFit="1" customWidth="1"/>
    <col min="7935" max="7935" width="1" style="1361" customWidth="1"/>
    <col min="7936" max="7936" width="9.140625" style="1361"/>
    <col min="7937" max="7937" width="30.5703125" style="1361" customWidth="1"/>
    <col min="7938" max="7938" width="11" style="1361" customWidth="1"/>
    <col min="7939" max="7939" width="10.5703125" style="1361" customWidth="1"/>
    <col min="7940" max="7940" width="10.85546875" style="1361" customWidth="1"/>
    <col min="7941" max="7941" width="9" style="1361" bestFit="1" customWidth="1"/>
    <col min="7942" max="7942" width="8.140625" style="1361" bestFit="1" customWidth="1"/>
    <col min="7943" max="8182" width="9.140625" style="1361"/>
    <col min="8183" max="8183" width="2.28515625" style="1361" customWidth="1"/>
    <col min="8184" max="8184" width="10.42578125" style="1361" customWidth="1"/>
    <col min="8185" max="8185" width="28.42578125" style="1361" customWidth="1"/>
    <col min="8186" max="8186" width="12" style="1361" customWidth="1"/>
    <col min="8187" max="8187" width="12.7109375" style="1361" customWidth="1"/>
    <col min="8188" max="8188" width="11.5703125" style="1361" customWidth="1"/>
    <col min="8189" max="8189" width="11.140625" style="1361" customWidth="1"/>
    <col min="8190" max="8190" width="9.7109375" style="1361" bestFit="1" customWidth="1"/>
    <col min="8191" max="8191" width="1" style="1361" customWidth="1"/>
    <col min="8192" max="8192" width="9.140625" style="1361"/>
    <col min="8193" max="8193" width="30.5703125" style="1361" customWidth="1"/>
    <col min="8194" max="8194" width="11" style="1361" customWidth="1"/>
    <col min="8195" max="8195" width="10.5703125" style="1361" customWidth="1"/>
    <col min="8196" max="8196" width="10.85546875" style="1361" customWidth="1"/>
    <col min="8197" max="8197" width="9" style="1361" bestFit="1" customWidth="1"/>
    <col min="8198" max="8198" width="8.140625" style="1361" bestFit="1" customWidth="1"/>
    <col min="8199" max="8438" width="9.140625" style="1361"/>
    <col min="8439" max="8439" width="2.28515625" style="1361" customWidth="1"/>
    <col min="8440" max="8440" width="10.42578125" style="1361" customWidth="1"/>
    <col min="8441" max="8441" width="28.42578125" style="1361" customWidth="1"/>
    <col min="8442" max="8442" width="12" style="1361" customWidth="1"/>
    <col min="8443" max="8443" width="12.7109375" style="1361" customWidth="1"/>
    <col min="8444" max="8444" width="11.5703125" style="1361" customWidth="1"/>
    <col min="8445" max="8445" width="11.140625" style="1361" customWidth="1"/>
    <col min="8446" max="8446" width="9.7109375" style="1361" bestFit="1" customWidth="1"/>
    <col min="8447" max="8447" width="1" style="1361" customWidth="1"/>
    <col min="8448" max="8448" width="9.140625" style="1361"/>
    <col min="8449" max="8449" width="30.5703125" style="1361" customWidth="1"/>
    <col min="8450" max="8450" width="11" style="1361" customWidth="1"/>
    <col min="8451" max="8451" width="10.5703125" style="1361" customWidth="1"/>
    <col min="8452" max="8452" width="10.85546875" style="1361" customWidth="1"/>
    <col min="8453" max="8453" width="9" style="1361" bestFit="1" customWidth="1"/>
    <col min="8454" max="8454" width="8.140625" style="1361" bestFit="1" customWidth="1"/>
    <col min="8455" max="8694" width="9.140625" style="1361"/>
    <col min="8695" max="8695" width="2.28515625" style="1361" customWidth="1"/>
    <col min="8696" max="8696" width="10.42578125" style="1361" customWidth="1"/>
    <col min="8697" max="8697" width="28.42578125" style="1361" customWidth="1"/>
    <col min="8698" max="8698" width="12" style="1361" customWidth="1"/>
    <col min="8699" max="8699" width="12.7109375" style="1361" customWidth="1"/>
    <col min="8700" max="8700" width="11.5703125" style="1361" customWidth="1"/>
    <col min="8701" max="8701" width="11.140625" style="1361" customWidth="1"/>
    <col min="8702" max="8702" width="9.7109375" style="1361" bestFit="1" customWidth="1"/>
    <col min="8703" max="8703" width="1" style="1361" customWidth="1"/>
    <col min="8704" max="8704" width="9.140625" style="1361"/>
    <col min="8705" max="8705" width="30.5703125" style="1361" customWidth="1"/>
    <col min="8706" max="8706" width="11" style="1361" customWidth="1"/>
    <col min="8707" max="8707" width="10.5703125" style="1361" customWidth="1"/>
    <col min="8708" max="8708" width="10.85546875" style="1361" customWidth="1"/>
    <col min="8709" max="8709" width="9" style="1361" bestFit="1" customWidth="1"/>
    <col min="8710" max="8710" width="8.140625" style="1361" bestFit="1" customWidth="1"/>
    <col min="8711" max="8950" width="9.140625" style="1361"/>
    <col min="8951" max="8951" width="2.28515625" style="1361" customWidth="1"/>
    <col min="8952" max="8952" width="10.42578125" style="1361" customWidth="1"/>
    <col min="8953" max="8953" width="28.42578125" style="1361" customWidth="1"/>
    <col min="8954" max="8954" width="12" style="1361" customWidth="1"/>
    <col min="8955" max="8955" width="12.7109375" style="1361" customWidth="1"/>
    <col min="8956" max="8956" width="11.5703125" style="1361" customWidth="1"/>
    <col min="8957" max="8957" width="11.140625" style="1361" customWidth="1"/>
    <col min="8958" max="8958" width="9.7109375" style="1361" bestFit="1" customWidth="1"/>
    <col min="8959" max="8959" width="1" style="1361" customWidth="1"/>
    <col min="8960" max="8960" width="9.140625" style="1361"/>
    <col min="8961" max="8961" width="30.5703125" style="1361" customWidth="1"/>
    <col min="8962" max="8962" width="11" style="1361" customWidth="1"/>
    <col min="8963" max="8963" width="10.5703125" style="1361" customWidth="1"/>
    <col min="8964" max="8964" width="10.85546875" style="1361" customWidth="1"/>
    <col min="8965" max="8965" width="9" style="1361" bestFit="1" customWidth="1"/>
    <col min="8966" max="8966" width="8.140625" style="1361" bestFit="1" customWidth="1"/>
    <col min="8967" max="9206" width="9.140625" style="1361"/>
    <col min="9207" max="9207" width="2.28515625" style="1361" customWidth="1"/>
    <col min="9208" max="9208" width="10.42578125" style="1361" customWidth="1"/>
    <col min="9209" max="9209" width="28.42578125" style="1361" customWidth="1"/>
    <col min="9210" max="9210" width="12" style="1361" customWidth="1"/>
    <col min="9211" max="9211" width="12.7109375" style="1361" customWidth="1"/>
    <col min="9212" max="9212" width="11.5703125" style="1361" customWidth="1"/>
    <col min="9213" max="9213" width="11.140625" style="1361" customWidth="1"/>
    <col min="9214" max="9214" width="9.7109375" style="1361" bestFit="1" customWidth="1"/>
    <col min="9215" max="9215" width="1" style="1361" customWidth="1"/>
    <col min="9216" max="9216" width="9.140625" style="1361"/>
    <col min="9217" max="9217" width="30.5703125" style="1361" customWidth="1"/>
    <col min="9218" max="9218" width="11" style="1361" customWidth="1"/>
    <col min="9219" max="9219" width="10.5703125" style="1361" customWidth="1"/>
    <col min="9220" max="9220" width="10.85546875" style="1361" customWidth="1"/>
    <col min="9221" max="9221" width="9" style="1361" bestFit="1" customWidth="1"/>
    <col min="9222" max="9222" width="8.140625" style="1361" bestFit="1" customWidth="1"/>
    <col min="9223" max="9462" width="9.140625" style="1361"/>
    <col min="9463" max="9463" width="2.28515625" style="1361" customWidth="1"/>
    <col min="9464" max="9464" width="10.42578125" style="1361" customWidth="1"/>
    <col min="9465" max="9465" width="28.42578125" style="1361" customWidth="1"/>
    <col min="9466" max="9466" width="12" style="1361" customWidth="1"/>
    <col min="9467" max="9467" width="12.7109375" style="1361" customWidth="1"/>
    <col min="9468" max="9468" width="11.5703125" style="1361" customWidth="1"/>
    <col min="9469" max="9469" width="11.140625" style="1361" customWidth="1"/>
    <col min="9470" max="9470" width="9.7109375" style="1361" bestFit="1" customWidth="1"/>
    <col min="9471" max="9471" width="1" style="1361" customWidth="1"/>
    <col min="9472" max="9472" width="9.140625" style="1361"/>
    <col min="9473" max="9473" width="30.5703125" style="1361" customWidth="1"/>
    <col min="9474" max="9474" width="11" style="1361" customWidth="1"/>
    <col min="9475" max="9475" width="10.5703125" style="1361" customWidth="1"/>
    <col min="9476" max="9476" width="10.85546875" style="1361" customWidth="1"/>
    <col min="9477" max="9477" width="9" style="1361" bestFit="1" customWidth="1"/>
    <col min="9478" max="9478" width="8.140625" style="1361" bestFit="1" customWidth="1"/>
    <col min="9479" max="9718" width="9.140625" style="1361"/>
    <col min="9719" max="9719" width="2.28515625" style="1361" customWidth="1"/>
    <col min="9720" max="9720" width="10.42578125" style="1361" customWidth="1"/>
    <col min="9721" max="9721" width="28.42578125" style="1361" customWidth="1"/>
    <col min="9722" max="9722" width="12" style="1361" customWidth="1"/>
    <col min="9723" max="9723" width="12.7109375" style="1361" customWidth="1"/>
    <col min="9724" max="9724" width="11.5703125" style="1361" customWidth="1"/>
    <col min="9725" max="9725" width="11.140625" style="1361" customWidth="1"/>
    <col min="9726" max="9726" width="9.7109375" style="1361" bestFit="1" customWidth="1"/>
    <col min="9727" max="9727" width="1" style="1361" customWidth="1"/>
    <col min="9728" max="9728" width="9.140625" style="1361"/>
    <col min="9729" max="9729" width="30.5703125" style="1361" customWidth="1"/>
    <col min="9730" max="9730" width="11" style="1361" customWidth="1"/>
    <col min="9731" max="9731" width="10.5703125" style="1361" customWidth="1"/>
    <col min="9732" max="9732" width="10.85546875" style="1361" customWidth="1"/>
    <col min="9733" max="9733" width="9" style="1361" bestFit="1" customWidth="1"/>
    <col min="9734" max="9734" width="8.140625" style="1361" bestFit="1" customWidth="1"/>
    <col min="9735" max="9974" width="9.140625" style="1361"/>
    <col min="9975" max="9975" width="2.28515625" style="1361" customWidth="1"/>
    <col min="9976" max="9976" width="10.42578125" style="1361" customWidth="1"/>
    <col min="9977" max="9977" width="28.42578125" style="1361" customWidth="1"/>
    <col min="9978" max="9978" width="12" style="1361" customWidth="1"/>
    <col min="9979" max="9979" width="12.7109375" style="1361" customWidth="1"/>
    <col min="9980" max="9980" width="11.5703125" style="1361" customWidth="1"/>
    <col min="9981" max="9981" width="11.140625" style="1361" customWidth="1"/>
    <col min="9982" max="9982" width="9.7109375" style="1361" bestFit="1" customWidth="1"/>
    <col min="9983" max="9983" width="1" style="1361" customWidth="1"/>
    <col min="9984" max="9984" width="9.140625" style="1361"/>
    <col min="9985" max="9985" width="30.5703125" style="1361" customWidth="1"/>
    <col min="9986" max="9986" width="11" style="1361" customWidth="1"/>
    <col min="9987" max="9987" width="10.5703125" style="1361" customWidth="1"/>
    <col min="9988" max="9988" width="10.85546875" style="1361" customWidth="1"/>
    <col min="9989" max="9989" width="9" style="1361" bestFit="1" customWidth="1"/>
    <col min="9990" max="9990" width="8.140625" style="1361" bestFit="1" customWidth="1"/>
    <col min="9991" max="10230" width="9.140625" style="1361"/>
    <col min="10231" max="10231" width="2.28515625" style="1361" customWidth="1"/>
    <col min="10232" max="10232" width="10.42578125" style="1361" customWidth="1"/>
    <col min="10233" max="10233" width="28.42578125" style="1361" customWidth="1"/>
    <col min="10234" max="10234" width="12" style="1361" customWidth="1"/>
    <col min="10235" max="10235" width="12.7109375" style="1361" customWidth="1"/>
    <col min="10236" max="10236" width="11.5703125" style="1361" customWidth="1"/>
    <col min="10237" max="10237" width="11.140625" style="1361" customWidth="1"/>
    <col min="10238" max="10238" width="9.7109375" style="1361" bestFit="1" customWidth="1"/>
    <col min="10239" max="10239" width="1" style="1361" customWidth="1"/>
    <col min="10240" max="10240" width="9.140625" style="1361"/>
    <col min="10241" max="10241" width="30.5703125" style="1361" customWidth="1"/>
    <col min="10242" max="10242" width="11" style="1361" customWidth="1"/>
    <col min="10243" max="10243" width="10.5703125" style="1361" customWidth="1"/>
    <col min="10244" max="10244" width="10.85546875" style="1361" customWidth="1"/>
    <col min="10245" max="10245" width="9" style="1361" bestFit="1" customWidth="1"/>
    <col min="10246" max="10246" width="8.140625" style="1361" bestFit="1" customWidth="1"/>
    <col min="10247" max="10486" width="9.140625" style="1361"/>
    <col min="10487" max="10487" width="2.28515625" style="1361" customWidth="1"/>
    <col min="10488" max="10488" width="10.42578125" style="1361" customWidth="1"/>
    <col min="10489" max="10489" width="28.42578125" style="1361" customWidth="1"/>
    <col min="10490" max="10490" width="12" style="1361" customWidth="1"/>
    <col min="10491" max="10491" width="12.7109375" style="1361" customWidth="1"/>
    <col min="10492" max="10492" width="11.5703125" style="1361" customWidth="1"/>
    <col min="10493" max="10493" width="11.140625" style="1361" customWidth="1"/>
    <col min="10494" max="10494" width="9.7109375" style="1361" bestFit="1" customWidth="1"/>
    <col min="10495" max="10495" width="1" style="1361" customWidth="1"/>
    <col min="10496" max="10496" width="9.140625" style="1361"/>
    <col min="10497" max="10497" width="30.5703125" style="1361" customWidth="1"/>
    <col min="10498" max="10498" width="11" style="1361" customWidth="1"/>
    <col min="10499" max="10499" width="10.5703125" style="1361" customWidth="1"/>
    <col min="10500" max="10500" width="10.85546875" style="1361" customWidth="1"/>
    <col min="10501" max="10501" width="9" style="1361" bestFit="1" customWidth="1"/>
    <col min="10502" max="10502" width="8.140625" style="1361" bestFit="1" customWidth="1"/>
    <col min="10503" max="10742" width="9.140625" style="1361"/>
    <col min="10743" max="10743" width="2.28515625" style="1361" customWidth="1"/>
    <col min="10744" max="10744" width="10.42578125" style="1361" customWidth="1"/>
    <col min="10745" max="10745" width="28.42578125" style="1361" customWidth="1"/>
    <col min="10746" max="10746" width="12" style="1361" customWidth="1"/>
    <col min="10747" max="10747" width="12.7109375" style="1361" customWidth="1"/>
    <col min="10748" max="10748" width="11.5703125" style="1361" customWidth="1"/>
    <col min="10749" max="10749" width="11.140625" style="1361" customWidth="1"/>
    <col min="10750" max="10750" width="9.7109375" style="1361" bestFit="1" customWidth="1"/>
    <col min="10751" max="10751" width="1" style="1361" customWidth="1"/>
    <col min="10752" max="10752" width="9.140625" style="1361"/>
    <col min="10753" max="10753" width="30.5703125" style="1361" customWidth="1"/>
    <col min="10754" max="10754" width="11" style="1361" customWidth="1"/>
    <col min="10755" max="10755" width="10.5703125" style="1361" customWidth="1"/>
    <col min="10756" max="10756" width="10.85546875" style="1361" customWidth="1"/>
    <col min="10757" max="10757" width="9" style="1361" bestFit="1" customWidth="1"/>
    <col min="10758" max="10758" width="8.140625" style="1361" bestFit="1" customWidth="1"/>
    <col min="10759" max="10998" width="9.140625" style="1361"/>
    <col min="10999" max="10999" width="2.28515625" style="1361" customWidth="1"/>
    <col min="11000" max="11000" width="10.42578125" style="1361" customWidth="1"/>
    <col min="11001" max="11001" width="28.42578125" style="1361" customWidth="1"/>
    <col min="11002" max="11002" width="12" style="1361" customWidth="1"/>
    <col min="11003" max="11003" width="12.7109375" style="1361" customWidth="1"/>
    <col min="11004" max="11004" width="11.5703125" style="1361" customWidth="1"/>
    <col min="11005" max="11005" width="11.140625" style="1361" customWidth="1"/>
    <col min="11006" max="11006" width="9.7109375" style="1361" bestFit="1" customWidth="1"/>
    <col min="11007" max="11007" width="1" style="1361" customWidth="1"/>
    <col min="11008" max="11008" width="9.140625" style="1361"/>
    <col min="11009" max="11009" width="30.5703125" style="1361" customWidth="1"/>
    <col min="11010" max="11010" width="11" style="1361" customWidth="1"/>
    <col min="11011" max="11011" width="10.5703125" style="1361" customWidth="1"/>
    <col min="11012" max="11012" width="10.85546875" style="1361" customWidth="1"/>
    <col min="11013" max="11013" width="9" style="1361" bestFit="1" customWidth="1"/>
    <col min="11014" max="11014" width="8.140625" style="1361" bestFit="1" customWidth="1"/>
    <col min="11015" max="11254" width="9.140625" style="1361"/>
    <col min="11255" max="11255" width="2.28515625" style="1361" customWidth="1"/>
    <col min="11256" max="11256" width="10.42578125" style="1361" customWidth="1"/>
    <col min="11257" max="11257" width="28.42578125" style="1361" customWidth="1"/>
    <col min="11258" max="11258" width="12" style="1361" customWidth="1"/>
    <col min="11259" max="11259" width="12.7109375" style="1361" customWidth="1"/>
    <col min="11260" max="11260" width="11.5703125" style="1361" customWidth="1"/>
    <col min="11261" max="11261" width="11.140625" style="1361" customWidth="1"/>
    <col min="11262" max="11262" width="9.7109375" style="1361" bestFit="1" customWidth="1"/>
    <col min="11263" max="11263" width="1" style="1361" customWidth="1"/>
    <col min="11264" max="11264" width="9.140625" style="1361"/>
    <col min="11265" max="11265" width="30.5703125" style="1361" customWidth="1"/>
    <col min="11266" max="11266" width="11" style="1361" customWidth="1"/>
    <col min="11267" max="11267" width="10.5703125" style="1361" customWidth="1"/>
    <col min="11268" max="11268" width="10.85546875" style="1361" customWidth="1"/>
    <col min="11269" max="11269" width="9" style="1361" bestFit="1" customWidth="1"/>
    <col min="11270" max="11270" width="8.140625" style="1361" bestFit="1" customWidth="1"/>
    <col min="11271" max="11510" width="9.140625" style="1361"/>
    <col min="11511" max="11511" width="2.28515625" style="1361" customWidth="1"/>
    <col min="11512" max="11512" width="10.42578125" style="1361" customWidth="1"/>
    <col min="11513" max="11513" width="28.42578125" style="1361" customWidth="1"/>
    <col min="11514" max="11514" width="12" style="1361" customWidth="1"/>
    <col min="11515" max="11515" width="12.7109375" style="1361" customWidth="1"/>
    <col min="11516" max="11516" width="11.5703125" style="1361" customWidth="1"/>
    <col min="11517" max="11517" width="11.140625" style="1361" customWidth="1"/>
    <col min="11518" max="11518" width="9.7109375" style="1361" bestFit="1" customWidth="1"/>
    <col min="11519" max="11519" width="1" style="1361" customWidth="1"/>
    <col min="11520" max="11520" width="9.140625" style="1361"/>
    <col min="11521" max="11521" width="30.5703125" style="1361" customWidth="1"/>
    <col min="11522" max="11522" width="11" style="1361" customWidth="1"/>
    <col min="11523" max="11523" width="10.5703125" style="1361" customWidth="1"/>
    <col min="11524" max="11524" width="10.85546875" style="1361" customWidth="1"/>
    <col min="11525" max="11525" width="9" style="1361" bestFit="1" customWidth="1"/>
    <col min="11526" max="11526" width="8.140625" style="1361" bestFit="1" customWidth="1"/>
    <col min="11527" max="11766" width="9.140625" style="1361"/>
    <col min="11767" max="11767" width="2.28515625" style="1361" customWidth="1"/>
    <col min="11768" max="11768" width="10.42578125" style="1361" customWidth="1"/>
    <col min="11769" max="11769" width="28.42578125" style="1361" customWidth="1"/>
    <col min="11770" max="11770" width="12" style="1361" customWidth="1"/>
    <col min="11771" max="11771" width="12.7109375" style="1361" customWidth="1"/>
    <col min="11772" max="11772" width="11.5703125" style="1361" customWidth="1"/>
    <col min="11773" max="11773" width="11.140625" style="1361" customWidth="1"/>
    <col min="11774" max="11774" width="9.7109375" style="1361" bestFit="1" customWidth="1"/>
    <col min="11775" max="11775" width="1" style="1361" customWidth="1"/>
    <col min="11776" max="11776" width="9.140625" style="1361"/>
    <col min="11777" max="11777" width="30.5703125" style="1361" customWidth="1"/>
    <col min="11778" max="11778" width="11" style="1361" customWidth="1"/>
    <col min="11779" max="11779" width="10.5703125" style="1361" customWidth="1"/>
    <col min="11780" max="11780" width="10.85546875" style="1361" customWidth="1"/>
    <col min="11781" max="11781" width="9" style="1361" bestFit="1" customWidth="1"/>
    <col min="11782" max="11782" width="8.140625" style="1361" bestFit="1" customWidth="1"/>
    <col min="11783" max="12022" width="9.140625" style="1361"/>
    <col min="12023" max="12023" width="2.28515625" style="1361" customWidth="1"/>
    <col min="12024" max="12024" width="10.42578125" style="1361" customWidth="1"/>
    <col min="12025" max="12025" width="28.42578125" style="1361" customWidth="1"/>
    <col min="12026" max="12026" width="12" style="1361" customWidth="1"/>
    <col min="12027" max="12027" width="12.7109375" style="1361" customWidth="1"/>
    <col min="12028" max="12028" width="11.5703125" style="1361" customWidth="1"/>
    <col min="12029" max="12029" width="11.140625" style="1361" customWidth="1"/>
    <col min="12030" max="12030" width="9.7109375" style="1361" bestFit="1" customWidth="1"/>
    <col min="12031" max="12031" width="1" style="1361" customWidth="1"/>
    <col min="12032" max="12032" width="9.140625" style="1361"/>
    <col min="12033" max="12033" width="30.5703125" style="1361" customWidth="1"/>
    <col min="12034" max="12034" width="11" style="1361" customWidth="1"/>
    <col min="12035" max="12035" width="10.5703125" style="1361" customWidth="1"/>
    <col min="12036" max="12036" width="10.85546875" style="1361" customWidth="1"/>
    <col min="12037" max="12037" width="9" style="1361" bestFit="1" customWidth="1"/>
    <col min="12038" max="12038" width="8.140625" style="1361" bestFit="1" customWidth="1"/>
    <col min="12039" max="12278" width="9.140625" style="1361"/>
    <col min="12279" max="12279" width="2.28515625" style="1361" customWidth="1"/>
    <col min="12280" max="12280" width="10.42578125" style="1361" customWidth="1"/>
    <col min="12281" max="12281" width="28.42578125" style="1361" customWidth="1"/>
    <col min="12282" max="12282" width="12" style="1361" customWidth="1"/>
    <col min="12283" max="12283" width="12.7109375" style="1361" customWidth="1"/>
    <col min="12284" max="12284" width="11.5703125" style="1361" customWidth="1"/>
    <col min="12285" max="12285" width="11.140625" style="1361" customWidth="1"/>
    <col min="12286" max="12286" width="9.7109375" style="1361" bestFit="1" customWidth="1"/>
    <col min="12287" max="12287" width="1" style="1361" customWidth="1"/>
    <col min="12288" max="12288" width="9.140625" style="1361"/>
    <col min="12289" max="12289" width="30.5703125" style="1361" customWidth="1"/>
    <col min="12290" max="12290" width="11" style="1361" customWidth="1"/>
    <col min="12291" max="12291" width="10.5703125" style="1361" customWidth="1"/>
    <col min="12292" max="12292" width="10.85546875" style="1361" customWidth="1"/>
    <col min="12293" max="12293" width="9" style="1361" bestFit="1" customWidth="1"/>
    <col min="12294" max="12294" width="8.140625" style="1361" bestFit="1" customWidth="1"/>
    <col min="12295" max="12534" width="9.140625" style="1361"/>
    <col min="12535" max="12535" width="2.28515625" style="1361" customWidth="1"/>
    <col min="12536" max="12536" width="10.42578125" style="1361" customWidth="1"/>
    <col min="12537" max="12537" width="28.42578125" style="1361" customWidth="1"/>
    <col min="12538" max="12538" width="12" style="1361" customWidth="1"/>
    <col min="12539" max="12539" width="12.7109375" style="1361" customWidth="1"/>
    <col min="12540" max="12540" width="11.5703125" style="1361" customWidth="1"/>
    <col min="12541" max="12541" width="11.140625" style="1361" customWidth="1"/>
    <col min="12542" max="12542" width="9.7109375" style="1361" bestFit="1" customWidth="1"/>
    <col min="12543" max="12543" width="1" style="1361" customWidth="1"/>
    <col min="12544" max="12544" width="9.140625" style="1361"/>
    <col min="12545" max="12545" width="30.5703125" style="1361" customWidth="1"/>
    <col min="12546" max="12546" width="11" style="1361" customWidth="1"/>
    <col min="12547" max="12547" width="10.5703125" style="1361" customWidth="1"/>
    <col min="12548" max="12548" width="10.85546875" style="1361" customWidth="1"/>
    <col min="12549" max="12549" width="9" style="1361" bestFit="1" customWidth="1"/>
    <col min="12550" max="12550" width="8.140625" style="1361" bestFit="1" customWidth="1"/>
    <col min="12551" max="12790" width="9.140625" style="1361"/>
    <col min="12791" max="12791" width="2.28515625" style="1361" customWidth="1"/>
    <col min="12792" max="12792" width="10.42578125" style="1361" customWidth="1"/>
    <col min="12793" max="12793" width="28.42578125" style="1361" customWidth="1"/>
    <col min="12794" max="12794" width="12" style="1361" customWidth="1"/>
    <col min="12795" max="12795" width="12.7109375" style="1361" customWidth="1"/>
    <col min="12796" max="12796" width="11.5703125" style="1361" customWidth="1"/>
    <col min="12797" max="12797" width="11.140625" style="1361" customWidth="1"/>
    <col min="12798" max="12798" width="9.7109375" style="1361" bestFit="1" customWidth="1"/>
    <col min="12799" max="12799" width="1" style="1361" customWidth="1"/>
    <col min="12800" max="12800" width="9.140625" style="1361"/>
    <col min="12801" max="12801" width="30.5703125" style="1361" customWidth="1"/>
    <col min="12802" max="12802" width="11" style="1361" customWidth="1"/>
    <col min="12803" max="12803" width="10.5703125" style="1361" customWidth="1"/>
    <col min="12804" max="12804" width="10.85546875" style="1361" customWidth="1"/>
    <col min="12805" max="12805" width="9" style="1361" bestFit="1" customWidth="1"/>
    <col min="12806" max="12806" width="8.140625" style="1361" bestFit="1" customWidth="1"/>
    <col min="12807" max="13046" width="9.140625" style="1361"/>
    <col min="13047" max="13047" width="2.28515625" style="1361" customWidth="1"/>
    <col min="13048" max="13048" width="10.42578125" style="1361" customWidth="1"/>
    <col min="13049" max="13049" width="28.42578125" style="1361" customWidth="1"/>
    <col min="13050" max="13050" width="12" style="1361" customWidth="1"/>
    <col min="13051" max="13051" width="12.7109375" style="1361" customWidth="1"/>
    <col min="13052" max="13052" width="11.5703125" style="1361" customWidth="1"/>
    <col min="13053" max="13053" width="11.140625" style="1361" customWidth="1"/>
    <col min="13054" max="13054" width="9.7109375" style="1361" bestFit="1" customWidth="1"/>
    <col min="13055" max="13055" width="1" style="1361" customWidth="1"/>
    <col min="13056" max="13056" width="9.140625" style="1361"/>
    <col min="13057" max="13057" width="30.5703125" style="1361" customWidth="1"/>
    <col min="13058" max="13058" width="11" style="1361" customWidth="1"/>
    <col min="13059" max="13059" width="10.5703125" style="1361" customWidth="1"/>
    <col min="13060" max="13060" width="10.85546875" style="1361" customWidth="1"/>
    <col min="13061" max="13061" width="9" style="1361" bestFit="1" customWidth="1"/>
    <col min="13062" max="13062" width="8.140625" style="1361" bestFit="1" customWidth="1"/>
    <col min="13063" max="13302" width="9.140625" style="1361"/>
    <col min="13303" max="13303" width="2.28515625" style="1361" customWidth="1"/>
    <col min="13304" max="13304" width="10.42578125" style="1361" customWidth="1"/>
    <col min="13305" max="13305" width="28.42578125" style="1361" customWidth="1"/>
    <col min="13306" max="13306" width="12" style="1361" customWidth="1"/>
    <col min="13307" max="13307" width="12.7109375" style="1361" customWidth="1"/>
    <col min="13308" max="13308" width="11.5703125" style="1361" customWidth="1"/>
    <col min="13309" max="13309" width="11.140625" style="1361" customWidth="1"/>
    <col min="13310" max="13310" width="9.7109375" style="1361" bestFit="1" customWidth="1"/>
    <col min="13311" max="13311" width="1" style="1361" customWidth="1"/>
    <col min="13312" max="13312" width="9.140625" style="1361"/>
    <col min="13313" max="13313" width="30.5703125" style="1361" customWidth="1"/>
    <col min="13314" max="13314" width="11" style="1361" customWidth="1"/>
    <col min="13315" max="13315" width="10.5703125" style="1361" customWidth="1"/>
    <col min="13316" max="13316" width="10.85546875" style="1361" customWidth="1"/>
    <col min="13317" max="13317" width="9" style="1361" bestFit="1" customWidth="1"/>
    <col min="13318" max="13318" width="8.140625" style="1361" bestFit="1" customWidth="1"/>
    <col min="13319" max="13558" width="9.140625" style="1361"/>
    <col min="13559" max="13559" width="2.28515625" style="1361" customWidth="1"/>
    <col min="13560" max="13560" width="10.42578125" style="1361" customWidth="1"/>
    <col min="13561" max="13561" width="28.42578125" style="1361" customWidth="1"/>
    <col min="13562" max="13562" width="12" style="1361" customWidth="1"/>
    <col min="13563" max="13563" width="12.7109375" style="1361" customWidth="1"/>
    <col min="13564" max="13564" width="11.5703125" style="1361" customWidth="1"/>
    <col min="13565" max="13565" width="11.140625" style="1361" customWidth="1"/>
    <col min="13566" max="13566" width="9.7109375" style="1361" bestFit="1" customWidth="1"/>
    <col min="13567" max="13567" width="1" style="1361" customWidth="1"/>
    <col min="13568" max="13568" width="9.140625" style="1361"/>
    <col min="13569" max="13569" width="30.5703125" style="1361" customWidth="1"/>
    <col min="13570" max="13570" width="11" style="1361" customWidth="1"/>
    <col min="13571" max="13571" width="10.5703125" style="1361" customWidth="1"/>
    <col min="13572" max="13572" width="10.85546875" style="1361" customWidth="1"/>
    <col min="13573" max="13573" width="9" style="1361" bestFit="1" customWidth="1"/>
    <col min="13574" max="13574" width="8.140625" style="1361" bestFit="1" customWidth="1"/>
    <col min="13575" max="13814" width="9.140625" style="1361"/>
    <col min="13815" max="13815" width="2.28515625" style="1361" customWidth="1"/>
    <col min="13816" max="13816" width="10.42578125" style="1361" customWidth="1"/>
    <col min="13817" max="13817" width="28.42578125" style="1361" customWidth="1"/>
    <col min="13818" max="13818" width="12" style="1361" customWidth="1"/>
    <col min="13819" max="13819" width="12.7109375" style="1361" customWidth="1"/>
    <col min="13820" max="13820" width="11.5703125" style="1361" customWidth="1"/>
    <col min="13821" max="13821" width="11.140625" style="1361" customWidth="1"/>
    <col min="13822" max="13822" width="9.7109375" style="1361" bestFit="1" customWidth="1"/>
    <col min="13823" max="13823" width="1" style="1361" customWidth="1"/>
    <col min="13824" max="13824" width="9.140625" style="1361"/>
    <col min="13825" max="13825" width="30.5703125" style="1361" customWidth="1"/>
    <col min="13826" max="13826" width="11" style="1361" customWidth="1"/>
    <col min="13827" max="13827" width="10.5703125" style="1361" customWidth="1"/>
    <col min="13828" max="13828" width="10.85546875" style="1361" customWidth="1"/>
    <col min="13829" max="13829" width="9" style="1361" bestFit="1" customWidth="1"/>
    <col min="13830" max="13830" width="8.140625" style="1361" bestFit="1" customWidth="1"/>
    <col min="13831" max="14070" width="9.140625" style="1361"/>
    <col min="14071" max="14071" width="2.28515625" style="1361" customWidth="1"/>
    <col min="14072" max="14072" width="10.42578125" style="1361" customWidth="1"/>
    <col min="14073" max="14073" width="28.42578125" style="1361" customWidth="1"/>
    <col min="14074" max="14074" width="12" style="1361" customWidth="1"/>
    <col min="14075" max="14075" width="12.7109375" style="1361" customWidth="1"/>
    <col min="14076" max="14076" width="11.5703125" style="1361" customWidth="1"/>
    <col min="14077" max="14077" width="11.140625" style="1361" customWidth="1"/>
    <col min="14078" max="14078" width="9.7109375" style="1361" bestFit="1" customWidth="1"/>
    <col min="14079" max="14079" width="1" style="1361" customWidth="1"/>
    <col min="14080" max="14080" width="9.140625" style="1361"/>
    <col min="14081" max="14081" width="30.5703125" style="1361" customWidth="1"/>
    <col min="14082" max="14082" width="11" style="1361" customWidth="1"/>
    <col min="14083" max="14083" width="10.5703125" style="1361" customWidth="1"/>
    <col min="14084" max="14084" width="10.85546875" style="1361" customWidth="1"/>
    <col min="14085" max="14085" width="9" style="1361" bestFit="1" customWidth="1"/>
    <col min="14086" max="14086" width="8.140625" style="1361" bestFit="1" customWidth="1"/>
    <col min="14087" max="14326" width="9.140625" style="1361"/>
    <col min="14327" max="14327" width="2.28515625" style="1361" customWidth="1"/>
    <col min="14328" max="14328" width="10.42578125" style="1361" customWidth="1"/>
    <col min="14329" max="14329" width="28.42578125" style="1361" customWidth="1"/>
    <col min="14330" max="14330" width="12" style="1361" customWidth="1"/>
    <col min="14331" max="14331" width="12.7109375" style="1361" customWidth="1"/>
    <col min="14332" max="14332" width="11.5703125" style="1361" customWidth="1"/>
    <col min="14333" max="14333" width="11.140625" style="1361" customWidth="1"/>
    <col min="14334" max="14334" width="9.7109375" style="1361" bestFit="1" customWidth="1"/>
    <col min="14335" max="14335" width="1" style="1361" customWidth="1"/>
    <col min="14336" max="14336" width="9.140625" style="1361"/>
    <col min="14337" max="14337" width="30.5703125" style="1361" customWidth="1"/>
    <col min="14338" max="14338" width="11" style="1361" customWidth="1"/>
    <col min="14339" max="14339" width="10.5703125" style="1361" customWidth="1"/>
    <col min="14340" max="14340" width="10.85546875" style="1361" customWidth="1"/>
    <col min="14341" max="14341" width="9" style="1361" bestFit="1" customWidth="1"/>
    <col min="14342" max="14342" width="8.140625" style="1361" bestFit="1" customWidth="1"/>
    <col min="14343" max="14582" width="9.140625" style="1361"/>
    <col min="14583" max="14583" width="2.28515625" style="1361" customWidth="1"/>
    <col min="14584" max="14584" width="10.42578125" style="1361" customWidth="1"/>
    <col min="14585" max="14585" width="28.42578125" style="1361" customWidth="1"/>
    <col min="14586" max="14586" width="12" style="1361" customWidth="1"/>
    <col min="14587" max="14587" width="12.7109375" style="1361" customWidth="1"/>
    <col min="14588" max="14588" width="11.5703125" style="1361" customWidth="1"/>
    <col min="14589" max="14589" width="11.140625" style="1361" customWidth="1"/>
    <col min="14590" max="14590" width="9.7109375" style="1361" bestFit="1" customWidth="1"/>
    <col min="14591" max="14591" width="1" style="1361" customWidth="1"/>
    <col min="14592" max="14592" width="9.140625" style="1361"/>
    <col min="14593" max="14593" width="30.5703125" style="1361" customWidth="1"/>
    <col min="14594" max="14594" width="11" style="1361" customWidth="1"/>
    <col min="14595" max="14595" width="10.5703125" style="1361" customWidth="1"/>
    <col min="14596" max="14596" width="10.85546875" style="1361" customWidth="1"/>
    <col min="14597" max="14597" width="9" style="1361" bestFit="1" customWidth="1"/>
    <col min="14598" max="14598" width="8.140625" style="1361" bestFit="1" customWidth="1"/>
    <col min="14599" max="14838" width="9.140625" style="1361"/>
    <col min="14839" max="14839" width="2.28515625" style="1361" customWidth="1"/>
    <col min="14840" max="14840" width="10.42578125" style="1361" customWidth="1"/>
    <col min="14841" max="14841" width="28.42578125" style="1361" customWidth="1"/>
    <col min="14842" max="14842" width="12" style="1361" customWidth="1"/>
    <col min="14843" max="14843" width="12.7109375" style="1361" customWidth="1"/>
    <col min="14844" max="14844" width="11.5703125" style="1361" customWidth="1"/>
    <col min="14845" max="14845" width="11.140625" style="1361" customWidth="1"/>
    <col min="14846" max="14846" width="9.7109375" style="1361" bestFit="1" customWidth="1"/>
    <col min="14847" max="14847" width="1" style="1361" customWidth="1"/>
    <col min="14848" max="14848" width="9.140625" style="1361"/>
    <col min="14849" max="14849" width="30.5703125" style="1361" customWidth="1"/>
    <col min="14850" max="14850" width="11" style="1361" customWidth="1"/>
    <col min="14851" max="14851" width="10.5703125" style="1361" customWidth="1"/>
    <col min="14852" max="14852" width="10.85546875" style="1361" customWidth="1"/>
    <col min="14853" max="14853" width="9" style="1361" bestFit="1" customWidth="1"/>
    <col min="14854" max="14854" width="8.140625" style="1361" bestFit="1" customWidth="1"/>
    <col min="14855" max="15094" width="9.140625" style="1361"/>
    <col min="15095" max="15095" width="2.28515625" style="1361" customWidth="1"/>
    <col min="15096" max="15096" width="10.42578125" style="1361" customWidth="1"/>
    <col min="15097" max="15097" width="28.42578125" style="1361" customWidth="1"/>
    <col min="15098" max="15098" width="12" style="1361" customWidth="1"/>
    <col min="15099" max="15099" width="12.7109375" style="1361" customWidth="1"/>
    <col min="15100" max="15100" width="11.5703125" style="1361" customWidth="1"/>
    <col min="15101" max="15101" width="11.140625" style="1361" customWidth="1"/>
    <col min="15102" max="15102" width="9.7109375" style="1361" bestFit="1" customWidth="1"/>
    <col min="15103" max="15103" width="1" style="1361" customWidth="1"/>
    <col min="15104" max="15104" width="9.140625" style="1361"/>
    <col min="15105" max="15105" width="30.5703125" style="1361" customWidth="1"/>
    <col min="15106" max="15106" width="11" style="1361" customWidth="1"/>
    <col min="15107" max="15107" width="10.5703125" style="1361" customWidth="1"/>
    <col min="15108" max="15108" width="10.85546875" style="1361" customWidth="1"/>
    <col min="15109" max="15109" width="9" style="1361" bestFit="1" customWidth="1"/>
    <col min="15110" max="15110" width="8.140625" style="1361" bestFit="1" customWidth="1"/>
    <col min="15111" max="15350" width="9.140625" style="1361"/>
    <col min="15351" max="15351" width="2.28515625" style="1361" customWidth="1"/>
    <col min="15352" max="15352" width="10.42578125" style="1361" customWidth="1"/>
    <col min="15353" max="15353" width="28.42578125" style="1361" customWidth="1"/>
    <col min="15354" max="15354" width="12" style="1361" customWidth="1"/>
    <col min="15355" max="15355" width="12.7109375" style="1361" customWidth="1"/>
    <col min="15356" max="15356" width="11.5703125" style="1361" customWidth="1"/>
    <col min="15357" max="15357" width="11.140625" style="1361" customWidth="1"/>
    <col min="15358" max="15358" width="9.7109375" style="1361" bestFit="1" customWidth="1"/>
    <col min="15359" max="15359" width="1" style="1361" customWidth="1"/>
    <col min="15360" max="15360" width="9.140625" style="1361"/>
    <col min="15361" max="15361" width="30.5703125" style="1361" customWidth="1"/>
    <col min="15362" max="15362" width="11" style="1361" customWidth="1"/>
    <col min="15363" max="15363" width="10.5703125" style="1361" customWidth="1"/>
    <col min="15364" max="15364" width="10.85546875" style="1361" customWidth="1"/>
    <col min="15365" max="15365" width="9" style="1361" bestFit="1" customWidth="1"/>
    <col min="15366" max="15366" width="8.140625" style="1361" bestFit="1" customWidth="1"/>
    <col min="15367" max="15606" width="9.140625" style="1361"/>
    <col min="15607" max="15607" width="2.28515625" style="1361" customWidth="1"/>
    <col min="15608" max="15608" width="10.42578125" style="1361" customWidth="1"/>
    <col min="15609" max="15609" width="28.42578125" style="1361" customWidth="1"/>
    <col min="15610" max="15610" width="12" style="1361" customWidth="1"/>
    <col min="15611" max="15611" width="12.7109375" style="1361" customWidth="1"/>
    <col min="15612" max="15612" width="11.5703125" style="1361" customWidth="1"/>
    <col min="15613" max="15613" width="11.140625" style="1361" customWidth="1"/>
    <col min="15614" max="15614" width="9.7109375" style="1361" bestFit="1" customWidth="1"/>
    <col min="15615" max="15615" width="1" style="1361" customWidth="1"/>
    <col min="15616" max="15616" width="9.140625" style="1361"/>
    <col min="15617" max="15617" width="30.5703125" style="1361" customWidth="1"/>
    <col min="15618" max="15618" width="11" style="1361" customWidth="1"/>
    <col min="15619" max="15619" width="10.5703125" style="1361" customWidth="1"/>
    <col min="15620" max="15620" width="10.85546875" style="1361" customWidth="1"/>
    <col min="15621" max="15621" width="9" style="1361" bestFit="1" customWidth="1"/>
    <col min="15622" max="15622" width="8.140625" style="1361" bestFit="1" customWidth="1"/>
    <col min="15623" max="15862" width="9.140625" style="1361"/>
    <col min="15863" max="15863" width="2.28515625" style="1361" customWidth="1"/>
    <col min="15864" max="15864" width="10.42578125" style="1361" customWidth="1"/>
    <col min="15865" max="15865" width="28.42578125" style="1361" customWidth="1"/>
    <col min="15866" max="15866" width="12" style="1361" customWidth="1"/>
    <col min="15867" max="15867" width="12.7109375" style="1361" customWidth="1"/>
    <col min="15868" max="15868" width="11.5703125" style="1361" customWidth="1"/>
    <col min="15869" max="15869" width="11.140625" style="1361" customWidth="1"/>
    <col min="15870" max="15870" width="9.7109375" style="1361" bestFit="1" customWidth="1"/>
    <col min="15871" max="15871" width="1" style="1361" customWidth="1"/>
    <col min="15872" max="15872" width="9.140625" style="1361"/>
    <col min="15873" max="15873" width="30.5703125" style="1361" customWidth="1"/>
    <col min="15874" max="15874" width="11" style="1361" customWidth="1"/>
    <col min="15875" max="15875" width="10.5703125" style="1361" customWidth="1"/>
    <col min="15876" max="15876" width="10.85546875" style="1361" customWidth="1"/>
    <col min="15877" max="15877" width="9" style="1361" bestFit="1" customWidth="1"/>
    <col min="15878" max="15878" width="8.140625" style="1361" bestFit="1" customWidth="1"/>
    <col min="15879" max="16118" width="9.140625" style="1361"/>
    <col min="16119" max="16119" width="2.28515625" style="1361" customWidth="1"/>
    <col min="16120" max="16120" width="10.42578125" style="1361" customWidth="1"/>
    <col min="16121" max="16121" width="28.42578125" style="1361" customWidth="1"/>
    <col min="16122" max="16122" width="12" style="1361" customWidth="1"/>
    <col min="16123" max="16123" width="12.7109375" style="1361" customWidth="1"/>
    <col min="16124" max="16124" width="11.5703125" style="1361" customWidth="1"/>
    <col min="16125" max="16125" width="11.140625" style="1361" customWidth="1"/>
    <col min="16126" max="16126" width="9.7109375" style="1361" bestFit="1" customWidth="1"/>
    <col min="16127" max="16127" width="1" style="1361" customWidth="1"/>
    <col min="16128" max="16128" width="9.140625" style="1361"/>
    <col min="16129" max="16129" width="30.5703125" style="1361" customWidth="1"/>
    <col min="16130" max="16130" width="11" style="1361" customWidth="1"/>
    <col min="16131" max="16131" width="10.5703125" style="1361" customWidth="1"/>
    <col min="16132" max="16132" width="10.85546875" style="1361" customWidth="1"/>
    <col min="16133" max="16133" width="9" style="1361" bestFit="1" customWidth="1"/>
    <col min="16134" max="16134" width="8.140625" style="1361" bestFit="1" customWidth="1"/>
    <col min="16135" max="16384" width="9.140625" style="1361"/>
  </cols>
  <sheetData>
    <row r="1" spans="1:21" ht="9.75" customHeight="1" thickBot="1">
      <c r="A1" s="1360"/>
      <c r="B1" s="1360"/>
      <c r="C1" s="1360"/>
      <c r="D1" s="1360"/>
      <c r="E1" s="1360"/>
      <c r="F1" s="1360"/>
      <c r="G1" s="1360"/>
      <c r="H1" s="1360"/>
      <c r="I1" s="1360"/>
      <c r="J1" s="1360"/>
      <c r="K1" s="1360"/>
      <c r="L1" s="1360"/>
      <c r="M1" s="1360"/>
      <c r="N1" s="1360"/>
      <c r="P1" s="1360"/>
      <c r="Q1" s="1360"/>
      <c r="R1" s="1360"/>
      <c r="S1" s="1360"/>
      <c r="T1" s="1360"/>
      <c r="U1" s="1360"/>
    </row>
    <row r="2" spans="1:21" ht="15">
      <c r="A2" s="1362"/>
      <c r="B2" s="1363" t="s">
        <v>365</v>
      </c>
      <c r="C2" s="1364"/>
      <c r="D2" s="2935" t="s">
        <v>46</v>
      </c>
      <c r="E2" s="2935"/>
      <c r="F2" s="2935"/>
      <c r="G2" s="2935"/>
      <c r="H2" s="2935"/>
      <c r="I2" s="2935"/>
      <c r="J2" s="2936"/>
      <c r="K2" s="1365"/>
      <c r="L2" s="1366"/>
      <c r="M2" s="1367"/>
      <c r="N2" s="1367"/>
      <c r="O2" s="2935" t="s">
        <v>47</v>
      </c>
      <c r="P2" s="2935"/>
      <c r="Q2" s="2935"/>
      <c r="R2" s="2935"/>
      <c r="S2" s="2935"/>
      <c r="T2" s="2935"/>
      <c r="U2" s="2936"/>
    </row>
    <row r="3" spans="1:21" ht="15">
      <c r="A3" s="1360"/>
      <c r="B3" s="1368"/>
      <c r="C3" s="1369" t="s">
        <v>557</v>
      </c>
      <c r="D3" s="1370">
        <f>'RCF-F'!F3</f>
        <v>2023</v>
      </c>
      <c r="E3" s="1369">
        <f t="shared" ref="E3:J3" si="0">D3+1</f>
        <v>2024</v>
      </c>
      <c r="F3" s="1369">
        <f t="shared" si="0"/>
        <v>2025</v>
      </c>
      <c r="G3" s="1369">
        <f t="shared" si="0"/>
        <v>2026</v>
      </c>
      <c r="H3" s="1369">
        <f t="shared" si="0"/>
        <v>2027</v>
      </c>
      <c r="I3" s="1369">
        <f t="shared" si="0"/>
        <v>2028</v>
      </c>
      <c r="J3" s="1371">
        <f t="shared" si="0"/>
        <v>2029</v>
      </c>
      <c r="K3" s="1365"/>
      <c r="L3" s="1372"/>
      <c r="M3" s="1373"/>
      <c r="N3" s="1374" t="s">
        <v>767</v>
      </c>
      <c r="O3" s="1375">
        <f t="shared" ref="O3:U3" si="1">D3</f>
        <v>2023</v>
      </c>
      <c r="P3" s="1375">
        <f t="shared" si="1"/>
        <v>2024</v>
      </c>
      <c r="Q3" s="1375">
        <f t="shared" si="1"/>
        <v>2025</v>
      </c>
      <c r="R3" s="1375">
        <f t="shared" si="1"/>
        <v>2026</v>
      </c>
      <c r="S3" s="1375">
        <f t="shared" si="1"/>
        <v>2027</v>
      </c>
      <c r="T3" s="1375">
        <f t="shared" si="1"/>
        <v>2028</v>
      </c>
      <c r="U3" s="1371">
        <f t="shared" si="1"/>
        <v>2029</v>
      </c>
    </row>
    <row r="4" spans="1:21" ht="15">
      <c r="A4" s="1376"/>
      <c r="B4" s="1377"/>
      <c r="C4" s="1370"/>
      <c r="D4" s="1378"/>
      <c r="E4" s="1379"/>
      <c r="F4" s="1379"/>
      <c r="G4" s="1379"/>
      <c r="H4" s="1370"/>
      <c r="I4" s="1380"/>
      <c r="J4" s="1381"/>
      <c r="K4" s="1365"/>
      <c r="L4" s="1382"/>
      <c r="M4" s="1383"/>
      <c r="N4" s="1383"/>
      <c r="O4" s="1383"/>
      <c r="P4" s="1383"/>
      <c r="Q4" s="1383"/>
      <c r="R4" s="1383"/>
      <c r="S4" s="1383"/>
      <c r="T4" s="1383"/>
      <c r="U4" s="1384"/>
    </row>
    <row r="5" spans="1:21" ht="15">
      <c r="A5" s="1385"/>
      <c r="B5" s="1386" t="s">
        <v>360</v>
      </c>
      <c r="D5" s="302">
        <f>O60+O67</f>
        <v>1226646.8620633185</v>
      </c>
      <c r="E5" s="302">
        <f t="shared" ref="E5:J5" si="2">D5</f>
        <v>1226646.8620633185</v>
      </c>
      <c r="F5" s="302">
        <f t="shared" si="2"/>
        <v>1226646.8620633185</v>
      </c>
      <c r="G5" s="302">
        <f t="shared" si="2"/>
        <v>1226646.8620633185</v>
      </c>
      <c r="H5" s="302">
        <f t="shared" si="2"/>
        <v>1226646.8620633185</v>
      </c>
      <c r="I5" s="302">
        <f t="shared" si="2"/>
        <v>1226646.8620633185</v>
      </c>
      <c r="J5" s="305">
        <f t="shared" si="2"/>
        <v>1226646.8620633185</v>
      </c>
      <c r="K5" s="1365"/>
      <c r="L5" s="1386" t="s">
        <v>90</v>
      </c>
      <c r="M5" s="1387"/>
      <c r="N5" s="1388">
        <v>51</v>
      </c>
      <c r="O5" s="1388">
        <f>N5+O40</f>
        <v>5112.7896238425628</v>
      </c>
      <c r="P5" s="1388">
        <f t="shared" ref="P5:U5" si="3">O5</f>
        <v>5112.7896238425628</v>
      </c>
      <c r="Q5" s="1388">
        <f t="shared" si="3"/>
        <v>5112.7896238425628</v>
      </c>
      <c r="R5" s="1388">
        <f t="shared" si="3"/>
        <v>5112.7896238425628</v>
      </c>
      <c r="S5" s="1388">
        <f t="shared" si="3"/>
        <v>5112.7896238425628</v>
      </c>
      <c r="T5" s="1388">
        <f t="shared" si="3"/>
        <v>5112.7896238425628</v>
      </c>
      <c r="U5" s="1389">
        <f t="shared" si="3"/>
        <v>5112.7896238425628</v>
      </c>
    </row>
    <row r="6" spans="1:21" ht="15">
      <c r="A6" s="1390"/>
      <c r="B6" s="1386" t="s">
        <v>1012</v>
      </c>
      <c r="D6" s="302">
        <f>Capex!G5</f>
        <v>100</v>
      </c>
      <c r="E6" s="302">
        <f>D6+Capex!H5</f>
        <v>100</v>
      </c>
      <c r="F6" s="302">
        <f>E6+Capex!I5</f>
        <v>100</v>
      </c>
      <c r="G6" s="302">
        <f>F6+Capex!J5</f>
        <v>100</v>
      </c>
      <c r="H6" s="302">
        <f>G6+Capex!K5</f>
        <v>100</v>
      </c>
      <c r="I6" s="302">
        <f>H6+Capex!L5</f>
        <v>100</v>
      </c>
      <c r="J6" s="305">
        <f>I6+Capex!M5</f>
        <v>100</v>
      </c>
      <c r="K6" s="1365"/>
      <c r="L6" s="1386" t="s">
        <v>366</v>
      </c>
      <c r="M6" s="1387"/>
      <c r="N6" s="688">
        <f>188961.38+21500+65790*100%+3000</f>
        <v>279251.38</v>
      </c>
      <c r="O6" s="1388">
        <f>D104+D103+N6+O120</f>
        <v>279251.38</v>
      </c>
      <c r="P6" s="1388">
        <f>O6+E104+P118+E103</f>
        <v>0</v>
      </c>
      <c r="Q6" s="1388">
        <f>P6+F104+Q118</f>
        <v>0</v>
      </c>
      <c r="R6" s="1388">
        <f>Q6+G104+R118</f>
        <v>0</v>
      </c>
      <c r="S6" s="1388">
        <f ca="1">R6+H104+S118</f>
        <v>0</v>
      </c>
      <c r="T6" s="1388">
        <f ca="1">S6+I104+T118</f>
        <v>0</v>
      </c>
      <c r="U6" s="1389">
        <f ca="1">T6+J104+U118</f>
        <v>0</v>
      </c>
    </row>
    <row r="7" spans="1:21" ht="15">
      <c r="A7" s="1390"/>
      <c r="B7" s="1391" t="s">
        <v>770</v>
      </c>
      <c r="C7" s="1392"/>
      <c r="D7" s="1393">
        <f t="shared" ref="D7:J7" si="4">O94</f>
        <v>256280</v>
      </c>
      <c r="E7" s="1393">
        <f t="shared" si="4"/>
        <v>192210</v>
      </c>
      <c r="F7" s="1393">
        <f t="shared" si="4"/>
        <v>128140</v>
      </c>
      <c r="G7" s="1393">
        <f t="shared" si="4"/>
        <v>64070</v>
      </c>
      <c r="H7" s="1393">
        <f t="shared" si="4"/>
        <v>0</v>
      </c>
      <c r="I7" s="1393">
        <f t="shared" si="4"/>
        <v>0</v>
      </c>
      <c r="J7" s="1394">
        <f t="shared" si="4"/>
        <v>0</v>
      </c>
      <c r="K7" s="1365"/>
      <c r="L7" s="1391" t="s">
        <v>92</v>
      </c>
      <c r="M7" s="1395"/>
      <c r="N7" s="688">
        <f>-7244.41-804.93-460</f>
        <v>-8509.34</v>
      </c>
      <c r="O7" s="1396">
        <f t="shared" ref="O7:U7" si="5">N7+N8</f>
        <v>-8509.34</v>
      </c>
      <c r="P7" s="1396">
        <f t="shared" ca="1" si="5"/>
        <v>364886.62398131023</v>
      </c>
      <c r="Q7" s="1396">
        <f t="shared" ca="1" si="5"/>
        <v>2025043.757664626</v>
      </c>
      <c r="R7" s="1396">
        <f t="shared" ca="1" si="5"/>
        <v>2733379.0754190288</v>
      </c>
      <c r="S7" s="1396">
        <f t="shared" ca="1" si="5"/>
        <v>4754254.6080694869</v>
      </c>
      <c r="T7" s="1396">
        <f t="shared" ca="1" si="5"/>
        <v>2443557.9322232259</v>
      </c>
      <c r="U7" s="1397">
        <f t="shared" ca="1" si="5"/>
        <v>744052.77017537318</v>
      </c>
    </row>
    <row r="8" spans="1:21" ht="15">
      <c r="A8" s="1390"/>
      <c r="B8" s="1398" t="s">
        <v>821</v>
      </c>
      <c r="C8" s="1392"/>
      <c r="D8" s="1399">
        <f t="shared" ref="D8:J8" si="6">SUM(D5:D7)</f>
        <v>1483026.8620633185</v>
      </c>
      <c r="E8" s="1399">
        <f t="shared" si="6"/>
        <v>1418956.8620633185</v>
      </c>
      <c r="F8" s="1399">
        <f t="shared" si="6"/>
        <v>1354886.8620633185</v>
      </c>
      <c r="G8" s="1399">
        <f t="shared" si="6"/>
        <v>1290816.8620633185</v>
      </c>
      <c r="H8" s="1399">
        <f t="shared" si="6"/>
        <v>1226746.8620633185</v>
      </c>
      <c r="I8" s="1399">
        <f t="shared" si="6"/>
        <v>1226746.8620633185</v>
      </c>
      <c r="J8" s="1400">
        <f t="shared" si="6"/>
        <v>1226746.8620633185</v>
      </c>
      <c r="K8" s="1365"/>
      <c r="L8" s="1391" t="str">
        <f>B59</f>
        <v>Addition to free reserve</v>
      </c>
      <c r="M8" s="1395"/>
      <c r="N8" s="1401">
        <v>0</v>
      </c>
      <c r="O8" s="1401">
        <f t="shared" ref="O8:T8" ca="1" si="7">D53-D55-O21</f>
        <v>373395.96398131025</v>
      </c>
      <c r="P8" s="1401">
        <f t="shared" ca="1" si="7"/>
        <v>1660157.1336833157</v>
      </c>
      <c r="Q8" s="1401">
        <f t="shared" ca="1" si="7"/>
        <v>708335.31775440264</v>
      </c>
      <c r="R8" s="1401">
        <f t="shared" ca="1" si="7"/>
        <v>2020875.5326504584</v>
      </c>
      <c r="S8" s="1401">
        <f t="shared" ca="1" si="7"/>
        <v>-2310696.675846261</v>
      </c>
      <c r="T8" s="1401">
        <f t="shared" ca="1" si="7"/>
        <v>-1699505.1620478528</v>
      </c>
      <c r="U8" s="1402">
        <f ca="1">J53-J55-U21</f>
        <v>714247.7225760445</v>
      </c>
    </row>
    <row r="9" spans="1:21" ht="15">
      <c r="A9" s="1403"/>
      <c r="B9" s="1391"/>
      <c r="J9" s="1404"/>
      <c r="K9" s="1365"/>
      <c r="L9" s="1405" t="s">
        <v>48</v>
      </c>
      <c r="M9" s="1395"/>
      <c r="N9" s="1406">
        <f t="shared" ref="N9:U9" si="8">N5+N6+N7+N8</f>
        <v>270793.03999999998</v>
      </c>
      <c r="O9" s="1406">
        <f t="shared" ca="1" si="8"/>
        <v>649250.79360515275</v>
      </c>
      <c r="P9" s="1406">
        <f t="shared" ca="1" si="8"/>
        <v>2030156.5472884686</v>
      </c>
      <c r="Q9" s="1406">
        <f t="shared" ca="1" si="8"/>
        <v>2738491.8650428713</v>
      </c>
      <c r="R9" s="1406">
        <f t="shared" ca="1" si="8"/>
        <v>4759367.3976933295</v>
      </c>
      <c r="S9" s="1406">
        <f t="shared" ca="1" si="8"/>
        <v>2448670.7218470685</v>
      </c>
      <c r="T9" s="1406">
        <f t="shared" ca="1" si="8"/>
        <v>749165.55979921576</v>
      </c>
      <c r="U9" s="1407">
        <f t="shared" ca="1" si="8"/>
        <v>1463413.2823752603</v>
      </c>
    </row>
    <row r="10" spans="1:21" ht="15">
      <c r="A10" s="1408"/>
      <c r="B10" s="1386"/>
      <c r="D10" s="1409"/>
      <c r="E10" s="1409"/>
      <c r="F10" s="1409"/>
      <c r="G10" s="1409"/>
      <c r="H10" s="1409"/>
      <c r="I10" s="1409"/>
      <c r="J10" s="1397"/>
      <c r="K10" s="1365"/>
      <c r="L10" s="1405"/>
      <c r="M10" s="1395"/>
      <c r="N10" s="1406"/>
      <c r="O10" s="1406"/>
      <c r="P10" s="1406"/>
      <c r="Q10" s="1406"/>
      <c r="R10" s="1406"/>
      <c r="S10" s="1406"/>
      <c r="T10" s="1406"/>
      <c r="U10" s="1407"/>
    </row>
    <row r="11" spans="1:21" ht="15">
      <c r="A11" s="1410"/>
      <c r="B11" s="1391" t="s">
        <v>356</v>
      </c>
      <c r="C11" s="1411"/>
      <c r="D11" s="1393">
        <f ca="1">O86</f>
        <v>353962.64449159685</v>
      </c>
      <c r="E11" s="1393">
        <f t="shared" ref="E11:J11" ca="1" si="9">P86</f>
        <v>1163962.6444915968</v>
      </c>
      <c r="F11" s="1393">
        <f t="shared" ca="1" si="9"/>
        <v>1087114.8263061629</v>
      </c>
      <c r="G11" s="1393">
        <f t="shared" ca="1" si="9"/>
        <v>1084231.6761196258</v>
      </c>
      <c r="H11" s="1393">
        <f t="shared" ca="1" si="9"/>
        <v>1035360.2678585434</v>
      </c>
      <c r="I11" s="1393">
        <f t="shared" ca="1" si="9"/>
        <v>992702.66742910945</v>
      </c>
      <c r="J11" s="1394">
        <f t="shared" ca="1" si="9"/>
        <v>967607.09280941729</v>
      </c>
      <c r="K11" s="1365"/>
      <c r="L11" s="1405"/>
      <c r="M11" s="1387"/>
      <c r="N11" s="1387"/>
      <c r="O11" s="1412"/>
      <c r="P11" s="1412"/>
      <c r="Q11" s="1412"/>
      <c r="R11" s="1412"/>
      <c r="S11" s="1387"/>
      <c r="T11" s="1387"/>
      <c r="U11" s="1413"/>
    </row>
    <row r="12" spans="1:21" ht="15">
      <c r="A12" s="1410"/>
      <c r="B12" s="1398" t="s">
        <v>822</v>
      </c>
      <c r="C12" s="1411"/>
      <c r="D12" s="1399">
        <f ca="1">SUM(D10:D11)</f>
        <v>353962.64449159685</v>
      </c>
      <c r="E12" s="1399">
        <f t="shared" ref="E12:J12" ca="1" si="10">SUM(E10:E11)</f>
        <v>1163962.6444915968</v>
      </c>
      <c r="F12" s="1399">
        <f t="shared" ca="1" si="10"/>
        <v>1087114.8263061629</v>
      </c>
      <c r="G12" s="1399">
        <f t="shared" ca="1" si="10"/>
        <v>1084231.6761196258</v>
      </c>
      <c r="H12" s="1399">
        <f t="shared" ca="1" si="10"/>
        <v>1035360.2678585434</v>
      </c>
      <c r="I12" s="1399">
        <f t="shared" ca="1" si="10"/>
        <v>992702.66742910945</v>
      </c>
      <c r="J12" s="1400">
        <f t="shared" ca="1" si="10"/>
        <v>967607.09280941729</v>
      </c>
      <c r="K12" s="1365"/>
      <c r="L12" s="1405" t="s">
        <v>49</v>
      </c>
      <c r="M12" s="1387"/>
      <c r="N12" s="1387"/>
      <c r="O12" s="1388">
        <f>Bond!F9+Loan!G17-O18</f>
        <v>4900000</v>
      </c>
      <c r="P12" s="1388">
        <f>Bond!G9+Loan!H17-P18</f>
        <v>4900000</v>
      </c>
      <c r="Q12" s="1388">
        <f>Bond!H9+Loan!I17-Q18</f>
        <v>4900000</v>
      </c>
      <c r="R12" s="1388">
        <f>Bond!I9+Loan!J17-R18</f>
        <v>4900000</v>
      </c>
      <c r="S12" s="1388">
        <f>Bond!J9+Loan!K17-S18</f>
        <v>4900000</v>
      </c>
      <c r="T12" s="1388">
        <f>Bond!K9+Loan!L17-T18</f>
        <v>4900000</v>
      </c>
      <c r="U12" s="1389">
        <f>Bond!L9+Loan!M17-U18</f>
        <v>4900000</v>
      </c>
    </row>
    <row r="13" spans="1:21" ht="15">
      <c r="A13" s="1410"/>
      <c r="B13" s="1391"/>
      <c r="J13" s="1404"/>
      <c r="K13" s="1365"/>
      <c r="L13" s="1405"/>
      <c r="M13" s="1387"/>
      <c r="N13" s="1387"/>
      <c r="O13" s="1388"/>
      <c r="P13" s="1388"/>
      <c r="Q13" s="1388"/>
      <c r="R13" s="1388"/>
      <c r="S13" s="1388"/>
      <c r="T13" s="1388"/>
      <c r="U13" s="1389"/>
    </row>
    <row r="14" spans="1:21" ht="15">
      <c r="A14" s="1410"/>
      <c r="B14" s="1391" t="s">
        <v>144</v>
      </c>
      <c r="C14" s="1414"/>
      <c r="D14" s="1414">
        <f ca="1">Costprice!E62</f>
        <v>350704.13459980208</v>
      </c>
      <c r="E14" s="1414">
        <f ca="1">Costprice!F62</f>
        <v>555595.53417427605</v>
      </c>
      <c r="F14" s="1414">
        <f ca="1">Costprice!G62</f>
        <v>451700.63757765654</v>
      </c>
      <c r="G14" s="1414">
        <f ca="1">Costprice!H62</f>
        <v>451700.63757765654</v>
      </c>
      <c r="H14" s="1414">
        <f ca="1">Costprice!I62</f>
        <v>451700.63757765654</v>
      </c>
      <c r="I14" s="1414">
        <f ca="1">Costprice!J62</f>
        <v>451700.63757765654</v>
      </c>
      <c r="J14" s="1407">
        <f ca="1">Costprice!K62</f>
        <v>451700.63757765654</v>
      </c>
      <c r="K14" s="1365"/>
      <c r="L14" s="1405"/>
      <c r="M14" s="1387"/>
      <c r="N14" s="1387"/>
      <c r="O14" s="1388"/>
      <c r="P14" s="1388"/>
      <c r="Q14" s="1388"/>
      <c r="R14" s="1388"/>
      <c r="S14" s="1388"/>
      <c r="T14" s="1388"/>
      <c r="U14" s="1389"/>
    </row>
    <row r="15" spans="1:21" ht="15">
      <c r="A15" s="1410"/>
      <c r="B15" s="1391" t="s">
        <v>845</v>
      </c>
      <c r="D15" s="1414">
        <f ca="1">Costprice!E55</f>
        <v>824617.14632188238</v>
      </c>
      <c r="E15" s="1414">
        <f ca="1">Costprice!F55</f>
        <v>594938.45228143875</v>
      </c>
      <c r="F15" s="1414">
        <f ca="1">Costprice!G55</f>
        <v>767298.66344039375</v>
      </c>
      <c r="G15" s="1414">
        <f ca="1">Costprice!H55</f>
        <v>821772.34404998901</v>
      </c>
      <c r="H15" s="1414">
        <f ca="1">Costprice!I55</f>
        <v>833996.80159210961</v>
      </c>
      <c r="I15" s="1414">
        <f ca="1">Costprice!J55</f>
        <v>903871.76543444581</v>
      </c>
      <c r="J15" s="1407">
        <f ca="1">Costprice!K55</f>
        <v>903145.33697974484</v>
      </c>
      <c r="K15" s="1365"/>
      <c r="L15" s="1405"/>
      <c r="M15" s="1387"/>
      <c r="N15" s="1387"/>
      <c r="O15" s="1388"/>
      <c r="P15" s="1388"/>
      <c r="Q15" s="1388"/>
      <c r="R15" s="1388"/>
      <c r="S15" s="1388"/>
      <c r="T15" s="1388"/>
      <c r="U15" s="1389"/>
    </row>
    <row r="16" spans="1:21" ht="15">
      <c r="A16" s="1410"/>
      <c r="B16" s="1391" t="s">
        <v>811</v>
      </c>
      <c r="D16" s="1401">
        <f>'Inv. mat'!D122</f>
        <v>5405.3792879230259</v>
      </c>
      <c r="E16" s="1401">
        <f ca="1">'Inv. mat'!E122</f>
        <v>18580.345882868332</v>
      </c>
      <c r="F16" s="1401">
        <f ca="1">'Inv. mat'!F122</f>
        <v>19576.967492573087</v>
      </c>
      <c r="G16" s="1401">
        <f ca="1">'Inv. mat'!G122</f>
        <v>25084.22451421709</v>
      </c>
      <c r="H16" s="1401">
        <f ca="1">'Inv. mat'!H122</f>
        <v>27387.4993920161</v>
      </c>
      <c r="I16" s="1401">
        <f ca="1">'Inv. mat'!I122</f>
        <v>27831.316509870372</v>
      </c>
      <c r="J16" s="1402">
        <f ca="1">'Inv. mat'!J122</f>
        <v>28162.949521153052</v>
      </c>
      <c r="K16" s="1365"/>
      <c r="L16" s="1405"/>
      <c r="M16" s="1387"/>
      <c r="N16" s="1387"/>
      <c r="O16" s="1388"/>
      <c r="P16" s="1388"/>
      <c r="Q16" s="1388"/>
      <c r="R16" s="1388"/>
      <c r="S16" s="1388"/>
      <c r="T16" s="1388"/>
      <c r="U16" s="1389"/>
    </row>
    <row r="17" spans="1:21" ht="15">
      <c r="A17" s="1410"/>
      <c r="B17" s="1398" t="s">
        <v>820</v>
      </c>
      <c r="D17" s="1415">
        <f ca="1">SUM(D14:D16)</f>
        <v>1180726.6602096076</v>
      </c>
      <c r="E17" s="1415">
        <f t="shared" ref="E17:J17" ca="1" si="11">SUM(E14:E16)</f>
        <v>1169114.3323385832</v>
      </c>
      <c r="F17" s="1415">
        <f t="shared" ca="1" si="11"/>
        <v>1238576.2685106236</v>
      </c>
      <c r="G17" s="1415">
        <f t="shared" ca="1" si="11"/>
        <v>1298557.2061418626</v>
      </c>
      <c r="H17" s="1415">
        <f t="shared" ca="1" si="11"/>
        <v>1313084.9385617822</v>
      </c>
      <c r="I17" s="1415">
        <f t="shared" ca="1" si="11"/>
        <v>1383403.7195219728</v>
      </c>
      <c r="J17" s="1416">
        <f t="shared" ca="1" si="11"/>
        <v>1383008.9240785544</v>
      </c>
      <c r="K17" s="1365"/>
      <c r="L17" s="1391"/>
      <c r="M17" s="1395"/>
      <c r="N17" s="1395"/>
      <c r="O17" s="1395"/>
      <c r="P17" s="1395"/>
      <c r="Q17" s="1395"/>
      <c r="R17" s="1395"/>
      <c r="S17" s="1395"/>
      <c r="T17" s="1395"/>
      <c r="U17" s="1404"/>
    </row>
    <row r="18" spans="1:21" ht="15">
      <c r="A18" s="1410"/>
      <c r="B18" s="1398"/>
      <c r="D18" s="1414"/>
      <c r="E18" s="1414"/>
      <c r="F18" s="1414"/>
      <c r="G18" s="1414"/>
      <c r="H18" s="1414"/>
      <c r="I18" s="1414"/>
      <c r="J18" s="1417"/>
      <c r="K18" s="1365"/>
      <c r="L18" s="1386" t="s">
        <v>367</v>
      </c>
      <c r="M18" s="1418"/>
      <c r="N18" s="1418"/>
      <c r="O18" s="1388">
        <f>-Loan!H15</f>
        <v>0</v>
      </c>
      <c r="P18" s="1388">
        <f>-Loan!I15</f>
        <v>0</v>
      </c>
      <c r="Q18" s="1388">
        <f>-Loan!J15</f>
        <v>0</v>
      </c>
      <c r="R18" s="1388">
        <f>-Loan!K15</f>
        <v>0</v>
      </c>
      <c r="S18" s="1388">
        <f>-Loan!L15</f>
        <v>0</v>
      </c>
      <c r="T18" s="1388">
        <f>-Loan!M15</f>
        <v>0</v>
      </c>
      <c r="U18" s="1389">
        <f>-Loan!N15</f>
        <v>0</v>
      </c>
    </row>
    <row r="19" spans="1:21" ht="15">
      <c r="A19" s="1410"/>
      <c r="B19" s="1419" t="s">
        <v>768</v>
      </c>
      <c r="C19" s="1420">
        <f>150000+35986.72+21500-8936.91+(65790*100%)+3000</f>
        <v>267339.81</v>
      </c>
      <c r="E19" s="1420"/>
      <c r="F19" s="844"/>
      <c r="G19" s="1420"/>
      <c r="H19" s="1420"/>
      <c r="I19" s="1420"/>
      <c r="J19" s="1421"/>
      <c r="K19" s="1365"/>
      <c r="L19" s="1391" t="s">
        <v>769</v>
      </c>
      <c r="M19" s="1395"/>
      <c r="N19" s="688">
        <f>5484.24</f>
        <v>5484.24</v>
      </c>
      <c r="O19" s="1395">
        <v>0</v>
      </c>
      <c r="P19" s="1395">
        <v>0</v>
      </c>
      <c r="Q19" s="1395">
        <v>0</v>
      </c>
      <c r="R19" s="1395">
        <v>0</v>
      </c>
      <c r="S19" s="1395">
        <v>0</v>
      </c>
      <c r="T19" s="1395">
        <v>0</v>
      </c>
      <c r="U19" s="1404">
        <v>0</v>
      </c>
    </row>
    <row r="20" spans="1:21" ht="15">
      <c r="A20" s="1410"/>
      <c r="B20" s="1391"/>
      <c r="J20" s="1404"/>
      <c r="K20" s="1365"/>
      <c r="L20" s="1386" t="s">
        <v>50</v>
      </c>
      <c r="M20" s="1418"/>
      <c r="N20" s="1418"/>
      <c r="O20" s="1388">
        <f t="shared" ref="O20:U20" ca="1" si="12">(D36)*5%</f>
        <v>2490.9926687225739</v>
      </c>
      <c r="P20" s="1388">
        <f t="shared" ca="1" si="12"/>
        <v>27962.484479395542</v>
      </c>
      <c r="Q20" s="1388">
        <f t="shared" ca="1" si="12"/>
        <v>23021.17537083336</v>
      </c>
      <c r="R20" s="1388">
        <f t="shared" ca="1" si="12"/>
        <v>27186.579515148322</v>
      </c>
      <c r="S20" s="1388">
        <f t="shared" ca="1" si="12"/>
        <v>30350.063186050233</v>
      </c>
      <c r="T20" s="1388">
        <f t="shared" ca="1" si="12"/>
        <v>30919.193360655361</v>
      </c>
      <c r="U20" s="1389">
        <f t="shared" ca="1" si="12"/>
        <v>33702.357242732345</v>
      </c>
    </row>
    <row r="21" spans="1:21" ht="15">
      <c r="A21" s="1410"/>
      <c r="B21" s="1391" t="s">
        <v>105</v>
      </c>
      <c r="C21" s="688">
        <v>8936.91</v>
      </c>
      <c r="J21" s="1404"/>
      <c r="K21" s="1365"/>
      <c r="L21" s="1386" t="s">
        <v>51</v>
      </c>
      <c r="M21" s="1418"/>
      <c r="N21" s="1418"/>
      <c r="O21" s="1388">
        <f t="shared" ref="O21:U21" si="13">D57</f>
        <v>0</v>
      </c>
      <c r="P21" s="1388">
        <f t="shared" ca="1" si="13"/>
        <v>0</v>
      </c>
      <c r="Q21" s="1388">
        <f t="shared" si="13"/>
        <v>0</v>
      </c>
      <c r="R21" s="1388">
        <f t="shared" si="13"/>
        <v>0</v>
      </c>
      <c r="S21" s="1388">
        <f t="shared" ca="1" si="13"/>
        <v>2535454.004570629</v>
      </c>
      <c r="T21" s="1388">
        <f t="shared" ca="1" si="13"/>
        <v>2383724.6155618425</v>
      </c>
      <c r="U21" s="1389">
        <f t="shared" ca="1" si="13"/>
        <v>1380756.4990207229</v>
      </c>
    </row>
    <row r="22" spans="1:21" ht="15">
      <c r="A22" s="1410"/>
      <c r="B22" s="1422" t="s">
        <v>53</v>
      </c>
      <c r="C22" s="1393">
        <f t="shared" ref="C22:J22" si="14">C34*5%</f>
        <v>0</v>
      </c>
      <c r="D22" s="1393">
        <f ca="1">D34*5%</f>
        <v>5364.9893333333339</v>
      </c>
      <c r="E22" s="1393">
        <f ca="1">E34*5%</f>
        <v>143467.42552720392</v>
      </c>
      <c r="F22" s="1393">
        <f t="shared" ca="1" si="14"/>
        <v>84539.032513617829</v>
      </c>
      <c r="G22" s="1393">
        <f t="shared" ca="1" si="14"/>
        <v>161515.5222378606</v>
      </c>
      <c r="H22" s="1393">
        <f t="shared" ca="1" si="14"/>
        <v>205970.27964059176</v>
      </c>
      <c r="I22" s="1393">
        <f t="shared" ca="1" si="14"/>
        <v>214722.85385482959</v>
      </c>
      <c r="J22" s="1394">
        <f t="shared" ca="1" si="14"/>
        <v>221859.57917123867</v>
      </c>
      <c r="K22" s="1365"/>
      <c r="L22" s="1386" t="s">
        <v>368</v>
      </c>
      <c r="M22" s="1418"/>
      <c r="N22" s="1423"/>
      <c r="O22" s="1393">
        <f t="shared" ref="O22:U22" ca="1" si="15">-D47</f>
        <v>41488.440442367806</v>
      </c>
      <c r="P22" s="1393">
        <f t="shared" ca="1" si="15"/>
        <v>184461.90374259066</v>
      </c>
      <c r="Q22" s="1393">
        <f t="shared" ca="1" si="15"/>
        <v>78703.924194933628</v>
      </c>
      <c r="R22" s="1393">
        <f t="shared" ca="1" si="15"/>
        <v>224541.72585005095</v>
      </c>
      <c r="S22" s="1393">
        <f t="shared" ca="1" si="15"/>
        <v>306690.14814388857</v>
      </c>
      <c r="T22" s="1393">
        <f t="shared" ca="1" si="15"/>
        <v>340882.67434175918</v>
      </c>
      <c r="U22" s="1394">
        <f t="shared" ca="1" si="15"/>
        <v>0</v>
      </c>
    </row>
    <row r="23" spans="1:21" ht="15">
      <c r="A23" s="1410"/>
      <c r="B23" s="1419" t="s">
        <v>55</v>
      </c>
      <c r="C23" s="1399">
        <f>SUM(C21:C22)</f>
        <v>8936.91</v>
      </c>
      <c r="D23" s="1399">
        <f t="shared" ref="D23:J23" ca="1" si="16">SUM(D21:D22)</f>
        <v>5364.9893333333339</v>
      </c>
      <c r="E23" s="1399">
        <f t="shared" ca="1" si="16"/>
        <v>143467.42552720392</v>
      </c>
      <c r="F23" s="1399">
        <f t="shared" ca="1" si="16"/>
        <v>84539.032513617829</v>
      </c>
      <c r="G23" s="1399">
        <f t="shared" ca="1" si="16"/>
        <v>161515.5222378606</v>
      </c>
      <c r="H23" s="1399">
        <f t="shared" ca="1" si="16"/>
        <v>205970.27964059176</v>
      </c>
      <c r="I23" s="1399">
        <f t="shared" ca="1" si="16"/>
        <v>214722.85385482959</v>
      </c>
      <c r="J23" s="1400">
        <f t="shared" ca="1" si="16"/>
        <v>221859.57917123867</v>
      </c>
      <c r="K23" s="1365"/>
      <c r="L23" s="1405" t="s">
        <v>54</v>
      </c>
      <c r="M23" s="1387"/>
      <c r="N23" s="1388">
        <f t="shared" ref="N23:U23" si="17">SUM(N18:N22)</f>
        <v>5484.24</v>
      </c>
      <c r="O23" s="1388">
        <f t="shared" ca="1" si="17"/>
        <v>43979.43311109038</v>
      </c>
      <c r="P23" s="1388">
        <f t="shared" ca="1" si="17"/>
        <v>212424.38822198618</v>
      </c>
      <c r="Q23" s="1388">
        <f t="shared" ca="1" si="17"/>
        <v>101725.09956576698</v>
      </c>
      <c r="R23" s="1388">
        <f t="shared" ca="1" si="17"/>
        <v>251728.30536519928</v>
      </c>
      <c r="S23" s="1388">
        <f t="shared" ca="1" si="17"/>
        <v>2872494.2159005678</v>
      </c>
      <c r="T23" s="1388">
        <f t="shared" ca="1" si="17"/>
        <v>2755526.4832642572</v>
      </c>
      <c r="U23" s="1389">
        <f t="shared" ca="1" si="17"/>
        <v>1414458.8562634552</v>
      </c>
    </row>
    <row r="24" spans="1:21" ht="15">
      <c r="A24" s="1410"/>
      <c r="B24" s="1391"/>
      <c r="D24" s="1414"/>
      <c r="E24" s="1414"/>
      <c r="F24" s="1414"/>
      <c r="G24" s="1414"/>
      <c r="H24" s="1414"/>
      <c r="J24" s="1424"/>
      <c r="K24" s="1365"/>
      <c r="L24" s="1391"/>
      <c r="M24" s="1395"/>
      <c r="N24" s="1395"/>
      <c r="O24" s="1395"/>
      <c r="P24" s="1395"/>
      <c r="Q24" s="1395"/>
      <c r="R24" s="1395"/>
      <c r="S24" s="1395"/>
      <c r="T24" s="1395"/>
      <c r="U24" s="1404"/>
    </row>
    <row r="25" spans="1:21" ht="15">
      <c r="A25" s="1410"/>
      <c r="B25" s="1419" t="s">
        <v>56</v>
      </c>
      <c r="C25" s="1420">
        <v>0.25</v>
      </c>
      <c r="D25" s="1420">
        <f t="shared" ref="D25:J25" ca="1" si="18">D116</f>
        <v>2570148.8423496727</v>
      </c>
      <c r="E25" s="1420">
        <f t="shared" ca="1" si="18"/>
        <v>3247079.442821038</v>
      </c>
      <c r="F25" s="1420">
        <f t="shared" ca="1" si="18"/>
        <v>3975099.7469462007</v>
      </c>
      <c r="G25" s="1420">
        <f t="shared" ca="1" si="18"/>
        <v>6075974.2082271464</v>
      </c>
      <c r="H25" s="1420">
        <f t="shared" ca="1" si="18"/>
        <v>6440002.3613546845</v>
      </c>
      <c r="I25" s="1420">
        <f t="shared" ca="1" si="18"/>
        <v>4587115.7119255271</v>
      </c>
      <c r="J25" s="1389">
        <f t="shared" ca="1" si="18"/>
        <v>3978649.4522474711</v>
      </c>
      <c r="K25" s="1365"/>
      <c r="L25" s="1405"/>
      <c r="M25" s="1387"/>
      <c r="N25" s="1388">
        <f ca="1">N23+RCE!Q19</f>
        <v>5488.9204541054596</v>
      </c>
      <c r="O25" s="1388">
        <f ca="1">O23+RCE!R19</f>
        <v>45795.583376436807</v>
      </c>
      <c r="P25" s="1388">
        <f ca="1">P23+RCE!S19</f>
        <v>214276.6311174861</v>
      </c>
      <c r="Q25" s="1388">
        <f ca="1">Q23+RCE!T19</f>
        <v>103666.15290067521</v>
      </c>
      <c r="R25" s="1388">
        <f ca="1">R23+RCE!U19</f>
        <v>253702.98791202731</v>
      </c>
      <c r="S25" s="1388">
        <f ca="1">S23+RCE!V19-S21</f>
        <v>339101.15840110229</v>
      </c>
      <c r="T25" s="1387"/>
      <c r="U25" s="1413"/>
    </row>
    <row r="26" spans="1:21" ht="15">
      <c r="A26" s="1410"/>
      <c r="B26" s="1422"/>
      <c r="C26" s="1411"/>
      <c r="D26" s="1393"/>
      <c r="E26" s="1420"/>
      <c r="F26" s="1420"/>
      <c r="G26" s="1420"/>
      <c r="H26" s="1411"/>
      <c r="I26" s="1411"/>
      <c r="J26" s="1425"/>
      <c r="K26" s="1365"/>
      <c r="L26" s="1391"/>
      <c r="M26" s="1395"/>
      <c r="N26" s="1395"/>
      <c r="O26" s="1395"/>
      <c r="P26" s="1395"/>
      <c r="Q26" s="1395"/>
      <c r="R26" s="1395"/>
      <c r="S26" s="1395"/>
      <c r="T26" s="1395"/>
      <c r="U26" s="1404"/>
    </row>
    <row r="27" spans="1:21" ht="15.75" thickBot="1">
      <c r="A27" s="1410"/>
      <c r="B27" s="1419" t="s">
        <v>57</v>
      </c>
      <c r="C27" s="1426">
        <f>C25+C23+C11+C7+C14+C5+C10+C19</f>
        <v>276276.96999999997</v>
      </c>
      <c r="D27" s="1426">
        <f ca="1">D8+D12+D17+D23+D25</f>
        <v>5593229.998447529</v>
      </c>
      <c r="E27" s="1426">
        <f t="shared" ref="E27:J27" ca="1" si="19">E8+E12+E17+E23+E25</f>
        <v>7142580.7072417401</v>
      </c>
      <c r="F27" s="1426">
        <f t="shared" ca="1" si="19"/>
        <v>7740216.736339923</v>
      </c>
      <c r="G27" s="1426">
        <f t="shared" ca="1" si="19"/>
        <v>9911095.4747898132</v>
      </c>
      <c r="H27" s="1426">
        <f t="shared" ca="1" si="19"/>
        <v>10221164.70947892</v>
      </c>
      <c r="I27" s="1426">
        <f t="shared" ca="1" si="19"/>
        <v>8404691.8147947565</v>
      </c>
      <c r="J27" s="1427">
        <f t="shared" ca="1" si="19"/>
        <v>7777871.9103699997</v>
      </c>
      <c r="K27" s="1365"/>
      <c r="L27" s="1405" t="s">
        <v>58</v>
      </c>
      <c r="M27" s="1387"/>
      <c r="N27" s="1426">
        <f t="shared" ref="N27:U27" si="20">N23+N12+N11+N9</f>
        <v>276277.27999999997</v>
      </c>
      <c r="O27" s="1426">
        <f t="shared" ca="1" si="20"/>
        <v>5593230.2267162427</v>
      </c>
      <c r="P27" s="1426">
        <f t="shared" ca="1" si="20"/>
        <v>7142580.9355104547</v>
      </c>
      <c r="Q27" s="1426">
        <f t="shared" ca="1" si="20"/>
        <v>7740216.9646086376</v>
      </c>
      <c r="R27" s="1426">
        <f t="shared" ca="1" si="20"/>
        <v>9911095.7030585296</v>
      </c>
      <c r="S27" s="1426">
        <f t="shared" ca="1" si="20"/>
        <v>10221164.937747637</v>
      </c>
      <c r="T27" s="1426">
        <f t="shared" ca="1" si="20"/>
        <v>8404692.043063473</v>
      </c>
      <c r="U27" s="1427">
        <f t="shared" ca="1" si="20"/>
        <v>7777872.1386387153</v>
      </c>
    </row>
    <row r="28" spans="1:21" ht="14.25" thickTop="1" thickBot="1">
      <c r="B28" s="1428"/>
      <c r="C28" s="1429">
        <f t="shared" ref="C28:J28" si="21">ROUND(C27-N27,0)</f>
        <v>0</v>
      </c>
      <c r="D28" s="1429">
        <f t="shared" ca="1" si="21"/>
        <v>0</v>
      </c>
      <c r="E28" s="1429">
        <f t="shared" ca="1" si="21"/>
        <v>0</v>
      </c>
      <c r="F28" s="1429">
        <f t="shared" ca="1" si="21"/>
        <v>0</v>
      </c>
      <c r="G28" s="1429">
        <f t="shared" ca="1" si="21"/>
        <v>0</v>
      </c>
      <c r="H28" s="1429">
        <f t="shared" ca="1" si="21"/>
        <v>0</v>
      </c>
      <c r="I28" s="1429">
        <f t="shared" ca="1" si="21"/>
        <v>0</v>
      </c>
      <c r="J28" s="1430">
        <f t="shared" ca="1" si="21"/>
        <v>0</v>
      </c>
      <c r="L28" s="1431"/>
      <c r="M28" s="1429"/>
      <c r="N28" s="1429"/>
      <c r="O28" s="1432"/>
      <c r="P28" s="1432"/>
      <c r="Q28" s="1432"/>
      <c r="R28" s="1432"/>
      <c r="S28" s="1432"/>
      <c r="T28" s="1432"/>
      <c r="U28" s="1433"/>
    </row>
    <row r="29" spans="1:21" ht="10.5" customHeight="1" thickBot="1">
      <c r="A29" s="1390"/>
      <c r="D29" s="1434"/>
      <c r="E29" s="1414"/>
      <c r="F29" s="1414"/>
      <c r="G29" s="1414"/>
      <c r="H29" s="1414"/>
      <c r="I29" s="1414"/>
      <c r="J29" s="1414"/>
      <c r="K29" s="1365"/>
    </row>
    <row r="30" spans="1:21" ht="15">
      <c r="B30" s="1233" t="s">
        <v>72</v>
      </c>
      <c r="C30" s="1435"/>
      <c r="D30" s="1436">
        <f t="shared" ref="D30:J30" si="22">D3</f>
        <v>2023</v>
      </c>
      <c r="E30" s="1436">
        <f t="shared" si="22"/>
        <v>2024</v>
      </c>
      <c r="F30" s="1436">
        <f t="shared" si="22"/>
        <v>2025</v>
      </c>
      <c r="G30" s="1436">
        <f t="shared" si="22"/>
        <v>2026</v>
      </c>
      <c r="H30" s="1436">
        <f t="shared" si="22"/>
        <v>2027</v>
      </c>
      <c r="I30" s="1436">
        <f t="shared" si="22"/>
        <v>2028</v>
      </c>
      <c r="J30" s="1437">
        <f t="shared" si="22"/>
        <v>2029</v>
      </c>
      <c r="K30" s="1365"/>
      <c r="L30" s="1438" t="s">
        <v>369</v>
      </c>
      <c r="M30" s="1439"/>
      <c r="N30" s="1439"/>
      <c r="O30" s="1436">
        <f t="shared" ref="O30:U30" si="23">D30</f>
        <v>2023</v>
      </c>
      <c r="P30" s="1436">
        <f t="shared" si="23"/>
        <v>2024</v>
      </c>
      <c r="Q30" s="1436">
        <f t="shared" si="23"/>
        <v>2025</v>
      </c>
      <c r="R30" s="1436">
        <f t="shared" si="23"/>
        <v>2026</v>
      </c>
      <c r="S30" s="1436">
        <f t="shared" si="23"/>
        <v>2027</v>
      </c>
      <c r="T30" s="1436">
        <f t="shared" si="23"/>
        <v>2028</v>
      </c>
      <c r="U30" s="1437">
        <f t="shared" si="23"/>
        <v>2029</v>
      </c>
    </row>
    <row r="31" spans="1:21" ht="15">
      <c r="B31" s="1440"/>
      <c r="C31" s="1441"/>
      <c r="D31" s="1442"/>
      <c r="E31" s="1442"/>
      <c r="F31" s="1442"/>
      <c r="G31" s="843"/>
      <c r="H31" s="1442"/>
      <c r="I31" s="1442"/>
      <c r="J31" s="1443"/>
      <c r="K31" s="1365"/>
      <c r="L31" s="1440" t="s">
        <v>253</v>
      </c>
      <c r="M31" s="1408"/>
      <c r="N31" s="1408"/>
      <c r="O31" s="1444">
        <v>100</v>
      </c>
      <c r="P31" s="1444">
        <f t="shared" ref="P31:U31" si="24">O33</f>
        <v>10000</v>
      </c>
      <c r="Q31" s="1444">
        <f t="shared" si="24"/>
        <v>10000</v>
      </c>
      <c r="R31" s="1444">
        <f t="shared" si="24"/>
        <v>10000</v>
      </c>
      <c r="S31" s="1444">
        <f t="shared" si="24"/>
        <v>10000</v>
      </c>
      <c r="T31" s="1444">
        <f t="shared" si="24"/>
        <v>10000</v>
      </c>
      <c r="U31" s="1445">
        <f t="shared" si="24"/>
        <v>10000</v>
      </c>
    </row>
    <row r="32" spans="1:21">
      <c r="A32" s="1410"/>
      <c r="B32" s="1446" t="s">
        <v>380</v>
      </c>
      <c r="C32" s="1447"/>
      <c r="D32" s="1448">
        <f ca="1">Sale!I9</f>
        <v>107256.78666666667</v>
      </c>
      <c r="E32" s="1448">
        <f ca="1">Sale!J9</f>
        <v>2867006.0467940783</v>
      </c>
      <c r="F32" s="1448">
        <f ca="1">Sale!K9</f>
        <v>1688331.2032557316</v>
      </c>
      <c r="G32" s="1448">
        <f ca="1">Sale!L9</f>
        <v>3225035.2470776914</v>
      </c>
      <c r="H32" s="1448">
        <f ca="1">Sale!M9</f>
        <v>4119405.592811835</v>
      </c>
      <c r="I32" s="1448">
        <f ca="1">Sale!N9</f>
        <v>4294457.0770965917</v>
      </c>
      <c r="J32" s="1289">
        <f ca="1">Sale!O9</f>
        <v>4437191.5834247731</v>
      </c>
      <c r="L32" s="1391" t="s">
        <v>370</v>
      </c>
      <c r="O32" s="1449">
        <v>9900</v>
      </c>
      <c r="P32" s="1449">
        <v>0</v>
      </c>
      <c r="Q32" s="1449">
        <v>0</v>
      </c>
      <c r="R32" s="1449">
        <v>0</v>
      </c>
      <c r="S32" s="1449">
        <v>0</v>
      </c>
      <c r="T32" s="1449">
        <v>0</v>
      </c>
      <c r="U32" s="1450">
        <v>0</v>
      </c>
    </row>
    <row r="33" spans="1:25">
      <c r="A33" s="1410"/>
      <c r="B33" s="1446" t="s">
        <v>1015</v>
      </c>
      <c r="C33" s="1447"/>
      <c r="D33" s="1448">
        <f>Bond!F75</f>
        <v>43</v>
      </c>
      <c r="E33" s="1448">
        <f>Bond!G75</f>
        <v>2342.4637499999999</v>
      </c>
      <c r="F33" s="1448">
        <f>Bond!H75</f>
        <v>2449.4470166249998</v>
      </c>
      <c r="G33" s="1448">
        <f>Bond!I75</f>
        <v>5275.1976795200644</v>
      </c>
      <c r="H33" s="1448">
        <f>Bond!J75</f>
        <v>0</v>
      </c>
      <c r="I33" s="1448">
        <f>Bond!K75</f>
        <v>0</v>
      </c>
      <c r="J33" s="1289">
        <f>Bond!L75</f>
        <v>0</v>
      </c>
      <c r="L33" s="1391" t="s">
        <v>371</v>
      </c>
      <c r="O33" s="1409">
        <f>O31+O32</f>
        <v>10000</v>
      </c>
      <c r="P33" s="1409">
        <f t="shared" ref="P33:U33" si="25">P31+P32</f>
        <v>10000</v>
      </c>
      <c r="Q33" s="1409">
        <f t="shared" si="25"/>
        <v>10000</v>
      </c>
      <c r="R33" s="1409">
        <f t="shared" si="25"/>
        <v>10000</v>
      </c>
      <c r="S33" s="1409">
        <f t="shared" si="25"/>
        <v>10000</v>
      </c>
      <c r="T33" s="1409">
        <f t="shared" si="25"/>
        <v>10000</v>
      </c>
      <c r="U33" s="1397">
        <f t="shared" si="25"/>
        <v>10000</v>
      </c>
    </row>
    <row r="34" spans="1:25" ht="15">
      <c r="A34" s="1410"/>
      <c r="B34" s="1451" t="s">
        <v>29</v>
      </c>
      <c r="C34" s="1447"/>
      <c r="D34" s="275">
        <f t="shared" ref="D34:J34" ca="1" si="26">SUM(D32:D33)</f>
        <v>107299.78666666667</v>
      </c>
      <c r="E34" s="275">
        <f t="shared" ca="1" si="26"/>
        <v>2869348.5105440784</v>
      </c>
      <c r="F34" s="275">
        <f t="shared" ca="1" si="26"/>
        <v>1690780.6502723566</v>
      </c>
      <c r="G34" s="275">
        <f t="shared" ca="1" si="26"/>
        <v>3230310.4447572115</v>
      </c>
      <c r="H34" s="275">
        <f t="shared" ca="1" si="26"/>
        <v>4119405.592811835</v>
      </c>
      <c r="I34" s="275">
        <f t="shared" ca="1" si="26"/>
        <v>4294457.0770965917</v>
      </c>
      <c r="J34" s="276">
        <f t="shared" ca="1" si="26"/>
        <v>4437191.5834247731</v>
      </c>
      <c r="K34" s="1360"/>
      <c r="L34" s="1391"/>
      <c r="U34" s="1404"/>
    </row>
    <row r="35" spans="1:25" ht="15">
      <c r="A35" s="1410"/>
      <c r="B35" s="1391" t="s">
        <v>980</v>
      </c>
      <c r="C35" s="1395"/>
      <c r="D35" s="1406">
        <f ca="1">Costprice!E11-Costprice!E19</f>
        <v>0</v>
      </c>
      <c r="E35" s="1406">
        <f ca="1">Costprice!F11-Costprice!F19</f>
        <v>0</v>
      </c>
      <c r="F35" s="1406">
        <f ca="1">Costprice!G11-Costprice!G19</f>
        <v>0</v>
      </c>
      <c r="G35" s="1406">
        <f ca="1">Costprice!H11-Costprice!H19</f>
        <v>0</v>
      </c>
      <c r="H35" s="1406">
        <f ca="1">Costprice!I11-Costprice!I19</f>
        <v>0</v>
      </c>
      <c r="I35" s="1406">
        <f ca="1">Costprice!J11-Costprice!J19</f>
        <v>0</v>
      </c>
      <c r="J35" s="1407">
        <f ca="1">Costprice!K11-Costprice!K19</f>
        <v>0</v>
      </c>
      <c r="K35" s="1360"/>
      <c r="L35" s="1391" t="s">
        <v>373</v>
      </c>
      <c r="N35" s="1361" t="s">
        <v>317</v>
      </c>
      <c r="O35" s="303">
        <v>1</v>
      </c>
      <c r="P35" s="303">
        <f t="shared" ref="P35:U35" si="27">O35</f>
        <v>1</v>
      </c>
      <c r="Q35" s="303">
        <f t="shared" si="27"/>
        <v>1</v>
      </c>
      <c r="R35" s="303">
        <f t="shared" si="27"/>
        <v>1</v>
      </c>
      <c r="S35" s="303">
        <f t="shared" si="27"/>
        <v>1</v>
      </c>
      <c r="T35" s="303">
        <f t="shared" si="27"/>
        <v>1</v>
      </c>
      <c r="U35" s="304">
        <f t="shared" si="27"/>
        <v>1</v>
      </c>
    </row>
    <row r="36" spans="1:25" ht="15">
      <c r="A36" s="1410"/>
      <c r="B36" s="1452" t="s">
        <v>1137</v>
      </c>
      <c r="C36" s="1453"/>
      <c r="D36" s="1454">
        <f ca="1">Costprice!O78</f>
        <v>49819.853374451472</v>
      </c>
      <c r="E36" s="1454">
        <f ca="1">Costprice!P78</f>
        <v>559249.68958791078</v>
      </c>
      <c r="F36" s="1454">
        <f ca="1">Costprice!Q78</f>
        <v>460423.50741666718</v>
      </c>
      <c r="G36" s="1454">
        <f ca="1">Costprice!R78</f>
        <v>543731.59030296642</v>
      </c>
      <c r="H36" s="1454">
        <f ca="1">Costprice!S78</f>
        <v>607001.26372100459</v>
      </c>
      <c r="I36" s="1454">
        <f ca="1">Costprice!T78</f>
        <v>618383.86721310718</v>
      </c>
      <c r="J36" s="1324">
        <f ca="1">Costprice!U78</f>
        <v>674047.14485464687</v>
      </c>
      <c r="K36" s="1360"/>
      <c r="L36" s="1391" t="s">
        <v>90</v>
      </c>
      <c r="N36" s="1361" t="s">
        <v>317</v>
      </c>
      <c r="O36" s="1455">
        <f>O33*O35</f>
        <v>10000</v>
      </c>
      <c r="P36" s="1455">
        <f t="shared" ref="P36:U36" si="28">P33*P35</f>
        <v>10000</v>
      </c>
      <c r="Q36" s="1455">
        <f t="shared" si="28"/>
        <v>10000</v>
      </c>
      <c r="R36" s="1455">
        <f t="shared" si="28"/>
        <v>10000</v>
      </c>
      <c r="S36" s="1455">
        <f t="shared" si="28"/>
        <v>10000</v>
      </c>
      <c r="T36" s="1455">
        <f t="shared" si="28"/>
        <v>10000</v>
      </c>
      <c r="U36" s="1456">
        <f t="shared" si="28"/>
        <v>10000</v>
      </c>
    </row>
    <row r="37" spans="1:25" ht="15">
      <c r="A37" s="1410"/>
      <c r="B37" s="1452" t="s">
        <v>60</v>
      </c>
      <c r="C37" s="1447"/>
      <c r="D37" s="897">
        <f ca="1">Opex!D21</f>
        <v>142849.83919931506</v>
      </c>
      <c r="E37" s="897">
        <f ca="1">Opex!E21</f>
        <v>238032.36623621077</v>
      </c>
      <c r="F37" s="897">
        <f ca="1">Opex!F21</f>
        <v>211204.49801050473</v>
      </c>
      <c r="G37" s="897">
        <f ca="1">Opex!G21</f>
        <v>207172.01056030754</v>
      </c>
      <c r="H37" s="897">
        <f ca="1">Opex!H21</f>
        <v>209859.9401099495</v>
      </c>
      <c r="I37" s="897">
        <f ca="1">Opex!I21</f>
        <v>197400.19976953758</v>
      </c>
      <c r="J37" s="898">
        <f ca="1">Opex!J21</f>
        <v>217134.13703346445</v>
      </c>
      <c r="K37" s="1360"/>
      <c r="L37" s="1391" t="s">
        <v>374</v>
      </c>
      <c r="O37" s="1449">
        <f>IF(O32&gt;0,(O36-O31),0)</f>
        <v>9900</v>
      </c>
      <c r="P37" s="1449">
        <f t="shared" ref="P37:U37" si="29">IF(P32&gt;0,(P36-O36),0)</f>
        <v>0</v>
      </c>
      <c r="Q37" s="1449">
        <f t="shared" si="29"/>
        <v>0</v>
      </c>
      <c r="R37" s="1449">
        <f t="shared" si="29"/>
        <v>0</v>
      </c>
      <c r="S37" s="1449">
        <f t="shared" si="29"/>
        <v>0</v>
      </c>
      <c r="T37" s="1449">
        <f t="shared" si="29"/>
        <v>0</v>
      </c>
      <c r="U37" s="1450">
        <f t="shared" si="29"/>
        <v>0</v>
      </c>
    </row>
    <row r="38" spans="1:25" ht="15">
      <c r="A38" s="1410"/>
      <c r="B38" s="1452" t="s">
        <v>941</v>
      </c>
      <c r="C38" s="1447"/>
      <c r="D38" s="897">
        <f>Opex!E212</f>
        <v>18000</v>
      </c>
      <c r="E38" s="897">
        <f>Opex!F212</f>
        <v>18630</v>
      </c>
      <c r="F38" s="897">
        <f>Opex!G212</f>
        <v>19002.599999999999</v>
      </c>
      <c r="G38" s="897">
        <f>Opex!H212</f>
        <v>19382.651999999998</v>
      </c>
      <c r="H38" s="897">
        <f>Opex!I212</f>
        <v>19770.305039999999</v>
      </c>
      <c r="I38" s="897">
        <f>Opex!J212</f>
        <v>20165.711140799998</v>
      </c>
      <c r="J38" s="898">
        <f>Opex!K212</f>
        <v>20569.025363615998</v>
      </c>
      <c r="K38" s="1360"/>
      <c r="L38" s="1391"/>
      <c r="O38" s="302"/>
      <c r="P38" s="302">
        <f t="shared" ref="P38:U38" si="30">IF(P37&gt;0,IF(O6=0,0,O6),0)</f>
        <v>0</v>
      </c>
      <c r="Q38" s="302">
        <f t="shared" si="30"/>
        <v>0</v>
      </c>
      <c r="R38" s="302">
        <f t="shared" si="30"/>
        <v>0</v>
      </c>
      <c r="S38" s="302">
        <f t="shared" si="30"/>
        <v>0</v>
      </c>
      <c r="T38" s="302">
        <f t="shared" si="30"/>
        <v>0</v>
      </c>
      <c r="U38" s="305">
        <f t="shared" si="30"/>
        <v>0</v>
      </c>
    </row>
    <row r="39" spans="1:25" ht="15">
      <c r="A39" s="1410"/>
      <c r="B39" s="1451" t="s">
        <v>60</v>
      </c>
      <c r="C39" s="1447"/>
      <c r="D39" s="275">
        <f t="shared" ref="D39:J39" ca="1" si="31">SUM(D35:D38)</f>
        <v>210669.69257376652</v>
      </c>
      <c r="E39" s="275">
        <f t="shared" ca="1" si="31"/>
        <v>815912.05582412158</v>
      </c>
      <c r="F39" s="275">
        <f t="shared" ca="1" si="31"/>
        <v>690630.60542717192</v>
      </c>
      <c r="G39" s="275">
        <f t="shared" ca="1" si="31"/>
        <v>770286.25286327396</v>
      </c>
      <c r="H39" s="275">
        <f t="shared" ca="1" si="31"/>
        <v>836631.50887095416</v>
      </c>
      <c r="I39" s="275">
        <f t="shared" ca="1" si="31"/>
        <v>835949.77812344476</v>
      </c>
      <c r="J39" s="276">
        <f t="shared" ca="1" si="31"/>
        <v>911750.30725172721</v>
      </c>
      <c r="K39" s="1360"/>
      <c r="L39" s="1391" t="s">
        <v>376</v>
      </c>
      <c r="N39" s="1361" t="s">
        <v>317</v>
      </c>
      <c r="O39" s="1409">
        <f>O37-O38</f>
        <v>9900</v>
      </c>
      <c r="P39" s="1409">
        <f t="shared" ref="P39:U39" si="32">P37-P38</f>
        <v>0</v>
      </c>
      <c r="Q39" s="1409">
        <f t="shared" si="32"/>
        <v>0</v>
      </c>
      <c r="R39" s="1409">
        <f t="shared" si="32"/>
        <v>0</v>
      </c>
      <c r="S39" s="1409">
        <f t="shared" si="32"/>
        <v>0</v>
      </c>
      <c r="T39" s="1409">
        <f t="shared" si="32"/>
        <v>0</v>
      </c>
      <c r="U39" s="1397">
        <f t="shared" si="32"/>
        <v>0</v>
      </c>
    </row>
    <row r="40" spans="1:25" ht="15.75" thickBot="1">
      <c r="A40" s="1410"/>
      <c r="B40" s="1451"/>
      <c r="C40" s="1447"/>
      <c r="D40" s="277"/>
      <c r="E40" s="277"/>
      <c r="F40" s="277"/>
      <c r="G40" s="277"/>
      <c r="H40" s="277"/>
      <c r="I40" s="277"/>
      <c r="J40" s="278"/>
      <c r="K40" s="1360"/>
      <c r="L40" s="1457" t="s">
        <v>376</v>
      </c>
      <c r="M40" s="1458"/>
      <c r="N40" s="1458" t="s">
        <v>318</v>
      </c>
      <c r="O40" s="1459">
        <f>O39/'RCE PP&amp;E'!$E$3</f>
        <v>5061.7896238425628</v>
      </c>
      <c r="P40" s="1459">
        <f>P39/'RCE PP&amp;E'!$E$3</f>
        <v>0</v>
      </c>
      <c r="Q40" s="1459">
        <f>Q39/'RCE PP&amp;E'!$E$3</f>
        <v>0</v>
      </c>
      <c r="R40" s="1459">
        <f>R39/'RCE PP&amp;E'!$E$3</f>
        <v>0</v>
      </c>
      <c r="S40" s="1459">
        <f>S39/'RCE PP&amp;E'!$E$3</f>
        <v>0</v>
      </c>
      <c r="T40" s="1459"/>
      <c r="U40" s="1460">
        <f>U39/'RCE PP&amp;E'!$E$3</f>
        <v>0</v>
      </c>
    </row>
    <row r="41" spans="1:25" ht="15.75" thickBot="1">
      <c r="A41" s="1410"/>
      <c r="B41" s="1301" t="s">
        <v>19</v>
      </c>
      <c r="C41" s="1461"/>
      <c r="D41" s="1291">
        <f ca="1">D34-D39</f>
        <v>-103369.90590709985</v>
      </c>
      <c r="E41" s="1291">
        <f t="shared" ref="E41:J41" ca="1" si="33">E34-E39</f>
        <v>2053436.454719957</v>
      </c>
      <c r="F41" s="1291">
        <f t="shared" ca="1" si="33"/>
        <v>1000150.0448451847</v>
      </c>
      <c r="G41" s="1291">
        <f t="shared" ca="1" si="33"/>
        <v>2460024.1918939375</v>
      </c>
      <c r="H41" s="1291">
        <f t="shared" ca="1" si="33"/>
        <v>3282774.0839408808</v>
      </c>
      <c r="I41" s="1291">
        <f t="shared" ca="1" si="33"/>
        <v>3458507.2989731468</v>
      </c>
      <c r="J41" s="1292">
        <f t="shared" ca="1" si="33"/>
        <v>3525441.2761730459</v>
      </c>
      <c r="K41" s="1360"/>
      <c r="L41" s="1237" t="s">
        <v>922</v>
      </c>
      <c r="M41" s="1238"/>
      <c r="N41" s="1238"/>
      <c r="O41" s="856">
        <v>0.8</v>
      </c>
      <c r="P41" s="856">
        <v>0.82</v>
      </c>
      <c r="Q41" s="856">
        <v>0.83</v>
      </c>
      <c r="R41" s="856">
        <v>0.84</v>
      </c>
      <c r="S41" s="856">
        <v>0.85</v>
      </c>
      <c r="T41" s="856">
        <v>0.86499999999999999</v>
      </c>
      <c r="U41" s="857">
        <v>0.875</v>
      </c>
    </row>
    <row r="42" spans="1:25" ht="16.5" thickTop="1" thickBot="1">
      <c r="A42" s="1410"/>
      <c r="B42" s="1037" t="s">
        <v>982</v>
      </c>
      <c r="C42" s="1461"/>
      <c r="D42" s="1448">
        <f ca="1">N112</f>
        <v>671501.27094141964</v>
      </c>
      <c r="E42" s="1462"/>
      <c r="F42" s="1462"/>
      <c r="G42" s="1462"/>
      <c r="H42" s="1453"/>
      <c r="I42" s="1453"/>
      <c r="J42" s="1297"/>
      <c r="K42" s="1360"/>
    </row>
    <row r="43" spans="1:25" ht="15">
      <c r="A43" s="1410"/>
      <c r="B43" s="1037" t="s">
        <v>359</v>
      </c>
      <c r="C43" s="1461"/>
      <c r="D43" s="1448">
        <f ca="1">-Bond!F68-Loan!G10</f>
        <v>-89176.960610641778</v>
      </c>
      <c r="E43" s="1448">
        <f ca="1">-Bond!G68-Loan!H10</f>
        <v>-144747.41729405065</v>
      </c>
      <c r="F43" s="1448">
        <f ca="1">-Bond!H68-Loan!I10</f>
        <v>-149040.80289584838</v>
      </c>
      <c r="G43" s="1448">
        <f ca="1">-Bond!I68-Loan!J10</f>
        <v>-150536.93339342831</v>
      </c>
      <c r="H43" s="1448">
        <f ca="1">-Bond!J68-Loan!K10</f>
        <v>-151802.60250199537</v>
      </c>
      <c r="I43" s="1448">
        <f ca="1">-Bond!K68-Loan!L10</f>
        <v>-49680.555555555555</v>
      </c>
      <c r="J43" s="1289">
        <f ca="1">-Bond!L68-Loan!M10</f>
        <v>-49680.555555555555</v>
      </c>
      <c r="K43" s="1360"/>
      <c r="L43" s="1463" t="s">
        <v>930</v>
      </c>
      <c r="M43" s="1464"/>
      <c r="N43" s="1464"/>
      <c r="O43" s="1464"/>
      <c r="P43" s="1464"/>
      <c r="Q43" s="1464"/>
      <c r="R43" s="1464"/>
      <c r="S43" s="1464"/>
      <c r="T43" s="1464"/>
      <c r="U43" s="1465"/>
    </row>
    <row r="44" spans="1:25" ht="15">
      <c r="A44" s="1410"/>
      <c r="B44" s="1037" t="s">
        <v>30</v>
      </c>
      <c r="C44" s="1461"/>
      <c r="D44" s="1448">
        <f>-O93</f>
        <v>-64070</v>
      </c>
      <c r="E44" s="1448">
        <f t="shared" ref="E44:J44" si="34">-P93</f>
        <v>-64070</v>
      </c>
      <c r="F44" s="1448">
        <f t="shared" si="34"/>
        <v>-64070</v>
      </c>
      <c r="G44" s="1448">
        <f t="shared" si="34"/>
        <v>-64070</v>
      </c>
      <c r="H44" s="1448">
        <f t="shared" si="34"/>
        <v>-64070</v>
      </c>
      <c r="I44" s="1448">
        <f t="shared" si="34"/>
        <v>0</v>
      </c>
      <c r="J44" s="1289">
        <f t="shared" si="34"/>
        <v>0</v>
      </c>
      <c r="K44" s="1360"/>
      <c r="L44" s="1391" t="s">
        <v>927</v>
      </c>
      <c r="O44" s="1414">
        <f t="shared" ref="O44:U44" si="35">D55</f>
        <v>0</v>
      </c>
      <c r="P44" s="1414">
        <f t="shared" ca="1" si="35"/>
        <v>0</v>
      </c>
      <c r="Q44" s="1414">
        <f>F55</f>
        <v>0</v>
      </c>
      <c r="R44" s="1414">
        <f t="shared" si="35"/>
        <v>0</v>
      </c>
      <c r="S44" s="1414">
        <f t="shared" ca="1" si="35"/>
        <v>2535454.004570629</v>
      </c>
      <c r="T44" s="1414">
        <f t="shared" ca="1" si="35"/>
        <v>2383724.6155618425</v>
      </c>
      <c r="U44" s="1407">
        <f t="shared" ca="1" si="35"/>
        <v>1380756.4990207229</v>
      </c>
    </row>
    <row r="45" spans="1:25" ht="15.75" thickBot="1">
      <c r="A45" s="1410"/>
      <c r="B45" s="1466" t="s">
        <v>10</v>
      </c>
      <c r="C45" s="1461"/>
      <c r="D45" s="1291">
        <f ca="1">SUM(D41:D44)</f>
        <v>414884.40442367806</v>
      </c>
      <c r="E45" s="1291">
        <f t="shared" ref="E45:J45" ca="1" si="36">SUM(E41:E44)</f>
        <v>1844619.0374259064</v>
      </c>
      <c r="F45" s="1291">
        <f t="shared" ca="1" si="36"/>
        <v>787039.24194933625</v>
      </c>
      <c r="G45" s="1291">
        <f t="shared" ca="1" si="36"/>
        <v>2245417.2585005094</v>
      </c>
      <c r="H45" s="1291">
        <f t="shared" ca="1" si="36"/>
        <v>3066901.4814388854</v>
      </c>
      <c r="I45" s="1291">
        <f t="shared" ca="1" si="36"/>
        <v>3408826.7434175913</v>
      </c>
      <c r="J45" s="1292">
        <f t="shared" ca="1" si="36"/>
        <v>3475760.7206174904</v>
      </c>
      <c r="K45" s="1360"/>
      <c r="L45" s="1391" t="s">
        <v>928</v>
      </c>
      <c r="P45" s="1414">
        <f t="shared" ref="P45:U45" si="37">D57</f>
        <v>0</v>
      </c>
      <c r="Q45" s="1414">
        <f t="shared" ca="1" si="37"/>
        <v>0</v>
      </c>
      <c r="R45" s="1414">
        <f t="shared" si="37"/>
        <v>0</v>
      </c>
      <c r="S45" s="1414">
        <f t="shared" si="37"/>
        <v>0</v>
      </c>
      <c r="T45" s="1414">
        <f t="shared" ca="1" si="37"/>
        <v>2535454.004570629</v>
      </c>
      <c r="U45" s="1407">
        <f t="shared" ca="1" si="37"/>
        <v>2383724.6155618425</v>
      </c>
    </row>
    <row r="46" spans="1:25" ht="15.75" thickTop="1">
      <c r="A46" s="1410"/>
      <c r="B46" s="1466"/>
      <c r="C46" s="1461"/>
      <c r="D46" s="1461"/>
      <c r="E46" s="1461"/>
      <c r="F46" s="1461"/>
      <c r="G46" s="1461"/>
      <c r="H46" s="1461"/>
      <c r="I46" s="1461"/>
      <c r="J46" s="1467"/>
      <c r="K46" s="1360"/>
      <c r="L46" s="1391" t="s">
        <v>929</v>
      </c>
      <c r="O46" s="1449">
        <f t="shared" ref="O46:U46" si="38">-O118</f>
        <v>0</v>
      </c>
      <c r="P46" s="1449">
        <f t="shared" si="38"/>
        <v>0</v>
      </c>
      <c r="Q46" s="1449">
        <f t="shared" si="38"/>
        <v>0</v>
      </c>
      <c r="R46" s="1449">
        <f t="shared" si="38"/>
        <v>0</v>
      </c>
      <c r="S46" s="1449">
        <f t="shared" ca="1" si="38"/>
        <v>0</v>
      </c>
      <c r="T46" s="1449">
        <f t="shared" ca="1" si="38"/>
        <v>0</v>
      </c>
      <c r="U46" s="1450">
        <f t="shared" ca="1" si="38"/>
        <v>0</v>
      </c>
    </row>
    <row r="47" spans="1:25" ht="15">
      <c r="A47" s="1410"/>
      <c r="B47" s="1290" t="s">
        <v>361</v>
      </c>
      <c r="C47" s="286"/>
      <c r="D47" s="850">
        <f t="shared" ref="D47:J47" ca="1" si="39">-D125</f>
        <v>-41488.440442367806</v>
      </c>
      <c r="E47" s="850">
        <f t="shared" ca="1" si="39"/>
        <v>-184461.90374259066</v>
      </c>
      <c r="F47" s="850">
        <f t="shared" ca="1" si="39"/>
        <v>-78703.924194933628</v>
      </c>
      <c r="G47" s="850">
        <f t="shared" ca="1" si="39"/>
        <v>-224541.72585005095</v>
      </c>
      <c r="H47" s="850">
        <f t="shared" ca="1" si="39"/>
        <v>-306690.14814388857</v>
      </c>
      <c r="I47" s="850">
        <f t="shared" ca="1" si="39"/>
        <v>-340882.67434175918</v>
      </c>
      <c r="J47" s="851">
        <f t="shared" ca="1" si="39"/>
        <v>0</v>
      </c>
      <c r="K47" s="1360"/>
      <c r="L47" s="1398" t="s">
        <v>26</v>
      </c>
      <c r="O47" s="1409">
        <f t="shared" ref="O47:U47" si="40">O44+O45+O46</f>
        <v>0</v>
      </c>
      <c r="P47" s="1409">
        <f t="shared" ca="1" si="40"/>
        <v>0</v>
      </c>
      <c r="Q47" s="1409">
        <f t="shared" ca="1" si="40"/>
        <v>0</v>
      </c>
      <c r="R47" s="1409">
        <f t="shared" si="40"/>
        <v>0</v>
      </c>
      <c r="S47" s="1409">
        <f t="shared" ca="1" si="40"/>
        <v>2535454.004570629</v>
      </c>
      <c r="T47" s="1409">
        <f t="shared" ca="1" si="40"/>
        <v>4919178.6201324714</v>
      </c>
      <c r="U47" s="1397">
        <f t="shared" ca="1" si="40"/>
        <v>3764481.1145825656</v>
      </c>
    </row>
    <row r="48" spans="1:25" ht="15">
      <c r="A48" s="1410"/>
      <c r="B48" s="1468" t="s">
        <v>362</v>
      </c>
      <c r="C48" s="286"/>
      <c r="D48" s="1448"/>
      <c r="E48" s="1448"/>
      <c r="F48" s="1448"/>
      <c r="G48" s="1448"/>
      <c r="H48" s="1448"/>
      <c r="I48" s="1448"/>
      <c r="J48" s="1289"/>
      <c r="K48" s="1360"/>
      <c r="L48" s="1398"/>
      <c r="O48" s="1409"/>
      <c r="P48" s="1409"/>
      <c r="Q48" s="1409"/>
      <c r="R48" s="1409"/>
      <c r="S48" s="1409"/>
      <c r="T48" s="1409"/>
      <c r="U48" s="1397"/>
      <c r="V48" s="862"/>
      <c r="Y48" s="1469"/>
    </row>
    <row r="49" spans="1:30" ht="15.75" thickBot="1">
      <c r="A49" s="1410"/>
      <c r="B49" s="1466" t="s">
        <v>31</v>
      </c>
      <c r="C49" s="1470"/>
      <c r="D49" s="1291">
        <f ca="1">D45+D47</f>
        <v>373395.96398131025</v>
      </c>
      <c r="E49" s="1291">
        <f t="shared" ref="E49:J49" ca="1" si="41">E45+E47</f>
        <v>1660157.1336833157</v>
      </c>
      <c r="F49" s="1291">
        <f t="shared" ca="1" si="41"/>
        <v>708335.31775440264</v>
      </c>
      <c r="G49" s="1291">
        <f t="shared" ca="1" si="41"/>
        <v>2020875.5326504584</v>
      </c>
      <c r="H49" s="1291">
        <f t="shared" ca="1" si="41"/>
        <v>2760211.333294997</v>
      </c>
      <c r="I49" s="1291">
        <f t="shared" ca="1" si="41"/>
        <v>3067944.0690758321</v>
      </c>
      <c r="J49" s="1292">
        <f t="shared" ca="1" si="41"/>
        <v>3475760.7206174904</v>
      </c>
      <c r="K49" s="1360"/>
      <c r="L49" s="1391" t="s">
        <v>931</v>
      </c>
      <c r="O49" s="862">
        <f t="shared" ref="O49:U49" si="42">(O44+O45)/O36</f>
        <v>0</v>
      </c>
      <c r="P49" s="862">
        <f t="shared" ca="1" si="42"/>
        <v>0</v>
      </c>
      <c r="Q49" s="862">
        <f t="shared" ca="1" si="42"/>
        <v>0</v>
      </c>
      <c r="R49" s="862">
        <f t="shared" si="42"/>
        <v>0</v>
      </c>
      <c r="S49" s="862">
        <f t="shared" ca="1" si="42"/>
        <v>253.5454004570629</v>
      </c>
      <c r="T49" s="862">
        <f t="shared" ca="1" si="42"/>
        <v>491.91786201324715</v>
      </c>
      <c r="U49" s="863">
        <f t="shared" ca="1" si="42"/>
        <v>376.44811145825656</v>
      </c>
      <c r="Y49" s="1469"/>
      <c r="Z49" s="1469"/>
      <c r="AA49" s="1469"/>
      <c r="AB49" s="1469"/>
      <c r="AC49" s="1469"/>
      <c r="AD49" s="1469"/>
    </row>
    <row r="50" spans="1:30" ht="15.75" thickTop="1">
      <c r="A50" s="1410"/>
      <c r="B50" s="1471"/>
      <c r="C50" s="1395"/>
      <c r="D50" s="1441"/>
      <c r="E50" s="1441"/>
      <c r="F50" s="1441"/>
      <c r="G50" s="1441"/>
      <c r="H50" s="1441"/>
      <c r="I50" s="1441"/>
      <c r="J50" s="1472"/>
      <c r="K50" s="1360"/>
      <c r="L50" s="1391" t="s">
        <v>932</v>
      </c>
      <c r="O50" s="1473">
        <f t="shared" ref="O50:U50" si="43">O46/O36</f>
        <v>0</v>
      </c>
      <c r="P50" s="1473">
        <f t="shared" si="43"/>
        <v>0</v>
      </c>
      <c r="Q50" s="1473">
        <f t="shared" si="43"/>
        <v>0</v>
      </c>
      <c r="R50" s="1473">
        <f t="shared" si="43"/>
        <v>0</v>
      </c>
      <c r="S50" s="869">
        <f t="shared" ca="1" si="43"/>
        <v>0</v>
      </c>
      <c r="T50" s="869">
        <f t="shared" ca="1" si="43"/>
        <v>0</v>
      </c>
      <c r="U50" s="870">
        <f t="shared" ca="1" si="43"/>
        <v>0</v>
      </c>
      <c r="Y50" s="1469"/>
      <c r="Z50" s="1469"/>
      <c r="AA50" s="1469"/>
    </row>
    <row r="51" spans="1:30" ht="15.75" thickBot="1">
      <c r="A51" s="1410"/>
      <c r="B51" s="1391" t="str">
        <f>B66</f>
        <v>Result subsidiaries</v>
      </c>
      <c r="C51" s="1395"/>
      <c r="D51" s="1406">
        <f ca="1">RCV!F41+RCE!F53</f>
        <v>-1.2221335055073723E-11</v>
      </c>
      <c r="E51" s="1406">
        <f ca="1">RCV!G41+RCE!G53</f>
        <v>-2.6773250283440575E-11</v>
      </c>
      <c r="F51" s="1406">
        <f ca="1">RCV!H41+RCE!H53</f>
        <v>3.1434410630026832E-11</v>
      </c>
      <c r="G51" s="1406">
        <f ca="1">RCV!I41+RCE!I53</f>
        <v>-2.6773250283440575E-11</v>
      </c>
      <c r="H51" s="1406">
        <f ca="1">RCV!J41+RCE!J53</f>
        <v>3.1434410630026832E-11</v>
      </c>
      <c r="I51" s="1406">
        <f ca="1">RCV!K41+RCE!K53</f>
        <v>-2.6773250283440575E-11</v>
      </c>
      <c r="J51" s="1407">
        <f ca="1">RCV!L41+RCE!L53</f>
        <v>3.1434410630026832E-11</v>
      </c>
      <c r="K51" s="1360"/>
      <c r="L51" s="1474" t="s">
        <v>1011</v>
      </c>
      <c r="M51" s="1458"/>
      <c r="N51" s="1458"/>
      <c r="O51" s="1475">
        <f t="shared" ref="O51:U51" si="44">O49+O50</f>
        <v>0</v>
      </c>
      <c r="P51" s="1475">
        <f t="shared" ca="1" si="44"/>
        <v>0</v>
      </c>
      <c r="Q51" s="1475">
        <f t="shared" ca="1" si="44"/>
        <v>0</v>
      </c>
      <c r="R51" s="1475">
        <f t="shared" si="44"/>
        <v>0</v>
      </c>
      <c r="S51" s="1475">
        <f t="shared" ca="1" si="44"/>
        <v>253.5454004570629</v>
      </c>
      <c r="T51" s="1475">
        <f ca="1">T49+T50</f>
        <v>491.91786201324715</v>
      </c>
      <c r="U51" s="865">
        <f t="shared" ca="1" si="44"/>
        <v>376.44811145825656</v>
      </c>
      <c r="Y51" s="1476"/>
      <c r="Z51" s="1476"/>
      <c r="AA51" s="1476"/>
    </row>
    <row r="52" spans="1:30" ht="15.75" thickBot="1">
      <c r="A52" s="1410"/>
      <c r="B52" s="1391"/>
      <c r="C52" s="1395"/>
      <c r="D52" s="1395"/>
      <c r="E52" s="1395"/>
      <c r="F52" s="1395"/>
      <c r="G52" s="1395"/>
      <c r="H52" s="1395"/>
      <c r="I52" s="1395"/>
      <c r="J52" s="1404"/>
      <c r="K52" s="1360"/>
    </row>
    <row r="53" spans="1:30" ht="15.75" thickBot="1">
      <c r="A53" s="1410"/>
      <c r="B53" s="1398" t="s">
        <v>377</v>
      </c>
      <c r="C53" s="1406"/>
      <c r="D53" s="1291">
        <f t="shared" ref="D53:J53" ca="1" si="45">D49+D51</f>
        <v>373395.96398131025</v>
      </c>
      <c r="E53" s="1291">
        <f t="shared" ca="1" si="45"/>
        <v>1660157.1336833157</v>
      </c>
      <c r="F53" s="1291">
        <f t="shared" ca="1" si="45"/>
        <v>708335.31775440264</v>
      </c>
      <c r="G53" s="1291">
        <f t="shared" ca="1" si="45"/>
        <v>2020875.5326504584</v>
      </c>
      <c r="H53" s="1291">
        <f t="shared" ca="1" si="45"/>
        <v>2760211.333294997</v>
      </c>
      <c r="I53" s="1291">
        <f t="shared" ca="1" si="45"/>
        <v>3067944.0690758321</v>
      </c>
      <c r="J53" s="1292">
        <f t="shared" ca="1" si="45"/>
        <v>3475760.7206174904</v>
      </c>
      <c r="K53" s="1360"/>
      <c r="L53" s="1463" t="s">
        <v>356</v>
      </c>
      <c r="M53" s="1464"/>
      <c r="N53" s="1478"/>
      <c r="O53" s="1464"/>
      <c r="P53" s="1464"/>
      <c r="Q53" s="1464"/>
      <c r="R53" s="1464"/>
      <c r="S53" s="1464"/>
      <c r="T53" s="1464"/>
      <c r="U53" s="1465"/>
    </row>
    <row r="54" spans="1:30" ht="15.75" thickTop="1">
      <c r="A54" s="1410"/>
      <c r="B54" s="2767"/>
      <c r="C54" s="1479"/>
      <c r="D54" s="1480"/>
      <c r="E54" s="1479"/>
      <c r="F54" s="1479"/>
      <c r="G54" s="1479"/>
      <c r="H54" s="1479"/>
      <c r="I54" s="1479"/>
      <c r="J54" s="1481"/>
      <c r="K54" s="1360"/>
      <c r="L54" s="1391"/>
      <c r="N54" s="1414"/>
      <c r="U54" s="1404"/>
    </row>
    <row r="55" spans="1:30" ht="15">
      <c r="A55" s="1410"/>
      <c r="B55" s="1440" t="s">
        <v>66</v>
      </c>
      <c r="C55" s="1482">
        <v>0.5</v>
      </c>
      <c r="D55" s="1441">
        <f>IF(Bond!F41=0,IF((D106+D109+D110+D111+E106+E109+E110+E111)&gt;(O7+D53)*O41,(O7+D53)*O41,IF((D106+D109+D110+D111+E106+E109+E110+E111)&gt;0,((D106+D109+D110+D111+E106+E109+E110+E111)-J151)*O41,0))*_xlnm.Print_Area,0)</f>
        <v>0</v>
      </c>
      <c r="E55" s="1441">
        <f ca="1">IF(E53+P7&lt;0,0,IF(Bond!G41=0,IF((E106+E109+E110+E111+F106+F109+F110+F111)&gt;(P7+E53)*P41,(P7+E53)*P41,IF((E106+E109+E110+E111+F106+F109+F110+F111)&gt;0,((E106+E109+E110+E111+F106+F109+F110+F111)-K152)*P41,0))*_xlnm.Print_Area,0))</f>
        <v>0</v>
      </c>
      <c r="F55" s="1441">
        <f>IF(Bond!H41=0,IF((F106+F109+F110+F111+G106+G109+G110+G111)&gt;(Q7+F53)*Q41,(Q7+F53)*Q41,IF((F106+F109+F110+F111+G106+G109+G110+G111)&gt;0,((F106+F109+F110+F111+G106+G109+G110+G111)-C132)*Q41,0))*_xlnm.Print_Area,0)</f>
        <v>0</v>
      </c>
      <c r="G55" s="1441">
        <f>IF(Bond!I41=0,IF((G106+G109+G110+G111+H106+H109+H110+H111)&gt;(R7+G53)*R41,(R7+G53)*R41,IF((G106+G109+G110+G111+H106+H109+H110+H111)&gt;0,((G106+G109+G110+G111+H106+H109+H110+H111)-D132)*R41,0))*_xlnm.Print_Area,0)</f>
        <v>0</v>
      </c>
      <c r="H55" s="1441">
        <f ca="1">IF(Bond!J41=0,IF((H106+H109+H110+H111+I106+I109+I110+I111)&gt;(S7+H53)*S41,(S7+H53)*S41,IF((H106+H109+H110+H111+I106+I109+I110+I111)&gt;0,((H106+H109+H110+H111+I106+I109+I110+I111)-E132)*S41,0))*_xlnm.Print_Area,0)</f>
        <v>2535454.004570629</v>
      </c>
      <c r="I55" s="1441">
        <f ca="1">IF(Bond!K41=0,IF((I106+I109+I110+I111+J106+J109+J110+J111)&gt;(T7+I53)*T41,(T7+I53)*T41,IF((I106+I109+I110+I111+J106+J109+J110+J111)&gt;0,((I106+I109+I110+I111+J106+J109+J110+J111)-F132)*T41,0))*_xlnm.Print_Area,0)</f>
        <v>2383724.6155618425</v>
      </c>
      <c r="J55" s="1472">
        <f ca="1">IF(Bond!L41=0,IF((J106+J109+J110+J111+K107+K110+K111+K112)&gt;(U7+J53)*U41,(U7+J53)*U41,IF((J106+J109+J110+J111+K107+K110+K111+K112)&gt;0,((J106+J109+J110+J111+K107+K110+K111+K112)-G132)*U41,0))*_xlnm.Print_Area,0)</f>
        <v>1380756.4990207229</v>
      </c>
      <c r="K55" s="1360"/>
      <c r="L55" s="1398" t="s">
        <v>254</v>
      </c>
      <c r="N55" s="688"/>
      <c r="U55" s="1404"/>
    </row>
    <row r="56" spans="1:30">
      <c r="A56" s="1410"/>
      <c r="B56" s="1391"/>
      <c r="C56" s="1395"/>
      <c r="D56" s="1395"/>
      <c r="E56" s="1395"/>
      <c r="F56" s="1395"/>
      <c r="G56" s="1395"/>
      <c r="H56" s="1395"/>
      <c r="I56" s="1395"/>
      <c r="J56" s="1404"/>
      <c r="L56" s="1391" t="s">
        <v>680</v>
      </c>
      <c r="O56" s="688">
        <f>RCV!P9</f>
        <v>51216.820761518131</v>
      </c>
      <c r="Q56" s="1409"/>
      <c r="U56" s="1404"/>
    </row>
    <row r="57" spans="1:30" ht="15">
      <c r="A57" s="1410"/>
      <c r="B57" s="1440" t="s">
        <v>35</v>
      </c>
      <c r="C57" s="1483">
        <f>1-C55</f>
        <v>0.5</v>
      </c>
      <c r="D57" s="1441">
        <f t="shared" ref="D57:J57" si="46">D55/$C$55*$C$57</f>
        <v>0</v>
      </c>
      <c r="E57" s="1441">
        <f t="shared" ca="1" si="46"/>
        <v>0</v>
      </c>
      <c r="F57" s="1441">
        <f t="shared" si="46"/>
        <v>0</v>
      </c>
      <c r="G57" s="1441">
        <f t="shared" si="46"/>
        <v>0</v>
      </c>
      <c r="H57" s="1441">
        <f t="shared" ca="1" si="46"/>
        <v>2535454.004570629</v>
      </c>
      <c r="I57" s="1441">
        <f t="shared" ca="1" si="46"/>
        <v>2383724.6155618425</v>
      </c>
      <c r="J57" s="1472">
        <f t="shared" ca="1" si="46"/>
        <v>1380756.4990207229</v>
      </c>
      <c r="K57" s="1360"/>
      <c r="L57" s="1484" t="s">
        <v>85</v>
      </c>
      <c r="O57" s="596">
        <f>Capex!C4</f>
        <v>639468.23</v>
      </c>
      <c r="P57" s="1414"/>
      <c r="Q57" s="1414"/>
      <c r="U57" s="1404"/>
    </row>
    <row r="58" spans="1:30" ht="15">
      <c r="A58" s="1410"/>
      <c r="B58" s="1391"/>
      <c r="C58" s="1395"/>
      <c r="D58" s="1395"/>
      <c r="E58" s="1395"/>
      <c r="F58" s="1395"/>
      <c r="G58" s="1395"/>
      <c r="H58" s="1395"/>
      <c r="I58" s="1395"/>
      <c r="J58" s="1404"/>
      <c r="K58" s="1360"/>
      <c r="L58" s="1484" t="s">
        <v>774</v>
      </c>
      <c r="O58" s="689">
        <f>O57-O56</f>
        <v>588251.40923848189</v>
      </c>
      <c r="Q58" s="1409"/>
      <c r="U58" s="1404"/>
    </row>
    <row r="59" spans="1:30" ht="13.5" thickBot="1">
      <c r="A59" s="1410"/>
      <c r="B59" s="1485" t="s">
        <v>378</v>
      </c>
      <c r="C59" s="1458"/>
      <c r="D59" s="1486">
        <f t="shared" ref="D59:J59" ca="1" si="47">D53-D55-D57</f>
        <v>373395.96398131025</v>
      </c>
      <c r="E59" s="1486">
        <f t="shared" ca="1" si="47"/>
        <v>1660157.1336833157</v>
      </c>
      <c r="F59" s="1486">
        <f t="shared" ca="1" si="47"/>
        <v>708335.31775440264</v>
      </c>
      <c r="G59" s="1486">
        <f t="shared" ca="1" si="47"/>
        <v>2020875.5326504584</v>
      </c>
      <c r="H59" s="1486">
        <f t="shared" ca="1" si="47"/>
        <v>-2310696.675846261</v>
      </c>
      <c r="I59" s="1486">
        <f t="shared" ca="1" si="47"/>
        <v>-1699505.1620478528</v>
      </c>
      <c r="J59" s="1487">
        <f t="shared" ca="1" si="47"/>
        <v>714247.7225760445</v>
      </c>
      <c r="L59" s="1391" t="s">
        <v>775</v>
      </c>
      <c r="O59" s="1409">
        <f>O56-O71</f>
        <v>17778.331731285441</v>
      </c>
      <c r="Q59" s="1409"/>
      <c r="U59" s="1404"/>
    </row>
    <row r="60" spans="1:30" ht="13.5" thickBot="1">
      <c r="A60" s="1410"/>
      <c r="D60" s="1414"/>
      <c r="E60" s="1414"/>
      <c r="F60" s="1414"/>
      <c r="G60" s="1414"/>
      <c r="H60" s="1414"/>
      <c r="I60" s="1414"/>
      <c r="L60" s="1398" t="s">
        <v>776</v>
      </c>
      <c r="O60" s="1455">
        <f>O58+O59</f>
        <v>606029.74096976733</v>
      </c>
      <c r="U60" s="1404"/>
    </row>
    <row r="61" spans="1:30">
      <c r="A61" s="1410"/>
      <c r="B61" s="1269" t="s">
        <v>379</v>
      </c>
      <c r="C61" s="1488"/>
      <c r="D61" s="1489"/>
      <c r="E61" s="1489"/>
      <c r="F61" s="1489"/>
      <c r="G61" s="1489"/>
      <c r="H61" s="1490"/>
      <c r="I61" s="1490"/>
      <c r="J61" s="1491"/>
      <c r="L61" s="1391"/>
      <c r="U61" s="1404"/>
    </row>
    <row r="62" spans="1:30">
      <c r="A62" s="1410"/>
      <c r="B62" s="1250"/>
      <c r="C62" s="1492"/>
      <c r="D62" s="1493"/>
      <c r="E62" s="1493"/>
      <c r="F62" s="1493"/>
      <c r="G62" s="1493"/>
      <c r="H62" s="1296"/>
      <c r="I62" s="1296"/>
      <c r="J62" s="1297"/>
      <c r="L62" s="1398" t="s">
        <v>541</v>
      </c>
      <c r="O62" s="688"/>
      <c r="Q62" s="1409"/>
      <c r="U62" s="1404"/>
    </row>
    <row r="63" spans="1:30">
      <c r="A63" s="1410"/>
      <c r="B63" s="1250" t="str">
        <f>B53</f>
        <v>Result</v>
      </c>
      <c r="C63" s="1492"/>
      <c r="D63" s="1494">
        <f ca="1">D53</f>
        <v>373395.96398131025</v>
      </c>
      <c r="E63" s="1494">
        <f t="shared" ref="E63:J63" ca="1" si="48">E53</f>
        <v>1660157.1336833157</v>
      </c>
      <c r="F63" s="1494">
        <f t="shared" ca="1" si="48"/>
        <v>708335.31775440264</v>
      </c>
      <c r="G63" s="1494">
        <f t="shared" ca="1" si="48"/>
        <v>2020875.5326504584</v>
      </c>
      <c r="H63" s="1494">
        <f t="shared" ca="1" si="48"/>
        <v>2760211.333294997</v>
      </c>
      <c r="I63" s="1494">
        <f t="shared" ca="1" si="48"/>
        <v>3067944.0690758321</v>
      </c>
      <c r="J63" s="1495">
        <f t="shared" ca="1" si="48"/>
        <v>3475760.7206174904</v>
      </c>
      <c r="L63" s="1391" t="str">
        <f>L56</f>
        <v>Equity by acquisition</v>
      </c>
      <c r="O63" s="688">
        <f>RCE!P9</f>
        <v>558588.35890644894</v>
      </c>
      <c r="Q63" s="1409"/>
      <c r="U63" s="1404"/>
    </row>
    <row r="64" spans="1:30" ht="15">
      <c r="A64" s="1410"/>
      <c r="B64" s="1250"/>
      <c r="C64" s="1492"/>
      <c r="D64" s="1494"/>
      <c r="E64" s="1494"/>
      <c r="F64" s="1494"/>
      <c r="G64" s="1494"/>
      <c r="H64" s="1494"/>
      <c r="I64" s="1494"/>
      <c r="J64" s="1495"/>
      <c r="K64" s="1360"/>
      <c r="L64" s="1496" t="str">
        <f>L57</f>
        <v>Purchase price</v>
      </c>
      <c r="O64" s="596">
        <f>Capex!C3</f>
        <v>1179205.48</v>
      </c>
      <c r="Q64" s="1414"/>
      <c r="U64" s="1404"/>
    </row>
    <row r="65" spans="1:21" ht="15">
      <c r="A65" s="1410"/>
      <c r="B65" s="1398" t="s">
        <v>893</v>
      </c>
      <c r="J65" s="1404"/>
      <c r="K65" s="1360"/>
      <c r="L65" s="1496" t="str">
        <f>L58</f>
        <v>Difference</v>
      </c>
      <c r="O65" s="689">
        <f>O64-O63</f>
        <v>620617.12109355105</v>
      </c>
      <c r="Q65" s="1409"/>
      <c r="U65" s="1404"/>
    </row>
    <row r="66" spans="1:21" ht="15">
      <c r="A66" s="1410"/>
      <c r="B66" s="1391" t="s">
        <v>764</v>
      </c>
      <c r="D66" s="1414">
        <f t="shared" ref="D66:J66" ca="1" si="49">-D51</f>
        <v>1.2221335055073723E-11</v>
      </c>
      <c r="E66" s="1414">
        <f t="shared" ca="1" si="49"/>
        <v>2.6773250283440575E-11</v>
      </c>
      <c r="F66" s="1414">
        <f t="shared" ca="1" si="49"/>
        <v>-3.1434410630026832E-11</v>
      </c>
      <c r="G66" s="1414">
        <f t="shared" ca="1" si="49"/>
        <v>2.6773250283440575E-11</v>
      </c>
      <c r="H66" s="1414">
        <f t="shared" ca="1" si="49"/>
        <v>-3.1434410630026832E-11</v>
      </c>
      <c r="I66" s="1414">
        <f t="shared" ca="1" si="49"/>
        <v>2.6773250283440575E-11</v>
      </c>
      <c r="J66" s="1407">
        <f t="shared" ca="1" si="49"/>
        <v>-3.1434410630026832E-11</v>
      </c>
      <c r="K66" s="1360"/>
      <c r="L66" s="1391" t="str">
        <f>L59</f>
        <v>Mutation in equity before purchase</v>
      </c>
      <c r="O66" s="1361">
        <v>0</v>
      </c>
      <c r="Q66" s="1414"/>
      <c r="U66" s="1404"/>
    </row>
    <row r="67" spans="1:21" ht="15">
      <c r="A67" s="1410"/>
      <c r="B67" s="1037" t="s">
        <v>363</v>
      </c>
      <c r="C67" s="1288"/>
      <c r="D67" s="1288">
        <f>RCV!E43+RCV!D45+RCE!F55+RCE!E58</f>
        <v>0</v>
      </c>
      <c r="E67" s="1288">
        <f>RCV!F43+RCV!E45+RCE!G55+RCE!F58</f>
        <v>0</v>
      </c>
      <c r="F67" s="1288">
        <f>RCV!G43+RCV!F45+RCE!H55+RCE!G58</f>
        <v>0</v>
      </c>
      <c r="G67" s="1288">
        <f>RCV!H43+RCV!G45+RCE!I55+RCE!H58</f>
        <v>0</v>
      </c>
      <c r="H67" s="1288">
        <f>RCV!I43+RCV!H45+RCE!J55+RCE!I58</f>
        <v>0</v>
      </c>
      <c r="I67" s="1288">
        <f>RCV!J43+RCV!I45+RCE!K55+RCE!J58</f>
        <v>0</v>
      </c>
      <c r="J67" s="1289">
        <f>RCV!K43+RCV!J45+RCE!L55+RCE!K58</f>
        <v>0</v>
      </c>
      <c r="K67" s="1360"/>
      <c r="L67" s="1398" t="str">
        <f>L60</f>
        <v>Goodwill at purchase date</v>
      </c>
      <c r="O67" s="1455">
        <f>O65-O66</f>
        <v>620617.12109355105</v>
      </c>
      <c r="U67" s="1404"/>
    </row>
    <row r="68" spans="1:21" ht="15">
      <c r="A68" s="1410"/>
      <c r="B68" s="1037" t="s">
        <v>750</v>
      </c>
      <c r="C68" s="1288"/>
      <c r="D68" s="1288">
        <f ca="1">-(RCV!F83+RCE!F101)</f>
        <v>-20000</v>
      </c>
      <c r="E68" s="1288">
        <f ca="1">-(RCV!G83+RCE!G101)</f>
        <v>-810000</v>
      </c>
      <c r="F68" s="1288">
        <f ca="1">-(RCV!H83+RCE!H101)</f>
        <v>0</v>
      </c>
      <c r="G68" s="1288">
        <f ca="1">-(RCV!I83+RCE!I101)</f>
        <v>0</v>
      </c>
      <c r="H68" s="1288">
        <f ca="1">-(RCV!J83+RCE!J101)</f>
        <v>0</v>
      </c>
      <c r="I68" s="1288">
        <f ca="1">-(RCV!K83+RCE!K101)</f>
        <v>0</v>
      </c>
      <c r="J68" s="1289">
        <f ca="1">-(RCV!L83+RCE!L101)</f>
        <v>0</v>
      </c>
      <c r="K68" s="1360"/>
      <c r="L68" s="1497" t="s">
        <v>761</v>
      </c>
      <c r="M68" s="1498"/>
      <c r="N68" s="1498"/>
      <c r="O68" s="1498"/>
      <c r="P68" s="1498"/>
      <c r="Q68" s="1498"/>
      <c r="R68" s="1498"/>
      <c r="S68" s="1498"/>
      <c r="T68" s="1498"/>
      <c r="U68" s="1499"/>
    </row>
    <row r="69" spans="1:21" ht="15">
      <c r="A69" s="1410"/>
      <c r="B69" s="1037" t="s">
        <v>773</v>
      </c>
      <c r="C69" s="1288"/>
      <c r="D69" s="1288">
        <f ca="1">-D75-RCV!F84-RCE!F102</f>
        <v>258064.53517637018</v>
      </c>
      <c r="E69" s="1288">
        <f ca="1">-E75-RCV!G84-RCE!G102</f>
        <v>0</v>
      </c>
      <c r="F69" s="1288">
        <f ca="1">-F75-RCV!H84-RCE!H102</f>
        <v>76847.818185433876</v>
      </c>
      <c r="G69" s="1288">
        <f ca="1">-G75-RCV!I84-RCE!I102</f>
        <v>2883.1501865372261</v>
      </c>
      <c r="H69" s="1288">
        <f ca="1">-H75-RCV!J84-RCE!J102</f>
        <v>48871.408261082288</v>
      </c>
      <c r="I69" s="1288">
        <f ca="1">-I75-RCV!K84-RCE!K102</f>
        <v>42657.60042943398</v>
      </c>
      <c r="J69" s="1289">
        <f ca="1">-J75-RCV!L84-RCE!L102</f>
        <v>25095.574619692194</v>
      </c>
      <c r="K69" s="1360"/>
      <c r="L69" s="1391"/>
      <c r="U69" s="1404"/>
    </row>
    <row r="70" spans="1:21" ht="15">
      <c r="A70" s="1410"/>
      <c r="B70" s="1037" t="s">
        <v>901</v>
      </c>
      <c r="C70" s="1288"/>
      <c r="D70" s="1288">
        <f>-N19</f>
        <v>-5484.24</v>
      </c>
      <c r="E70" s="1288"/>
      <c r="F70" s="1288"/>
      <c r="G70" s="1288"/>
      <c r="H70" s="1288"/>
      <c r="I70" s="1288"/>
      <c r="J70" s="1289"/>
      <c r="K70" s="1360"/>
      <c r="L70" s="1398" t="str">
        <f>L55</f>
        <v>Red Church Vineyard</v>
      </c>
      <c r="U70" s="1404"/>
    </row>
    <row r="71" spans="1:21" ht="15.75" thickBot="1">
      <c r="A71" s="1410"/>
      <c r="B71" s="1398" t="s">
        <v>894</v>
      </c>
      <c r="D71" s="1291">
        <f ca="1">SUM(D66:D70)</f>
        <v>232580.29517637019</v>
      </c>
      <c r="E71" s="1291">
        <f t="shared" ref="E71:J71" ca="1" si="50">SUM(E66:E69)</f>
        <v>-810000</v>
      </c>
      <c r="F71" s="1291">
        <f t="shared" ca="1" si="50"/>
        <v>76847.818185433847</v>
      </c>
      <c r="G71" s="1291">
        <f t="shared" ca="1" si="50"/>
        <v>2883.1501865372529</v>
      </c>
      <c r="H71" s="1291">
        <f t="shared" ca="1" si="50"/>
        <v>48871.408261082259</v>
      </c>
      <c r="I71" s="1291">
        <f t="shared" ca="1" si="50"/>
        <v>42657.600429434009</v>
      </c>
      <c r="J71" s="1292">
        <f t="shared" ca="1" si="50"/>
        <v>25095.574619692161</v>
      </c>
      <c r="K71" s="1360"/>
      <c r="L71" s="1391" t="str">
        <f>RCV!N5</f>
        <v>Share capital</v>
      </c>
      <c r="N71" s="688"/>
      <c r="O71" s="688">
        <f>RCV!Q5</f>
        <v>33438.489030232689</v>
      </c>
      <c r="P71" s="688">
        <f>RCV!R5</f>
        <v>33438.489030232689</v>
      </c>
      <c r="Q71" s="688">
        <f>RCV!S5</f>
        <v>33438.489030232689</v>
      </c>
      <c r="R71" s="688">
        <f>RCV!T5</f>
        <v>33438.489030232689</v>
      </c>
      <c r="S71" s="688">
        <f>RCV!U5</f>
        <v>33438.489030232689</v>
      </c>
      <c r="T71" s="688">
        <f>RCV!V5</f>
        <v>33438.489030232689</v>
      </c>
      <c r="U71" s="690">
        <f>RCV!W5</f>
        <v>33438.489030232689</v>
      </c>
    </row>
    <row r="72" spans="1:21" ht="15.75" thickTop="1">
      <c r="A72" s="1410"/>
      <c r="B72" s="1391"/>
      <c r="J72" s="1404"/>
      <c r="K72" s="1360"/>
      <c r="L72" s="1391" t="str">
        <f>RCV!N6</f>
        <v>Premium payments</v>
      </c>
      <c r="N72" s="688"/>
      <c r="O72" s="688">
        <f>RCV!Q6</f>
        <v>-3164.8353047043988</v>
      </c>
      <c r="P72" s="688">
        <f>RCV!R6</f>
        <v>96835.164695295607</v>
      </c>
      <c r="Q72" s="688">
        <f>RCV!S6</f>
        <v>92018.681164825161</v>
      </c>
      <c r="R72" s="688">
        <f>RCV!T6</f>
        <v>91537.032811778117</v>
      </c>
      <c r="S72" s="688">
        <f>RCV!U6</f>
        <v>91488.867976473412</v>
      </c>
      <c r="T72" s="688">
        <f>RCV!V6</f>
        <v>91484.051492942948</v>
      </c>
      <c r="U72" s="690">
        <f>RCV!W6</f>
        <v>91483.569844589903</v>
      </c>
    </row>
    <row r="73" spans="1:21" ht="15">
      <c r="A73" s="1410"/>
      <c r="B73" s="1398" t="s">
        <v>895</v>
      </c>
      <c r="J73" s="1404"/>
      <c r="K73" s="1360"/>
      <c r="L73" s="1391" t="str">
        <f>RCV!N7</f>
        <v>Reserves</v>
      </c>
      <c r="N73" s="688"/>
      <c r="O73" s="688">
        <f>RCV!Q7</f>
        <v>0.33173128544149222</v>
      </c>
      <c r="P73" s="688">
        <f>RCV!R7</f>
        <v>0.33173128544149222</v>
      </c>
      <c r="Q73" s="688">
        <f>RCV!S7</f>
        <v>0.33173128544149222</v>
      </c>
      <c r="R73" s="688">
        <f>RCV!T7</f>
        <v>0.33173128544149222</v>
      </c>
      <c r="S73" s="688">
        <f>RCV!U7</f>
        <v>0.33173128544149222</v>
      </c>
      <c r="T73" s="688">
        <f>RCV!V7</f>
        <v>0.33173128544149222</v>
      </c>
      <c r="U73" s="690">
        <f>RCV!W7</f>
        <v>0.33173128544149222</v>
      </c>
    </row>
    <row r="74" spans="1:21" ht="15">
      <c r="A74" s="1410"/>
      <c r="B74" s="1286" t="s">
        <v>134</v>
      </c>
      <c r="C74" s="1287"/>
      <c r="D74" s="1288">
        <f>-O57-O64+C19-O89-Capex!G5</f>
        <v>-1871783.9</v>
      </c>
      <c r="E74" s="1288">
        <f>-P57-P64+D19-P89-Capex!H5</f>
        <v>0</v>
      </c>
      <c r="F74" s="1288">
        <f>-Q57-Q64+E19-Q89-Capex!I5</f>
        <v>0</v>
      </c>
      <c r="G74" s="1288">
        <f>-R57-R64+F19-R89-Capex!J5</f>
        <v>0</v>
      </c>
      <c r="H74" s="1288">
        <f>-S57-S64+G19-S89-Capex!K5</f>
        <v>0</v>
      </c>
      <c r="I74" s="1288">
        <f>-T57-T64+H19-T89-Capex!L5</f>
        <v>0</v>
      </c>
      <c r="J74" s="1289">
        <f>-U57-U64+I19-U89-Capex!M5</f>
        <v>0</v>
      </c>
      <c r="K74" s="1360"/>
      <c r="L74" s="1391" t="str">
        <f>RCV!N8</f>
        <v>Annual result</v>
      </c>
      <c r="N74" s="688"/>
      <c r="O74" s="688">
        <f>RCV!Q8</f>
        <v>0</v>
      </c>
      <c r="P74" s="688">
        <f>RCV!R8</f>
        <v>0</v>
      </c>
      <c r="Q74" s="688">
        <f>RCV!S8</f>
        <v>0</v>
      </c>
      <c r="R74" s="688">
        <f>RCV!T8</f>
        <v>0</v>
      </c>
      <c r="S74" s="688">
        <f>RCV!U8</f>
        <v>0</v>
      </c>
      <c r="T74" s="688">
        <f>RCV!V8</f>
        <v>0</v>
      </c>
      <c r="U74" s="690">
        <f>RCV!W8</f>
        <v>0</v>
      </c>
    </row>
    <row r="75" spans="1:21" ht="15">
      <c r="B75" s="1286" t="s">
        <v>749</v>
      </c>
      <c r="C75" s="1287"/>
      <c r="D75" s="1288">
        <f>-RCE!P43</f>
        <v>-254899.69987166577</v>
      </c>
      <c r="E75" s="1288"/>
      <c r="F75" s="1288"/>
      <c r="G75" s="1288"/>
      <c r="H75" s="1288"/>
      <c r="I75" s="1288"/>
      <c r="J75" s="1289"/>
      <c r="K75" s="1360"/>
      <c r="L75" s="1391" t="str">
        <f>RCV!N17</f>
        <v>Payable dividend to shareholder</v>
      </c>
      <c r="N75" s="688"/>
      <c r="O75" s="596">
        <f>RCV!Q17</f>
        <v>0</v>
      </c>
      <c r="P75" s="596">
        <f>RCV!R17</f>
        <v>0</v>
      </c>
      <c r="Q75" s="596">
        <f>RCV!S17</f>
        <v>0</v>
      </c>
      <c r="R75" s="596">
        <f>RCV!T17</f>
        <v>0</v>
      </c>
      <c r="S75" s="596">
        <f>RCV!U17</f>
        <v>0</v>
      </c>
      <c r="T75" s="596">
        <f>RCV!V17</f>
        <v>0</v>
      </c>
      <c r="U75" s="691">
        <f>RCV!W17</f>
        <v>0</v>
      </c>
    </row>
    <row r="76" spans="1:21" ht="15">
      <c r="B76" s="1037" t="str">
        <f>B42</f>
        <v>Revaluation stock and inventory</v>
      </c>
      <c r="C76" s="1288"/>
      <c r="D76" s="1288">
        <f ca="1">-D42</f>
        <v>-671501.27094141964</v>
      </c>
      <c r="E76" s="1288"/>
      <c r="F76" s="1288"/>
      <c r="G76" s="1288"/>
      <c r="H76" s="1288"/>
      <c r="I76" s="1288"/>
      <c r="J76" s="1289"/>
      <c r="K76" s="1360"/>
      <c r="L76" s="1398" t="s">
        <v>762</v>
      </c>
      <c r="N76" s="688"/>
      <c r="O76" s="688">
        <f t="shared" ref="O76:U76" si="51">SUM(O71:O75)</f>
        <v>30273.985456813731</v>
      </c>
      <c r="P76" s="688">
        <f t="shared" si="51"/>
        <v>130273.98545681374</v>
      </c>
      <c r="Q76" s="688">
        <f t="shared" si="51"/>
        <v>125457.50192634328</v>
      </c>
      <c r="R76" s="688">
        <f t="shared" si="51"/>
        <v>124975.85357329625</v>
      </c>
      <c r="S76" s="688">
        <f t="shared" si="51"/>
        <v>124927.68873799153</v>
      </c>
      <c r="T76" s="688">
        <f t="shared" si="51"/>
        <v>124922.87225446108</v>
      </c>
      <c r="U76" s="690">
        <f t="shared" si="51"/>
        <v>124922.39060610803</v>
      </c>
    </row>
    <row r="77" spans="1:21">
      <c r="B77" s="1037" t="str">
        <f>B44</f>
        <v>Depreciation</v>
      </c>
      <c r="C77" s="1288"/>
      <c r="D77" s="1288">
        <f>-D44</f>
        <v>64070</v>
      </c>
      <c r="E77" s="1288">
        <f t="shared" ref="E77:J77" si="52">-E44</f>
        <v>64070</v>
      </c>
      <c r="F77" s="1288">
        <f t="shared" si="52"/>
        <v>64070</v>
      </c>
      <c r="G77" s="1288">
        <f t="shared" si="52"/>
        <v>64070</v>
      </c>
      <c r="H77" s="1288">
        <f t="shared" si="52"/>
        <v>64070</v>
      </c>
      <c r="I77" s="1288">
        <f t="shared" si="52"/>
        <v>0</v>
      </c>
      <c r="J77" s="1289">
        <f t="shared" si="52"/>
        <v>0</v>
      </c>
      <c r="L77" s="1391"/>
      <c r="N77" s="688"/>
      <c r="O77" s="688"/>
      <c r="P77" s="688"/>
      <c r="Q77" s="688"/>
      <c r="R77" s="688"/>
      <c r="S77" s="688"/>
      <c r="T77" s="688"/>
      <c r="U77" s="690"/>
    </row>
    <row r="78" spans="1:21" ht="13.5" thickBot="1">
      <c r="B78" s="1398" t="s">
        <v>896</v>
      </c>
      <c r="D78" s="1291">
        <f t="shared" ref="D78:J78" ca="1" si="53">SUM(D74:D77)</f>
        <v>-2734114.8708130852</v>
      </c>
      <c r="E78" s="1291">
        <f t="shared" si="53"/>
        <v>64070</v>
      </c>
      <c r="F78" s="1291">
        <f t="shared" si="53"/>
        <v>64070</v>
      </c>
      <c r="G78" s="1291">
        <f t="shared" si="53"/>
        <v>64070</v>
      </c>
      <c r="H78" s="1291">
        <f t="shared" si="53"/>
        <v>64070</v>
      </c>
      <c r="I78" s="1291">
        <f t="shared" si="53"/>
        <v>0</v>
      </c>
      <c r="J78" s="1292">
        <f t="shared" si="53"/>
        <v>0</v>
      </c>
      <c r="L78" s="1398" t="str">
        <f>L62</f>
        <v>Red Church Estate</v>
      </c>
      <c r="N78" s="688"/>
      <c r="O78" s="688"/>
      <c r="P78" s="688"/>
      <c r="Q78" s="688"/>
      <c r="R78" s="688"/>
      <c r="S78" s="688"/>
      <c r="T78" s="688"/>
      <c r="U78" s="690"/>
    </row>
    <row r="79" spans="1:21" ht="13.5" thickTop="1">
      <c r="B79" s="1391"/>
      <c r="D79" s="1414"/>
      <c r="J79" s="1404"/>
      <c r="L79" s="1391" t="str">
        <f>RCE!N5</f>
        <v>Share capital</v>
      </c>
      <c r="N79" s="688"/>
      <c r="O79" s="688">
        <f>RCE!Q5</f>
        <v>2556.4594059810925</v>
      </c>
      <c r="P79" s="688">
        <f>RCE!R5</f>
        <v>2556.4594059810925</v>
      </c>
      <c r="Q79" s="688">
        <f>RCE!S5</f>
        <v>2556.4594059810925</v>
      </c>
      <c r="R79" s="688">
        <f>RCE!T5</f>
        <v>2556.4594059810925</v>
      </c>
      <c r="S79" s="688">
        <f>RCE!U5</f>
        <v>2556.4594059810925</v>
      </c>
      <c r="T79" s="688">
        <f>RCE!V5</f>
        <v>2556.4594059810925</v>
      </c>
      <c r="U79" s="690">
        <f>RCE!W5</f>
        <v>2556.4594059810925</v>
      </c>
    </row>
    <row r="80" spans="1:21">
      <c r="B80" s="1398" t="s">
        <v>898</v>
      </c>
      <c r="J80" s="1404"/>
      <c r="L80" s="1391" t="str">
        <f>RCE!N6</f>
        <v>Premium payments</v>
      </c>
      <c r="N80" s="688"/>
      <c r="O80" s="688">
        <f ca="1">RCE!Q6</f>
        <v>311983.70512774622</v>
      </c>
      <c r="P80" s="688">
        <f ca="1">RCE!R6</f>
        <v>1021983.7051277462</v>
      </c>
      <c r="Q80" s="688">
        <f ca="1">RCE!S6</f>
        <v>949952.37047278276</v>
      </c>
      <c r="R80" s="688">
        <f ca="1">RCE!T6</f>
        <v>947550.86863929254</v>
      </c>
      <c r="S80" s="688">
        <f ca="1">RCE!U6</f>
        <v>898727.62521351501</v>
      </c>
      <c r="T80" s="688">
        <f ca="1">RCE!V6</f>
        <v>856074.84126761148</v>
      </c>
      <c r="U80" s="690">
        <f ca="1">RCE!W6</f>
        <v>830979.74829627236</v>
      </c>
    </row>
    <row r="81" spans="2:21">
      <c r="B81" s="1391" t="s">
        <v>780</v>
      </c>
      <c r="D81" s="1414">
        <f t="shared" ref="D81:J81" ca="1" si="54">D36</f>
        <v>49819.853374451472</v>
      </c>
      <c r="E81" s="1414">
        <f t="shared" ca="1" si="54"/>
        <v>559249.68958791078</v>
      </c>
      <c r="F81" s="1414">
        <f t="shared" ca="1" si="54"/>
        <v>460423.50741666718</v>
      </c>
      <c r="G81" s="1414">
        <f t="shared" ca="1" si="54"/>
        <v>543731.59030296642</v>
      </c>
      <c r="H81" s="1414">
        <f t="shared" ca="1" si="54"/>
        <v>607001.26372100459</v>
      </c>
      <c r="I81" s="1414">
        <f t="shared" ca="1" si="54"/>
        <v>618383.86721310718</v>
      </c>
      <c r="J81" s="1407">
        <f t="shared" ca="1" si="54"/>
        <v>674047.14485464687</v>
      </c>
      <c r="L81" s="1391" t="str">
        <f>RCE!N7</f>
        <v>Reserves</v>
      </c>
      <c r="N81" s="688"/>
      <c r="O81" s="688">
        <f>RCE!Q7</f>
        <v>9148.4945010558004</v>
      </c>
      <c r="P81" s="688">
        <f ca="1">RCE!R7</f>
        <v>9148.4945010557876</v>
      </c>
      <c r="Q81" s="688">
        <f ca="1">RCE!S7</f>
        <v>9148.4945010557603</v>
      </c>
      <c r="R81" s="688">
        <f ca="1">RCE!T7</f>
        <v>9148.4945010557913</v>
      </c>
      <c r="S81" s="688">
        <f ca="1">RCE!U7</f>
        <v>9148.494501055764</v>
      </c>
      <c r="T81" s="688">
        <f ca="1">RCE!V7</f>
        <v>9148.4945010557949</v>
      </c>
      <c r="U81" s="690">
        <f ca="1">RCE!W7</f>
        <v>9148.4945010557676</v>
      </c>
    </row>
    <row r="82" spans="2:21">
      <c r="B82" s="1391" t="s">
        <v>904</v>
      </c>
      <c r="D82" s="1288">
        <f ca="1">-Costprice!E11-Costprice!E24+D35</f>
        <v>-295855.12725631415</v>
      </c>
      <c r="E82" s="1288">
        <f ca="1">-Costprice!F11-Costprice!F24+E35</f>
        <v>-351749.18468036724</v>
      </c>
      <c r="F82" s="1288">
        <f ca="1">-Costprice!G11-Costprice!G24+F35</f>
        <v>-439798.85398404673</v>
      </c>
      <c r="G82" s="1288">
        <f ca="1">-Costprice!H11-Costprice!H24+G35</f>
        <v>-453041.41184841178</v>
      </c>
      <c r="H82" s="1288">
        <f ca="1">-Costprice!I11-Costprice!I24+H35</f>
        <v>-445916.58399925107</v>
      </c>
      <c r="I82" s="1288">
        <f ca="1">-Costprice!J11-Costprice!J24+I35</f>
        <v>-508087.5796492697</v>
      </c>
      <c r="J82" s="1289">
        <f ca="1">-Costprice!K11-Costprice!K24+J35</f>
        <v>-489548.50226879341</v>
      </c>
      <c r="L82" s="1391" t="str">
        <f>RCE!N8</f>
        <v>Annual result</v>
      </c>
      <c r="N82" s="688"/>
      <c r="O82" s="688">
        <f ca="1">RCE!Q8</f>
        <v>-1.2221335055073723E-11</v>
      </c>
      <c r="P82" s="688">
        <f ca="1">RCE!R8</f>
        <v>-2.6773250283440575E-11</v>
      </c>
      <c r="Q82" s="688">
        <f ca="1">RCE!S8</f>
        <v>3.1434410630026832E-11</v>
      </c>
      <c r="R82" s="688">
        <f ca="1">RCE!T8</f>
        <v>-2.6773250283440575E-11</v>
      </c>
      <c r="S82" s="688">
        <f ca="1">RCE!U8</f>
        <v>3.1434410630026832E-11</v>
      </c>
      <c r="T82" s="688">
        <f ca="1">RCE!V8</f>
        <v>-2.6773250283440575E-11</v>
      </c>
      <c r="U82" s="690">
        <f ca="1">RCE!W8</f>
        <v>3.1434410630026832E-11</v>
      </c>
    </row>
    <row r="83" spans="2:21">
      <c r="B83" s="1391" t="s">
        <v>897</v>
      </c>
      <c r="D83" s="1288">
        <f>-'Inv. mat'!D73</f>
        <v>-8290.4155146594658</v>
      </c>
      <c r="E83" s="1288">
        <f ca="1">-'Inv. mat'!E73</f>
        <v>-195888.1770365191</v>
      </c>
      <c r="F83" s="1288">
        <f ca="1">-'Inv. mat'!F73</f>
        <v>-90086.589604660869</v>
      </c>
      <c r="G83" s="1288">
        <f ca="1">-'Inv. mat'!G73</f>
        <v>-150671.11608579376</v>
      </c>
      <c r="H83" s="1288">
        <f ca="1">-'Inv. mat'!H73</f>
        <v>-175612.41214167315</v>
      </c>
      <c r="I83" s="1288">
        <f ca="1">-'Inv. mat'!I73</f>
        <v>-180615.06852402788</v>
      </c>
      <c r="J83" s="1289">
        <f ca="1">-'Inv. mat'!J73</f>
        <v>-184103.84714243532</v>
      </c>
      <c r="L83" s="1391" t="str">
        <f>L75</f>
        <v>Payable dividend to shareholder</v>
      </c>
      <c r="N83" s="688"/>
      <c r="O83" s="596">
        <f>RCE!Q17</f>
        <v>0</v>
      </c>
      <c r="P83" s="596">
        <f>RCE!R17</f>
        <v>0</v>
      </c>
      <c r="Q83" s="596">
        <f>RCE!S17</f>
        <v>0</v>
      </c>
      <c r="R83" s="596">
        <f>RCE!T17</f>
        <v>0</v>
      </c>
      <c r="S83" s="596">
        <f>RCE!U17</f>
        <v>0</v>
      </c>
      <c r="T83" s="596">
        <f>RCE!V17</f>
        <v>0</v>
      </c>
      <c r="U83" s="691">
        <f>RCE!W17</f>
        <v>0</v>
      </c>
    </row>
    <row r="84" spans="2:21">
      <c r="B84" s="1197" t="s">
        <v>105</v>
      </c>
      <c r="C84" s="1492"/>
      <c r="D84" s="1414">
        <f t="shared" ref="D84:J84" si="55">C21</f>
        <v>8936.91</v>
      </c>
      <c r="E84" s="1414">
        <f t="shared" si="55"/>
        <v>0</v>
      </c>
      <c r="F84" s="1414">
        <f t="shared" si="55"/>
        <v>0</v>
      </c>
      <c r="G84" s="1414">
        <f t="shared" si="55"/>
        <v>0</v>
      </c>
      <c r="H84" s="1414">
        <f t="shared" si="55"/>
        <v>0</v>
      </c>
      <c r="I84" s="1414">
        <f t="shared" si="55"/>
        <v>0</v>
      </c>
      <c r="J84" s="1407">
        <f t="shared" si="55"/>
        <v>0</v>
      </c>
      <c r="L84" s="1391" t="str">
        <f>L76</f>
        <v>Value of Subsidiary</v>
      </c>
      <c r="N84" s="688"/>
      <c r="O84" s="688">
        <f t="shared" ref="O84:U84" ca="1" si="56">SUM(O79:O83)</f>
        <v>323688.65903478314</v>
      </c>
      <c r="P84" s="688">
        <f t="shared" ca="1" si="56"/>
        <v>1033688.6590347831</v>
      </c>
      <c r="Q84" s="688">
        <f t="shared" ca="1" si="56"/>
        <v>961657.32437981968</v>
      </c>
      <c r="R84" s="688">
        <f t="shared" ca="1" si="56"/>
        <v>959255.82254632947</v>
      </c>
      <c r="S84" s="688">
        <f t="shared" ca="1" si="56"/>
        <v>910432.57912055193</v>
      </c>
      <c r="T84" s="688">
        <f t="shared" ca="1" si="56"/>
        <v>867779.7951746484</v>
      </c>
      <c r="U84" s="690">
        <f t="shared" ca="1" si="56"/>
        <v>842684.70220330928</v>
      </c>
    </row>
    <row r="85" spans="2:21" ht="13.5" thickBot="1">
      <c r="B85" s="1391"/>
      <c r="D85" s="1291">
        <f t="shared" ref="D85:J85" ca="1" si="57">SUM(D81:D84)</f>
        <v>-245388.77939652215</v>
      </c>
      <c r="E85" s="1291">
        <f t="shared" ca="1" si="57"/>
        <v>11612.327871024434</v>
      </c>
      <c r="F85" s="1291">
        <f t="shared" ca="1" si="57"/>
        <v>-69461.936172040412</v>
      </c>
      <c r="G85" s="1291">
        <f t="shared" ca="1" si="57"/>
        <v>-59980.937631239125</v>
      </c>
      <c r="H85" s="1291">
        <f t="shared" ca="1" si="57"/>
        <v>-14527.73241991963</v>
      </c>
      <c r="I85" s="1291">
        <f t="shared" ca="1" si="57"/>
        <v>-70318.780960190401</v>
      </c>
      <c r="J85" s="1292">
        <f t="shared" ca="1" si="57"/>
        <v>394.79544341814471</v>
      </c>
      <c r="L85" s="1391"/>
      <c r="N85" s="688"/>
      <c r="O85" s="688"/>
      <c r="P85" s="688"/>
      <c r="Q85" s="688"/>
      <c r="R85" s="688"/>
      <c r="S85" s="688"/>
      <c r="T85" s="688"/>
      <c r="U85" s="690"/>
    </row>
    <row r="86" spans="2:21" ht="14.25" thickTop="1" thickBot="1">
      <c r="B86" s="1391"/>
      <c r="D86" s="1414"/>
      <c r="E86" s="1494"/>
      <c r="F86" s="1494"/>
      <c r="G86" s="1494"/>
      <c r="H86" s="1494"/>
      <c r="I86" s="1494"/>
      <c r="J86" s="1495"/>
      <c r="L86" s="1474" t="s">
        <v>765</v>
      </c>
      <c r="M86" s="1458"/>
      <c r="N86" s="692"/>
      <c r="O86" s="693">
        <f t="shared" ref="O86:U86" ca="1" si="58">O76+O84</f>
        <v>353962.64449159685</v>
      </c>
      <c r="P86" s="693">
        <f ca="1">P76+P84</f>
        <v>1163962.6444915968</v>
      </c>
      <c r="Q86" s="693">
        <f t="shared" ca="1" si="58"/>
        <v>1087114.8263061629</v>
      </c>
      <c r="R86" s="693">
        <f t="shared" ca="1" si="58"/>
        <v>1084231.6761196258</v>
      </c>
      <c r="S86" s="693">
        <f t="shared" ca="1" si="58"/>
        <v>1035360.2678585434</v>
      </c>
      <c r="T86" s="693">
        <f t="shared" ca="1" si="58"/>
        <v>992702.66742910945</v>
      </c>
      <c r="U86" s="694">
        <f t="shared" ca="1" si="58"/>
        <v>967607.09280941729</v>
      </c>
    </row>
    <row r="87" spans="2:21" ht="13.5" thickBot="1">
      <c r="B87" s="1290" t="s">
        <v>40</v>
      </c>
      <c r="C87" s="1288"/>
      <c r="D87" s="1291">
        <f t="shared" ref="D87:J87" ca="1" si="59">D63+D71+D78+D85</f>
        <v>-2373527.3910519271</v>
      </c>
      <c r="E87" s="1291">
        <f t="shared" ca="1" si="59"/>
        <v>925839.46155434009</v>
      </c>
      <c r="F87" s="1291">
        <f t="shared" ca="1" si="59"/>
        <v>779791.19976779609</v>
      </c>
      <c r="G87" s="1291">
        <f t="shared" ca="1" si="59"/>
        <v>2027847.7452057565</v>
      </c>
      <c r="H87" s="1291">
        <f t="shared" ca="1" si="59"/>
        <v>2858625.0091361594</v>
      </c>
      <c r="I87" s="1291">
        <f t="shared" ca="1" si="59"/>
        <v>3040282.8885450754</v>
      </c>
      <c r="J87" s="1292">
        <f t="shared" ca="1" si="59"/>
        <v>3501251.0906806006</v>
      </c>
    </row>
    <row r="88" spans="2:21" ht="13.5" thickTop="1">
      <c r="B88" s="1037"/>
      <c r="C88" s="1287"/>
      <c r="D88" s="1287"/>
      <c r="E88" s="1287"/>
      <c r="F88" s="1287"/>
      <c r="G88" s="1287"/>
      <c r="H88" s="1296"/>
      <c r="I88" s="1296"/>
      <c r="J88" s="1297"/>
      <c r="L88" s="1269" t="s">
        <v>134</v>
      </c>
      <c r="M88" s="1246"/>
      <c r="N88" s="1246"/>
      <c r="O88" s="1246">
        <v>2022</v>
      </c>
      <c r="P88" s="1246">
        <v>2023</v>
      </c>
      <c r="Q88" s="1246">
        <v>2024</v>
      </c>
      <c r="R88" s="1246">
        <v>2025</v>
      </c>
      <c r="S88" s="1246">
        <v>2026</v>
      </c>
      <c r="T88" s="1246">
        <v>2027</v>
      </c>
      <c r="U88" s="1247">
        <v>2028</v>
      </c>
    </row>
    <row r="89" spans="2:21" ht="13.5" thickBot="1">
      <c r="B89" s="1301" t="s">
        <v>616</v>
      </c>
      <c r="C89" s="1287"/>
      <c r="D89" s="1287"/>
      <c r="E89" s="1287"/>
      <c r="F89" s="1287"/>
      <c r="G89" s="1287"/>
      <c r="H89" s="1296"/>
      <c r="I89" s="1296"/>
      <c r="J89" s="1297"/>
      <c r="L89" s="1457" t="str">
        <f>B7</f>
        <v>Capitalized bond costs</v>
      </c>
      <c r="M89" s="1458"/>
      <c r="N89" s="1458"/>
      <c r="O89" s="1477">
        <f>SUM(Capex!G10:G13)</f>
        <v>320350</v>
      </c>
      <c r="P89" s="1477">
        <f>SUM(Capex!H10:H14)</f>
        <v>0</v>
      </c>
      <c r="Q89" s="1477">
        <f>SUM(Capex!I10:I14)</f>
        <v>0</v>
      </c>
      <c r="R89" s="1477">
        <f>SUM(Capex!J10:J14)</f>
        <v>0</v>
      </c>
      <c r="S89" s="1477">
        <f>SUM(Capex!K10:K14)</f>
        <v>0</v>
      </c>
      <c r="T89" s="1477">
        <f>SUM(Capex!L10:L14)</f>
        <v>0</v>
      </c>
      <c r="U89" s="1500">
        <f>SUM(Capex!M10:M14)</f>
        <v>0</v>
      </c>
    </row>
    <row r="90" spans="2:21" ht="13.5" thickBot="1">
      <c r="B90" s="1037" t="s">
        <v>33</v>
      </c>
      <c r="C90" s="1287"/>
      <c r="D90" s="1288">
        <f>Loan!G15</f>
        <v>0</v>
      </c>
      <c r="E90" s="1288">
        <f>Loan!H15</f>
        <v>0</v>
      </c>
      <c r="F90" s="1288">
        <f>Loan!I15</f>
        <v>0</v>
      </c>
      <c r="G90" s="1288">
        <f>Loan!J15</f>
        <v>0</v>
      </c>
      <c r="H90" s="1288">
        <f>Loan!K15</f>
        <v>0</v>
      </c>
      <c r="I90" s="1288">
        <f>Loan!L15</f>
        <v>0</v>
      </c>
      <c r="J90" s="1289">
        <f>Loan!M15</f>
        <v>0</v>
      </c>
    </row>
    <row r="91" spans="2:21">
      <c r="B91" s="1037" t="s">
        <v>16</v>
      </c>
      <c r="C91" s="1288"/>
      <c r="D91" s="1288">
        <f>Loan!G16</f>
        <v>0</v>
      </c>
      <c r="E91" s="1288">
        <f>Loan!H16</f>
        <v>0</v>
      </c>
      <c r="F91" s="1288">
        <f>Loan!I16</f>
        <v>0</v>
      </c>
      <c r="G91" s="1288">
        <f>Loan!J16</f>
        <v>0</v>
      </c>
      <c r="H91" s="1288">
        <f>Loan!K16</f>
        <v>0</v>
      </c>
      <c r="I91" s="1288">
        <f>Loan!L16</f>
        <v>0</v>
      </c>
      <c r="J91" s="1289">
        <f>Loan!M16</f>
        <v>0</v>
      </c>
      <c r="L91" s="1463" t="str">
        <f>L89</f>
        <v>Capitalized bond costs</v>
      </c>
      <c r="M91" s="1464"/>
      <c r="N91" s="1464"/>
      <c r="O91" s="1464"/>
      <c r="P91" s="1464"/>
      <c r="Q91" s="1464"/>
      <c r="R91" s="1464"/>
      <c r="S91" s="1464"/>
      <c r="T91" s="1464"/>
      <c r="U91" s="1465"/>
    </row>
    <row r="92" spans="2:21">
      <c r="B92" s="1037" t="s">
        <v>17</v>
      </c>
      <c r="C92" s="1287"/>
      <c r="D92" s="1307">
        <f>IF(D30=Loan!$B$8,Loan!$B$6,0)</f>
        <v>0</v>
      </c>
      <c r="E92" s="1307">
        <f>IF(E30=Loan!$B$8,Loan!$B$6,0)</f>
        <v>0</v>
      </c>
      <c r="F92" s="1307">
        <f>IF(F30=Loan!$B$8,Loan!$B$6,0)</f>
        <v>0</v>
      </c>
      <c r="G92" s="1307">
        <f>IF(G30=Loan!$B$8,Loan!$B$6,0)</f>
        <v>0</v>
      </c>
      <c r="H92" s="1307">
        <f>IF(H30=Loan!$B$8,Loan!$B$6,0)</f>
        <v>4900000</v>
      </c>
      <c r="I92" s="1307">
        <f>IF(I30=Loan!$B$8,Loan!$B$6,0)</f>
        <v>0</v>
      </c>
      <c r="J92" s="1308">
        <f>IF(J30=Loan!$B$8,Loan!$B$6,0)</f>
        <v>0</v>
      </c>
      <c r="L92" s="1391" t="str">
        <f>L89</f>
        <v>Capitalized bond costs</v>
      </c>
      <c r="O92" s="688">
        <f>O89</f>
        <v>320350</v>
      </c>
      <c r="P92" s="688">
        <f t="shared" ref="P92:U92" si="60">O94</f>
        <v>256280</v>
      </c>
      <c r="Q92" s="688">
        <f t="shared" si="60"/>
        <v>192210</v>
      </c>
      <c r="R92" s="688">
        <f t="shared" si="60"/>
        <v>128140</v>
      </c>
      <c r="S92" s="688">
        <f t="shared" si="60"/>
        <v>64070</v>
      </c>
      <c r="T92" s="688">
        <f t="shared" si="60"/>
        <v>0</v>
      </c>
      <c r="U92" s="690">
        <f t="shared" si="60"/>
        <v>0</v>
      </c>
    </row>
    <row r="93" spans="2:21" ht="13.5" thickBot="1">
      <c r="B93" s="1037"/>
      <c r="C93" s="1287"/>
      <c r="D93" s="1309">
        <f t="shared" ref="D93:J93" si="61">SUM(D89:D92)</f>
        <v>0</v>
      </c>
      <c r="E93" s="1309">
        <f t="shared" si="61"/>
        <v>0</v>
      </c>
      <c r="F93" s="1309">
        <f t="shared" si="61"/>
        <v>0</v>
      </c>
      <c r="G93" s="1309">
        <f t="shared" si="61"/>
        <v>0</v>
      </c>
      <c r="H93" s="1309">
        <f t="shared" si="61"/>
        <v>4900000</v>
      </c>
      <c r="I93" s="1309">
        <f>SUM(I89:I92)</f>
        <v>0</v>
      </c>
      <c r="J93" s="1310">
        <f t="shared" si="61"/>
        <v>0</v>
      </c>
      <c r="L93" s="1391" t="s">
        <v>771</v>
      </c>
      <c r="M93" s="1547">
        <v>0.2</v>
      </c>
      <c r="O93" s="596">
        <f t="shared" ref="O93:U93" si="62">IF(O92=0,0,$O$92*$M$93)</f>
        <v>64070</v>
      </c>
      <c r="P93" s="596">
        <f t="shared" si="62"/>
        <v>64070</v>
      </c>
      <c r="Q93" s="596">
        <f t="shared" si="62"/>
        <v>64070</v>
      </c>
      <c r="R93" s="596">
        <f t="shared" si="62"/>
        <v>64070</v>
      </c>
      <c r="S93" s="596">
        <f t="shared" si="62"/>
        <v>64070</v>
      </c>
      <c r="T93" s="596">
        <f t="shared" si="62"/>
        <v>0</v>
      </c>
      <c r="U93" s="691">
        <f t="shared" si="62"/>
        <v>0</v>
      </c>
    </row>
    <row r="94" spans="2:21" ht="14.25" thickTop="1" thickBot="1">
      <c r="B94" s="1301" t="s">
        <v>617</v>
      </c>
      <c r="C94" s="1287"/>
      <c r="D94" s="1288"/>
      <c r="E94" s="1288"/>
      <c r="F94" s="1288"/>
      <c r="G94" s="1288"/>
      <c r="H94" s="1288"/>
      <c r="I94" s="1288"/>
      <c r="J94" s="1289"/>
      <c r="L94" s="1457" t="s">
        <v>42</v>
      </c>
      <c r="M94" s="1458"/>
      <c r="N94" s="1458"/>
      <c r="O94" s="692">
        <f>O92-O93</f>
        <v>256280</v>
      </c>
      <c r="P94" s="692">
        <f t="shared" ref="P94:U94" si="63">P92-P93</f>
        <v>192210</v>
      </c>
      <c r="Q94" s="692">
        <f t="shared" si="63"/>
        <v>128140</v>
      </c>
      <c r="R94" s="692">
        <f t="shared" si="63"/>
        <v>64070</v>
      </c>
      <c r="S94" s="692">
        <f t="shared" si="63"/>
        <v>0</v>
      </c>
      <c r="T94" s="692">
        <f t="shared" si="63"/>
        <v>0</v>
      </c>
      <c r="U94" s="842">
        <f t="shared" si="63"/>
        <v>0</v>
      </c>
    </row>
    <row r="95" spans="2:21" ht="13.5" thickBot="1">
      <c r="B95" s="1037" t="s">
        <v>618</v>
      </c>
      <c r="C95" s="1287"/>
      <c r="D95" s="1288">
        <f>Bond!F7</f>
        <v>0</v>
      </c>
      <c r="E95" s="1288">
        <f>Bond!G7</f>
        <v>0</v>
      </c>
      <c r="F95" s="1288">
        <f>Bond!H7</f>
        <v>0</v>
      </c>
      <c r="G95" s="1288">
        <f>Bond!I7</f>
        <v>0</v>
      </c>
      <c r="H95" s="1288">
        <f>Bond!J7</f>
        <v>0</v>
      </c>
      <c r="I95" s="1288">
        <f>Bond!K7</f>
        <v>0</v>
      </c>
      <c r="J95" s="1289">
        <f>Bond!L7</f>
        <v>0</v>
      </c>
    </row>
    <row r="96" spans="2:21">
      <c r="B96" s="1037" t="s">
        <v>745</v>
      </c>
      <c r="C96" s="1287"/>
      <c r="D96" s="1288"/>
      <c r="E96" s="1288"/>
      <c r="F96" s="1288"/>
      <c r="G96" s="1288"/>
      <c r="H96" s="1288"/>
      <c r="I96" s="1288"/>
      <c r="J96" s="1289"/>
      <c r="L96" s="1269" t="s">
        <v>666</v>
      </c>
      <c r="M96" s="1246"/>
      <c r="N96" s="1246"/>
      <c r="O96" s="1464"/>
      <c r="P96" s="1464"/>
      <c r="Q96" s="1464"/>
      <c r="R96" s="1464"/>
      <c r="S96" s="1464"/>
      <c r="T96" s="1464"/>
      <c r="U96" s="1465"/>
    </row>
    <row r="97" spans="2:21">
      <c r="B97" s="1037" t="str">
        <f>B91</f>
        <v>Loan repayment</v>
      </c>
      <c r="C97" s="1287"/>
      <c r="D97" s="1288">
        <f>Bond!F8+Bond!F6</f>
        <v>0</v>
      </c>
      <c r="E97" s="1288">
        <f>Bond!G8+Bond!G6</f>
        <v>0</v>
      </c>
      <c r="F97" s="1288">
        <f>Bond!H8+Bond!H6</f>
        <v>0</v>
      </c>
      <c r="G97" s="1288">
        <f>Bond!I8+Bond!I6</f>
        <v>0</v>
      </c>
      <c r="H97" s="1288">
        <f>Bond!J8+Bond!J6</f>
        <v>-4900000</v>
      </c>
      <c r="I97" s="1288">
        <f>Bond!K8+Bond!K6</f>
        <v>0</v>
      </c>
      <c r="J97" s="1289">
        <f>Bond!L8+Bond!L6</f>
        <v>0</v>
      </c>
      <c r="L97" s="1197"/>
      <c r="M97" s="1174"/>
      <c r="N97" s="1174"/>
      <c r="U97" s="1404"/>
    </row>
    <row r="98" spans="2:21">
      <c r="B98" s="1037" t="s">
        <v>619</v>
      </c>
      <c r="C98" s="1287"/>
      <c r="D98" s="1307">
        <f>Bond!B11</f>
        <v>4900000</v>
      </c>
      <c r="E98" s="1307"/>
      <c r="F98" s="1307"/>
      <c r="G98" s="1307"/>
      <c r="H98" s="1307"/>
      <c r="I98" s="1307"/>
      <c r="J98" s="1308"/>
      <c r="L98" s="1197" t="str">
        <f>RCE!N38</f>
        <v>Raw materials</v>
      </c>
      <c r="M98" s="1174"/>
      <c r="N98" s="1253">
        <f>RCE!P38</f>
        <v>18688.531211812886</v>
      </c>
      <c r="U98" s="1404"/>
    </row>
    <row r="99" spans="2:21" ht="13.5" thickBot="1">
      <c r="B99" s="1037"/>
      <c r="C99" s="1287"/>
      <c r="D99" s="1309">
        <f t="shared" ref="D99:J99" si="64">SUM(D95:D98)</f>
        <v>4900000</v>
      </c>
      <c r="E99" s="1309">
        <f>SUM(E95:E98)</f>
        <v>0</v>
      </c>
      <c r="F99" s="1309">
        <f t="shared" si="64"/>
        <v>0</v>
      </c>
      <c r="G99" s="1309">
        <f t="shared" si="64"/>
        <v>0</v>
      </c>
      <c r="H99" s="1309">
        <f t="shared" si="64"/>
        <v>-4900000</v>
      </c>
      <c r="I99" s="1309">
        <f t="shared" si="64"/>
        <v>0</v>
      </c>
      <c r="J99" s="1310">
        <f t="shared" si="64"/>
        <v>0</v>
      </c>
      <c r="L99" s="1197" t="str">
        <f>RCE!N39</f>
        <v>Work in progress</v>
      </c>
      <c r="M99" s="1174"/>
      <c r="N99" s="1253">
        <f>RCE!P39</f>
        <v>176812.07978198514</v>
      </c>
      <c r="U99" s="1404"/>
    </row>
    <row r="100" spans="2:21" ht="13.5" thickTop="1">
      <c r="B100" s="1037"/>
      <c r="C100" s="1287"/>
      <c r="D100" s="1288"/>
      <c r="E100" s="1288"/>
      <c r="F100" s="1288"/>
      <c r="G100" s="1288"/>
      <c r="H100" s="1288"/>
      <c r="I100" s="1288"/>
      <c r="J100" s="1289"/>
      <c r="L100" s="1197" t="str">
        <f>RCE!N40</f>
        <v>Products</v>
      </c>
      <c r="M100" s="1174"/>
      <c r="N100" s="1253">
        <f>RCE!P40</f>
        <v>47469.360834019317</v>
      </c>
      <c r="U100" s="1404"/>
    </row>
    <row r="101" spans="2:21" ht="13.5" thickBot="1">
      <c r="B101" s="1290" t="s">
        <v>39</v>
      </c>
      <c r="C101" s="1288"/>
      <c r="D101" s="1291">
        <f t="shared" ref="D101:J101" ca="1" si="65">D87+D93+D99</f>
        <v>2526472.6089480729</v>
      </c>
      <c r="E101" s="1291">
        <f t="shared" ca="1" si="65"/>
        <v>925839.46155434009</v>
      </c>
      <c r="F101" s="1291">
        <f t="shared" ca="1" si="65"/>
        <v>779791.19976779609</v>
      </c>
      <c r="G101" s="1291">
        <f t="shared" ca="1" si="65"/>
        <v>2027847.7452057565</v>
      </c>
      <c r="H101" s="1291">
        <f t="shared" ca="1" si="65"/>
        <v>2858625.009136159</v>
      </c>
      <c r="I101" s="1291">
        <f t="shared" ca="1" si="65"/>
        <v>3040282.8885450754</v>
      </c>
      <c r="J101" s="1292">
        <f t="shared" ca="1" si="65"/>
        <v>3501251.0906806006</v>
      </c>
      <c r="L101" s="1197" t="str">
        <f>RCE!N41</f>
        <v>Goods</v>
      </c>
      <c r="M101" s="1174"/>
      <c r="N101" s="1253">
        <f>RCE!P41</f>
        <v>11354.524677502646</v>
      </c>
      <c r="U101" s="1404"/>
    </row>
    <row r="102" spans="2:21" ht="13.5" thickTop="1">
      <c r="B102" s="1037" t="s">
        <v>903</v>
      </c>
      <c r="C102" s="1288"/>
      <c r="D102" s="1288">
        <f>O40</f>
        <v>5061.7896238425628</v>
      </c>
      <c r="E102" s="1317"/>
      <c r="F102" s="1317"/>
      <c r="G102" s="1318"/>
      <c r="H102" s="1296"/>
      <c r="I102" s="1296"/>
      <c r="J102" s="1297"/>
      <c r="L102" s="1197" t="str">
        <f>RCE!N42</f>
        <v>Advances provided</v>
      </c>
      <c r="M102" s="1174"/>
      <c r="N102" s="1256">
        <f>RCE!P42</f>
        <v>575.20336634574585</v>
      </c>
      <c r="U102" s="1404"/>
    </row>
    <row r="103" spans="2:21">
      <c r="B103" s="1037" t="s">
        <v>777</v>
      </c>
      <c r="C103" s="1288"/>
      <c r="D103" s="1288"/>
      <c r="E103" s="1288">
        <f>IF(Bond!B11&gt;-Capex!C87+N6,-EN!N6,0)</f>
        <v>-279251.38</v>
      </c>
      <c r="F103" s="1288"/>
      <c r="G103" s="1288"/>
      <c r="H103" s="1288"/>
      <c r="I103" s="1288"/>
      <c r="J103" s="1289"/>
      <c r="L103" s="1250" t="s">
        <v>667</v>
      </c>
      <c r="M103" s="1174"/>
      <c r="N103" s="1253">
        <f>SUM(N98:N102)</f>
        <v>254899.69987166577</v>
      </c>
      <c r="U103" s="1404"/>
    </row>
    <row r="104" spans="2:21">
      <c r="B104" s="1037" t="s">
        <v>766</v>
      </c>
      <c r="C104" s="1288"/>
      <c r="D104" s="1288">
        <f t="shared" ref="D104:J104" si="66">-D95</f>
        <v>0</v>
      </c>
      <c r="E104" s="1288">
        <f t="shared" si="66"/>
        <v>0</v>
      </c>
      <c r="F104" s="1288">
        <f t="shared" si="66"/>
        <v>0</v>
      </c>
      <c r="G104" s="1288">
        <f t="shared" si="66"/>
        <v>0</v>
      </c>
      <c r="H104" s="1288">
        <f t="shared" si="66"/>
        <v>0</v>
      </c>
      <c r="I104" s="1288">
        <f t="shared" si="66"/>
        <v>0</v>
      </c>
      <c r="J104" s="1289">
        <f t="shared" si="66"/>
        <v>0</v>
      </c>
      <c r="L104" s="1197"/>
      <c r="M104" s="1174"/>
      <c r="N104" s="1174"/>
      <c r="U104" s="1404"/>
    </row>
    <row r="105" spans="2:21" ht="13.5" thickBot="1">
      <c r="B105" s="1523"/>
      <c r="C105" s="1524"/>
      <c r="D105" s="293"/>
      <c r="E105" s="293"/>
      <c r="F105" s="293"/>
      <c r="G105" s="293"/>
      <c r="H105" s="293"/>
      <c r="I105" s="293"/>
      <c r="J105" s="581"/>
      <c r="L105" s="1197" t="s">
        <v>671</v>
      </c>
      <c r="M105" s="1174"/>
      <c r="N105" s="1253">
        <f>N103</f>
        <v>254899.69987166577</v>
      </c>
      <c r="U105" s="1404"/>
    </row>
    <row r="106" spans="2:21">
      <c r="B106" s="1526" t="s">
        <v>38</v>
      </c>
      <c r="C106" s="1527"/>
      <c r="D106" s="1528">
        <f t="shared" ref="D106:J106" ca="1" si="67">D101+D103+D104+D105+D102</f>
        <v>2531534.3985719155</v>
      </c>
      <c r="E106" s="1528">
        <f t="shared" ca="1" si="67"/>
        <v>646588.08155434008</v>
      </c>
      <c r="F106" s="1528">
        <f t="shared" ca="1" si="67"/>
        <v>779791.19976779609</v>
      </c>
      <c r="G106" s="1528">
        <f t="shared" ca="1" si="67"/>
        <v>2027847.7452057565</v>
      </c>
      <c r="H106" s="1528">
        <f t="shared" ca="1" si="67"/>
        <v>2858625.009136159</v>
      </c>
      <c r="I106" s="1528">
        <f t="shared" ca="1" si="67"/>
        <v>3040282.8885450754</v>
      </c>
      <c r="J106" s="1529">
        <f t="shared" ca="1" si="67"/>
        <v>3501251.0906806006</v>
      </c>
      <c r="L106" s="1197"/>
      <c r="M106" s="1174"/>
      <c r="N106" s="1174"/>
      <c r="U106" s="1404"/>
    </row>
    <row r="107" spans="2:21" ht="13.5" thickBot="1">
      <c r="B107" s="1325"/>
      <c r="C107" s="1296"/>
      <c r="D107" s="1296"/>
      <c r="E107" s="1296"/>
      <c r="F107" s="1296"/>
      <c r="G107" s="1296"/>
      <c r="H107" s="1296"/>
      <c r="I107" s="1296"/>
      <c r="J107" s="1297"/>
      <c r="L107" s="1250" t="s">
        <v>668</v>
      </c>
      <c r="M107" s="1174"/>
      <c r="N107" s="1265">
        <f>N103-N105</f>
        <v>0</v>
      </c>
      <c r="U107" s="1404"/>
    </row>
    <row r="108" spans="2:21" ht="13.5" thickTop="1">
      <c r="B108" s="1322" t="s">
        <v>67</v>
      </c>
      <c r="C108" s="1296"/>
      <c r="D108" s="1323"/>
      <c r="E108" s="1323"/>
      <c r="F108" s="1323"/>
      <c r="G108" s="1323"/>
      <c r="H108" s="1323"/>
      <c r="I108" s="1323"/>
      <c r="J108" s="1324"/>
      <c r="L108" s="1391"/>
      <c r="U108" s="1404"/>
    </row>
    <row r="109" spans="2:21">
      <c r="B109" s="1325" t="s">
        <v>53</v>
      </c>
      <c r="C109" s="1296"/>
      <c r="D109" s="1323">
        <f ca="1">-D23</f>
        <v>-5364.9893333333339</v>
      </c>
      <c r="E109" s="1323">
        <f t="shared" ref="E109:J109" ca="1" si="68">-E23+D23</f>
        <v>-138102.43619387058</v>
      </c>
      <c r="F109" s="1323">
        <f t="shared" ca="1" si="68"/>
        <v>58928.393013586086</v>
      </c>
      <c r="G109" s="1323">
        <f t="shared" ca="1" si="68"/>
        <v>-76976.489724242769</v>
      </c>
      <c r="H109" s="1323">
        <f t="shared" ca="1" si="68"/>
        <v>-44454.757402731164</v>
      </c>
      <c r="I109" s="1323">
        <f t="shared" ca="1" si="68"/>
        <v>-8752.5742142378294</v>
      </c>
      <c r="J109" s="1324">
        <f t="shared" ca="1" si="68"/>
        <v>-7136.7253164090798</v>
      </c>
      <c r="L109" s="1398" t="s">
        <v>834</v>
      </c>
      <c r="U109" s="1404"/>
    </row>
    <row r="110" spans="2:21">
      <c r="B110" s="1325" t="s">
        <v>50</v>
      </c>
      <c r="C110" s="1296"/>
      <c r="D110" s="1323">
        <f ca="1">O20</f>
        <v>2490.9926687225739</v>
      </c>
      <c r="E110" s="1323">
        <f t="shared" ref="E110:J110" ca="1" si="69">-O20+P20</f>
        <v>25471.491810672967</v>
      </c>
      <c r="F110" s="1323">
        <f t="shared" ca="1" si="69"/>
        <v>-4941.3091085621818</v>
      </c>
      <c r="G110" s="1323">
        <f t="shared" ca="1" si="69"/>
        <v>4165.4041443149617</v>
      </c>
      <c r="H110" s="1323">
        <f t="shared" ca="1" si="69"/>
        <v>3163.483670901911</v>
      </c>
      <c r="I110" s="1323">
        <f t="shared" ca="1" si="69"/>
        <v>569.13017460512856</v>
      </c>
      <c r="J110" s="1324">
        <f t="shared" ca="1" si="69"/>
        <v>2783.163882076984</v>
      </c>
      <c r="L110" s="1391" t="s">
        <v>838</v>
      </c>
      <c r="N110" s="1469">
        <f ca="1">'Inv. start'!F188</f>
        <v>926400.97081308544</v>
      </c>
      <c r="T110" s="688"/>
      <c r="U110" s="690"/>
    </row>
    <row r="111" spans="2:21">
      <c r="B111" s="1325" t="s">
        <v>368</v>
      </c>
      <c r="C111" s="1296"/>
      <c r="D111" s="1323">
        <f ca="1">O22</f>
        <v>41488.440442367806</v>
      </c>
      <c r="E111" s="1323">
        <f t="shared" ref="E111:J111" ca="1" si="70">P22-O22</f>
        <v>142973.46330022285</v>
      </c>
      <c r="F111" s="1323">
        <f t="shared" ca="1" si="70"/>
        <v>-105757.97954765703</v>
      </c>
      <c r="G111" s="1323">
        <f t="shared" ca="1" si="70"/>
        <v>145837.80165511731</v>
      </c>
      <c r="H111" s="1323">
        <f t="shared" ca="1" si="70"/>
        <v>82148.422293837619</v>
      </c>
      <c r="I111" s="1323">
        <f t="shared" ca="1" si="70"/>
        <v>34192.526197870611</v>
      </c>
      <c r="J111" s="1324">
        <f t="shared" ca="1" si="70"/>
        <v>-340882.67434175918</v>
      </c>
      <c r="L111" s="1391" t="s">
        <v>837</v>
      </c>
      <c r="N111" s="1548">
        <f>N103</f>
        <v>254899.69987166577</v>
      </c>
      <c r="U111" s="1404"/>
    </row>
    <row r="112" spans="2:21" ht="13.5" thickBot="1">
      <c r="B112" s="1325" t="s">
        <v>68</v>
      </c>
      <c r="C112" s="1296"/>
      <c r="D112" s="1326">
        <f>-D55</f>
        <v>0</v>
      </c>
      <c r="E112" s="1326">
        <f t="shared" ref="E112:J112" ca="1" si="71">-D57-E55</f>
        <v>0</v>
      </c>
      <c r="F112" s="1326">
        <f t="shared" ca="1" si="71"/>
        <v>0</v>
      </c>
      <c r="G112" s="1326">
        <f t="shared" si="71"/>
        <v>0</v>
      </c>
      <c r="H112" s="1326">
        <f t="shared" ca="1" si="71"/>
        <v>-2535454.004570629</v>
      </c>
      <c r="I112" s="1326">
        <f t="shared" ca="1" si="71"/>
        <v>-4919178.6201324714</v>
      </c>
      <c r="J112" s="1327">
        <f t="shared" ca="1" si="71"/>
        <v>-3764481.1145825656</v>
      </c>
      <c r="L112" s="1457" t="s">
        <v>838</v>
      </c>
      <c r="M112" s="1458"/>
      <c r="N112" s="1475">
        <f ca="1">N110-N111</f>
        <v>671501.27094141964</v>
      </c>
      <c r="O112" s="1458"/>
      <c r="P112" s="1458"/>
      <c r="Q112" s="1458"/>
      <c r="R112" s="1458"/>
      <c r="S112" s="1458"/>
      <c r="T112" s="1458"/>
      <c r="U112" s="1549"/>
    </row>
    <row r="113" spans="2:21" ht="13.5" thickBot="1">
      <c r="B113" s="1322" t="s">
        <v>69</v>
      </c>
      <c r="C113" s="1296"/>
      <c r="D113" s="1323">
        <f t="shared" ref="D113:J113" ca="1" si="72">D106+D109+D110+D111+D112+D108</f>
        <v>2570148.8423496727</v>
      </c>
      <c r="E113" s="1323">
        <f t="shared" ca="1" si="72"/>
        <v>676930.60047136527</v>
      </c>
      <c r="F113" s="1323">
        <f t="shared" ca="1" si="72"/>
        <v>728020.30412516289</v>
      </c>
      <c r="G113" s="1323">
        <f t="shared" ca="1" si="72"/>
        <v>2100874.4612809462</v>
      </c>
      <c r="H113" s="1323">
        <f t="shared" ca="1" si="72"/>
        <v>364028.15312753851</v>
      </c>
      <c r="I113" s="1323">
        <f t="shared" ca="1" si="72"/>
        <v>-1852886.6494291578</v>
      </c>
      <c r="J113" s="1324">
        <f t="shared" ca="1" si="72"/>
        <v>-608466.259678056</v>
      </c>
    </row>
    <row r="114" spans="2:21">
      <c r="B114" s="1325" t="s">
        <v>923</v>
      </c>
      <c r="C114" s="1296"/>
      <c r="D114" s="858">
        <f t="shared" ref="D114:J114" si="73">O118</f>
        <v>0</v>
      </c>
      <c r="E114" s="858">
        <f t="shared" si="73"/>
        <v>0</v>
      </c>
      <c r="F114" s="858">
        <f t="shared" si="73"/>
        <v>0</v>
      </c>
      <c r="G114" s="858">
        <f t="shared" si="73"/>
        <v>0</v>
      </c>
      <c r="H114" s="858">
        <f t="shared" ca="1" si="73"/>
        <v>0</v>
      </c>
      <c r="I114" s="858">
        <f t="shared" ca="1" si="73"/>
        <v>0</v>
      </c>
      <c r="J114" s="861">
        <f t="shared" ca="1" si="73"/>
        <v>0</v>
      </c>
      <c r="L114" s="1463" t="s">
        <v>766</v>
      </c>
      <c r="M114" s="1464"/>
      <c r="N114" s="1464"/>
      <c r="O114" s="859"/>
      <c r="P114" s="859"/>
      <c r="Q114" s="859"/>
      <c r="R114" s="859"/>
      <c r="S114" s="859"/>
      <c r="T114" s="859"/>
      <c r="U114" s="860"/>
    </row>
    <row r="115" spans="2:21">
      <c r="B115" s="1037" t="s">
        <v>37</v>
      </c>
      <c r="C115" s="1288"/>
      <c r="D115" s="1288">
        <f t="shared" ref="D115:I115" si="74">C116</f>
        <v>0</v>
      </c>
      <c r="E115" s="1288">
        <f ca="1">D116</f>
        <v>2570148.8423496727</v>
      </c>
      <c r="F115" s="1288">
        <f ca="1">E116</f>
        <v>3247079.442821038</v>
      </c>
      <c r="G115" s="1288">
        <f t="shared" ca="1" si="74"/>
        <v>3975099.7469462007</v>
      </c>
      <c r="H115" s="1288">
        <f t="shared" ca="1" si="74"/>
        <v>6075974.2082271464</v>
      </c>
      <c r="I115" s="1288">
        <f t="shared" ca="1" si="74"/>
        <v>6440002.3613546845</v>
      </c>
      <c r="J115" s="1289">
        <f ca="1">I116</f>
        <v>4587115.7119255271</v>
      </c>
      <c r="L115" s="1391" t="s">
        <v>296</v>
      </c>
      <c r="O115" s="688">
        <f>D104+C104</f>
        <v>0</v>
      </c>
      <c r="P115" s="688">
        <f t="shared" ref="P115:U115" si="75">E104</f>
        <v>0</v>
      </c>
      <c r="Q115" s="688">
        <f t="shared" si="75"/>
        <v>0</v>
      </c>
      <c r="R115" s="688">
        <f t="shared" si="75"/>
        <v>0</v>
      </c>
      <c r="S115" s="688">
        <f t="shared" si="75"/>
        <v>0</v>
      </c>
      <c r="T115" s="688">
        <f t="shared" si="75"/>
        <v>0</v>
      </c>
      <c r="U115" s="690">
        <f t="shared" si="75"/>
        <v>0</v>
      </c>
    </row>
    <row r="116" spans="2:21" ht="13.5" thickBot="1">
      <c r="B116" s="1333" t="s">
        <v>34</v>
      </c>
      <c r="C116" s="1334"/>
      <c r="D116" s="1486">
        <f ca="1">D113+D115</f>
        <v>2570148.8423496727</v>
      </c>
      <c r="E116" s="1486">
        <f ca="1">E113+E115</f>
        <v>3247079.442821038</v>
      </c>
      <c r="F116" s="1486">
        <f ca="1">F113+F115+F114</f>
        <v>3975099.7469462007</v>
      </c>
      <c r="G116" s="1486">
        <f ca="1">G113+G115+G114</f>
        <v>6075974.2082271464</v>
      </c>
      <c r="H116" s="1486">
        <f ca="1">H113+H115+H114</f>
        <v>6440002.3613546845</v>
      </c>
      <c r="I116" s="1486">
        <f ca="1">I113+I115+I114</f>
        <v>4587115.7119255271</v>
      </c>
      <c r="J116" s="1487">
        <f ca="1">J113+J115+J114</f>
        <v>3978649.4522474711</v>
      </c>
      <c r="L116" s="1391" t="s">
        <v>924</v>
      </c>
      <c r="O116" s="688">
        <f t="shared" ref="O116:U116" si="76">N116+O115+N118</f>
        <v>0</v>
      </c>
      <c r="P116" s="688">
        <f t="shared" si="76"/>
        <v>0</v>
      </c>
      <c r="Q116" s="688">
        <f t="shared" si="76"/>
        <v>0</v>
      </c>
      <c r="R116" s="688">
        <f t="shared" si="76"/>
        <v>0</v>
      </c>
      <c r="S116" s="688">
        <f>R116+S115+R118</f>
        <v>0</v>
      </c>
      <c r="T116" s="688">
        <f ca="1">S116+T115+S118</f>
        <v>0</v>
      </c>
      <c r="U116" s="690">
        <f t="shared" ca="1" si="76"/>
        <v>0</v>
      </c>
    </row>
    <row r="117" spans="2:21" ht="13.5" thickBot="1">
      <c r="B117" s="1296"/>
      <c r="C117" s="1296"/>
      <c r="D117" s="1323"/>
      <c r="E117" s="1323"/>
      <c r="F117" s="1323"/>
      <c r="G117" s="1323"/>
      <c r="H117" s="1323"/>
      <c r="I117" s="1323"/>
      <c r="J117" s="1323"/>
      <c r="L117" s="1391"/>
      <c r="O117" s="688"/>
      <c r="P117" s="688"/>
      <c r="Q117" s="688"/>
      <c r="R117" s="688"/>
      <c r="S117" s="688"/>
      <c r="T117" s="688"/>
      <c r="U117" s="690"/>
    </row>
    <row r="118" spans="2:21">
      <c r="B118" s="1340" t="s">
        <v>32</v>
      </c>
      <c r="C118" s="1341"/>
      <c r="D118" s="657"/>
      <c r="E118" s="657"/>
      <c r="F118" s="657"/>
      <c r="G118" s="657"/>
      <c r="H118" s="657"/>
      <c r="I118" s="658"/>
      <c r="J118" s="1342"/>
      <c r="L118" s="1391" t="s">
        <v>925</v>
      </c>
      <c r="O118" s="688">
        <f>IF(-IF(D3&lt;YEAR(Investors!$B$5),0,IF(E113+D115+IF(D3&gt;=YEAR(Investors!$B$5),IF((-EN!D113-C116)*85%&lt;O116,(-EN!D113-C116)*85%,-O116),0)&gt;$N$122,IF(D3&gt;=YEAR(Investors!$B$5),IF((-EN!D113-C116)*85%&lt;O116,(-EN!D113-C116)*85%,-O116),0),-(D113+D115-$N$122)))&gt;O116,-O116,IF(D3&lt;YEAR(Investors!$B$5),0,IF(E113+D115+IF(D3&gt;=YEAR(Investors!$B$5),IF((-EN!D113-C116)*85%&lt;O116,(-EN!D113-C116)*85%,-O116),0)&gt;$N$122,IF(D3&gt;=YEAR(Investors!$B$5),IF((-EN!D113-C116)*85%&lt;O116,(-EN!D113-C116)*85%,-O116),0),-(D113+D115-$N$122))))</f>
        <v>0</v>
      </c>
      <c r="P118" s="688">
        <f>IF(-IF(E3&lt;YEAR(Investors!$B$5),0,IF(F113+E115+IF(E3&gt;=YEAR(Investors!$B$5),IF((-EN!E113-D116)*85%&lt;P116,(-EN!E113-D116)*85%,-P116),0)&gt;$N$122,IF(E3&gt;=YEAR(Investors!$B$5),IF((-EN!E113-D116)*85%&lt;P116,(-EN!E113-D116)*85%,-P116),0),-(E113+E115-$N$122)))&gt;P116,-P116,IF(E3&lt;YEAR(Investors!$B$5),0,IF(F113+E115+IF(E3&gt;=YEAR(Investors!$B$5),IF((-EN!E113-D116)*85%&lt;P116,(-EN!E113-D116)*85%,-P116),0)&gt;$N$122,IF(E3&gt;=YEAR(Investors!$B$5),IF((-EN!E113-D116)*85%&lt;P116,(-EN!E113-D116)*85%,-P116),0),-(E113+E115-$N$122))))</f>
        <v>0</v>
      </c>
      <c r="Q118" s="688">
        <f>IF(-IF(F3&lt;YEAR(Investors!$B$5),0,IF(G113+F115+IF(F3&gt;=YEAR(Investors!$B$5),IF((-EN!F113-E116)*85%&lt;Q116,(-EN!F113-E116)*85%,-Q116),0)&gt;$N$122,IF(F3&gt;=YEAR(Investors!$B$5),IF((-EN!F113-E116)*85%&lt;Q116,(-EN!F113-E116)*85%,-Q116),0),-(F113+F115-$N$122)))&gt;Q116,-Q116,IF(F3&lt;YEAR(Investors!$B$5),0,IF(G113+F115+IF(F3&gt;=YEAR(Investors!$B$5),IF((-EN!F113-E116)*85%&lt;Q116,(-EN!F113-E116)*85%,-Q116),0)&gt;$N$122,IF(F3&gt;=YEAR(Investors!$B$5),IF((-EN!F113-E116)*85%&lt;Q116,(-EN!F113-E116)*85%,-Q116),0),-(F113+F115-$N$122))))</f>
        <v>0</v>
      </c>
      <c r="R118" s="688">
        <f>IF(-IF(G3&lt;YEAR(Investors!$B$5),0,IF(H113+G115+IF(G3&gt;=YEAR(Investors!$B$5),IF((-EN!G113-F116)*85%&lt;R116,(-EN!G113-F116)*85%,-R116),0)&gt;$N$122,IF(G3&gt;=YEAR(Investors!$B$5),IF((-EN!G113-F116)*85%&lt;R116,(-EN!G113-F116)*85%,-R116),0),-(G113+G115-$N$122)))&gt;R116,-R116,IF(G3&lt;YEAR(Investors!$B$5),0,IF(H113+G115+IF(G3&gt;=YEAR(Investors!$B$5),IF((-EN!G113-F116)*85%&lt;R116,(-EN!G113-F116)*85%,-R116),0)&gt;$N$122,IF(G3&gt;=YEAR(Investors!$B$5),IF((-EN!G113-F116)*85%&lt;R116,(-EN!G113-F116)*85%,-R116),0),-(G113+G115-$N$122))))</f>
        <v>0</v>
      </c>
      <c r="S118" s="688">
        <f ca="1">IF(-IF(H3&lt;YEAR(Investors!$B$5),0,IF(I113+H115+IF(H3&gt;=YEAR(Investors!$B$5),IF((-EN!H113-G116)*85%&lt;S116,(-EN!H113-G116)*85%,-S116),0)&gt;$N$122,IF(H3&gt;=YEAR(Investors!$B$5),IF((-EN!H113-G116)*85%&lt;S116,(-EN!H113-G116)*85%,-S116),0),-(H113+H115-$N$122)))&gt;S116,-S116,IF(H3&lt;YEAR(Investors!$B$5),0,IF(I113+H115+IF(H3&gt;=YEAR(Investors!$B$5),IF((-EN!H113-G116)*85%&lt;S116,(-EN!H113-G116)*85%,-S116),0)&gt;$N$122,IF(H3&gt;=YEAR(Investors!$B$5),IF((-EN!H113-G116)*85%&lt;S116,(-EN!H113-G116)*85%,-S116),0),-(H113+H115-$N$122))))</f>
        <v>0</v>
      </c>
      <c r="T118" s="688">
        <f ca="1">IF(-IF(I3&lt;YEAR(Investors!$B$5),0,IF(J113+I115+IF(I3&gt;=YEAR(Investors!$B$5),IF((-EN!I113-H116)*85%&lt;T116,(-EN!I113-H116)*85%,-T116),0)&gt;$N$122,IF(I3&gt;=YEAR(Investors!$B$5),IF((-EN!I113-H116)*85%&lt;T116,(-EN!I113-H116)*85%,-T116),0),-(I113+I115-$N$122)))&gt;T116,-T116,IF(I3&lt;YEAR(Investors!$B$5),0,IF(J113+I115+IF(I3&gt;=YEAR(Investors!$B$5),IF((-EN!I113-H116)*85%&lt;T116,(-EN!I113-H116)*85%,-T116),0)&gt;$N$122,IF(I3&gt;=YEAR(Investors!$B$5),IF((-EN!I113-H116)*85%&lt;T116,(-EN!I113-H116)*85%,-T116),0),-(I113+I115-$N$122))))</f>
        <v>0</v>
      </c>
      <c r="U118" s="690">
        <f ca="1">IF(-IF(J3&lt;YEAR(Investors!$B$5),0,IF(K114+J115+IF(J3&gt;=YEAR(Investors!$B$5),IF((-EN!J113-I116)*85%&lt;U116,(-EN!J113-I116)*85%,-U116),0)&gt;$N$122,IF(J3&gt;=YEAR(Investors!$B$5),IF((-EN!J113-I116)*85%&lt;U116,(-EN!J113-I116)*85%,-U116),0),-(J113+J115-$N$122)))&gt;U116,-U116,IF(J3&lt;YEAR(Investors!$B$5),0,IF(K114+J115+IF(J3&gt;=YEAR(Investors!$B$5),IF((-EN!J113-I116)*85%&lt;U116,(-EN!J113-I116)*85%,-U116),0)&gt;$N$122,IF(J3&gt;=YEAR(Investors!$B$5),IF((-EN!J113-I116)*85%&lt;U116,(-EN!J113-I116)*85%,-U116),0),-(J113+J115-$N$122))))</f>
        <v>0</v>
      </c>
    </row>
    <row r="119" spans="2:21">
      <c r="B119" s="1343" t="s">
        <v>392</v>
      </c>
      <c r="C119" s="1344"/>
      <c r="D119" s="2">
        <f t="shared" ref="D119:J119" ca="1" si="77">D45</f>
        <v>414884.40442367806</v>
      </c>
      <c r="E119" s="2">
        <f t="shared" ca="1" si="77"/>
        <v>1844619.0374259064</v>
      </c>
      <c r="F119" s="2">
        <f t="shared" ca="1" si="77"/>
        <v>787039.24194933625</v>
      </c>
      <c r="G119" s="2">
        <f t="shared" ca="1" si="77"/>
        <v>2245417.2585005094</v>
      </c>
      <c r="H119" s="2">
        <f t="shared" ca="1" si="77"/>
        <v>3066901.4814388854</v>
      </c>
      <c r="I119" s="2">
        <f t="shared" ca="1" si="77"/>
        <v>3408826.7434175913</v>
      </c>
      <c r="J119" s="3">
        <f t="shared" ca="1" si="77"/>
        <v>3475760.7206174904</v>
      </c>
      <c r="L119" s="1391"/>
      <c r="O119" s="688"/>
      <c r="P119" s="688"/>
      <c r="Q119" s="688"/>
      <c r="R119" s="688"/>
      <c r="S119" s="688"/>
      <c r="T119" s="688"/>
      <c r="U119" s="690"/>
    </row>
    <row r="120" spans="2:21" ht="13.5" thickBot="1">
      <c r="B120" s="1343" t="s">
        <v>32</v>
      </c>
      <c r="C120" s="1345">
        <v>0.1</v>
      </c>
      <c r="D120" s="2">
        <f ca="1">IF('RCF-F'!$B$2&gt;='RCF-F'!F2,IF(D119&gt;0,-D119*$C$120,-D119*$C$120),0)</f>
        <v>-41488.440442367806</v>
      </c>
      <c r="E120" s="2">
        <f ca="1">IF('RCF-F'!$B$2&gt;='RCF-F'!G2,IF(E119&gt;0,-E119*$C$120,-E119*$C$120),0)</f>
        <v>-184461.90374259066</v>
      </c>
      <c r="F120" s="2">
        <f ca="1">IF('RCF-F'!$B$2&gt;='RCF-F'!H2,IF(F119&gt;0,-F119*$C$120,-F119*$C$120),0)</f>
        <v>-78703.924194933628</v>
      </c>
      <c r="G120" s="2">
        <f ca="1">IF('RCF-F'!$B$2&gt;='RCF-F'!I2,IF(G119&gt;0,-G119*$C$120,-G119*$C$120),0)</f>
        <v>-224541.72585005095</v>
      </c>
      <c r="H120" s="2">
        <f ca="1">IF('RCF-F'!$B$2&gt;='RCF-F'!J2,IF(H119&gt;0,-H119*$C$120,-H119*$C$120),0)</f>
        <v>-306690.14814388857</v>
      </c>
      <c r="I120" s="2">
        <f ca="1">IF('RCF-F'!$B$2&gt;='RCF-F'!K2,IF(I119&gt;0,-I119*$C$120,-I119*$C$120),0)</f>
        <v>-340882.67434175918</v>
      </c>
      <c r="J120" s="3">
        <f>IF('RCF-F'!$B$2&gt;='RCF-F'!L2,IF(J119&gt;0,-J119*$C$120,-J119*$C$120),0)</f>
        <v>0</v>
      </c>
      <c r="L120" s="1457" t="s">
        <v>926</v>
      </c>
      <c r="M120" s="1458"/>
      <c r="N120" s="1458"/>
      <c r="O120" s="692">
        <f>O116+O118</f>
        <v>0</v>
      </c>
      <c r="P120" s="692">
        <f t="shared" ref="P120:U120" si="78">P116+P118</f>
        <v>0</v>
      </c>
      <c r="Q120" s="692">
        <f t="shared" si="78"/>
        <v>0</v>
      </c>
      <c r="R120" s="692">
        <f t="shared" si="78"/>
        <v>0</v>
      </c>
      <c r="S120" s="692">
        <f ca="1">S116+S118</f>
        <v>0</v>
      </c>
      <c r="T120" s="692">
        <f t="shared" ca="1" si="78"/>
        <v>0</v>
      </c>
      <c r="U120" s="842">
        <f t="shared" ca="1" si="78"/>
        <v>0</v>
      </c>
    </row>
    <row r="121" spans="2:21">
      <c r="B121" s="1346"/>
      <c r="C121" s="1344"/>
      <c r="D121" s="661"/>
      <c r="E121" s="661"/>
      <c r="F121" s="661"/>
      <c r="G121" s="661"/>
      <c r="H121" s="661"/>
      <c r="I121" s="662"/>
      <c r="J121" s="663"/>
      <c r="L121" s="1550"/>
      <c r="M121" s="1464"/>
      <c r="N121" s="1464"/>
      <c r="O121" s="1464"/>
      <c r="P121" s="1464"/>
      <c r="Q121" s="1464"/>
      <c r="R121" s="1464"/>
      <c r="S121" s="1464"/>
      <c r="T121" s="1464"/>
      <c r="U121" s="1465"/>
    </row>
    <row r="122" spans="2:21" ht="13.5" thickBot="1">
      <c r="B122" s="1299" t="s">
        <v>446</v>
      </c>
      <c r="C122" s="1347"/>
      <c r="D122" s="1545"/>
      <c r="E122" s="1545">
        <f ca="1">IF(E120&lt;0,IF(-E120&lt;SUMIF($D$120:D120,"&gt;0",$D$120:D120)-SUMIF($D$122:D122,"&gt;0",$D$122:D122),-E120,SUMIF($D$120:D120,"&gt;0",$D$120:D120)-SUMIF($D$122:D122,"&gt;0",$D$122:D122)),0)*IF(SUMIF($D$120:D120,"&gt;0",$D$120:D120)-SUMIF($D$122:D122,"&gt;0",$D$122:D122)=0,0,1)</f>
        <v>0</v>
      </c>
      <c r="F122" s="1545">
        <f ca="1">IF(F120&lt;0,IF(-F120&lt;SUMIF($D$120:E120,"&gt;0",$D$120:E120)-SUMIF($D$122:E122,"&gt;0",$D$122:E122),-F120,SUMIF($D$120:E120,"&gt;0",$D$120:E120)-SUMIF($D$122:E122,"&gt;0",$D$122:E122)),0)*IF(SUMIF($D$120:E120,"&gt;0",$D$120:E120)-SUMIF($D$122:E122,"&gt;0",$D$122:E122)=0,0,1)</f>
        <v>0</v>
      </c>
      <c r="G122" s="1545">
        <f ca="1">IF(G120&lt;0,IF(-G120&lt;SUMIF($D$120:F120,"&gt;0",$D$120:F120)-SUMIF($D$122:F122,"&gt;0",$D$122:F122),-G120,SUMIF($D$120:F120,"&gt;0",$D$120:F120)-SUMIF($D$122:F122,"&gt;0",$D$122:F122)),0)*IF(SUMIF($D$120:F120,"&gt;0",$D$120:F120)-SUMIF($D$122:F122,"&gt;0",$D$122:F122)=0,0,1)</f>
        <v>0</v>
      </c>
      <c r="H122" s="1545">
        <f ca="1">IF(H120&lt;0,IF(-H120&lt;SUMIF($D$120:G120,"&gt;0",$D$120:G120)-SUMIF($D$122:G122,"&gt;0",$D$122:G122),-H120,SUMIF($D$120:G120,"&gt;0",$D$120:G120)-SUMIF($D$122:G122,"&gt;0",$D$122:G122)),0)*IF(SUMIF($D$120:G120,"&gt;0",$D$120:G120)-SUMIF($D$122:G122,"&gt;0",$D$122:G122)=0,0,1)</f>
        <v>0</v>
      </c>
      <c r="I122" s="1545">
        <f ca="1">IF(I120&lt;0,IF(-I120&lt;SUMIF($D$120:H120,"&gt;0",$D$120:H120)-SUMIF($D$122:H122,"&gt;0",$D$122:H122),-I120,SUMIF($D$120:H120,"&gt;0",$D$120:H120)-SUMIF($D$122:H122,"&gt;0",$D$122:H122)),0)*IF(SUMIF($D$120:H120,"&gt;0",$D$120:H120)-SUMIF($D$122:H122,"&gt;0",$D$122:H122)=0,0,1)</f>
        <v>0</v>
      </c>
      <c r="J122" s="1546">
        <f ca="1">IF(J120&lt;0,IF(-J120&lt;SUMIF($D$120:I120,"&gt;0",$D$120:I120)-SUMIF($D$122:I122,"&gt;0",$D$122:I122),-J120,SUMIF($D$120:I120,"&gt;0",$D$120:I120)-SUMIF($D$122:I122,"&gt;0",$D$122:I122)),0)*IF(SUMIF($D$120:I120,"&gt;0",$D$120:I120)-SUMIF($D$122:I122,"&gt;0",$D$122:I122)=0,0,1)</f>
        <v>0</v>
      </c>
      <c r="L122" s="1457" t="s">
        <v>942</v>
      </c>
      <c r="M122" s="1458"/>
      <c r="N122" s="867">
        <v>150000</v>
      </c>
      <c r="O122" s="1458"/>
      <c r="P122" s="1458"/>
      <c r="Q122" s="1458"/>
      <c r="R122" s="1458"/>
      <c r="S122" s="1458"/>
      <c r="T122" s="1458"/>
      <c r="U122" s="1549"/>
    </row>
    <row r="123" spans="2:21">
      <c r="B123" s="1350"/>
      <c r="C123" s="1351"/>
      <c r="D123" s="1352">
        <f t="shared" ref="D123:J123" ca="1" si="79">IF(D120+D122&gt;0,0,D120+D122)</f>
        <v>-41488.440442367806</v>
      </c>
      <c r="E123" s="1352">
        <f t="shared" ca="1" si="79"/>
        <v>-184461.90374259066</v>
      </c>
      <c r="F123" s="1352">
        <f t="shared" ca="1" si="79"/>
        <v>-78703.924194933628</v>
      </c>
      <c r="G123" s="1352">
        <f t="shared" ca="1" si="79"/>
        <v>-224541.72585005095</v>
      </c>
      <c r="H123" s="1352">
        <f t="shared" ca="1" si="79"/>
        <v>-306690.14814388857</v>
      </c>
      <c r="I123" s="1352">
        <f t="shared" ca="1" si="79"/>
        <v>-340882.67434175918</v>
      </c>
      <c r="J123" s="1353">
        <f t="shared" ca="1" si="79"/>
        <v>0</v>
      </c>
    </row>
    <row r="124" spans="2:21">
      <c r="B124" s="1343"/>
      <c r="C124" s="1347"/>
      <c r="D124" s="1354"/>
      <c r="E124" s="1354"/>
      <c r="F124" s="1354"/>
      <c r="G124" s="1354"/>
      <c r="H124" s="1354"/>
      <c r="I124" s="1354"/>
      <c r="J124" s="1355"/>
    </row>
    <row r="125" spans="2:21" ht="13.5" thickBot="1">
      <c r="B125" s="1319" t="s">
        <v>36</v>
      </c>
      <c r="C125" s="1356"/>
      <c r="D125" s="1357">
        <f t="shared" ref="D125:J125" ca="1" si="80">-(+D123)</f>
        <v>41488.440442367806</v>
      </c>
      <c r="E125" s="1357">
        <f t="shared" ca="1" si="80"/>
        <v>184461.90374259066</v>
      </c>
      <c r="F125" s="1357">
        <f t="shared" ca="1" si="80"/>
        <v>78703.924194933628</v>
      </c>
      <c r="G125" s="1357">
        <f t="shared" ca="1" si="80"/>
        <v>224541.72585005095</v>
      </c>
      <c r="H125" s="1357">
        <f t="shared" ca="1" si="80"/>
        <v>306690.14814388857</v>
      </c>
      <c r="I125" s="1357">
        <f t="shared" ca="1" si="80"/>
        <v>340882.67434175918</v>
      </c>
      <c r="J125" s="1358">
        <f t="shared" ca="1" si="80"/>
        <v>0</v>
      </c>
    </row>
    <row r="128" spans="2:21">
      <c r="J128" s="1288"/>
    </row>
    <row r="129" spans="10:10">
      <c r="J129" s="1288"/>
    </row>
    <row r="132" spans="10:10">
      <c r="J132" s="1414"/>
    </row>
    <row r="134" spans="10:10">
      <c r="J134" s="1414"/>
    </row>
    <row r="136" spans="10:10">
      <c r="J136" s="1414"/>
    </row>
  </sheetData>
  <sheetProtection password="CD53" sheet="1" objects="1" scenarios="1" selectLockedCells="1"/>
  <mergeCells count="2">
    <mergeCell ref="D2:J2"/>
    <mergeCell ref="O2:U2"/>
  </mergeCells>
  <conditionalFormatting sqref="C28:J28">
    <cfRule type="cellIs" dxfId="56" priority="13" operator="equal">
      <formula>0</formula>
    </cfRule>
  </conditionalFormatting>
  <conditionalFormatting sqref="D123:J123">
    <cfRule type="cellIs" dxfId="55" priority="11" stopIfTrue="1" operator="lessThan">
      <formula>0</formula>
    </cfRule>
  </conditionalFormatting>
  <conditionalFormatting sqref="B118:J125 C61:J64 C84 E86:J86 B74:J77 J128:J129 B67:J70 B32:J34 B87:J116 B36:J49">
    <cfRule type="cellIs" dxfId="54" priority="12" operator="lessThan">
      <formula>0</formula>
    </cfRule>
  </conditionalFormatting>
  <conditionalFormatting sqref="B30">
    <cfRule type="cellIs" dxfId="53" priority="10" operator="lessThan">
      <formula>0</formula>
    </cfRule>
  </conditionalFormatting>
  <conditionalFormatting sqref="D71:J71">
    <cfRule type="cellIs" dxfId="52" priority="8" operator="lessThan">
      <formula>0</formula>
    </cfRule>
  </conditionalFormatting>
  <conditionalFormatting sqref="D78:J78">
    <cfRule type="cellIs" dxfId="51" priority="7" operator="lessThan">
      <formula>0</formula>
    </cfRule>
  </conditionalFormatting>
  <conditionalFormatting sqref="D82:J82">
    <cfRule type="cellIs" dxfId="50" priority="6" operator="lessThan">
      <formula>0</formula>
    </cfRule>
  </conditionalFormatting>
  <conditionalFormatting sqref="D83:J83">
    <cfRule type="cellIs" dxfId="49" priority="5" operator="lessThan">
      <formula>0</formula>
    </cfRule>
  </conditionalFormatting>
  <conditionalFormatting sqref="D53:J53">
    <cfRule type="cellIs" dxfId="48" priority="2" operator="lessThan">
      <formula>0</formula>
    </cfRule>
  </conditionalFormatting>
  <conditionalFormatting sqref="D85:J85">
    <cfRule type="cellIs" dxfId="47" priority="3" operator="lessThan">
      <formula>0</formula>
    </cfRule>
  </conditionalFormatting>
  <conditionalFormatting sqref="D59:J59">
    <cfRule type="cellIs" dxfId="46" priority="1" operator="less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24</vt:i4>
      </vt:variant>
      <vt:variant>
        <vt:lpstr>Benoemde bereiken</vt:lpstr>
      </vt:variant>
      <vt:variant>
        <vt:i4>8</vt:i4>
      </vt:variant>
    </vt:vector>
  </HeadingPairs>
  <TitlesOfParts>
    <vt:vector size="32" baseType="lpstr">
      <vt:lpstr>Structure</vt:lpstr>
      <vt:lpstr>Val. Assets</vt:lpstr>
      <vt:lpstr>Val. Company</vt:lpstr>
      <vt:lpstr>Val. singledrinks.com</vt:lpstr>
      <vt:lpstr>Investors</vt:lpstr>
      <vt:lpstr>Bond</vt:lpstr>
      <vt:lpstr>RCF-F</vt:lpstr>
      <vt:lpstr>RCF-FS</vt:lpstr>
      <vt:lpstr>EN</vt:lpstr>
      <vt:lpstr>RCV</vt:lpstr>
      <vt:lpstr>RCE</vt:lpstr>
      <vt:lpstr>RCE PP&amp;E</vt:lpstr>
      <vt:lpstr>Depr. PP&amp;E</vt:lpstr>
      <vt:lpstr>Sale</vt:lpstr>
      <vt:lpstr>Price</vt:lpstr>
      <vt:lpstr>Capex</vt:lpstr>
      <vt:lpstr>Opex</vt:lpstr>
      <vt:lpstr>Prod info</vt:lpstr>
      <vt:lpstr>Costprice</vt:lpstr>
      <vt:lpstr>Inv. wine</vt:lpstr>
      <vt:lpstr>Inv. start wine</vt:lpstr>
      <vt:lpstr>Inv. mat</vt:lpstr>
      <vt:lpstr>Inv. start</vt:lpstr>
      <vt:lpstr>Loan</vt:lpstr>
      <vt:lpstr>Bond!Afdrukbereik</vt:lpstr>
      <vt:lpstr>Capex!Afdrukbereik</vt:lpstr>
      <vt:lpstr>EN!Afdrukbereik</vt:lpstr>
      <vt:lpstr>Loan!Afdrukbereik</vt:lpstr>
      <vt:lpstr>RCE!Afdrukbereik</vt:lpstr>
      <vt:lpstr>'RCF-F'!Afdrukbereik</vt:lpstr>
      <vt:lpstr>'RCF-FS'!Afdrukbereik</vt:lpstr>
      <vt:lpstr>RCV!Afdrukbereik</vt:lpstr>
    </vt:vector>
  </TitlesOfParts>
  <Company>MVGO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Forecast model</dc:title>
  <dc:creator>Bastiaan Hartog</dc:creator>
  <cp:lastModifiedBy>Bastiaan Hartog</cp:lastModifiedBy>
  <cp:lastPrinted>2023-11-03T07:50:10Z</cp:lastPrinted>
  <dcterms:created xsi:type="dcterms:W3CDTF">2011-04-26T13:50:39Z</dcterms:created>
  <dcterms:modified xsi:type="dcterms:W3CDTF">2023-11-03T07:58:59Z</dcterms:modified>
</cp:coreProperties>
</file>